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EBFA0CB4-FF90-41E2-951D-C91FF751BA8C}"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0"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1" state="hidden" r:id="rId17"/>
  </sheets>
  <definedNames>
    <definedName name="_xlnm._FilterDatabase" localSheetId="16" hidden="1">Data!$D$1:$G$1</definedName>
    <definedName name="_xlnm._FilterDatabase" localSheetId="11" hidden="1">Schedules!$A$1:$AC$81</definedName>
    <definedName name="_xlnm._FilterDatabase" localSheetId="7" hidden="1">'Water Heater'!$A$9:$AL$88</definedName>
    <definedName name="_xlnm._FilterDatabase" localSheetId="2" hidden="1">Zones!$B$2:$AO$82</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9" i="1" l="1"/>
  <c r="I35" i="13"/>
  <c r="I58" i="13"/>
  <c r="I81" i="13"/>
  <c r="H5" i="21"/>
  <c r="H6" i="21"/>
  <c r="H7" i="21"/>
  <c r="H8" i="21"/>
  <c r="H9" i="21"/>
  <c r="H10" i="21"/>
  <c r="H11" i="21"/>
  <c r="H12" i="21"/>
  <c r="H13" i="21"/>
  <c r="H14" i="21"/>
  <c r="H15" i="21"/>
  <c r="H16" i="21"/>
  <c r="H17" i="21"/>
  <c r="H18" i="21"/>
  <c r="H19" i="21"/>
  <c r="AA27" i="1" l="1"/>
  <c r="AA26" i="1"/>
  <c r="B94" i="33"/>
  <c r="E4" i="33"/>
  <c r="AA28" i="1" l="1"/>
  <c r="I26" i="1" s="1"/>
  <c r="I30" i="1"/>
  <c r="I27" i="1"/>
  <c r="I28" i="1"/>
  <c r="I29" i="1"/>
  <c r="C15" i="9"/>
  <c r="I54" i="18" l="1"/>
  <c r="I77" i="18"/>
  <c r="I11" i="18"/>
  <c r="I31" i="18"/>
  <c r="A1" i="13" l="1"/>
  <c r="F13" i="25"/>
  <c r="G4" i="33"/>
  <c r="F4" i="33"/>
  <c r="C13" i="25" l="1"/>
  <c r="R29" i="13" l="1"/>
  <c r="S29" i="13" s="1"/>
  <c r="R30" i="13"/>
  <c r="S30" i="13" s="1"/>
  <c r="A51" i="28"/>
  <c r="O35" i="13" l="1"/>
  <c r="O58" i="13"/>
  <c r="O81" i="13"/>
  <c r="A88" i="33"/>
  <c r="C87" i="33"/>
  <c r="A87" i="33"/>
  <c r="A86" i="33"/>
  <c r="C85" i="33"/>
  <c r="A85" i="33"/>
  <c r="C84" i="33"/>
  <c r="A84" i="33"/>
  <c r="C83" i="33"/>
  <c r="A83" i="33"/>
  <c r="C82" i="33"/>
  <c r="A82" i="33"/>
  <c r="C81" i="33"/>
  <c r="A81" i="33"/>
  <c r="C80" i="33"/>
  <c r="A80" i="33"/>
  <c r="C79" i="33"/>
  <c r="A79" i="33"/>
  <c r="C78" i="33"/>
  <c r="A78" i="33"/>
  <c r="C77" i="33"/>
  <c r="A77" i="33"/>
  <c r="C76" i="33"/>
  <c r="A76" i="33"/>
  <c r="C75" i="33"/>
  <c r="A75" i="33"/>
  <c r="C74" i="33"/>
  <c r="A74" i="33"/>
  <c r="C73" i="33"/>
  <c r="A73" i="33"/>
  <c r="C72" i="33"/>
  <c r="A72" i="33"/>
  <c r="C71" i="33"/>
  <c r="A71" i="33"/>
  <c r="C70" i="33"/>
  <c r="A70" i="33"/>
  <c r="C69" i="33"/>
  <c r="A69" i="33"/>
  <c r="C68" i="33"/>
  <c r="A68" i="33"/>
  <c r="C67" i="33"/>
  <c r="A67" i="33"/>
  <c r="C66" i="33"/>
  <c r="A66" i="33"/>
  <c r="A65" i="33"/>
  <c r="C64" i="33"/>
  <c r="A64" i="33"/>
  <c r="A63" i="33"/>
  <c r="A62" i="33"/>
  <c r="A61" i="33"/>
  <c r="A60" i="33"/>
  <c r="A59" i="33"/>
  <c r="A58" i="33"/>
  <c r="A57" i="33"/>
  <c r="A56" i="33"/>
  <c r="A55" i="33"/>
  <c r="A54" i="33"/>
  <c r="A53" i="33"/>
  <c r="A52" i="33"/>
  <c r="A51" i="33"/>
  <c r="A50" i="33"/>
  <c r="A49" i="33"/>
  <c r="A48" i="33"/>
  <c r="A47" i="33"/>
  <c r="A46" i="33"/>
  <c r="A45" i="33"/>
  <c r="C44" i="33"/>
  <c r="A44" i="33"/>
  <c r="C43" i="33"/>
  <c r="A43" i="33"/>
  <c r="A42" i="33"/>
  <c r="C41" i="33"/>
  <c r="A41" i="33"/>
  <c r="C40" i="33"/>
  <c r="A40" i="33"/>
  <c r="C39" i="33"/>
  <c r="A39" i="33"/>
  <c r="C38" i="33"/>
  <c r="A38" i="33"/>
  <c r="C37" i="33"/>
  <c r="A37" i="33"/>
  <c r="C36" i="33"/>
  <c r="A36" i="33"/>
  <c r="C35" i="33"/>
  <c r="A35" i="33"/>
  <c r="C34" i="33"/>
  <c r="A34" i="33"/>
  <c r="C33" i="33"/>
  <c r="A33" i="33"/>
  <c r="C32" i="33"/>
  <c r="A32" i="33"/>
  <c r="C31" i="33"/>
  <c r="A31" i="33"/>
  <c r="C30" i="33"/>
  <c r="A30" i="33"/>
  <c r="C29" i="33"/>
  <c r="A29" i="33"/>
  <c r="C28" i="33"/>
  <c r="A28" i="33"/>
  <c r="C27" i="33"/>
  <c r="A27" i="33"/>
  <c r="C26" i="33"/>
  <c r="A26" i="33"/>
  <c r="C25" i="33"/>
  <c r="A25" i="33"/>
  <c r="C24" i="33"/>
  <c r="A24" i="33"/>
  <c r="C23" i="33"/>
  <c r="A23" i="33"/>
  <c r="C22" i="33"/>
  <c r="A22" i="33"/>
  <c r="C21" i="33"/>
  <c r="A21" i="33"/>
  <c r="C20" i="33"/>
  <c r="A20" i="33"/>
  <c r="C19" i="33"/>
  <c r="A19" i="33"/>
  <c r="C18" i="33"/>
  <c r="A18" i="33"/>
  <c r="C17" i="33"/>
  <c r="A17" i="33"/>
  <c r="C16" i="33"/>
  <c r="A16" i="33"/>
  <c r="C15" i="33"/>
  <c r="A15" i="33"/>
  <c r="C14" i="33"/>
  <c r="A14" i="33"/>
  <c r="C13" i="33"/>
  <c r="A13" i="33"/>
  <c r="C12" i="33"/>
  <c r="A12" i="33"/>
  <c r="C11" i="33"/>
  <c r="A11" i="33"/>
  <c r="C10" i="33"/>
  <c r="A10" i="33"/>
  <c r="I121" i="33"/>
  <c r="A63" i="28" l="1"/>
  <c r="M30" i="13"/>
  <c r="L30" i="13" s="1"/>
  <c r="D37" i="33" s="1"/>
  <c r="F37" i="33" s="1"/>
  <c r="G37" i="33" s="1"/>
  <c r="AD70" i="28"/>
  <c r="C49" i="29" s="1"/>
  <c r="I22" i="29"/>
  <c r="H22" i="29"/>
  <c r="I21" i="29"/>
  <c r="H21" i="29"/>
  <c r="B66" i="28"/>
  <c r="A66" i="28"/>
  <c r="B60" i="28"/>
  <c r="A60" i="28"/>
  <c r="B57" i="28"/>
  <c r="A57" i="28"/>
  <c r="B54" i="28"/>
  <c r="A54" i="28"/>
  <c r="B51" i="28"/>
  <c r="B63" i="28" s="1"/>
  <c r="N1" i="20"/>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L3" i="20" s="1"/>
  <c r="S4" i="20"/>
  <c r="S5" i="20"/>
  <c r="S6" i="20"/>
  <c r="S7" i="20"/>
  <c r="S8" i="20"/>
  <c r="S9" i="20"/>
  <c r="S10" i="20"/>
  <c r="S11" i="20"/>
  <c r="S12" i="20"/>
  <c r="S13" i="20"/>
  <c r="S14" i="20"/>
  <c r="S15" i="20"/>
  <c r="S16" i="20"/>
  <c r="S17" i="20"/>
  <c r="S18" i="20"/>
  <c r="S3" i="20"/>
  <c r="I8" i="1"/>
  <c r="I14" i="1"/>
  <c r="I13" i="1"/>
  <c r="J18" i="1"/>
  <c r="J19" i="1" s="1"/>
  <c r="K18" i="1"/>
  <c r="K19" i="1" s="1"/>
  <c r="L18" i="1"/>
  <c r="L19" i="1" s="1"/>
  <c r="M18" i="1"/>
  <c r="M19" i="1" s="1"/>
  <c r="N18" i="1"/>
  <c r="N19" i="1" s="1"/>
  <c r="O18" i="1"/>
  <c r="O19" i="1" s="1"/>
  <c r="P18" i="1"/>
  <c r="P19" i="1" s="1"/>
  <c r="Q18" i="1"/>
  <c r="Q19" i="1" s="1"/>
  <c r="R18" i="1"/>
  <c r="R19" i="1" s="1"/>
  <c r="S18" i="1"/>
  <c r="S19" i="1" s="1"/>
  <c r="T18" i="1"/>
  <c r="T19" i="1" s="1"/>
  <c r="U18" i="1"/>
  <c r="U19" i="1" s="1"/>
  <c r="V18" i="1"/>
  <c r="V19" i="1" s="1"/>
  <c r="W18" i="1"/>
  <c r="W19" i="1" s="1"/>
  <c r="X18" i="1"/>
  <c r="X19" i="1" s="1"/>
  <c r="I18" i="1"/>
  <c r="I19" i="1" l="1"/>
  <c r="G22" i="29"/>
  <c r="J22" i="29" s="1"/>
  <c r="G21" i="29"/>
  <c r="J21" i="29" s="1"/>
  <c r="U3" i="20"/>
  <c r="T3" i="20"/>
  <c r="V3" i="20" s="1"/>
  <c r="U18" i="20"/>
  <c r="T18" i="20"/>
  <c r="V18" i="20" s="1"/>
  <c r="U17" i="20"/>
  <c r="T17" i="20"/>
  <c r="V17" i="20" s="1"/>
  <c r="U16" i="20"/>
  <c r="T16" i="20"/>
  <c r="V16" i="20" s="1"/>
  <c r="U15" i="20"/>
  <c r="T15" i="20"/>
  <c r="V15" i="20" s="1"/>
  <c r="U14" i="20"/>
  <c r="T14" i="20"/>
  <c r="V14" i="20" s="1"/>
  <c r="U13" i="20"/>
  <c r="T13" i="20"/>
  <c r="V13" i="20" s="1"/>
  <c r="U12" i="20"/>
  <c r="T12" i="20"/>
  <c r="V12" i="20" s="1"/>
  <c r="U11" i="20"/>
  <c r="T11" i="20"/>
  <c r="V11" i="20" s="1"/>
  <c r="U10" i="20"/>
  <c r="T10" i="20"/>
  <c r="V10" i="20" s="1"/>
  <c r="U9" i="20"/>
  <c r="T9" i="20"/>
  <c r="V9" i="20" s="1"/>
  <c r="U8" i="20"/>
  <c r="T8" i="20"/>
  <c r="V8" i="20" s="1"/>
  <c r="U7" i="20"/>
  <c r="T7" i="20"/>
  <c r="V7" i="20" s="1"/>
  <c r="U6" i="20"/>
  <c r="T6" i="20"/>
  <c r="V6" i="20" s="1"/>
  <c r="U5" i="20"/>
  <c r="T5" i="20"/>
  <c r="V5" i="20" s="1"/>
  <c r="U4" i="20"/>
  <c r="T4" i="20"/>
  <c r="V4" i="20" s="1"/>
  <c r="L18" i="20"/>
  <c r="L17" i="20"/>
  <c r="L16" i="20"/>
  <c r="L15" i="20"/>
  <c r="L14" i="20"/>
  <c r="L13" i="20"/>
  <c r="L12" i="20"/>
  <c r="L11" i="20"/>
  <c r="L10" i="20"/>
  <c r="L9" i="20"/>
  <c r="L8" i="20"/>
  <c r="L7" i="20"/>
  <c r="L6" i="20"/>
  <c r="L5" i="20"/>
  <c r="L4" i="20"/>
  <c r="A1" i="29"/>
  <c r="A1" i="28"/>
  <c r="A1" i="25" l="1"/>
  <c r="B22" i="9"/>
  <c r="C14" i="9" s="1"/>
  <c r="G12" i="9"/>
  <c r="G14" i="9" l="1"/>
  <c r="G10" i="9"/>
  <c r="AC46" i="28"/>
  <c r="AB46" i="28"/>
  <c r="AA46" i="28"/>
  <c r="Z46" i="28"/>
  <c r="Y46" i="28"/>
  <c r="X46" i="28"/>
  <c r="W46" i="28"/>
  <c r="V46" i="28"/>
  <c r="U46" i="28"/>
  <c r="T46" i="28"/>
  <c r="S46" i="28"/>
  <c r="R46" i="28"/>
  <c r="Q46" i="28"/>
  <c r="P46" i="28"/>
  <c r="O46" i="28"/>
  <c r="N46" i="28"/>
  <c r="M46" i="28"/>
  <c r="L46" i="28"/>
  <c r="K46" i="28"/>
  <c r="J46" i="28"/>
  <c r="I46" i="28"/>
  <c r="H46" i="28"/>
  <c r="G46" i="28"/>
  <c r="F46" i="28"/>
  <c r="AC45" i="28"/>
  <c r="AB45" i="28"/>
  <c r="AA45" i="28"/>
  <c r="Z45" i="28"/>
  <c r="Y45" i="28"/>
  <c r="X45" i="28"/>
  <c r="W45" i="28"/>
  <c r="V45" i="28"/>
  <c r="U45" i="28"/>
  <c r="T45" i="28"/>
  <c r="S45" i="28"/>
  <c r="R45" i="28"/>
  <c r="Q45" i="28"/>
  <c r="P45" i="28"/>
  <c r="O45" i="28"/>
  <c r="N45" i="28"/>
  <c r="M45" i="28"/>
  <c r="L45" i="28"/>
  <c r="K45" i="28"/>
  <c r="J45" i="28"/>
  <c r="I45" i="28"/>
  <c r="H45" i="28"/>
  <c r="G45" i="28"/>
  <c r="F45" i="28"/>
  <c r="AC44" i="28"/>
  <c r="AB44" i="28"/>
  <c r="AA44" i="28"/>
  <c r="Z44" i="28"/>
  <c r="Y44" i="28"/>
  <c r="X44" i="28"/>
  <c r="W44" i="28"/>
  <c r="V44" i="28"/>
  <c r="U44" i="28"/>
  <c r="T44" i="28"/>
  <c r="S44" i="28"/>
  <c r="R44" i="28"/>
  <c r="Q44" i="28"/>
  <c r="P44" i="28"/>
  <c r="O44" i="28"/>
  <c r="N44" i="28"/>
  <c r="M44" i="28"/>
  <c r="L44" i="28"/>
  <c r="K44" i="28"/>
  <c r="J44" i="28"/>
  <c r="I44" i="28"/>
  <c r="H44" i="28"/>
  <c r="G44" i="28"/>
  <c r="F44" i="28"/>
  <c r="B32" i="28"/>
  <c r="B35" i="28"/>
  <c r="B38" i="28"/>
  <c r="B41" i="28"/>
  <c r="B44" i="28"/>
  <c r="A44" i="28"/>
  <c r="A41" i="28" l="1"/>
  <c r="A38" i="28"/>
  <c r="A35" i="28"/>
  <c r="A32"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A16" i="18" l="1"/>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4" i="18"/>
  <c r="A5" i="18"/>
  <c r="A6" i="18"/>
  <c r="A7" i="18"/>
  <c r="A8" i="18"/>
  <c r="A9" i="18"/>
  <c r="A10" i="18"/>
  <c r="A11" i="18"/>
  <c r="A12" i="18"/>
  <c r="A13" i="18"/>
  <c r="A14" i="18"/>
  <c r="A15" i="18"/>
  <c r="A3" i="18"/>
  <c r="A1" i="18"/>
  <c r="A19" i="28"/>
  <c r="A16" i="28"/>
  <c r="A13" i="28"/>
  <c r="A7" i="28"/>
  <c r="A10" i="28" s="1"/>
  <c r="A25" i="28" s="1"/>
  <c r="A1" i="30"/>
  <c r="A22" i="28" l="1"/>
  <c r="AB23" i="13"/>
  <c r="AC23" i="13" s="1"/>
  <c r="C88" i="33"/>
  <c r="J37" i="13"/>
  <c r="AB26" i="13"/>
  <c r="AB25" i="13"/>
  <c r="AB31" i="13"/>
  <c r="AB24" i="13"/>
  <c r="AB34" i="13"/>
  <c r="AB33" i="13"/>
  <c r="AB32" i="13"/>
  <c r="AB30" i="13"/>
  <c r="AB29" i="13"/>
  <c r="AB28" i="13"/>
  <c r="AB27" i="13"/>
  <c r="W28" i="13"/>
  <c r="W27" i="13"/>
  <c r="W25" i="13"/>
  <c r="W31" i="13"/>
  <c r="W33" i="13"/>
  <c r="W23" i="13"/>
  <c r="X23" i="13" s="1"/>
  <c r="W34" i="13"/>
  <c r="W32" i="13"/>
  <c r="W30" i="13"/>
  <c r="W29" i="13"/>
  <c r="W26" i="13"/>
  <c r="W24" i="13"/>
  <c r="R31" i="13"/>
  <c r="R34" i="13"/>
  <c r="R32" i="13"/>
  <c r="R33" i="13"/>
  <c r="R23" i="13"/>
  <c r="S23" i="13" s="1"/>
  <c r="R24" i="13"/>
  <c r="R26" i="13"/>
  <c r="R27" i="13"/>
  <c r="R28" i="13"/>
  <c r="M76" i="13" l="1"/>
  <c r="M53" i="13"/>
  <c r="M4" i="1" l="1"/>
  <c r="C3" i="18" l="1"/>
  <c r="H3" i="18" s="1"/>
  <c r="C65" i="33" l="1"/>
  <c r="C4" i="18"/>
  <c r="H4" i="18" s="1"/>
  <c r="C5" i="18"/>
  <c r="H5" i="18" s="1"/>
  <c r="C6" i="18"/>
  <c r="H6" i="18" s="1"/>
  <c r="C7" i="18"/>
  <c r="H7" i="18" s="1"/>
  <c r="C8" i="18"/>
  <c r="H8" i="18" s="1"/>
  <c r="C9" i="18"/>
  <c r="H9" i="18" s="1"/>
  <c r="C10" i="18"/>
  <c r="H10" i="18" s="1"/>
  <c r="C11" i="18"/>
  <c r="H11" i="18" s="1"/>
  <c r="C12" i="18"/>
  <c r="H12" i="18" s="1"/>
  <c r="C13" i="18"/>
  <c r="H13" i="18" s="1"/>
  <c r="C14" i="18"/>
  <c r="H14" i="18" s="1"/>
  <c r="C15" i="18"/>
  <c r="H15" i="18" s="1"/>
  <c r="C16" i="18"/>
  <c r="H16" i="18" s="1"/>
  <c r="C17" i="18"/>
  <c r="H17" i="18" s="1"/>
  <c r="C18" i="18"/>
  <c r="H18" i="18" s="1"/>
  <c r="C19" i="18"/>
  <c r="H19" i="18" s="1"/>
  <c r="C20" i="18"/>
  <c r="H20" i="18" s="1"/>
  <c r="C21" i="18"/>
  <c r="H21" i="18" s="1"/>
  <c r="C22" i="18"/>
  <c r="H22" i="18" s="1"/>
  <c r="C23" i="18"/>
  <c r="H23" i="18" s="1"/>
  <c r="C24" i="18"/>
  <c r="H24" i="18" s="1"/>
  <c r="C25" i="18"/>
  <c r="H25" i="18" s="1"/>
  <c r="C26" i="18"/>
  <c r="H26" i="18" s="1"/>
  <c r="C27" i="18"/>
  <c r="H27" i="18" s="1"/>
  <c r="C28" i="18"/>
  <c r="C29" i="18"/>
  <c r="H29" i="18" s="1"/>
  <c r="C30" i="18"/>
  <c r="H30" i="18" s="1"/>
  <c r="C31" i="18"/>
  <c r="H31" i="18" s="1"/>
  <c r="C32" i="18"/>
  <c r="H32" i="18" s="1"/>
  <c r="C33" i="18"/>
  <c r="H33" i="18" s="1"/>
  <c r="C34" i="18"/>
  <c r="H34" i="18" s="1"/>
  <c r="C36" i="18"/>
  <c r="H36" i="18" s="1"/>
  <c r="C37" i="18"/>
  <c r="H37" i="18" s="1"/>
  <c r="C38" i="18"/>
  <c r="H38" i="18" s="1"/>
  <c r="C39" i="18"/>
  <c r="H39" i="18" s="1"/>
  <c r="C40" i="18"/>
  <c r="H40" i="18" s="1"/>
  <c r="C41" i="18"/>
  <c r="H41" i="18" s="1"/>
  <c r="C42" i="18"/>
  <c r="H42" i="18" s="1"/>
  <c r="C43" i="18"/>
  <c r="H43" i="18" s="1"/>
  <c r="C44" i="18"/>
  <c r="H44" i="18" s="1"/>
  <c r="C45" i="18"/>
  <c r="H45" i="18" s="1"/>
  <c r="C46" i="18"/>
  <c r="H46" i="18" s="1"/>
  <c r="C47" i="18"/>
  <c r="H47" i="18" s="1"/>
  <c r="C48" i="18"/>
  <c r="H48" i="18" s="1"/>
  <c r="C49" i="18"/>
  <c r="H49" i="18" s="1"/>
  <c r="C50" i="18"/>
  <c r="H50" i="18" s="1"/>
  <c r="C51" i="18"/>
  <c r="H51" i="18" s="1"/>
  <c r="C52" i="18"/>
  <c r="H52" i="18" s="1"/>
  <c r="C53" i="18"/>
  <c r="H53" i="18" s="1"/>
  <c r="C54" i="18"/>
  <c r="H54" i="18" s="1"/>
  <c r="C55" i="18"/>
  <c r="H55" i="18" s="1"/>
  <c r="C56" i="18"/>
  <c r="H56" i="18" s="1"/>
  <c r="C57" i="18"/>
  <c r="H57" i="18" s="1"/>
  <c r="C59" i="18"/>
  <c r="H59" i="18" s="1"/>
  <c r="C60" i="18"/>
  <c r="H60" i="18" s="1"/>
  <c r="C61" i="18"/>
  <c r="H61" i="18" s="1"/>
  <c r="C62" i="18"/>
  <c r="H62" i="18" s="1"/>
  <c r="C63" i="18"/>
  <c r="H63" i="18" s="1"/>
  <c r="C64" i="18"/>
  <c r="H64" i="18" s="1"/>
  <c r="C65" i="18"/>
  <c r="H65" i="18" s="1"/>
  <c r="C66" i="18"/>
  <c r="H66" i="18" s="1"/>
  <c r="C67" i="18"/>
  <c r="H67" i="18" s="1"/>
  <c r="C68" i="18"/>
  <c r="H68" i="18" s="1"/>
  <c r="C69" i="18"/>
  <c r="H69" i="18" s="1"/>
  <c r="C70" i="18"/>
  <c r="H70" i="18" s="1"/>
  <c r="C71" i="18"/>
  <c r="H71" i="18" s="1"/>
  <c r="C72" i="18"/>
  <c r="H72" i="18" s="1"/>
  <c r="C73" i="18"/>
  <c r="H73" i="18" s="1"/>
  <c r="C74" i="18"/>
  <c r="H74" i="18" s="1"/>
  <c r="C75" i="18"/>
  <c r="H75" i="18" s="1"/>
  <c r="C76" i="18"/>
  <c r="H76" i="18" s="1"/>
  <c r="C77" i="18"/>
  <c r="H77" i="18" s="1"/>
  <c r="C78" i="18"/>
  <c r="H78" i="18" s="1"/>
  <c r="C79" i="18"/>
  <c r="H79" i="18" s="1"/>
  <c r="C80" i="18"/>
  <c r="H80" i="18" s="1"/>
  <c r="L80" i="13"/>
  <c r="D87" i="33" s="1"/>
  <c r="F87" i="33" s="1"/>
  <c r="G87" i="33" s="1"/>
  <c r="J80" i="13"/>
  <c r="L79" i="13"/>
  <c r="K79" i="13"/>
  <c r="J79" i="13"/>
  <c r="J55" i="13"/>
  <c r="L55" i="13"/>
  <c r="L34" i="13"/>
  <c r="D41" i="33" s="1"/>
  <c r="F41" i="33" s="1"/>
  <c r="G41" i="33" s="1"/>
  <c r="J34" i="13"/>
  <c r="M17" i="13"/>
  <c r="L17" i="13" s="1"/>
  <c r="D24" i="33" s="1"/>
  <c r="F24" i="33" s="1"/>
  <c r="G24" i="33" s="1"/>
  <c r="M18" i="13"/>
  <c r="L18" i="13" s="1"/>
  <c r="D25" i="33" s="1"/>
  <c r="F25" i="33" s="1"/>
  <c r="G25" i="33" s="1"/>
  <c r="M19" i="13"/>
  <c r="L19" i="13" s="1"/>
  <c r="D26" i="33" s="1"/>
  <c r="F26" i="33" s="1"/>
  <c r="G26" i="33" s="1"/>
  <c r="M20" i="13"/>
  <c r="L20" i="13" s="1"/>
  <c r="D27" i="33" s="1"/>
  <c r="F27" i="33" s="1"/>
  <c r="G27" i="33" s="1"/>
  <c r="M21" i="13"/>
  <c r="L21" i="13" s="1"/>
  <c r="D28" i="33" s="1"/>
  <c r="F28" i="33" s="1"/>
  <c r="G28" i="33" s="1"/>
  <c r="M16" i="13"/>
  <c r="L16" i="13" s="1"/>
  <c r="D23" i="33" s="1"/>
  <c r="F23" i="33" s="1"/>
  <c r="G23" i="33" s="1"/>
  <c r="L31" i="13"/>
  <c r="D38" i="33" s="1"/>
  <c r="F38" i="33" s="1"/>
  <c r="G38" i="33" s="1"/>
  <c r="J31" i="13"/>
  <c r="J30" i="13"/>
  <c r="L29" i="13"/>
  <c r="D36" i="33" s="1"/>
  <c r="F36" i="33" s="1"/>
  <c r="G36" i="33" s="1"/>
  <c r="J29" i="13"/>
  <c r="L28" i="13"/>
  <c r="D35" i="33" s="1"/>
  <c r="F35" i="33" s="1"/>
  <c r="G35" i="33" s="1"/>
  <c r="J28" i="13"/>
  <c r="L27" i="13"/>
  <c r="D34" i="33" s="1"/>
  <c r="F34" i="33" s="1"/>
  <c r="G34" i="33" s="1"/>
  <c r="J27" i="13"/>
  <c r="L26" i="13"/>
  <c r="D33" i="33" s="1"/>
  <c r="F33" i="33" s="1"/>
  <c r="G33" i="33" s="1"/>
  <c r="J26" i="13"/>
  <c r="L25" i="13"/>
  <c r="D32" i="33" s="1"/>
  <c r="F32" i="33" s="1"/>
  <c r="G32" i="33" s="1"/>
  <c r="J25" i="13"/>
  <c r="L24" i="13"/>
  <c r="D31" i="33" s="1"/>
  <c r="F31" i="33" s="1"/>
  <c r="G31" i="33" s="1"/>
  <c r="J24" i="13"/>
  <c r="L23" i="13"/>
  <c r="D30" i="33" s="1"/>
  <c r="F30" i="33" s="1"/>
  <c r="G30" i="33" s="1"/>
  <c r="J23" i="13"/>
  <c r="L22" i="13"/>
  <c r="D29" i="33" s="1"/>
  <c r="F29" i="33" s="1"/>
  <c r="G29" i="33" s="1"/>
  <c r="J22" i="13"/>
  <c r="J21" i="13"/>
  <c r="J20" i="13"/>
  <c r="J19" i="13"/>
  <c r="J18" i="13"/>
  <c r="J17" i="13"/>
  <c r="J16" i="13"/>
  <c r="L59" i="13"/>
  <c r="D66" i="33" s="1"/>
  <c r="F66" i="33" s="1"/>
  <c r="G66" i="33" s="1"/>
  <c r="L68" i="13"/>
  <c r="D75" i="33" s="1"/>
  <c r="F75" i="33" s="1"/>
  <c r="G75" i="33" s="1"/>
  <c r="L69" i="13"/>
  <c r="D76" i="33" s="1"/>
  <c r="F76" i="33" s="1"/>
  <c r="G76" i="33" s="1"/>
  <c r="L70" i="13"/>
  <c r="D77" i="33" s="1"/>
  <c r="F77" i="33" s="1"/>
  <c r="G77" i="33" s="1"/>
  <c r="L71" i="13"/>
  <c r="D78" i="33" s="1"/>
  <c r="F78" i="33" s="1"/>
  <c r="G78" i="33" s="1"/>
  <c r="L72" i="13"/>
  <c r="D79" i="33" s="1"/>
  <c r="F79" i="33" s="1"/>
  <c r="G79" i="33" s="1"/>
  <c r="L73" i="13"/>
  <c r="D80" i="33" s="1"/>
  <c r="F80" i="33" s="1"/>
  <c r="G80" i="33" s="1"/>
  <c r="L74" i="13"/>
  <c r="D81" i="33" s="1"/>
  <c r="F81" i="33" s="1"/>
  <c r="G81" i="33" s="1"/>
  <c r="L75" i="13"/>
  <c r="D82" i="33" s="1"/>
  <c r="F82" i="33" s="1"/>
  <c r="G82" i="33" s="1"/>
  <c r="L76" i="13"/>
  <c r="D83" i="33" s="1"/>
  <c r="F83" i="33" s="1"/>
  <c r="G83" i="33" s="1"/>
  <c r="L77" i="13"/>
  <c r="D84" i="33" s="1"/>
  <c r="F84" i="33" s="1"/>
  <c r="G84" i="33" s="1"/>
  <c r="L78" i="13"/>
  <c r="D85" i="33" s="1"/>
  <c r="F85" i="33" s="1"/>
  <c r="G85" i="33" s="1"/>
  <c r="L47" i="13"/>
  <c r="L48" i="13"/>
  <c r="L49" i="13"/>
  <c r="L50" i="13"/>
  <c r="L51" i="13"/>
  <c r="L52" i="13"/>
  <c r="L53" i="13"/>
  <c r="L54" i="13"/>
  <c r="L56" i="13"/>
  <c r="L57" i="13"/>
  <c r="D64" i="33" s="1"/>
  <c r="F64" i="33" s="1"/>
  <c r="G64" i="33" s="1"/>
  <c r="L45" i="13"/>
  <c r="L46" i="13"/>
  <c r="L32" i="13"/>
  <c r="D39" i="33" s="1"/>
  <c r="F39" i="33" s="1"/>
  <c r="G39" i="33" s="1"/>
  <c r="L33" i="13"/>
  <c r="D40" i="33" s="1"/>
  <c r="F40" i="33" s="1"/>
  <c r="G40" i="33" s="1"/>
  <c r="L6" i="13"/>
  <c r="D13" i="33" s="1"/>
  <c r="F13" i="33" s="1"/>
  <c r="G13" i="33" s="1"/>
  <c r="L7" i="13"/>
  <c r="D14" i="33" s="1"/>
  <c r="F14" i="33" s="1"/>
  <c r="G14" i="33" s="1"/>
  <c r="C86" i="33" l="1"/>
  <c r="D86" i="33"/>
  <c r="F86" i="33" s="1"/>
  <c r="G86" i="33" s="1"/>
  <c r="B7" i="18"/>
  <c r="G7" i="18" s="1"/>
  <c r="J7" i="18" s="1"/>
  <c r="B6" i="18"/>
  <c r="G6" i="18" s="1"/>
  <c r="J6" i="18" s="1"/>
  <c r="B33" i="18"/>
  <c r="G33" i="18" s="1"/>
  <c r="J33" i="18" s="1"/>
  <c r="B32" i="18"/>
  <c r="G32" i="18" s="1"/>
  <c r="J32" i="18" s="1"/>
  <c r="B46" i="18"/>
  <c r="G46" i="18" s="1"/>
  <c r="J46" i="18" s="1"/>
  <c r="B45" i="18"/>
  <c r="G45" i="18" s="1"/>
  <c r="J45" i="18" s="1"/>
  <c r="B57" i="18"/>
  <c r="G57" i="18" s="1"/>
  <c r="J57" i="18" s="1"/>
  <c r="B56" i="18"/>
  <c r="G56" i="18" s="1"/>
  <c r="J56" i="18" s="1"/>
  <c r="B54" i="18"/>
  <c r="G54" i="18" s="1"/>
  <c r="J54" i="18" s="1"/>
  <c r="B53" i="18"/>
  <c r="G53" i="18" s="1"/>
  <c r="J53" i="18" s="1"/>
  <c r="B52" i="18"/>
  <c r="G52" i="18" s="1"/>
  <c r="J52" i="18" s="1"/>
  <c r="B51" i="18"/>
  <c r="G51" i="18" s="1"/>
  <c r="J51" i="18" s="1"/>
  <c r="B50" i="18"/>
  <c r="G50" i="18" s="1"/>
  <c r="J50" i="18" s="1"/>
  <c r="B49" i="18"/>
  <c r="G49" i="18" s="1"/>
  <c r="J49" i="18" s="1"/>
  <c r="B48" i="18"/>
  <c r="G48" i="18" s="1"/>
  <c r="J48" i="18" s="1"/>
  <c r="B47" i="18"/>
  <c r="G47" i="18" s="1"/>
  <c r="J47" i="18" s="1"/>
  <c r="B78" i="18"/>
  <c r="G78" i="18" s="1"/>
  <c r="J78" i="18" s="1"/>
  <c r="B77" i="18"/>
  <c r="G77" i="18" s="1"/>
  <c r="J77" i="18" s="1"/>
  <c r="B76" i="18"/>
  <c r="G76" i="18" s="1"/>
  <c r="J76" i="18" s="1"/>
  <c r="B75" i="18"/>
  <c r="G75" i="18" s="1"/>
  <c r="J75" i="18" s="1"/>
  <c r="B74" i="18"/>
  <c r="G74" i="18" s="1"/>
  <c r="J74" i="18" s="1"/>
  <c r="B73" i="18"/>
  <c r="G73" i="18" s="1"/>
  <c r="J73" i="18" s="1"/>
  <c r="B72" i="18"/>
  <c r="G72" i="18" s="1"/>
  <c r="J72" i="18" s="1"/>
  <c r="B71" i="18"/>
  <c r="G71" i="18" s="1"/>
  <c r="B70" i="18"/>
  <c r="G70" i="18" s="1"/>
  <c r="J70" i="18" s="1"/>
  <c r="B69" i="18"/>
  <c r="G69" i="18" s="1"/>
  <c r="B68" i="18"/>
  <c r="G68" i="18" s="1"/>
  <c r="J68" i="18" s="1"/>
  <c r="B59" i="18"/>
  <c r="G59" i="18" s="1"/>
  <c r="J59" i="18" s="1"/>
  <c r="B22" i="18"/>
  <c r="G22" i="18" s="1"/>
  <c r="J22" i="18" s="1"/>
  <c r="B23" i="18"/>
  <c r="G23" i="18" s="1"/>
  <c r="J23" i="18" s="1"/>
  <c r="B24" i="18"/>
  <c r="G24" i="18" s="1"/>
  <c r="J24" i="18" s="1"/>
  <c r="B25" i="18"/>
  <c r="G25" i="18" s="1"/>
  <c r="J25" i="18" s="1"/>
  <c r="B26" i="18"/>
  <c r="G26" i="18" s="1"/>
  <c r="J26" i="18" s="1"/>
  <c r="B27" i="18"/>
  <c r="G27" i="18" s="1"/>
  <c r="J27" i="18" s="1"/>
  <c r="B28" i="18"/>
  <c r="G28" i="18" s="1"/>
  <c r="B29" i="18"/>
  <c r="G29" i="18" s="1"/>
  <c r="J29" i="18" s="1"/>
  <c r="B30" i="18"/>
  <c r="G30" i="18" s="1"/>
  <c r="J30" i="18" s="1"/>
  <c r="B31" i="18"/>
  <c r="G31" i="18" s="1"/>
  <c r="J31" i="18" s="1"/>
  <c r="B16" i="18"/>
  <c r="G16" i="18" s="1"/>
  <c r="J16" i="18" s="1"/>
  <c r="B21" i="18"/>
  <c r="G21" i="18" s="1"/>
  <c r="J21" i="18" s="1"/>
  <c r="B20" i="18"/>
  <c r="G20" i="18" s="1"/>
  <c r="J20" i="18" s="1"/>
  <c r="B19" i="18"/>
  <c r="G19" i="18" s="1"/>
  <c r="J19" i="18" s="1"/>
  <c r="B18" i="18"/>
  <c r="G18" i="18" s="1"/>
  <c r="J18" i="18" s="1"/>
  <c r="B17" i="18"/>
  <c r="G17" i="18" s="1"/>
  <c r="J17" i="18" s="1"/>
  <c r="B34" i="18"/>
  <c r="G34" i="18" s="1"/>
  <c r="J34" i="18" s="1"/>
  <c r="B55" i="18"/>
  <c r="G55" i="18" s="1"/>
  <c r="J55" i="18" s="1"/>
  <c r="B79" i="18"/>
  <c r="G79" i="18" s="1"/>
  <c r="J79" i="18" s="1"/>
  <c r="B80" i="18"/>
  <c r="G80" i="18" s="1"/>
  <c r="J80" i="18" s="1"/>
  <c r="H28" i="18"/>
  <c r="I28" i="18"/>
  <c r="J71" i="18"/>
  <c r="J69" i="18"/>
  <c r="J8" i="1"/>
  <c r="K8" i="1"/>
  <c r="L8" i="1"/>
  <c r="M8" i="1"/>
  <c r="N8" i="1"/>
  <c r="O8" i="1"/>
  <c r="P8" i="1"/>
  <c r="Q8" i="1"/>
  <c r="R8" i="1"/>
  <c r="S8" i="1"/>
  <c r="T8" i="1"/>
  <c r="U8" i="1"/>
  <c r="V8" i="1"/>
  <c r="W8" i="1"/>
  <c r="X8" i="1"/>
  <c r="X14" i="1"/>
  <c r="W14" i="1"/>
  <c r="V14" i="1"/>
  <c r="U14" i="1"/>
  <c r="T14" i="1"/>
  <c r="S14" i="1"/>
  <c r="R14" i="1"/>
  <c r="Q14" i="1"/>
  <c r="P14" i="1"/>
  <c r="O14" i="1"/>
  <c r="N14" i="1"/>
  <c r="M14" i="1"/>
  <c r="L14" i="1"/>
  <c r="K14" i="1"/>
  <c r="J14" i="1"/>
  <c r="X13" i="1"/>
  <c r="W13" i="1"/>
  <c r="V13" i="1"/>
  <c r="U13" i="1"/>
  <c r="T13" i="1"/>
  <c r="S13" i="1"/>
  <c r="R13" i="1"/>
  <c r="Q13" i="1"/>
  <c r="P13" i="1"/>
  <c r="O13" i="1"/>
  <c r="N13" i="1"/>
  <c r="M13" i="1"/>
  <c r="L13" i="1"/>
  <c r="K13" i="1"/>
  <c r="J13" i="1"/>
  <c r="J28" i="18" l="1"/>
  <c r="X4" i="1"/>
  <c r="W4" i="1"/>
  <c r="V4" i="1"/>
  <c r="T4" i="1"/>
  <c r="U4" i="1"/>
  <c r="S4" i="1"/>
  <c r="N4" i="1"/>
  <c r="O4" i="1"/>
  <c r="P4" i="1"/>
  <c r="Q4" i="1"/>
  <c r="R4" i="1"/>
  <c r="L4" i="1"/>
  <c r="K4" i="1"/>
  <c r="J4" i="1"/>
  <c r="I4" i="1"/>
  <c r="AC32" i="13" l="1"/>
  <c r="AC25" i="13"/>
  <c r="AC26" i="13"/>
  <c r="AC27" i="13"/>
  <c r="AC28" i="13"/>
  <c r="X25" i="13"/>
  <c r="X24" i="13"/>
  <c r="X33" i="13"/>
  <c r="AC33" i="13"/>
  <c r="S34" i="13"/>
  <c r="AC24" i="13"/>
  <c r="AC31" i="13"/>
  <c r="AC30" i="13"/>
  <c r="AC29" i="13"/>
  <c r="AC34" i="13"/>
  <c r="X31" i="13"/>
  <c r="X30" i="13"/>
  <c r="S24" i="13"/>
  <c r="S26" i="13"/>
  <c r="S27" i="13"/>
  <c r="X27" i="13"/>
  <c r="X26" i="13"/>
  <c r="S28" i="13"/>
  <c r="X34" i="13"/>
  <c r="X32" i="13"/>
  <c r="X28" i="13"/>
  <c r="X29" i="13"/>
  <c r="S32" i="13"/>
  <c r="S33" i="13"/>
  <c r="S31" i="13"/>
  <c r="S36" i="13" l="1"/>
  <c r="AC36" i="13"/>
  <c r="X36" i="13"/>
  <c r="S35" i="13"/>
  <c r="J71" i="13"/>
  <c r="J72" i="13"/>
  <c r="J73" i="13"/>
  <c r="J74" i="13"/>
  <c r="J75" i="13"/>
  <c r="J76" i="13"/>
  <c r="J77" i="13"/>
  <c r="J78" i="13"/>
  <c r="J10" i="13"/>
  <c r="J11" i="13"/>
  <c r="J12" i="13"/>
  <c r="J13" i="13"/>
  <c r="J14" i="13"/>
  <c r="J15" i="13"/>
  <c r="J32" i="13"/>
  <c r="J33" i="13"/>
  <c r="J36" i="13"/>
  <c r="J38" i="13"/>
  <c r="J39" i="13"/>
  <c r="J40" i="13"/>
  <c r="J41" i="13"/>
  <c r="J42" i="13"/>
  <c r="J43" i="13"/>
  <c r="J44" i="13"/>
  <c r="J45" i="13"/>
  <c r="J46" i="13"/>
  <c r="J47" i="13"/>
  <c r="J48" i="13"/>
  <c r="J49" i="13"/>
  <c r="J50" i="13"/>
  <c r="J51" i="13"/>
  <c r="J52" i="13"/>
  <c r="J53" i="13"/>
  <c r="J54" i="13"/>
  <c r="J56" i="13"/>
  <c r="J57" i="13"/>
  <c r="J59" i="13"/>
  <c r="J60" i="13"/>
  <c r="J61" i="13"/>
  <c r="J62" i="13"/>
  <c r="J63" i="13"/>
  <c r="J64" i="13"/>
  <c r="J65" i="13"/>
  <c r="J66" i="13"/>
  <c r="J67" i="13"/>
  <c r="J68" i="13"/>
  <c r="J69" i="13"/>
  <c r="J70" i="13"/>
  <c r="C58" i="18"/>
  <c r="H58" i="18" s="1"/>
  <c r="L58" i="13" l="1"/>
  <c r="D65" i="33" s="1"/>
  <c r="F65" i="33" s="1"/>
  <c r="G65" i="33" s="1"/>
  <c r="J58" i="13"/>
  <c r="A1" i="14"/>
  <c r="L8" i="13"/>
  <c r="D15" i="33" s="1"/>
  <c r="F15" i="33" s="1"/>
  <c r="G15" i="33" s="1"/>
  <c r="L10" i="13"/>
  <c r="D17" i="33" s="1"/>
  <c r="F17" i="33" s="1"/>
  <c r="G17" i="33" s="1"/>
  <c r="L11" i="13"/>
  <c r="D18" i="33" s="1"/>
  <c r="F18" i="33" s="1"/>
  <c r="L12" i="13"/>
  <c r="D19" i="33" s="1"/>
  <c r="F19" i="33" s="1"/>
  <c r="G19" i="33" s="1"/>
  <c r="L13" i="13"/>
  <c r="D20" i="33" s="1"/>
  <c r="F20" i="33" s="1"/>
  <c r="G20" i="33" s="1"/>
  <c r="L36" i="13"/>
  <c r="D43" i="33" s="1"/>
  <c r="F43" i="33" s="1"/>
  <c r="G43" i="33" s="1"/>
  <c r="G18" i="33" l="1"/>
  <c r="C42" i="33"/>
  <c r="R35" i="13"/>
  <c r="B36" i="18"/>
  <c r="G36" i="18" s="1"/>
  <c r="J36" i="18" s="1"/>
  <c r="B13" i="18"/>
  <c r="G13" i="18" s="1"/>
  <c r="J13" i="18" s="1"/>
  <c r="B12" i="18"/>
  <c r="G12" i="18" s="1"/>
  <c r="J12" i="18" s="1"/>
  <c r="B11" i="18"/>
  <c r="G11" i="18" s="1"/>
  <c r="J11" i="18" s="1"/>
  <c r="B10" i="18"/>
  <c r="G10" i="18" s="1"/>
  <c r="J10" i="18" s="1"/>
  <c r="B8" i="18"/>
  <c r="G8" i="18" s="1"/>
  <c r="J8" i="18" s="1"/>
  <c r="B58" i="18"/>
  <c r="G58" i="18" s="1"/>
  <c r="J58" i="18" s="1"/>
  <c r="C81" i="18"/>
  <c r="H81" i="18" s="1"/>
  <c r="J35" i="13"/>
  <c r="C35" i="18"/>
  <c r="H35" i="18" s="1"/>
  <c r="W35" i="13"/>
  <c r="X35" i="13" s="1"/>
  <c r="L81" i="13"/>
  <c r="D88" i="33" s="1"/>
  <c r="F88" i="33" s="1"/>
  <c r="G88" i="33" s="1"/>
  <c r="L35" i="13"/>
  <c r="D42" i="33" s="1"/>
  <c r="F42" i="33" s="1"/>
  <c r="G42" i="33" s="1"/>
  <c r="J81" i="13"/>
  <c r="B35" i="18" l="1"/>
  <c r="G35" i="18" s="1"/>
  <c r="J35" i="18" s="1"/>
  <c r="B81" i="18"/>
  <c r="G81" i="18" s="1"/>
  <c r="J81" i="18" s="1"/>
  <c r="A1" i="22"/>
  <c r="A1" i="27"/>
  <c r="A1" i="21"/>
  <c r="A1" i="9"/>
  <c r="M67" i="13" l="1"/>
  <c r="L67" i="13" s="1"/>
  <c r="D74" i="33" s="1"/>
  <c r="F74" i="33" s="1"/>
  <c r="G74" i="33" s="1"/>
  <c r="M66" i="13"/>
  <c r="L66" i="13" s="1"/>
  <c r="D73" i="33" s="1"/>
  <c r="F73" i="33" s="1"/>
  <c r="G73" i="33" s="1"/>
  <c r="M65" i="13"/>
  <c r="L65" i="13" s="1"/>
  <c r="D72" i="33" s="1"/>
  <c r="F72" i="33" s="1"/>
  <c r="G72" i="33" s="1"/>
  <c r="M64" i="13"/>
  <c r="L64" i="13" s="1"/>
  <c r="D71" i="33" s="1"/>
  <c r="F71" i="33" s="1"/>
  <c r="G71" i="33" s="1"/>
  <c r="M63" i="13"/>
  <c r="L63" i="13" s="1"/>
  <c r="D70" i="33" s="1"/>
  <c r="F70" i="33" s="1"/>
  <c r="G70" i="33" s="1"/>
  <c r="M62" i="13"/>
  <c r="L62" i="13" s="1"/>
  <c r="D69" i="33" s="1"/>
  <c r="F69" i="33" s="1"/>
  <c r="G69" i="33" s="1"/>
  <c r="M61" i="13"/>
  <c r="L61" i="13" s="1"/>
  <c r="D68" i="33" s="1"/>
  <c r="F68" i="33" s="1"/>
  <c r="G68" i="33" s="1"/>
  <c r="M60" i="13"/>
  <c r="L60" i="13" s="1"/>
  <c r="D67" i="33" s="1"/>
  <c r="F67" i="33" s="1"/>
  <c r="G67" i="33" s="1"/>
  <c r="M44" i="13"/>
  <c r="L44" i="13" s="1"/>
  <c r="M43" i="13"/>
  <c r="L43" i="13" s="1"/>
  <c r="M42" i="13"/>
  <c r="L42" i="13" s="1"/>
  <c r="M41" i="13"/>
  <c r="L41" i="13" s="1"/>
  <c r="M40" i="13"/>
  <c r="L40" i="13" s="1"/>
  <c r="M39" i="13"/>
  <c r="L39" i="13" s="1"/>
  <c r="M38" i="13"/>
  <c r="L38" i="13" s="1"/>
  <c r="M37" i="13"/>
  <c r="L37" i="13" s="1"/>
  <c r="D44" i="33" s="1"/>
  <c r="F44" i="33" s="1"/>
  <c r="G44" i="33" s="1"/>
  <c r="M5" i="13"/>
  <c r="L5" i="13" s="1"/>
  <c r="D12" i="33" s="1"/>
  <c r="F12" i="33" s="1"/>
  <c r="G12" i="33" s="1"/>
  <c r="M4" i="13"/>
  <c r="L4" i="13" s="1"/>
  <c r="D11" i="33" s="1"/>
  <c r="F11" i="33" s="1"/>
  <c r="G11" i="33" s="1"/>
  <c r="K38" i="13"/>
  <c r="C45" i="33" l="1"/>
  <c r="D45" i="33"/>
  <c r="F45" i="33" s="1"/>
  <c r="G45" i="33" s="1"/>
  <c r="B4" i="18"/>
  <c r="G4" i="18" s="1"/>
  <c r="J4" i="18" s="1"/>
  <c r="B5" i="18"/>
  <c r="G5" i="18" s="1"/>
  <c r="J5" i="18" s="1"/>
  <c r="B37" i="18"/>
  <c r="G37" i="18" s="1"/>
  <c r="J37" i="18" s="1"/>
  <c r="B38" i="18"/>
  <c r="G38" i="18" s="1"/>
  <c r="J38" i="18" s="1"/>
  <c r="B39" i="18"/>
  <c r="G39" i="18" s="1"/>
  <c r="J39" i="18" s="1"/>
  <c r="B40" i="18"/>
  <c r="G40" i="18" s="1"/>
  <c r="J40" i="18" s="1"/>
  <c r="B41" i="18"/>
  <c r="G41" i="18" s="1"/>
  <c r="J41" i="18" s="1"/>
  <c r="B42" i="18"/>
  <c r="G42" i="18" s="1"/>
  <c r="J42" i="18" s="1"/>
  <c r="B43" i="18"/>
  <c r="G43" i="18" s="1"/>
  <c r="J43" i="18" s="1"/>
  <c r="B44" i="18"/>
  <c r="G44" i="18" s="1"/>
  <c r="J44" i="18" s="1"/>
  <c r="B60" i="18"/>
  <c r="G60" i="18" s="1"/>
  <c r="J60" i="18" s="1"/>
  <c r="B61" i="18"/>
  <c r="G61" i="18" s="1"/>
  <c r="J61" i="18" s="1"/>
  <c r="B62" i="18"/>
  <c r="G62" i="18" s="1"/>
  <c r="J62" i="18" s="1"/>
  <c r="B63" i="18"/>
  <c r="G63" i="18" s="1"/>
  <c r="J63" i="18" s="1"/>
  <c r="B64" i="18"/>
  <c r="G64" i="18" s="1"/>
  <c r="J64" i="18" s="1"/>
  <c r="B65" i="18"/>
  <c r="G65" i="18" s="1"/>
  <c r="J65" i="18" s="1"/>
  <c r="B66" i="18"/>
  <c r="G66" i="18" s="1"/>
  <c r="J66" i="18" s="1"/>
  <c r="B67" i="18"/>
  <c r="G67" i="18" s="1"/>
  <c r="J67" i="18" s="1"/>
  <c r="K39" i="13"/>
  <c r="L14" i="13"/>
  <c r="D21" i="33" s="1"/>
  <c r="F21" i="33" s="1"/>
  <c r="G21" i="33" s="1"/>
  <c r="C46" i="33" l="1"/>
  <c r="D46" i="33"/>
  <c r="F46" i="33" s="1"/>
  <c r="G46" i="33" s="1"/>
  <c r="B14" i="18"/>
  <c r="G14" i="18" s="1"/>
  <c r="J14" i="18" s="1"/>
  <c r="K40" i="13"/>
  <c r="L15" i="13"/>
  <c r="D22" i="33" s="1"/>
  <c r="F22" i="33" s="1"/>
  <c r="G22" i="33" s="1"/>
  <c r="N3" i="20"/>
  <c r="J4" i="13"/>
  <c r="J5" i="13"/>
  <c r="J6" i="13"/>
  <c r="J7" i="13"/>
  <c r="J8" i="13"/>
  <c r="L9" i="13"/>
  <c r="D16" i="33" s="1"/>
  <c r="F16" i="33" s="1"/>
  <c r="G16" i="33" s="1"/>
  <c r="C47" i="33" l="1"/>
  <c r="D47" i="33"/>
  <c r="F47" i="33" s="1"/>
  <c r="G47" i="33" s="1"/>
  <c r="B9" i="18"/>
  <c r="G9" i="18" s="1"/>
  <c r="J9" i="18" s="1"/>
  <c r="B15" i="18"/>
  <c r="G15" i="18" s="1"/>
  <c r="J15" i="18" s="1"/>
  <c r="K41" i="13"/>
  <c r="J3" i="13"/>
  <c r="L3" i="13"/>
  <c r="D10" i="33" s="1"/>
  <c r="F10" i="33" s="1"/>
  <c r="J9" i="13"/>
  <c r="G10" i="33" l="1"/>
  <c r="C48" i="33"/>
  <c r="D48" i="33"/>
  <c r="F48" i="33" s="1"/>
  <c r="G48" i="33" s="1"/>
  <c r="B3" i="18"/>
  <c r="G3" i="18" s="1"/>
  <c r="J3" i="18" s="1"/>
  <c r="K42" i="13"/>
  <c r="C49" i="33" l="1"/>
  <c r="D49" i="33"/>
  <c r="F49" i="33" s="1"/>
  <c r="K43" i="13"/>
  <c r="C50" i="33" l="1"/>
  <c r="D50" i="33"/>
  <c r="F50" i="33" s="1"/>
  <c r="G50" i="33" s="1"/>
  <c r="G49" i="33"/>
  <c r="K44" i="13"/>
  <c r="C51" i="33" l="1"/>
  <c r="D51" i="33"/>
  <c r="F51" i="33" s="1"/>
  <c r="K45" i="13"/>
  <c r="C52" i="33" l="1"/>
  <c r="D52" i="33"/>
  <c r="F52" i="33" s="1"/>
  <c r="G52" i="33" s="1"/>
  <c r="G51" i="33"/>
  <c r="K46" i="13"/>
  <c r="C53" i="33" l="1"/>
  <c r="D53" i="33"/>
  <c r="F53" i="33" s="1"/>
  <c r="K47" i="13"/>
  <c r="C54" i="33" l="1"/>
  <c r="D54" i="33"/>
  <c r="F54" i="33" s="1"/>
  <c r="G53" i="33"/>
  <c r="K48" i="13"/>
  <c r="G54" i="33" l="1"/>
  <c r="C55" i="33"/>
  <c r="D55" i="33"/>
  <c r="F55" i="33" s="1"/>
  <c r="K49" i="13"/>
  <c r="C56" i="33" l="1"/>
  <c r="D56" i="33"/>
  <c r="F56" i="33" s="1"/>
  <c r="G56" i="33" s="1"/>
  <c r="G55" i="33"/>
  <c r="K50" i="13"/>
  <c r="C57" i="33" l="1"/>
  <c r="D57" i="33"/>
  <c r="F57" i="33" s="1"/>
  <c r="G57" i="33" s="1"/>
  <c r="K51" i="13"/>
  <c r="C58" i="33" l="1"/>
  <c r="D58" i="33"/>
  <c r="F58" i="33" s="1"/>
  <c r="G58" i="33" s="1"/>
  <c r="K52" i="13"/>
  <c r="C59" i="33" l="1"/>
  <c r="D59" i="33"/>
  <c r="F59" i="33" s="1"/>
  <c r="G59" i="33" s="1"/>
  <c r="K53" i="13"/>
  <c r="C60" i="33" l="1"/>
  <c r="D60" i="33"/>
  <c r="F60" i="33" s="1"/>
  <c r="K54" i="13"/>
  <c r="G60" i="33" l="1"/>
  <c r="C61" i="33"/>
  <c r="D61" i="33"/>
  <c r="F61" i="33" s="1"/>
  <c r="G61" i="33" s="1"/>
  <c r="K55" i="13"/>
  <c r="C62" i="33" l="1"/>
  <c r="D62" i="33"/>
  <c r="F62" i="33" s="1"/>
  <c r="K56" i="13"/>
  <c r="I82" i="13" s="1"/>
  <c r="G62" i="33" l="1"/>
  <c r="C63" i="33"/>
  <c r="D63" i="33"/>
  <c r="F63" i="33" s="1"/>
  <c r="B23" i="9"/>
  <c r="H80" i="13"/>
  <c r="O80" i="13" s="1"/>
  <c r="H3" i="13"/>
  <c r="O3" i="13" s="1"/>
  <c r="H19" i="13"/>
  <c r="O19" i="13" s="1"/>
  <c r="H55" i="13"/>
  <c r="O55" i="13" s="1"/>
  <c r="H76" i="13"/>
  <c r="O76" i="13" s="1"/>
  <c r="H65" i="13"/>
  <c r="O65" i="13" s="1"/>
  <c r="H30" i="13"/>
  <c r="O30" i="13" s="1"/>
  <c r="H7" i="13"/>
  <c r="O7" i="13" s="1"/>
  <c r="H51" i="13"/>
  <c r="O51" i="13" s="1"/>
  <c r="H62" i="13"/>
  <c r="O62" i="13" s="1"/>
  <c r="H52" i="13"/>
  <c r="O52" i="13" s="1"/>
  <c r="H74" i="13"/>
  <c r="O74" i="13" s="1"/>
  <c r="H9" i="13"/>
  <c r="O9" i="13" s="1"/>
  <c r="H38" i="13"/>
  <c r="O38" i="13" s="1"/>
  <c r="H27" i="13"/>
  <c r="O27" i="13" s="1"/>
  <c r="H60" i="13"/>
  <c r="O60" i="13" s="1"/>
  <c r="H49" i="13"/>
  <c r="O49" i="13" s="1"/>
  <c r="H50" i="13"/>
  <c r="O50" i="13" s="1"/>
  <c r="H73" i="13"/>
  <c r="O73" i="13" s="1"/>
  <c r="H56" i="13"/>
  <c r="O56" i="13" s="1"/>
  <c r="H47" i="13"/>
  <c r="O47" i="13" s="1"/>
  <c r="H48" i="13"/>
  <c r="O48" i="13" s="1"/>
  <c r="H46" i="13"/>
  <c r="O46" i="13" s="1"/>
  <c r="H24" i="13"/>
  <c r="O24" i="13" s="1"/>
  <c r="H6" i="13"/>
  <c r="O6" i="13" s="1"/>
  <c r="H70" i="13"/>
  <c r="O70" i="13" s="1"/>
  <c r="H22" i="13"/>
  <c r="O22" i="13" s="1"/>
  <c r="H61" i="13"/>
  <c r="O61" i="13" s="1"/>
  <c r="H69" i="13"/>
  <c r="O69" i="13" s="1"/>
  <c r="H44" i="13"/>
  <c r="O44" i="13" s="1"/>
  <c r="H5" i="13"/>
  <c r="O5" i="13" s="1"/>
  <c r="H36" i="13"/>
  <c r="O36" i="13" s="1"/>
  <c r="H13" i="13"/>
  <c r="H21" i="13"/>
  <c r="O21" i="13" s="1"/>
  <c r="H20" i="13"/>
  <c r="O20" i="13" s="1"/>
  <c r="H31" i="13"/>
  <c r="O31" i="13" s="1"/>
  <c r="H32" i="13"/>
  <c r="O32" i="13" s="1"/>
  <c r="H78" i="13"/>
  <c r="O78" i="13" s="1"/>
  <c r="H29" i="13"/>
  <c r="O29" i="13" s="1"/>
  <c r="H41" i="13"/>
  <c r="O41" i="13" s="1"/>
  <c r="H75" i="13"/>
  <c r="O75" i="13" s="1"/>
  <c r="H28" i="13"/>
  <c r="H16" i="13"/>
  <c r="O16" i="13" s="1"/>
  <c r="H8" i="13"/>
  <c r="O8" i="13" s="1"/>
  <c r="H26" i="13"/>
  <c r="H39" i="13"/>
  <c r="O39" i="13" s="1"/>
  <c r="H59" i="13"/>
  <c r="O59" i="13" s="1"/>
  <c r="H14" i="13"/>
  <c r="H45" i="13"/>
  <c r="O45" i="13" s="1"/>
  <c r="H4" i="13"/>
  <c r="O4" i="13" s="1"/>
  <c r="H57" i="13"/>
  <c r="O57" i="13" s="1"/>
  <c r="H11" i="13"/>
  <c r="O11" i="13" s="1"/>
  <c r="H79" i="13"/>
  <c r="O79" i="13" s="1"/>
  <c r="H42" i="13"/>
  <c r="O42" i="13" s="1"/>
  <c r="H54" i="13"/>
  <c r="O54" i="13" s="1"/>
  <c r="H53" i="13"/>
  <c r="O53" i="13" s="1"/>
  <c r="H17" i="13"/>
  <c r="O17" i="13" s="1"/>
  <c r="H64" i="13"/>
  <c r="O64" i="13" s="1"/>
  <c r="H40" i="13"/>
  <c r="O40" i="13" s="1"/>
  <c r="H72" i="13"/>
  <c r="O72" i="13" s="1"/>
  <c r="H25" i="13"/>
  <c r="O25" i="13" s="1"/>
  <c r="H63" i="13"/>
  <c r="O63" i="13" s="1"/>
  <c r="H15" i="13"/>
  <c r="O15" i="13" s="1"/>
  <c r="H71" i="13"/>
  <c r="O71" i="13" s="1"/>
  <c r="H66" i="13"/>
  <c r="O66" i="13" s="1"/>
  <c r="H10" i="13"/>
  <c r="H33" i="13"/>
  <c r="O33" i="13" s="1"/>
  <c r="H23" i="13"/>
  <c r="O23" i="13" s="1"/>
  <c r="H68" i="13"/>
  <c r="O68" i="13" s="1"/>
  <c r="H37" i="13"/>
  <c r="O37" i="13" s="1"/>
  <c r="H12" i="13"/>
  <c r="H67" i="13"/>
  <c r="O67" i="13" s="1"/>
  <c r="H43" i="13"/>
  <c r="O43" i="13" s="1"/>
  <c r="H34" i="13"/>
  <c r="O34" i="13" s="1"/>
  <c r="H18" i="13"/>
  <c r="O18" i="13" s="1"/>
  <c r="H77" i="13"/>
  <c r="O77" i="13" s="1"/>
  <c r="F90" i="33" l="1"/>
  <c r="F89" i="33"/>
  <c r="T44" i="13"/>
  <c r="O10" i="13"/>
  <c r="O13" i="13"/>
  <c r="T49" i="13"/>
  <c r="O12" i="13"/>
  <c r="T43" i="13"/>
  <c r="O14" i="13"/>
  <c r="T50" i="13"/>
  <c r="O26" i="13"/>
  <c r="T52" i="13"/>
  <c r="G63" i="33"/>
  <c r="T51" i="13"/>
  <c r="O28" i="13"/>
  <c r="T47" i="13"/>
  <c r="T42" i="13"/>
  <c r="T46" i="13"/>
  <c r="T48" i="13"/>
  <c r="T45" i="13"/>
  <c r="T41" i="13"/>
  <c r="H82" i="13"/>
  <c r="O82" i="13" s="1"/>
  <c r="C11" i="9"/>
  <c r="G11" i="9" s="1"/>
  <c r="G15" i="9"/>
  <c r="C13" i="9"/>
  <c r="G13" i="9" s="1"/>
  <c r="G17" i="9" s="1"/>
  <c r="B3" i="9" s="1"/>
  <c r="B92" i="33" l="1"/>
  <c r="D101" i="33"/>
  <c r="E101" i="33" s="1"/>
  <c r="B93" i="33"/>
  <c r="G16" i="9"/>
  <c r="A3" i="9" s="1"/>
  <c r="C3" i="9" s="1"/>
  <c r="F101" i="33" l="1" a="1"/>
  <c r="F101" i="33" s="1"/>
  <c r="G101" i="33" a="1"/>
  <c r="G101" i="33" s="1"/>
  <c r="D102" i="33"/>
  <c r="E102" i="33" s="1"/>
  <c r="F102" i="33" s="1"/>
  <c r="G102" i="33"/>
  <c r="D103" i="33"/>
  <c r="E103" i="33" s="1"/>
  <c r="F103" i="33" s="1"/>
  <c r="G103" i="33"/>
  <c r="H103" i="33" s="1"/>
  <c r="J103" i="33" s="1"/>
  <c r="D104" i="33"/>
  <c r="E104" i="33" s="1"/>
  <c r="F104" i="33" s="1"/>
  <c r="G104" i="33"/>
  <c r="D105" i="33"/>
  <c r="E105" i="33" s="1"/>
  <c r="F105" i="33" s="1"/>
  <c r="G105" i="33"/>
  <c r="D106" i="33"/>
  <c r="E106" i="33" s="1"/>
  <c r="F106" i="33" s="1"/>
  <c r="G106" i="33"/>
  <c r="D107" i="33"/>
  <c r="E107" i="33" s="1"/>
  <c r="F107" i="33" s="1"/>
  <c r="G107" i="33"/>
  <c r="D108" i="33"/>
  <c r="E108" i="33" s="1"/>
  <c r="F108" i="33" s="1"/>
  <c r="G108" i="33"/>
  <c r="D109" i="33"/>
  <c r="E109" i="33" s="1"/>
  <c r="F109" i="33" s="1"/>
  <c r="G109" i="33"/>
  <c r="D110" i="33"/>
  <c r="E110" i="33" s="1"/>
  <c r="F110" i="33" s="1"/>
  <c r="G110" i="33"/>
  <c r="D111" i="33"/>
  <c r="E111" i="33" s="1"/>
  <c r="F111" i="33" s="1"/>
  <c r="G111" i="33"/>
  <c r="D112" i="33"/>
  <c r="E112" i="33" s="1"/>
  <c r="F112" i="33" s="1"/>
  <c r="G112" i="33"/>
  <c r="D113" i="33"/>
  <c r="E113" i="33" s="1"/>
  <c r="F113" i="33" s="1"/>
  <c r="G113" i="33"/>
  <c r="D114" i="33"/>
  <c r="E114" i="33" s="1"/>
  <c r="F114" i="33" s="1"/>
  <c r="G114" i="33"/>
  <c r="D115" i="33"/>
  <c r="E115" i="33" s="1"/>
  <c r="F115" i="33" s="1"/>
  <c r="G115" i="33"/>
  <c r="D116" i="33"/>
  <c r="E116" i="33" s="1"/>
  <c r="F116" i="33" s="1"/>
  <c r="G116" i="33"/>
  <c r="N101" i="33"/>
  <c r="N111" i="33"/>
  <c r="M101" i="33"/>
  <c r="D3" i="33"/>
  <c r="D4" i="33" s="1"/>
  <c r="N109" i="33"/>
  <c r="N102" i="33"/>
  <c r="N114" i="33"/>
  <c r="N104" i="33"/>
  <c r="N113" i="33"/>
  <c r="M115" i="33"/>
  <c r="M113" i="33"/>
  <c r="N106" i="33"/>
  <c r="M105" i="33"/>
  <c r="N115" i="33"/>
  <c r="N108" i="33"/>
  <c r="N116" i="33"/>
  <c r="N110" i="33"/>
  <c r="N103" i="33"/>
  <c r="M102" i="33"/>
  <c r="M108" i="33"/>
  <c r="M112" i="33"/>
  <c r="M107" i="33"/>
  <c r="N107" i="33"/>
  <c r="N105" i="33"/>
  <c r="M110" i="33"/>
  <c r="M114" i="33"/>
  <c r="N112" i="33"/>
  <c r="M103" i="33"/>
  <c r="M106" i="33"/>
  <c r="M116" i="33"/>
  <c r="M109" i="33"/>
  <c r="G18" i="9"/>
  <c r="H116" i="33" l="1"/>
  <c r="J116" i="33" s="1"/>
  <c r="H115" i="33"/>
  <c r="J115" i="33" s="1"/>
  <c r="H114" i="33"/>
  <c r="J114" i="33" s="1"/>
  <c r="H113" i="33"/>
  <c r="J113" i="33" s="1"/>
  <c r="H112" i="33"/>
  <c r="J112" i="33" s="1"/>
  <c r="H111" i="33"/>
  <c r="J111" i="33" s="1"/>
  <c r="H110" i="33"/>
  <c r="J110" i="33" s="1"/>
  <c r="H109" i="33"/>
  <c r="J109" i="33" s="1"/>
  <c r="H108" i="33"/>
  <c r="J108" i="33" s="1"/>
  <c r="H107" i="33"/>
  <c r="J107" i="33" s="1"/>
  <c r="H106" i="33"/>
  <c r="J106" i="33" s="1"/>
  <c r="H105" i="33"/>
  <c r="J105" i="33" s="1"/>
  <c r="H104" i="33"/>
  <c r="J104" i="33" s="1"/>
  <c r="H102" i="33"/>
  <c r="J102" i="33" s="1"/>
  <c r="H101" i="33"/>
  <c r="J101" i="33" s="1"/>
  <c r="O111" i="33"/>
  <c r="O104" i="33"/>
  <c r="O113" i="33"/>
  <c r="O102" i="33"/>
  <c r="O116" i="33"/>
  <c r="O115" i="33"/>
  <c r="O110" i="33"/>
  <c r="O114" i="33"/>
  <c r="O101" i="33"/>
  <c r="O108" i="33"/>
  <c r="O109" i="33"/>
  <c r="O112" i="33"/>
  <c r="O106" i="33"/>
  <c r="O107" i="33"/>
  <c r="M104" i="33"/>
  <c r="O103" i="33"/>
  <c r="M111" i="33"/>
  <c r="O105" i="33"/>
  <c r="H4"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<sst xmlns="http://schemas.openxmlformats.org/spreadsheetml/2006/main" count="2131" uniqueCount="932">
  <si>
    <t>Data Sources</t>
  </si>
  <si>
    <t>Dataset</t>
  </si>
  <si>
    <t>Dodge 2023</t>
  </si>
  <si>
    <t xml:space="preserve"> </t>
  </si>
  <si>
    <t>Commercial End-Use Survey (CEUS) 2022</t>
  </si>
  <si>
    <t>https://www.energy.ca.gov/publications/2023/2022-california-commercial-end-use-survey-ceus-final-report</t>
  </si>
  <si>
    <t>Commercial Buildings Energy Consumption Survey (CBECS) 2018</t>
  </si>
  <si>
    <t>https://www.eia.gov/consumption/commercial/data/2018/</t>
  </si>
  <si>
    <t>ComStock 2023</t>
  </si>
  <si>
    <t>https://comstock.nlr.gov/page/datasets</t>
  </si>
  <si>
    <t xml:space="preserve">ACM </t>
  </si>
  <si>
    <r>
      <rPr>
        <sz val="10"/>
        <color rgb="FF000000"/>
        <rFont val="Arial"/>
        <family val="2"/>
      </rPr>
      <t>California Energy Commission</t>
    </r>
    <r>
      <rPr>
        <sz val="10"/>
        <color theme="1"/>
        <rFont val="Arial"/>
        <family val="2"/>
      </rPr>
      <t xml:space="preserve"> (CEC) Large Office prototype (CBECC 2022.3.1)</t>
    </r>
  </si>
  <si>
    <t>https://bees.noresco.com/software2022.html</t>
  </si>
  <si>
    <r>
      <rPr>
        <sz val="10"/>
        <color rgb="FF000000"/>
        <rFont val="Arial"/>
        <family val="2"/>
      </rPr>
      <t>Pacific Northwest National Laboratory</t>
    </r>
    <r>
      <rPr>
        <sz val="10"/>
        <color theme="1"/>
        <rFont val="Arial"/>
        <family val="2"/>
      </rPr>
      <t xml:space="preserve"> (PNNL) Large Office prototype (90.1-2022)</t>
    </r>
  </si>
  <si>
    <t>https://www.energycodes.gov/prototype-building-models#Commercial</t>
  </si>
  <si>
    <r>
      <rPr>
        <sz val="10"/>
        <color rgb="FF000000"/>
        <rFont val="Arial"/>
        <family val="2"/>
      </rPr>
      <t>Database for Energy Efficient Resources</t>
    </r>
    <r>
      <rPr>
        <sz val="10"/>
        <color theme="1"/>
        <rFont val="Arial"/>
        <family val="2"/>
      </rPr>
      <t xml:space="preserve"> (DEER) Large prototype (June 2023)</t>
    </r>
  </si>
  <si>
    <t>https://github.com/sound-data/DEER-Prototypes-EnergyPlus</t>
  </si>
  <si>
    <r>
      <rPr>
        <sz val="10"/>
        <color rgb="FF000000"/>
        <rFont val="Arial"/>
        <family val="2"/>
      </rPr>
      <t>Oak Ridge National Laboratory</t>
    </r>
    <r>
      <rPr>
        <sz val="10"/>
        <color theme="1"/>
        <rFont val="Arial"/>
        <family val="2"/>
      </rPr>
      <t xml:space="preserve"> (ORNL) 2019 Large Office prototype zoning</t>
    </r>
  </si>
  <si>
    <t>https://www.sciencedirect.com/science/article/abs/pii/S0306261920312186</t>
  </si>
  <si>
    <t>https://publications.ibpsa.org/proceedings/simbuild/2020/papers/simbuild2020_C064.pdf</t>
  </si>
  <si>
    <t>Massachusetts Large Office prototype</t>
  </si>
  <si>
    <t>https://www.mass.gov/doc/large-office-prototype-basis-of-design-report/download</t>
  </si>
  <si>
    <t>Codes</t>
  </si>
  <si>
    <t>Title 24, part 6, referred to as T24 (1984, 2001, 2008, 2010, 2013, 2022, 2025)</t>
  </si>
  <si>
    <t>https://www.energy.ca.gov/publications/2025/2025-building-energy-efficiency-standards-residential-and-nonresidential</t>
  </si>
  <si>
    <t>https://codes.iccsafe.org/codes/united-states/california</t>
  </si>
  <si>
    <t>2010+</t>
  </si>
  <si>
    <r>
      <rPr>
        <sz val="10"/>
        <color rgb="FF000000"/>
        <rFont val="Arial"/>
        <family val="2"/>
      </rPr>
      <t xml:space="preserve">American Society of Heating, Refrigerating and Air-Conditioning Engineers </t>
    </r>
    <r>
      <rPr>
        <sz val="10"/>
        <color theme="1"/>
        <rFont val="Arial"/>
        <family val="2"/>
      </rPr>
      <t>(ASHRAE) 90.1 (2022)</t>
    </r>
  </si>
  <si>
    <t>https://www.ashrae.org/technical-resources/standards-and-guidelines/read-only-versions-of-ashrae-standards</t>
  </si>
  <si>
    <r>
      <rPr>
        <sz val="10"/>
        <color rgb="FF000000"/>
        <rFont val="Arial"/>
        <family val="2"/>
      </rPr>
      <t>Code of Federal Regulations</t>
    </r>
    <r>
      <rPr>
        <sz val="10"/>
        <color theme="1"/>
        <rFont val="Arial"/>
        <family val="2"/>
      </rPr>
      <t xml:space="preserve"> (CFR)  Title 10 (2010)</t>
    </r>
  </si>
  <si>
    <t xml:space="preserve">https://www.govinfo.gov/content/pkg/FR-2009-03-23/pdf/FR-2009-03-23.pdf </t>
  </si>
  <si>
    <t>CFR Title 10 (2024)</t>
  </si>
  <si>
    <t>https://www.govinfo.gov/content/pkg/CFR-2024-title10-vol3/pdf/CFR-2024-title10-vol3-part431-subpartF.pdf</t>
  </si>
  <si>
    <t>Title 20</t>
  </si>
  <si>
    <t>https://govt.westlaw.com/calregs/Document/I270DCA634B4011EFA8F7F119BAF97AD6?viewType=FullText&amp;originationContext=documenttoc&amp;transitionType=CategoryPageItem&amp;contextData=(sc.Default)</t>
  </si>
  <si>
    <t>Others</t>
  </si>
  <si>
    <t>Alternative Calculation Method (ACM) (2022)</t>
  </si>
  <si>
    <t>https://www.energy.ca.gov/publications/2022/2022-nonresidential-and-multifamily-alternative-calculation-method-reference</t>
  </si>
  <si>
    <t>ACM (2025)</t>
  </si>
  <si>
    <t>https://www.energy.ca.gov/publications/2025/2025-nonresidential-and-multifamily-alternative-calculation-method-reference</t>
  </si>
  <si>
    <t>Nonres ACM 2022, Appendix 5.4A and Appendix 5.4B</t>
  </si>
  <si>
    <r>
      <t>2022 Reduced infiltration</t>
    </r>
    <r>
      <rPr>
        <sz val="10"/>
        <color rgb="FF000000"/>
        <rFont val="Arial"/>
        <family val="2"/>
      </rPr>
      <t xml:space="preserve"> Codes and Standards Enhancemen</t>
    </r>
    <r>
      <rPr>
        <sz val="10"/>
        <color theme="1"/>
        <rFont val="Arial"/>
        <family val="2"/>
      </rPr>
      <t xml:space="preserve">t (CASE)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</si>
  <si>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</si>
  <si>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</si>
  <si>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</si>
  <si>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</si>
  <si>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</si>
  <si>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</si>
  <si>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</si>
  <si>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</si>
  <si>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</si>
  <si>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</si>
  <si>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</si>
  <si>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Yousefi, F., Athalye, R. (2026). "Developing a New Set of Prototypical Models for Office Buildings in California," IBPSA-USA Conference</t>
  </si>
  <si>
    <t>https://publications.ibpsa.org/conference/paper/?id=simbuild2026_1372</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</si>
  <si>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</si>
  <si>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</si>
  <si>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</si>
  <si>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</si>
  <si>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</si>
  <si>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</si>
  <si>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</si>
  <si>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Total Floor area (thousands of sf)</t>
  </si>
  <si>
    <t xml:space="preserve"> Pre-1978</t>
  </si>
  <si>
    <t>1978-1997</t>
  </si>
  <si>
    <t>1998-2007</t>
  </si>
  <si>
    <t>2008-2018</t>
  </si>
  <si>
    <t>2019-2022</t>
  </si>
  <si>
    <t>New Construction (2019+)</t>
  </si>
  <si>
    <t xml:space="preserve">Source: Dodge Construction Data, 2023 ( NEW large office built after 1967) (STC refers to building types in Dodge terminology). </t>
  </si>
  <si>
    <t>Notes</t>
  </si>
  <si>
    <t xml:space="preserve">OfficeLarge Prototype </t>
  </si>
  <si>
    <t>Information about the geometry and underlying logic of the office prototypes can be found in this paper: Yousefi, F., Athalye, R. (2026). ‘Developing a New Set of Prototypical Models for Office Buildings in California.’ IBPSA-USA Conference.
The link is provided above in the Data Source section. The floor area was slightly modified in some spaces during the geometry‑drawing phase.
Footprint (floor area of each story): Supported by Dodge 2023 data and consistent with the existing Large Office prototypes
Zone configuration and floor plan layout: Based on the ORNL 2019 project, with modifications informed by engineering and architectural judgment (see the "Zones" tab for more details)</t>
  </si>
  <si>
    <t xml:space="preserve"> Large office building is defined as any office building with a total area &gt;150,000 sf, by analyzing Dodge 2023 data.</t>
  </si>
  <si>
    <t>Large office buildings cover approximately 52% of the floor area and 7% of the total number of the CA office buildings (according to the Dodge 2023 datasets).</t>
  </si>
  <si>
    <t>Only  2% of offices in CA have stories &gt;6 and area &lt;150,000. (according to the Dodge 2023 datasets)</t>
  </si>
  <si>
    <r>
      <t>Analysis of the Dodge 2023 dataset (see table and chart below) shows that the median and average number of stories and total floor area (</t>
    </r>
    <r>
      <rPr>
        <u/>
        <sz val="10"/>
        <color theme="1"/>
        <rFont val="Arial"/>
        <family val="2"/>
      </rPr>
      <t>not footprint of each story</t>
    </r>
    <r>
      <rPr>
        <sz val="10"/>
        <color theme="1"/>
        <rFont val="Arial"/>
        <family val="2"/>
      </rPr>
      <t>) are considerably smaller than those represented in the existing prototypes developed by PNNL and CBECC. This suggests that a smaller prototype might better reflect the California building stock. However, we have chosen to continue using the existing prototype floor area and number of stories for the following reasons:
'- Developing a smaller prototype would make the CEC prototype different from national Large Office prototype.
'- Change would likely have little impact on energy consumption on a per sf basis (kBTU/sf), nor would it result in different HVAC system design .</t>
    </r>
  </si>
  <si>
    <t>Statical Analysis of the CA Large Office Building Stock (STC:7,305,405 &amp; floor area&gt;150 ksf)</t>
  </si>
  <si>
    <t>No. of Stories</t>
  </si>
  <si>
    <t xml:space="preserve">Footprint (sf) </t>
  </si>
  <si>
    <t>Total Area (sf)</t>
  </si>
  <si>
    <t>Median</t>
  </si>
  <si>
    <t>Average</t>
  </si>
  <si>
    <t>Source: Dodge 2023 data ( NEW large office buildings built after 1967)</t>
  </si>
  <si>
    <t>Existing Large Office Prototype</t>
  </si>
  <si>
    <t>Footprint* (sf)</t>
  </si>
  <si>
    <t>CBECC (CEC) 2022</t>
  </si>
  <si>
    <t>PNNL ASHRAE 90.1 2022</t>
  </si>
  <si>
    <t>DEER (CPUC) 2024</t>
  </si>
  <si>
    <t>NORESCO, Updated September 2026</t>
  </si>
  <si>
    <t>OfficeLarge</t>
  </si>
  <si>
    <t>Characteristic</t>
  </si>
  <si>
    <t>Value</t>
  </si>
  <si>
    <t>Building Type</t>
  </si>
  <si>
    <t>Large Office</t>
  </si>
  <si>
    <t>Building Category</t>
  </si>
  <si>
    <t>Nonresidential</t>
  </si>
  <si>
    <t>Version</t>
  </si>
  <si>
    <t>v2-0</t>
  </si>
  <si>
    <t>Vintages</t>
  </si>
  <si>
    <t>4 Vintages: Pre-1978 , 1978-1997 ,1998-2007 , 2008-2018
New Construction (2019+)</t>
  </si>
  <si>
    <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</si>
  <si>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</si>
  <si>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r>
      <t xml:space="preserve">Assume number of floors based on the existing Large Office prototypes (PNNL, CEC)
Assume rectangular shape; supported by CBECS, CEC, and PNNL
</t>
    </r>
    <r>
      <rPr>
        <sz val="10"/>
        <color rgb="FF000000"/>
        <rFont val="Arial"/>
        <family val="2"/>
      </rPr>
      <t>The logic behind the geometry of the CalBEM Office prototypes' shell is described in the following paper, with a link provided in the Notes tab:
Yousefi, F., &amp; Athalye, R. (2026). "Developing a New Set of Prototypical Models for Office Buildings in California", IBPSA-USA Conference.</t>
    </r>
  </si>
  <si>
    <t>Total Floor Area (ft2)</t>
  </si>
  <si>
    <t>498,589 (240 ft *160 ft)</t>
  </si>
  <si>
    <t>Supported by Dodge 2023 data (Same as CEC and PNNL)</t>
  </si>
  <si>
    <t>Aspect Ratio</t>
  </si>
  <si>
    <t>Assumption; same as CEC and PNNL Large Office prototype</t>
  </si>
  <si>
    <t>Number of Floors</t>
  </si>
  <si>
    <t>12 Floor + basement</t>
  </si>
  <si>
    <t>Number of floors: based on the existing Large Office prototypes (PNNL,CEC)</t>
  </si>
  <si>
    <t>Roof type</t>
  </si>
  <si>
    <t xml:space="preserve">Flat </t>
  </si>
  <si>
    <t>Supported by CBECS 2018 data  (Same as CEC and PNNL)</t>
  </si>
  <si>
    <t>WWR</t>
  </si>
  <si>
    <t>40% of the above grade wall</t>
  </si>
  <si>
    <t>Window dimensions</t>
  </si>
  <si>
    <t>Even distribution</t>
  </si>
  <si>
    <t>Shading Geometry</t>
  </si>
  <si>
    <t>None</t>
  </si>
  <si>
    <t>Floor to floor height (feet)</t>
  </si>
  <si>
    <t>Assumption, standard ceiling height in office buildings; same as CEC and PNNL Large Office prototype.</t>
  </si>
  <si>
    <t>Floor to ceiling height (feet)</t>
  </si>
  <si>
    <t>Glazing sill height (feet)</t>
  </si>
  <si>
    <t>Building</t>
  </si>
  <si>
    <t>Space/ Thermal Zone</t>
  </si>
  <si>
    <r>
      <rPr>
        <b/>
        <sz val="10"/>
        <color rgb="FF000000"/>
        <rFont val="Arial"/>
        <family val="2"/>
      </rPr>
      <t xml:space="preserve">Space Type
</t>
    </r>
    <r>
      <rPr>
        <b/>
        <sz val="10"/>
        <color rgb="FF000000"/>
        <rFont val="Arial"/>
        <family val="2"/>
      </rPr>
      <t>[Primarily from: T24, 2022 Appendix 5.4A] - See Notes column</t>
    </r>
  </si>
  <si>
    <t>HVAC System Name
New Construction</t>
  </si>
  <si>
    <t>HVAC System Name
Vintage 1-4</t>
  </si>
  <si>
    <t>Schedule Category</t>
  </si>
  <si>
    <t>Conditioned (Y/N)</t>
  </si>
  <si>
    <t xml:space="preserve">Area Fraction </t>
  </si>
  <si>
    <t>Area (ft²)</t>
  </si>
  <si>
    <t>Volume 
(ft³)</t>
  </si>
  <si>
    <t>Multipliers</t>
  </si>
  <si>
    <t>Number of People</t>
  </si>
  <si>
    <t xml:space="preserve">People 
(Persons/1,000 ft²)
[T24, 2025,Table 120.1-A] </t>
  </si>
  <si>
    <t>Total area fraction</t>
  </si>
  <si>
    <t>Thermal Zone Layout - Each space has its own thermal zone</t>
  </si>
  <si>
    <t>Perimeter_Open_Office_N_Basement</t>
  </si>
  <si>
    <t>Office Area (&gt;250 square feet)</t>
  </si>
  <si>
    <t xml:space="preserve"> VAV With Reheat_Basement</t>
  </si>
  <si>
    <t>VAV_Basement</t>
  </si>
  <si>
    <t>Office</t>
  </si>
  <si>
    <t>Yes</t>
  </si>
  <si>
    <t>Perimeter_Open_Office_S_Basement</t>
  </si>
  <si>
    <t>Basement</t>
  </si>
  <si>
    <t>First Floor</t>
  </si>
  <si>
    <t>Middle/Top Floors</t>
  </si>
  <si>
    <t>Core_Enclosed_Office_Basement</t>
  </si>
  <si>
    <t>Server_Room_Basement</t>
  </si>
  <si>
    <t>Server Room (EPD 45)</t>
  </si>
  <si>
    <t>CRAH_ServerRoom_Basement</t>
  </si>
  <si>
    <t>CAV HW Rht</t>
  </si>
  <si>
    <t>Data</t>
  </si>
  <si>
    <t>New space type defined for this prototype.</t>
  </si>
  <si>
    <t>Mech/Elec_Basement</t>
  </si>
  <si>
    <t>Electrical, Mechanical, Telephone Rooms</t>
  </si>
  <si>
    <t>Ancillary</t>
  </si>
  <si>
    <t>Conference_Basement</t>
  </si>
  <si>
    <t>Convention, Conference, Multipurpose and Meeting Area</t>
  </si>
  <si>
    <t>BreakRoom/FoodPrep_Basement</t>
  </si>
  <si>
    <t>Lounge, Breakroom, or Waiting Area</t>
  </si>
  <si>
    <t>Storage_Basement</t>
  </si>
  <si>
    <t>Storage (General)</t>
  </si>
  <si>
    <t>Occupant  load density for storage is based on Title 24, 2025, Appendix 5.4A.</t>
  </si>
  <si>
    <t>Restroom_Basement</t>
  </si>
  <si>
    <t>Restrooms</t>
  </si>
  <si>
    <t>Lobby/Lounge_Basement</t>
  </si>
  <si>
    <t>Increased the ASHRAE 62.1 number of people (10) since this area is more of a lounge/lobby space and not main entry lobby.
Number of People: 10 according to ASHRAE 62.1 Table 6-1 for main entry lobbies
T24: 33 for main Entry lobbies &amp; 5 for reception area</t>
  </si>
  <si>
    <t>Stair/Elevator_Basement</t>
  </si>
  <si>
    <t>Stairwell</t>
  </si>
  <si>
    <t>Corridor_W_Basement</t>
  </si>
  <si>
    <t>Corridor Area</t>
  </si>
  <si>
    <t>Corridor_E_Basement</t>
  </si>
  <si>
    <t>Perimeter_Open_Office_N_FloorG</t>
  </si>
  <si>
    <t xml:space="preserve"> VAV With Reheat_FloorG</t>
  </si>
  <si>
    <t>AHU VAV_FloorG</t>
  </si>
  <si>
    <t>Perimeter_Open_Office_W_FloorG</t>
  </si>
  <si>
    <t>Perimeter_Open_Office_E_FloorG</t>
  </si>
  <si>
    <t>Perimeter_Enclosed_Office_NE_FloorG</t>
  </si>
  <si>
    <t>Perimeter_Enclosed_Office_NW_FloorG</t>
  </si>
  <si>
    <t>Core_Enclosed_Office_FloorG</t>
  </si>
  <si>
    <t>Area Distribution By Space Type</t>
  </si>
  <si>
    <t>Server_Room_FloorG</t>
  </si>
  <si>
    <t>Computer Room (EPD 20)</t>
  </si>
  <si>
    <t>CRAC DX Clg_FloorG</t>
  </si>
  <si>
    <t>PTAC DX Clg Elec Htg 1</t>
  </si>
  <si>
    <t>Space Type</t>
  </si>
  <si>
    <t>Area (ft2)​</t>
  </si>
  <si>
    <t>% of footprint</t>
  </si>
  <si>
    <t>Mech/Elec_FloorG</t>
  </si>
  <si>
    <t>Open office​</t>
  </si>
  <si>
    <t>Conference_FloorG</t>
  </si>
  <si>
    <t>Core Enclosed Office​</t>
  </si>
  <si>
    <t>BreakRoom_FloorG</t>
  </si>
  <si>
    <t>Perimeter Enclosed Office​</t>
  </si>
  <si>
    <t>_</t>
  </si>
  <si>
    <t>FoodPrep_FloorG</t>
  </si>
  <si>
    <t>Kitchen/Food Preparation Area</t>
  </si>
  <si>
    <t>Conference​</t>
  </si>
  <si>
    <t>Storage_FloorG</t>
  </si>
  <si>
    <t>Break + Food prep​</t>
  </si>
  <si>
    <t>Locker_FloorG</t>
  </si>
  <si>
    <t>Locker Room</t>
  </si>
  <si>
    <t xml:space="preserve">Based on 2022 CEC AP5 </t>
  </si>
  <si>
    <t>Storage​</t>
  </si>
  <si>
    <t>Storage​+locker</t>
  </si>
  <si>
    <t>Lobby_S_FloorG</t>
  </si>
  <si>
    <t>Lobby, Main Entry</t>
  </si>
  <si>
    <t>According to ASHRAE 62.1 Table 6-1 for main entry lobbies</t>
  </si>
  <si>
    <t>Mech/Elec​</t>
  </si>
  <si>
    <t>Lobby/Lounge_FloorG</t>
  </si>
  <si>
    <t>Increased the ASHRAE 62.1 number of people (10) since this area is more of a lounge/lobby space and not main entry lobby.</t>
  </si>
  <si>
    <t>Server Room​</t>
  </si>
  <si>
    <t>Restroom_FloorG</t>
  </si>
  <si>
    <t>Corridor​</t>
  </si>
  <si>
    <t>Stair/Elevator_FloorG</t>
  </si>
  <si>
    <t>Restroom​</t>
  </si>
  <si>
    <t>Corridor_W_FloorG</t>
  </si>
  <si>
    <t>Lobby​/Lounge</t>
  </si>
  <si>
    <t>Corridor_E_FloorG</t>
  </si>
  <si>
    <t>Stair/Elevator​</t>
  </si>
  <si>
    <t>Plenum_FloorG</t>
  </si>
  <si>
    <t>Plenum</t>
  </si>
  <si>
    <t>-</t>
  </si>
  <si>
    <t>No</t>
  </si>
  <si>
    <t>Plenum​</t>
  </si>
  <si>
    <t>38,353 ​</t>
  </si>
  <si>
    <t>Perimeter_Open_Office_N_FloorM</t>
  </si>
  <si>
    <t xml:space="preserve"> VAV With Reheat_FloorM</t>
  </si>
  <si>
    <t>AHU VAV_FloorM</t>
  </si>
  <si>
    <t xml:space="preserve">Total </t>
  </si>
  <si>
    <t>Total</t>
  </si>
  <si>
    <t>Perimeter_Open_Office_S_FloorM</t>
  </si>
  <si>
    <t>Perimeter_Open_Office_E_FloorM</t>
  </si>
  <si>
    <t>Perimeter_Open_Office_W_FloorM</t>
  </si>
  <si>
    <t>Perimeter_Enclosed_Office_NE_FloorM</t>
  </si>
  <si>
    <t>%  Area</t>
  </si>
  <si>
    <t>Perimeter_Enclosed_Office_NW_FloorM</t>
  </si>
  <si>
    <t>Perimeter_Enclosed_Office_SW_FloorM</t>
  </si>
  <si>
    <t>Perimeter_Enclosed_Office_SE_FloorM</t>
  </si>
  <si>
    <t>Core_Enclosed_Office_FloorM</t>
  </si>
  <si>
    <t>Server_Room_FloorM</t>
  </si>
  <si>
    <t xml:space="preserve"> CRAC DX Clg_FloorM</t>
  </si>
  <si>
    <t>PTAC DX Clg Elec Htg</t>
  </si>
  <si>
    <t>Mech/Elec_FloorM</t>
  </si>
  <si>
    <t>Conference_N_FloorM</t>
  </si>
  <si>
    <t>Conference_W_FloorM</t>
  </si>
  <si>
    <t>Conference_S_FloorM</t>
  </si>
  <si>
    <t>Conference_E_FloorM</t>
  </si>
  <si>
    <t>Break/FoorPrep_FloorM</t>
  </si>
  <si>
    <t>Storage_FloorM</t>
  </si>
  <si>
    <t>Lobby/Lounge_FloorM</t>
  </si>
  <si>
    <t>Appendix 5.4A assigns 2.5 occupants to kitchenette spaces, but because this room serves as a combined break/kitchenette area—and break rooms assume 33 occupants—we applied a midpoint value. The lounge overlaps functionally with the break area, so its occupant count (33) was reduced to 15 to keep overall loads balanced.</t>
  </si>
  <si>
    <t>Restroom_FloorM</t>
  </si>
  <si>
    <t>Stair/Elevator_FloorM</t>
  </si>
  <si>
    <t>Corridor_W_FloorM</t>
  </si>
  <si>
    <t>Corridor_E_FloorM</t>
  </si>
  <si>
    <t>Plenum_FloorM</t>
  </si>
  <si>
    <t>Perimeter_Open_Office_N_FloorT</t>
  </si>
  <si>
    <t>VAV With Reheat_FloorT</t>
  </si>
  <si>
    <t>AHU VAV_FloorT</t>
  </si>
  <si>
    <t>Perimeter_Open_Office_S_FloorT</t>
  </si>
  <si>
    <t>Perimeter_Open_Office_E_FloorT</t>
  </si>
  <si>
    <t>Perimeter_Open_Office_W_FloorT</t>
  </si>
  <si>
    <t>Perimeter_Enclosed_Office_NE_FloorT</t>
  </si>
  <si>
    <t>Perimeter_Enclosed_Office_NW_FloorT</t>
  </si>
  <si>
    <t>Perimeter_Enclosed_Office_SW_FloorT</t>
  </si>
  <si>
    <t>Perimeter_Enclosed_Office_SE_FloorT</t>
  </si>
  <si>
    <t>Core_Enclosed_Office_FloorT</t>
  </si>
  <si>
    <t>Server_Room_FloorT</t>
  </si>
  <si>
    <t xml:space="preserve"> CRAC DX Clg_FloorT</t>
  </si>
  <si>
    <t>PTAC DX Clg Elec Htg 2</t>
  </si>
  <si>
    <t>Mech/Elec_FloorT</t>
  </si>
  <si>
    <t>Conference_N_FloorT</t>
  </si>
  <si>
    <t>Conference_W_FloorT</t>
  </si>
  <si>
    <t>Conference_S_FloorT</t>
  </si>
  <si>
    <t>Conference_E_FloorT</t>
  </si>
  <si>
    <t>BreakRoom/FoodPrep_FloorT</t>
  </si>
  <si>
    <t>Storage_FloorT</t>
  </si>
  <si>
    <t>Lobby/Lounge_FloorT</t>
  </si>
  <si>
    <t>Restroom_FloorT</t>
  </si>
  <si>
    <t>Stair/Elevator_FloorT</t>
  </si>
  <si>
    <t>Corridor_W_FloorT</t>
  </si>
  <si>
    <t>Corridor_E_FloorT</t>
  </si>
  <si>
    <t>Plenum_FloorT</t>
  </si>
  <si>
    <t xml:space="preserve"> Total ( 1 Building)</t>
  </si>
  <si>
    <t xml:space="preserve"> Total Zones in E+: 79
  Total with multiplier: 286</t>
  </si>
  <si>
    <t xml:space="preserve"> Total (13 Space Types)</t>
  </si>
  <si>
    <t xml:space="preserve"> Total systems in E+: 8
  Total with multiplier: 26</t>
  </si>
  <si>
    <t xml:space="preserve"> Total systems in E+: 8
  Total with multiplier: 27</t>
  </si>
  <si>
    <t xml:space="preserve"> Total (1 category)</t>
  </si>
  <si>
    <t xml:space="preserve"> Total zones in E+: 76 conditioned and 3 unconditioned.
  Total with multiplier: 274 Conditioned , 12 Unconditioned )</t>
  </si>
  <si>
    <t>Envelope</t>
  </si>
  <si>
    <t>Element</t>
  </si>
  <si>
    <t>Prototype</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</si>
  <si>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</si>
  <si>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</si>
  <si>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</si>
  <si>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</si>
  <si>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</si>
  <si>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</si>
  <si>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</si>
  <si>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</si>
  <si>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</si>
  <si>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</si>
  <si>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</si>
  <si>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</si>
  <si>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</si>
  <si>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</si>
  <si>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</si>
  <si>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</si>
  <si>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</si>
  <si>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</si>
  <si>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</si>
  <si>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</si>
  <si>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</si>
  <si>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</si>
  <si>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</si>
  <si>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r>
      <rPr>
        <sz val="10"/>
        <color rgb="FF000000"/>
        <rFont val="Arial"/>
      </rPr>
      <t xml:space="preserve">Metal framed wall:
</t>
    </r>
    <r>
      <rPr>
        <sz val="10"/>
        <color rgb="FF000000"/>
        <rFont val="Arial"/>
      </rPr>
      <t>Metal frame + insulation + Gypsum board</t>
    </r>
  </si>
  <si>
    <t>U-factor IP</t>
  </si>
  <si>
    <t>Pre 1978</t>
  </si>
  <si>
    <t>N/A</t>
  </si>
  <si>
    <t>ASHRAE 90.1 Table A3.3.3.1, 16" on center, R-0</t>
  </si>
  <si>
    <t>High-rise office: Package A with heat capacity   10.0-14.99 (BTU/F/ft2)</t>
  </si>
  <si>
    <t>TABLE 1-H</t>
  </si>
  <si>
    <t>TABLE 140.3-B</t>
  </si>
  <si>
    <t>Existing</t>
  </si>
  <si>
    <t>2019+</t>
  </si>
  <si>
    <t>Table 140.3-B (In Nonres Section)</t>
  </si>
  <si>
    <t>Roof</t>
  </si>
  <si>
    <t>FlatRoof_WoodFramedAndOther_NonRes</t>
  </si>
  <si>
    <r>
      <rPr>
        <sz val="10"/>
        <color rgb="FF000000"/>
        <rFont val="Arial"/>
      </rPr>
      <t xml:space="preserve">Metal deck roof:
</t>
    </r>
    <r>
      <rPr>
        <sz val="10"/>
        <color rgb="FF000000"/>
        <rFont val="Arial"/>
      </rPr>
      <t>Metal deck + insulation + Roof membrane</t>
    </r>
  </si>
  <si>
    <t>Considering 30 years for roof/ insulation replacement.</t>
  </si>
  <si>
    <t>Windows</t>
  </si>
  <si>
    <t>FixedWindow_NonRes</t>
  </si>
  <si>
    <t xml:space="preserve">CBECS 2018 shows that ~50% of large offices that were built before 2000 are single pane </t>
  </si>
  <si>
    <t>ASHRAE Handbook of Fundamentals for single pane (Table 4-Ch15)  &amp; T24, 2013  for double pane(50%-50%)*</t>
  </si>
  <si>
    <t>Double pane</t>
  </si>
  <si>
    <t>SHGC</t>
  </si>
  <si>
    <t>ASHRAE Handbook of Fundamentals for single pane (Table 10-Ch15)  &amp; T24, 2013  for double pane(50%-50%)*</t>
  </si>
  <si>
    <r>
      <rPr>
        <sz val="10"/>
        <color rgb="FF000000"/>
        <rFont val="Arial"/>
        <family val="2"/>
      </rPr>
      <t>WWR:</t>
    </r>
    <r>
      <rPr>
        <sz val="10"/>
        <color rgb="FF000000"/>
        <rFont val="Arial"/>
        <family val="2"/>
      </rPr>
      <t>30-40</t>
    </r>
    <r>
      <rPr>
        <sz val="10"/>
        <color rgb="FF000000"/>
        <rFont val="Arial"/>
        <family val="2"/>
      </rPr>
      <t xml:space="preserve"> / SHGC non-north (Non-north SHGC is more stringent than north and is therefore considered for all sides)</t>
    </r>
  </si>
  <si>
    <r>
      <t xml:space="preserve">Infiltration rate at normal pressure (cfm/ft2) </t>
    </r>
    <r>
      <rPr>
        <sz val="12"/>
        <color theme="0"/>
        <rFont val="Arial"/>
        <family val="2"/>
      </rPr>
      <t xml:space="preserve">(Design flow rate approach and Flow/Exterior Wall Area calculation method) </t>
    </r>
  </si>
  <si>
    <t>Zones</t>
  </si>
  <si>
    <t>I_75 (cfm/sf)
6-sdied Infiltration rate 
@ 75 pa</t>
  </si>
  <si>
    <t>Note</t>
  </si>
  <si>
    <t xml:space="preserve"> I-design (cfm/ft2) 
(4-sided Infiltration rate at normal pressure) 
(Design flow rate approach and Flow/Exterior Wall Area calculation method) </t>
  </si>
  <si>
    <t>Infiltration</t>
  </si>
  <si>
    <t>2022 CASE report (Table 38)</t>
  </si>
  <si>
    <t xml:space="preserve">Building 4 sided area (ft2) </t>
  </si>
  <si>
    <t xml:space="preserve">Building 6 sided area (ft2) </t>
  </si>
  <si>
    <t xml:space="preserve">6 sided /4 sided factor </t>
  </si>
  <si>
    <t>2022 CASE report (Table 38) &amp;
Title 24, part 6, 2008-2016 (Table 140.3-B)</t>
  </si>
  <si>
    <r>
      <t>Floor or roof area (ft</t>
    </r>
    <r>
      <rPr>
        <vertAlign val="superscript"/>
        <sz val="10"/>
        <color rgb="FF000000"/>
        <rFont val="Arial"/>
        <family val="2"/>
      </rPr>
      <t>2</t>
    </r>
    <r>
      <rPr>
        <sz val="10"/>
        <color rgb="FF000000"/>
        <rFont val="Arial"/>
        <family val="2"/>
      </rPr>
      <t>)</t>
    </r>
  </si>
  <si>
    <t>2022 CASE report (Table 38) &amp;  
Title 24, part 6, 2025 (Table 140.3-B)</t>
  </si>
  <si>
    <t>Source:  Title 24 air barrier requirements (all editions) and the standardized infiltration rate reported in the 2022 CASE report and Dodge 2023 data</t>
  </si>
  <si>
    <t xml:space="preserve">Air Leakage Memo: </t>
  </si>
  <si>
    <t xml:space="preserve">*Note for windows properties in vintage 1 &amp;2 : </t>
  </si>
  <si>
    <t xml:space="preserve">We’ve considered a 50% single-pane and 50% double-pane mix (based on the 2013 requirements) for the window properties in Vintage 1 &amp; 2 (pre-1998 buildings). </t>
  </si>
  <si>
    <t>We don't have California-specific data, and the decision was based on the CBECS 2018 data, which indicates:</t>
  </si>
  <si>
    <t xml:space="preserve"> - 30% of large offices built before 1978 have mixed windows, while only 16% of large offices from the second vintage (1978-1997) have mixed glass.</t>
  </si>
  <si>
    <t xml:space="preserve"> - Pre-1980: Among those with either single or double-pane windows, 70% have single-pane windows, and 30% have double-pane windows.</t>
  </si>
  <si>
    <t xml:space="preserve"> - 1980-1999: Among those with either single or double-pane windows, 43% have single-pane windows, and 57% have double-pane windows.</t>
  </si>
  <si>
    <t xml:space="preserve"> - Pre-2000: Among those with either single or double-pane windows,  49% has single pane windows.</t>
  </si>
  <si>
    <t>Considering the Pre-2000 percentage, we've decided to apply the 50%-50% mix to the window properties of the first two vintages.</t>
  </si>
  <si>
    <t>Existing HVAC System Layout _ Each floor is served by one HVAC system</t>
  </si>
  <si>
    <t xml:space="preserve">Heating </t>
  </si>
  <si>
    <t>Cooling</t>
  </si>
  <si>
    <t>Air Distribution</t>
  </si>
  <si>
    <t>Other Systems</t>
  </si>
  <si>
    <t>Source</t>
  </si>
  <si>
    <t xml:space="preserve">Existing </t>
  </si>
  <si>
    <t>Server Room_B</t>
  </si>
  <si>
    <t>built up CRAH with chilled water coils
(Computer Room Air Handling unit)</t>
  </si>
  <si>
    <t xml:space="preserve">CAV </t>
  </si>
  <si>
    <t>Fluid Economizer for vintage 4</t>
  </si>
  <si>
    <t>Engineering Judgement</t>
  </si>
  <si>
    <t>Server_Room_G
Server_Room_M
Server_Room_T</t>
  </si>
  <si>
    <t xml:space="preserve">DX Computer Room Air Conditioner (CRAC) </t>
  </si>
  <si>
    <t>CAV</t>
  </si>
  <si>
    <t>All other conditioned zones</t>
  </si>
  <si>
    <t>Gas Boiler</t>
  </si>
  <si>
    <t>Chiller
(it also serves the Server_Room_B zone)</t>
  </si>
  <si>
    <t>VAV with hydronic reheat</t>
  </si>
  <si>
    <t>OA mixing through air handler
Economizer for Vintage 2, 3 and 4
DCV for Vintage 4 (for qualifying high density rooms)</t>
  </si>
  <si>
    <t>CEUS 2022</t>
  </si>
  <si>
    <t>New Construction</t>
  </si>
  <si>
    <t>Fluid Economizer</t>
  </si>
  <si>
    <t>T24 2025</t>
  </si>
  <si>
    <t>OA mixing through air handler
ERV
Economizer
DCV for qualifying high density rooms</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</si>
  <si>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</si>
  <si>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</si>
  <si>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DX Computer Room Air Conditioner Server_Room_G/M/T (CRAC)</t>
  </si>
  <si>
    <t>Chiller</t>
  </si>
  <si>
    <t>Heat Rejection (Cooling Tower)</t>
  </si>
  <si>
    <t xml:space="preserve">Sources </t>
  </si>
  <si>
    <t>11 EER for &lt;65 kBtu/h
10.4 EER for 65-135 kBtu/h
 10.2 EER for 135-240 kBtu/h</t>
  </si>
  <si>
    <t xml:space="preserve">Water Cooled, 
Electrically Operated, 
Centrifugal--≥ 300 tons 
6.10 COP
6.40 IPLV </t>
  </si>
  <si>
    <t>80% Ec</t>
  </si>
  <si>
    <t xml:space="preserve"> Axial fan 
Open-circuit cooling 
tower--95°F entering water 
85°F leaving water 
75°F entering air wb--≥ 38.2 gpm/hp </t>
  </si>
  <si>
    <t>CRAC: California Title 20 Appliance Efficiency Regulations, §1605.3(c)(2), Tables C-9 (2008)
T24, Table 112-D (for chiller COP)(2008)
California Title 20 Appliance Efficiency Regulations, Table E-3 for Boiler Efficiency (2008)
T24, Table 112-G (Performance Requirements for Heat Rejection Equipment) (2008)</t>
  </si>
  <si>
    <t>Two centrifugal chillers  (Total cooling plant load &gt; 600 tons)
Two atmospheric boilers (no combustion air fans)</t>
  </si>
  <si>
    <r>
      <t xml:space="preserve">2013
</t>
    </r>
    <r>
      <rPr>
        <sz val="10"/>
        <color rgb="FF000000"/>
        <rFont val="Arial"/>
        <family val="2"/>
      </rPr>
      <t xml:space="preserve"> This system will be used for the Collapsed version</t>
    </r>
  </si>
  <si>
    <t>SCOP= 
2.44 for &lt;65 kBtu/h
2.34 for 65-240 kBtu/h
2.24 for &gt;240 kBtu/h</t>
  </si>
  <si>
    <t>Water Cooled, 
Electrically Operated, 
Centrifugal--≥ 300 tons and &lt; 600 tons  
≤ 0.600  kW/ton (Path B)
≤ 0.400 IPLV (Path B)</t>
  </si>
  <si>
    <t>Gas-Fired Boiler &gt; 300,000 Btu/h and 
≤2,500,000 Btu/h-- 80% Et 
Gas-Fired Boiler &gt; 2,500,000 Btu/h -- 82% Ec
&lt; 300,000 Btu/h  82% AFUE</t>
  </si>
  <si>
    <t xml:space="preserve"> Axial fan 
Open-circuit cooling 
tower--95°F entering water 
85°F leaving water 
75°F entering air wb--≥ 42.1 gpm/hp </t>
  </si>
  <si>
    <t>CRAC: 10 CFR §431.97(f)(1), Table 7 (2013)
T24, Table 110.2-D (for chiller COP) (2013)
T24, Table 110.2-K (for Boiler thermal efficiency) (2013)
T24, Table 110.2-G (Performance Requirements for Heat Rejection Equipment) (2013)</t>
  </si>
  <si>
    <t>water-cooled centrifugal chillers
Two Boilers each with capacity between 300-2,500 KBTU/hr</t>
  </si>
  <si>
    <t>NSenCOP=
2.09 for &lt;65 kBtu/h
 1.99 for 65-240 kBtu/h
1,81 for &gt;240 kBtu/h</t>
  </si>
  <si>
    <t>Water Cooled, 
Electrically Operated, 
Positive displacement--≥ 300 tons and 
&lt; 600 ton
≤ 0.625 kW/ton (Path B)
≤ 0.410 IPLV (Path B)</t>
  </si>
  <si>
    <t>Gas-Fired Boiler &gt; 300,000 Btu/h and 
≤2,500,000 Btu/h-- 80% Et 
Gas-Fired Boiler &gt; 2,500,000 Btu/h -- 82% Ec</t>
  </si>
  <si>
    <t>CRAC: 10 CFR § 431.97, Table 13 (2025)
T24, Table 110.2-D (for chiller COP)(2025)
10 CFR 431.86 , section § 431.87 Table 1 (for Boiler thermal efficiency)(2025)
T24, Table 110.2-E  (Performance Requirements for Heat Rejection Equipment)(2025)</t>
  </si>
  <si>
    <t xml:space="preserve"> Two water-cooled screw chillers (Each between 300-600 ton), Path B, Positive displacement chiller with design leaving fluid temperature ≤ 32°F
Two Boilers each with capacity between 300-2,500 KBTU/hr</t>
  </si>
  <si>
    <t>Background Data [To be deleted prior to publication]</t>
  </si>
  <si>
    <t>Existing prototypes:</t>
  </si>
  <si>
    <t>Space</t>
  </si>
  <si>
    <t>System No.</t>
  </si>
  <si>
    <t>System Type</t>
  </si>
  <si>
    <t>Fan Control</t>
  </si>
  <si>
    <t xml:space="preserve">Cooling Type </t>
  </si>
  <si>
    <t>Heating Type</t>
  </si>
  <si>
    <t>CBECC 2025</t>
  </si>
  <si>
    <t xml:space="preserve">All Space </t>
  </si>
  <si>
    <t>VAV</t>
  </si>
  <si>
    <t>Chilled water</t>
  </si>
  <si>
    <t>Hot-water fossil fuel boiler</t>
  </si>
  <si>
    <t>CPUC 2024</t>
  </si>
  <si>
    <t xml:space="preserve">Chiller water </t>
  </si>
  <si>
    <t xml:space="preserve">PNNL ASHRAE 90.1- 2022 San Diego </t>
  </si>
  <si>
    <t>data center room</t>
  </si>
  <si>
    <t>14. WSHP (CRAC)</t>
  </si>
  <si>
    <t>Water source heat pump (Computer room air conditioning unit)</t>
  </si>
  <si>
    <t>Constant volume</t>
  </si>
  <si>
    <t>Fluid cooler</t>
  </si>
  <si>
    <t>Basement (Except data center)</t>
  </si>
  <si>
    <t>12. SZ-CV-HW</t>
  </si>
  <si>
    <t>Single-zone system</t>
  </si>
  <si>
    <t>Other spaces</t>
  </si>
  <si>
    <t>7. VAV with reheat</t>
  </si>
  <si>
    <t>VAV with reheat</t>
  </si>
  <si>
    <t>Basement system in PNNL model is :SZ-CV-HW (Single zone system:  CV fan control &amp; Chilled water cooling  &amp; Hot-water fossil fuel boiler heating)</t>
  </si>
  <si>
    <t xml:space="preserve">Other floors system in PNNL model is: VAV Reheat ( VAV with Reheat: VA fan control &amp; Chilled water cooling  &amp; Hot-water fossil fuel boiler heating ) </t>
  </si>
  <si>
    <t>Dat center zone has its won system in PNNL model: WSHP (CRAC): Water source heat pump (Computer room air conditioning unit) system: CV fan control &amp; Fluid cooler &amp; Hot-water fossil fuel boiler heating</t>
  </si>
  <si>
    <t>CEUS 2022 data:</t>
  </si>
  <si>
    <t>Heating System</t>
  </si>
  <si>
    <t>Calculation method</t>
  </si>
  <si>
    <t>Fan Coil / Unit Ventilator</t>
  </si>
  <si>
    <t>Dual Duct Constant Air Volume</t>
  </si>
  <si>
    <t>Dual Duct Variable Air Volume</t>
  </si>
  <si>
    <t>Single Duct Constant Air Volume</t>
  </si>
  <si>
    <t>Single Duct Variable Air Volume</t>
  </si>
  <si>
    <t>Floorspace-Based</t>
  </si>
  <si>
    <t>Office, Large</t>
  </si>
  <si>
    <t>Sites-Based</t>
  </si>
  <si>
    <t>Chiller System</t>
  </si>
  <si>
    <t>Boiler/ Hydronic</t>
  </si>
  <si>
    <t>Package System / Heat Pump</t>
  </si>
  <si>
    <t>Split-System / Heat Pump</t>
  </si>
  <si>
    <t>Ductless Mini-Split Heat Pump</t>
  </si>
  <si>
    <t>Room Heating</t>
  </si>
  <si>
    <t>Heating Fuel Type</t>
  </si>
  <si>
    <t>Gas Share</t>
  </si>
  <si>
    <t>Electric Share</t>
  </si>
  <si>
    <t>Fuel Share Large office (area &gt;3,000 sf)</t>
  </si>
  <si>
    <t>CZ</t>
  </si>
  <si>
    <t>Heating system</t>
  </si>
  <si>
    <t>Water heater</t>
  </si>
  <si>
    <t>Saturation (Electric)</t>
  </si>
  <si>
    <t>Saturation (Gas)</t>
  </si>
  <si>
    <t>Saturation
(Other Fuels)</t>
  </si>
  <si>
    <t> </t>
  </si>
  <si>
    <t>Fan power</t>
  </si>
  <si>
    <t>Approach</t>
  </si>
  <si>
    <t>System</t>
  </si>
  <si>
    <t>Total Static Pressure (TSP)
(in w.c.)</t>
  </si>
  <si>
    <t>Fan Efficiency
[ACM 2025]</t>
  </si>
  <si>
    <t xml:space="preserve">Motor Efficiency </t>
  </si>
  <si>
    <t xml:space="preserve"> Fan Power Index 
(W/cfm)</t>
  </si>
  <si>
    <t>Data Source</t>
  </si>
  <si>
    <t>PNNL 90.1-2011, TSP</t>
  </si>
  <si>
    <t>CAV System &lt;7,437 cfm</t>
  </si>
  <si>
    <t>ASHRAE 90.1, 2004, Table 10.8 *</t>
  </si>
  <si>
    <t>Fan power formula: PNNL 20405, 2010, section 5.2.2.5
TSP and fan efficiency: PNNL 20405, 2010, Table 5.11, 90.1-04ac values
Motor and drive efficiency: ASHRAE 90.1, 2004, Table 10.8</t>
  </si>
  <si>
    <t>CAV System &gt;7,437 cfm</t>
  </si>
  <si>
    <t>VAV System &gt; 4,648 cfm</t>
  </si>
  <si>
    <t>Brake horsepower (bhp) = (Supply cfm × TSP in w.c.) / (6356 × fan efficiency)</t>
  </si>
  <si>
    <t>Fan power (w/cfm) = (bhp ×  746) / ( supply cfm × motor efficiency )</t>
  </si>
  <si>
    <t>ACM 2025</t>
  </si>
  <si>
    <t>VAV with hydronic reheat (System 6), &gt;10,000 cfm</t>
  </si>
  <si>
    <t>TSP = fan power × motor efficiency × fan efficiency × 6356 / 746</t>
  </si>
  <si>
    <t>2025 ACM Table 12 **</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</si>
  <si>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</si>
  <si>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</si>
  <si>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ACM System 6 VAV &gt;10,000 cfm. Server-room CRAH/CRAC fans are not in this row.</t>
  </si>
  <si>
    <t>Spaces/Zones</t>
  </si>
  <si>
    <t>Setpoint</t>
  </si>
  <si>
    <t>All conditioned zones except server rooms</t>
  </si>
  <si>
    <t>Heating Setpoint (F)</t>
  </si>
  <si>
    <t>T24 2022 - Appendix 5.4B</t>
  </si>
  <si>
    <t>Heating Setback (F)</t>
  </si>
  <si>
    <t>Cooling Setpoint (F)</t>
  </si>
  <si>
    <t>Cooling Setback (F)</t>
  </si>
  <si>
    <t>85*</t>
  </si>
  <si>
    <t>Server rooms</t>
  </si>
  <si>
    <t xml:space="preserve">Title 24, Part 6, 2025, section 140.9 (a)  and  PNNL ASHRAE 90.1 2022 Large Office prototype  </t>
  </si>
  <si>
    <t>The Server room with 20 W/ft2 load would likely don't require heating system as the equipment constantly generate enough heat. **</t>
  </si>
  <si>
    <t>Storage, Stairway, and Mechanical_Electrical</t>
  </si>
  <si>
    <t>Engineering Judgment 
(Semi‑conditioned space)</t>
  </si>
  <si>
    <t>*PNNL has considered 80 F for cooling setback of Large Office prototype (same as Medium Office). However cooling setback  is 85 F in Small Office prototype !</t>
  </si>
  <si>
    <t>**PNNL has set the heating system temperature to 65°F for all of their data center zones.</t>
  </si>
  <si>
    <t>Heating/ CoolingSetpointsSchedules (existing prototypes extracted from the idf files (presented below)</t>
  </si>
  <si>
    <t>Heating</t>
  </si>
  <si>
    <t>CEC-2022</t>
  </si>
  <si>
    <t>PNNL-2022</t>
  </si>
  <si>
    <t>CEC-Weekday</t>
  </si>
  <si>
    <t>CEC-Saturday</t>
  </si>
  <si>
    <t>CEC-Sunday</t>
  </si>
  <si>
    <t>PNNL-Weekday</t>
  </si>
  <si>
    <t>PNNL-Saturday</t>
  </si>
  <si>
    <t>PNNL-Sunday</t>
  </si>
  <si>
    <t>Space Name</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</si>
  <si>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</si>
  <si>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</si>
  <si>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</si>
  <si>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</si>
  <si>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</si>
  <si>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</si>
  <si>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</si>
  <si>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</si>
  <si>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Office space/Occupancy Category - Office Buildings</t>
  </si>
  <si>
    <t>Telephone/data entry/Occupancy Category - Office Buildings</t>
  </si>
  <si>
    <t>All Other</t>
  </si>
  <si>
    <t xml:space="preserve">Conference/meeting/Occupancy Category - General </t>
  </si>
  <si>
    <t>Breakrooms/Occupancy Category - Office Buildings</t>
  </si>
  <si>
    <t>Occupiable storage rooms for dry 
materials/Occupancy Category - Office Buildings</t>
  </si>
  <si>
    <r>
      <rPr>
        <sz val="10"/>
        <color rgb="FF000000"/>
        <rFont val="Arial"/>
        <family val="2"/>
      </rPr>
      <t>5*</t>
    </r>
    <r>
      <rPr>
        <sz val="10"/>
        <color rgb="FF000000"/>
        <rFont val="Arial"/>
        <family val="2"/>
      </rPr>
      <t xml:space="preserve"> 50/70</t>
    </r>
    <r>
      <rPr>
        <sz val="10"/>
        <color rgb="FF000000"/>
        <rFont val="Arial"/>
        <family val="2"/>
      </rPr>
      <t xml:space="preserve"> (cfm/unit)</t>
    </r>
  </si>
  <si>
    <t xml:space="preserve">Almost 1 unit per 30 occupant for exhaust fan </t>
  </si>
  <si>
    <t xml:space="preserve">Corridors /Occupancy Category - General </t>
  </si>
  <si>
    <t>Kitchen (cooking)/Occupancy Category - 
Food and Beverage Service</t>
  </si>
  <si>
    <t>0.25 (cfm/sf)</t>
  </si>
  <si>
    <t>Main entry lobbies/Occupancy Category - Office Buildings</t>
  </si>
  <si>
    <r>
      <rPr>
        <sz val="10"/>
        <color rgb="FF000000"/>
        <rFont val="Arial"/>
        <family val="2"/>
      </rPr>
      <t xml:space="preserve">8* </t>
    </r>
    <r>
      <rPr>
        <sz val="10"/>
        <color rgb="FF000000"/>
        <rFont val="Arial"/>
        <family val="2"/>
      </rPr>
      <t xml:space="preserve">50/70 </t>
    </r>
    <r>
      <rPr>
        <sz val="10"/>
        <color rgb="FF000000"/>
        <rFont val="Arial"/>
        <family val="2"/>
      </rPr>
      <t>(cfm/unit)</t>
    </r>
  </si>
  <si>
    <r>
      <rPr>
        <sz val="10"/>
        <color rgb="FF000000"/>
        <rFont val="Arial"/>
        <family val="2"/>
      </rPr>
      <t xml:space="preserve">9* </t>
    </r>
    <r>
      <rPr>
        <sz val="10"/>
        <color rgb="FF000000"/>
        <rFont val="Arial"/>
        <family val="2"/>
      </rPr>
      <t>50/70</t>
    </r>
    <r>
      <rPr>
        <sz val="10"/>
        <color rgb="FF000000"/>
        <rFont val="Arial"/>
        <family val="2"/>
      </rPr>
      <t xml:space="preserve"> (cfm/unit)</t>
    </r>
  </si>
  <si>
    <t>Water Heater - OfficeLarge</t>
  </si>
  <si>
    <t>WH Type</t>
  </si>
  <si>
    <t>Efficiency</t>
  </si>
  <si>
    <t>Number of WH</t>
  </si>
  <si>
    <t>Tank Volume (gal)</t>
  </si>
  <si>
    <t>Tank Loss</t>
  </si>
  <si>
    <t xml:space="preserve">Existing  </t>
  </si>
  <si>
    <t>Gas</t>
  </si>
  <si>
    <t>See table below for each WH: col F is storage volume EACH of N identical heaters (N in B91). Plant total volume = col L.</t>
  </si>
  <si>
    <t>See table below for each WH: col G is standby EACH of N identical heaters. Plant total UA = col N.</t>
  </si>
  <si>
    <t>See table below for sources: Climate Zone Water Heater Sizing and Loss Coefficients</t>
  </si>
  <si>
    <t>Peak Hot Water Consumption</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</si>
  <si>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</si>
  <si>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</si>
  <si>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</si>
  <si>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</si>
  <si>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</si>
  <si>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Gas*</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</si>
  <si>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</si>
  <si>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</si>
  <si>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</si>
  <si>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Electric resistance</t>
  </si>
  <si>
    <t>Number of identical gas storage WH</t>
  </si>
  <si>
    <t>Since the total WH storage volume is more than the maximum size of the standard commercial gas storage WH listed in ENERGY STAR (193.7 gal &gt; 125 gal). Therefore, two identical WH units were designed.</t>
  </si>
  <si>
    <t>Total WH storage volume (gal)</t>
  </si>
  <si>
    <t>2025 ACM §5.9.2</t>
  </si>
  <si>
    <t>Maximum size of the standard commercial gas storage WH  (gal)</t>
  </si>
  <si>
    <t>ENERGY STAR commercial gas storage. The link is provided at the Notes tab.</t>
  </si>
  <si>
    <t>Design supply temperature (°F)</t>
  </si>
  <si>
    <t>Title 24 2022 Reference Appendices, Appendix 5.4B</t>
  </si>
  <si>
    <t>WH system factor</t>
  </si>
  <si>
    <t>2025 ACM §5.9.2 Rated Capacity</t>
  </si>
  <si>
    <t>Water mass conversion (lb/gal)</t>
  </si>
  <si>
    <t>Reheat multiplier</t>
  </si>
  <si>
    <t>2025 ACM §5.9.2 Storage Volume</t>
  </si>
  <si>
    <t>Climate Zone Water Heater Sizing and Loss Coefficients (Individual WH)</t>
  </si>
  <si>
    <t>Water Heater Name</t>
  </si>
  <si>
    <t>Climate Zone</t>
  </si>
  <si>
    <t>Minimum Monthly Mains Temp (°F)
[T24 2022 - Appendix 5.4B]</t>
  </si>
  <si>
    <t>Heat Output (Btu/hr)
[ACM, 2025, 5.9.2: Rated capacity section]</t>
  </si>
  <si>
    <t>WH Capacity (Btu/hr)
[ACM, 2025, 5.9.2: Rated capacity section]</t>
  </si>
  <si>
    <t>Required Energy Input each (Btu/hr)</t>
  </si>
  <si>
    <t>Storage Volume each (gal)</t>
  </si>
  <si>
    <t>Standby Loss
 [Title 20, §1605.1 Table F-4; Appendix B: Water Heating Calculation Method]</t>
  </si>
  <si>
    <t xml:space="preserve">Off/On Cycle Loss Coefficient to Ambient Temp </t>
  </si>
  <si>
    <t>Source/Note</t>
  </si>
  <si>
    <t>Plant total volume (gal)</t>
  </si>
  <si>
    <t>Plant total input (Btu/hr)</t>
  </si>
  <si>
    <t>Plant total UA (Btu/h·°F)</t>
  </si>
  <si>
    <t>WH_OfficeLarge</t>
  </si>
  <si>
    <t>CZ01</t>
  </si>
  <si>
    <t>Btu/hr</t>
  </si>
  <si>
    <t>Btu/h·°F</t>
  </si>
  <si>
    <t>No listed ~200 gal unitary gas storage WH: ENERGY STAR commercial gas storage and the Grainger tanks in this catalog max out at 125 gal (E139). AO Smith 140–2500 gal units in that size class are unfired storage tanks, not unitary water heaters, and were not added. ACM §5.9.2 plant volume is ~194 gal, so the scorecard uses N identical catalog heaters (B91). E/F/G/I are per heater. L/M/N are plant totals (N × each). Title 20 Table F-4 G = E/800+110×√F applies per tank.</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</si>
  <si>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</si>
  <si>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</si>
  <si>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</si>
  <si>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</si>
  <si>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</si>
  <si>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</si>
  <si>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</si>
  <si>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</si>
  <si>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</si>
  <si>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</si>
  <si>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</si>
  <si>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</si>
  <si>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</si>
  <si>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</si>
  <si>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</si>
  <si>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</si>
  <si>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</si>
  <si>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</si>
  <si>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</si>
  <si>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</si>
  <si>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New Construction </t>
  </si>
  <si>
    <t>LPD (W/ft²)</t>
  </si>
  <si>
    <t>Additional LPD for Portable Lighting (W/ft²)</t>
  </si>
  <si>
    <t xml:space="preserve">LPD (W/ft²) </t>
  </si>
  <si>
    <r>
      <rPr>
        <sz val="10"/>
        <color rgb="FF000000"/>
        <rFont val="Arial"/>
        <family val="2"/>
      </rPr>
      <t xml:space="preserve">T24, part 6, 2025, Table 140.6 C
</t>
    </r>
    <r>
      <rPr>
        <sz val="10"/>
        <color rgb="FF000000"/>
        <rFont val="Arial"/>
        <family val="2"/>
      </rPr>
      <t>IT Room Source: ASHRAE 90.1 2022, Table 9.5.2.1-1, computer room space type</t>
    </r>
  </si>
  <si>
    <r>
      <rPr>
        <sz val="10"/>
        <color rgb="FF000000"/>
        <rFont val="Arial"/>
        <family val="2"/>
      </rPr>
      <t xml:space="preserve">T24, part 6, 2013, Table 140.6 C
</t>
    </r>
    <r>
      <rPr>
        <sz val="10"/>
        <color rgb="FF000000"/>
        <rFont val="Arial"/>
        <family val="2"/>
      </rPr>
      <t>IT Room Source: ASHRAE 90.1 2013, TABLE9.6.1, computer room space type</t>
    </r>
  </si>
  <si>
    <t>It is assumed that 50% of the additional allowance lighting is in use.</t>
  </si>
  <si>
    <t>1,1</t>
  </si>
  <si>
    <t>Whole Building method</t>
  </si>
  <si>
    <t>LPD for Office Building ((W/ft²)</t>
  </si>
  <si>
    <t>Ref: T24, Table 140.6 B</t>
  </si>
  <si>
    <t>Motion Controlled Luminaires (W)</t>
  </si>
  <si>
    <t>Non-motion Controlled Luminaires (W)</t>
  </si>
  <si>
    <t>Total (W)</t>
  </si>
  <si>
    <t>Title 24, 2022</t>
  </si>
  <si>
    <t>Exterior Lighting</t>
  </si>
  <si>
    <t>Items (Assume LZ2)</t>
  </si>
  <si>
    <t>Assumptions
[2019 Outdoor Lighting CASE Report &amp; PNNL 90.1-2010 TSD]</t>
  </si>
  <si>
    <t>Unit</t>
  </si>
  <si>
    <t>Lighting Power Allowance 
[T24, 2025, Table 140.7-A &amp; 140.7-B]</t>
  </si>
  <si>
    <t>Exterior Lighting Power (W)</t>
  </si>
  <si>
    <t>IWA (Initial Wage Allowance)</t>
  </si>
  <si>
    <t>(W)</t>
  </si>
  <si>
    <t>Parking area</t>
  </si>
  <si>
    <r>
      <rPr>
        <sz val="10"/>
        <rFont val="Arial"/>
        <family val="2"/>
      </rPr>
      <t xml:space="preserve">400 ft² for every parking space </t>
    </r>
    <r>
      <rPr>
        <sz val="10"/>
        <color rgb="FF000000"/>
        <rFont val="Arial"/>
        <family val="2"/>
      </rPr>
      <t xml:space="preserve">[2019 Lighting CASE report, Appendix H]
</t>
    </r>
    <r>
      <rPr>
        <sz val="10"/>
        <rFont val="Arial"/>
        <family val="2"/>
      </rPr>
      <t xml:space="preserve">1 parking space per 250 ft² of gross building area  </t>
    </r>
    <r>
      <rPr>
        <sz val="10"/>
        <color rgb="FF000000"/>
        <rFont val="Arial"/>
        <family val="2"/>
      </rPr>
      <t xml:space="preserve"> [2019 Lighting CASE report, Table 38]</t>
    </r>
  </si>
  <si>
    <t>(ft²)</t>
  </si>
  <si>
    <t>(W/ft²)</t>
  </si>
  <si>
    <t>Building Entrance</t>
  </si>
  <si>
    <t>4 building entrance (1 per 10,000 ft² footprint)</t>
  </si>
  <si>
    <t>(count)</t>
  </si>
  <si>
    <t>(W/ea)</t>
  </si>
  <si>
    <t>Hardscape Ornamental Light</t>
  </si>
  <si>
    <r>
      <rPr>
        <sz val="10"/>
        <rFont val="Arial"/>
        <family val="2"/>
      </rPr>
      <t>0.1 ft² per 1 ft² of gross building area</t>
    </r>
    <r>
      <rPr>
        <sz val="10"/>
        <color rgb="FF000000"/>
        <rFont val="Arial"/>
        <family val="2"/>
      </rPr>
      <t xml:space="preserve"> [2019 Lighting CASE report, Table 36]</t>
    </r>
  </si>
  <si>
    <t>Building façade</t>
  </si>
  <si>
    <t>0.1 W per ft² of facade area 
Façade Area* = Perimeter × 0.5 × 30 ft (30 ft is the max height that is lit) 
The 0.5 factor assumes that only half of the perimeter walls are lit.
-Formula is developed based on the 2019 Outdoor Lighting CASE report</t>
  </si>
  <si>
    <t>Non-sales canopy</t>
  </si>
  <si>
    <t>According to the geometry (dimensions bellow)</t>
  </si>
  <si>
    <t>Motion controlled Luminaires</t>
  </si>
  <si>
    <t>Non-motion-controlled Luminaires</t>
  </si>
  <si>
    <t>*Developed based on 2019 Outdoor Lighting CASE Report</t>
  </si>
  <si>
    <t>Canopy</t>
  </si>
  <si>
    <t>Size</t>
  </si>
  <si>
    <t>Area</t>
  </si>
  <si>
    <t>Perimeter (ft)</t>
  </si>
  <si>
    <t>40 ft × 15 ft</t>
  </si>
  <si>
    <t>600 ft²</t>
  </si>
  <si>
    <t>Total floor area (ft²)</t>
  </si>
  <si>
    <t>30 ft × 12 ft</t>
  </si>
  <si>
    <t>360 ft²</t>
  </si>
  <si>
    <t>Floors (above ground)</t>
  </si>
  <si>
    <t>FoodPrep south</t>
  </si>
  <si>
    <t>15 ft × 8 ft</t>
  </si>
  <si>
    <t>120 ft²</t>
  </si>
  <si>
    <t>Floors (all)</t>
  </si>
  <si>
    <t>FoodPrep east</t>
  </si>
  <si>
    <t>1,200 ft²</t>
  </si>
  <si>
    <t>Plug load Power Density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</si>
  <si>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</si>
  <si>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</si>
  <si>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</si>
  <si>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Based on PNNL ASHRAE 90.1 2022 assumptions and minimum load for computer room</t>
  </si>
  <si>
    <t>T24 2022 - Appendix 5.4A</t>
  </si>
  <si>
    <t>OfficeLarge prototype is assumed to have a transformer, and its losses will be explicitly modeled.</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</si>
  <si>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</si>
  <si>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</si>
  <si>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</si>
  <si>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</si>
  <si>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</si>
  <si>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</si>
  <si>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</si>
  <si>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</si>
  <si>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</si>
  <si>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</si>
  <si>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</si>
  <si>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</si>
  <si>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</si>
  <si>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</si>
  <si>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</si>
  <si>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</si>
  <si>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Large Office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</si>
  <si>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</si>
  <si>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</si>
  <si>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</si>
  <si>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</si>
  <si>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</si>
  <si>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</si>
  <si>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</si>
  <si>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</si>
  <si>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</si>
  <si>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</si>
  <si>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</si>
  <si>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</si>
  <si>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</si>
  <si>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</si>
  <si>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</si>
  <si>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</si>
  <si>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</si>
  <si>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</si>
  <si>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</si>
  <si>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</si>
  <si>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</si>
  <si>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</si>
  <si>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</si>
  <si>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</si>
  <si>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</si>
  <si>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</si>
  <si>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</si>
  <si>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</si>
  <si>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</si>
  <si>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</si>
  <si>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</si>
  <si>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</si>
  <si>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</si>
  <si>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</si>
  <si>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</si>
  <si>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</si>
  <si>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</si>
  <si>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</si>
  <si>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</si>
  <si>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</si>
  <si>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</si>
  <si>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</si>
  <si>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</si>
  <si>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</si>
  <si>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</si>
  <si>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</si>
  <si>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</si>
  <si>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</si>
  <si>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</si>
  <si>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</si>
  <si>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</si>
  <si>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</si>
  <si>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</si>
  <si>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</si>
  <si>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</si>
  <si>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</si>
  <si>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</si>
  <si>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</si>
  <si>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</si>
  <si>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</si>
  <si>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</si>
  <si>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</si>
  <si>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</si>
  <si>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</si>
  <si>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</si>
  <si>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</si>
  <si>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</si>
  <si>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</si>
  <si>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</si>
  <si>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</si>
  <si>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</si>
  <si>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</si>
  <si>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</si>
  <si>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</si>
  <si>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</si>
  <si>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</si>
  <si>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</si>
  <si>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</si>
  <si>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</si>
  <si>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</si>
  <si>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</si>
  <si>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</si>
  <si>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</si>
  <si>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</si>
  <si>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</si>
  <si>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</si>
  <si>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</si>
  <si>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 xml:space="preserve">All zones except for Server Rooms, Storage, Stairway, and Mechanical_Electrical </t>
  </si>
  <si>
    <t>Occupancy</t>
  </si>
  <si>
    <r>
      <t xml:space="preserve">T24 2022 - Appendix 5.4B, [Office]
</t>
    </r>
    <r>
      <rPr>
        <sz val="9"/>
        <color rgb="FF0070C0"/>
        <rFont val="Arial"/>
        <family val="2"/>
      </rPr>
      <t xml:space="preserve">
Updated base on Plug load and schedules project with CEC, 2025</t>
    </r>
  </si>
  <si>
    <t>Weekday</t>
  </si>
  <si>
    <t>Saturday</t>
  </si>
  <si>
    <t>Sunday</t>
  </si>
  <si>
    <t>Lights</t>
  </si>
  <si>
    <t>T24 2022 - Appendix 5.4B, [Office]</t>
  </si>
  <si>
    <t xml:space="preserve">ElecEquipment </t>
  </si>
  <si>
    <t xml:space="preserve">Plug load and schedules project with CEC, 2025 </t>
  </si>
  <si>
    <t>HVACAvail</t>
  </si>
  <si>
    <r>
      <rPr>
        <sz val="9"/>
        <color rgb="FF000000"/>
        <rFont val="Arial"/>
        <family val="2"/>
      </rPr>
      <t xml:space="preserve">T24 2022 - Appendix 5.4B, [Office]
</t>
    </r>
    <r>
      <rPr>
        <sz val="9"/>
        <color rgb="FF4472C4"/>
        <rFont val="Arial"/>
        <family val="2"/>
      </rPr>
      <t>Updated base on Plug load and schedules project with CEC, 2025</t>
    </r>
  </si>
  <si>
    <t>ServiceHotWater</t>
  </si>
  <si>
    <r>
      <t xml:space="preserve">T24 2022 - Appendix 5.4B, [Office]
</t>
    </r>
    <r>
      <rPr>
        <sz val="9"/>
        <color rgb="FF0070C0"/>
        <rFont val="Arial"/>
        <family val="2"/>
      </rPr>
      <t>Updated base on Plug load and schedules project with CEC, 202</t>
    </r>
  </si>
  <si>
    <t>HtgSetpt</t>
  </si>
  <si>
    <t>ClgSetpt</t>
  </si>
  <si>
    <r>
      <t xml:space="preserve">T24 2022 - Appendix 5.4B, [Data]
</t>
    </r>
    <r>
      <rPr>
        <sz val="9"/>
        <color rgb="FF0070C0"/>
        <rFont val="Arial"/>
        <family val="2"/>
      </rPr>
      <t>Updated base on office schedule</t>
    </r>
  </si>
  <si>
    <t>T24 2022 - Appendix 5.4B, [Data]</t>
  </si>
  <si>
    <t xml:space="preserve">T24 2022 - Appendix 5.4B, [Data]
</t>
  </si>
  <si>
    <t>Based on Activity level and thermostat setpoint</t>
  </si>
  <si>
    <r>
      <rPr>
        <sz val="9"/>
        <color rgb="FF000000"/>
        <rFont val="Arial"/>
        <family val="2"/>
      </rPr>
      <t>T24 2022 - Appendix 5.4B, [Office]</t>
    </r>
    <r>
      <rPr>
        <sz val="9"/>
        <color theme="1"/>
        <rFont val="Arial"/>
        <family val="2"/>
      </rPr>
      <t xml:space="preserve">
</t>
    </r>
    <r>
      <rPr>
        <sz val="9"/>
        <color rgb="FF0070C0"/>
        <rFont val="Arial"/>
        <family val="2"/>
      </rPr>
      <t>Updated base on office schedule</t>
    </r>
  </si>
  <si>
    <t xml:space="preserve">T24 2022 - Appendix 5.4B, [Office]
</t>
  </si>
  <si>
    <t>Other</t>
  </si>
  <si>
    <r>
      <rPr>
        <sz val="9"/>
        <color rgb="FF000000"/>
        <rFont val="Arial"/>
        <family val="2"/>
      </rPr>
      <t xml:space="preserve">T24 2022 - Appendix 5.4B, [Office]
</t>
    </r>
    <r>
      <rPr>
        <sz val="9"/>
        <color rgb="FF0070C0"/>
        <rFont val="Arial"/>
        <family val="2"/>
      </rPr>
      <t>Updated base on Plug load and schedules project with CEC, 202</t>
    </r>
  </si>
  <si>
    <t>ExtLightingNonMotionCtrl</t>
  </si>
  <si>
    <t>ExtLightingMotionCtrl</t>
  </si>
  <si>
    <t>FunctionalAreaPeopleActivityLevel</t>
  </si>
  <si>
    <t xml:space="preserve">Based on Activity level schedules in  CEC Prototypes </t>
  </si>
  <si>
    <t>Server room</t>
  </si>
  <si>
    <t>ComputerRoomPeopleActivityLevel</t>
  </si>
  <si>
    <t>Conference room</t>
  </si>
  <si>
    <t>MeetingAreaPeopleActivityLevel</t>
  </si>
  <si>
    <t>Corridor, Stair, Lobby, Restroom, Mech, Storage, Break</t>
  </si>
  <si>
    <t>CommonAreaPeopleActivityLevel</t>
  </si>
  <si>
    <t>Kitchen/Food prep</t>
  </si>
  <si>
    <t>KitchenPeopleActivityLevel</t>
  </si>
  <si>
    <t>Locker</t>
  </si>
  <si>
    <t>LockerRoomPeopleActivityLevel</t>
  </si>
  <si>
    <t>Operating Schedule</t>
  </si>
  <si>
    <t>System Capacity fraction</t>
  </si>
  <si>
    <t xml:space="preserve">Developed based on CEC and CEUS </t>
  </si>
  <si>
    <t xml:space="preserve">Alternative HVAC System Operating	</t>
  </si>
  <si>
    <t xml:space="preserve">Alternative HVAC System Operating					</t>
  </si>
  <si>
    <t xml:space="preserve">Developed based on CEC schedules and CEUS operating hours					</t>
  </si>
  <si>
    <t>Otherday</t>
  </si>
  <si>
    <t>CalBEM Energy Consumption - OfficeLarge</t>
  </si>
  <si>
    <t>National Average (EnergyStar Portfolio Manager)</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</si>
  <si>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</si>
  <si>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</si>
  <si>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</si>
  <si>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</si>
  <si>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</si>
  <si>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</si>
  <si>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</si>
  <si>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</si>
  <si>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</si>
  <si>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Range</t>
  </si>
  <si>
    <t>Zip code</t>
  </si>
  <si>
    <t>Total Floorspace (Thousand of ft2)</t>
  </si>
  <si>
    <t>CEUS 2022 Electric Energy Intensity (kWh/ft²)</t>
  </si>
  <si>
    <t>CEUS 2022 Annual Gas Intensity (kWh/ft²)</t>
  </si>
  <si>
    <t>CEUS 2022 Total EUI (kBtu/ft²)</t>
  </si>
  <si>
    <t>CEUS 2022 Acceptable Range</t>
  </si>
  <si>
    <t>HotelSmall</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</si>
  <si>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</si>
  <si>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</si>
  <si>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</si>
  <si>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Floor area distribution of CA office buildings (CEUS 2022)</t>
  </si>
  <si>
    <t>Pre-1978</t>
  </si>
  <si>
    <t>Office, Small</t>
  </si>
  <si>
    <t>Office, Medium</t>
  </si>
  <si>
    <t>OfficeSmall</t>
  </si>
  <si>
    <t>Statewide</t>
  </si>
  <si>
    <t>Ref: CEUS 2022 dataset</t>
  </si>
  <si>
    <t>Ref: Dodge 2023</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</si>
  <si>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</si>
  <si>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</si>
  <si>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</si>
  <si>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</si>
  <si>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</si>
  <si>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</si>
  <si>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</si>
  <si>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</si>
  <si>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</si>
  <si>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</si>
  <si>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</si>
  <si>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</si>
  <si>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</si>
  <si>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</si>
  <si>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</si>
  <si>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</si>
  <si>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</si>
  <si>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</si>
  <si>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</si>
  <si>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</si>
  <si>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</si>
  <si>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</si>
  <si>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</si>
  <si>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</si>
  <si>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</si>
  <si>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</si>
  <si>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</si>
  <si>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</si>
  <si>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</si>
  <si>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</si>
  <si>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</si>
  <si>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</si>
  <si>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</si>
  <si>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</si>
  <si>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</si>
  <si>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</si>
  <si>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</si>
  <si>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(Reading Area)</t>
  </si>
  <si>
    <t>Library (Stacks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</si>
  <si>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</si>
  <si>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</si>
  <si>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</si>
  <si>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</si>
  <si>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</si>
  <si>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</si>
  <si>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</si>
  <si>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</si>
  <si>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</si>
  <si>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</si>
  <si>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</si>
  <si>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</si>
  <si>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</si>
  <si>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</si>
  <si>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</si>
  <si>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</si>
  <si>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</si>
  <si>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</si>
  <si>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</si>
  <si>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</si>
  <si>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</si>
  <si>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</si>
  <si>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</si>
  <si>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</si>
  <si>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</si>
  <si>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</si>
  <si>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</si>
  <si>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</si>
  <si>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</si>
  <si>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</si>
  <si>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IT Room (EPD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</si>
</sst>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0.0%"/>
    <numFmt numFmtId="165" formatCode="0.0"/>
    <numFmt numFmtId="166" formatCode="#,##0.0"/>
    <numFmt numFmtId="167" formatCode="0.000"/>
    <numFmt numFmtId="168" formatCode="_(* #,##0_);_(* \(#,##0\);_(* &quot;-&quot;??_);_(@_)"/>
    <numFmt numFmtId="169" formatCode="_(* #,##0.000_);_(* \(#,##0.000\);_(* &quot;-&quot;??_);_(@_)"/>
    <numFmt numFmtId="170" formatCode="_(* #,##0.0000_);_(* \(#,##0.0000\);_(* &quot;-&quot;??_);_(@_)"/>
    <numFmt numFmtId="171" formatCode="#,##0;\-0;[Color15]0"/>
    <numFmt numFmtId="172" formatCode="0.0000"/>
    <numFmt numFmtId="173" formatCode="_(* #,##0.0_);_(* \(#,##0.0\);_(* &quot;-&quot;??_);_(@_)"/>
  </numFmts>
  <fonts count="77" x14ac:knownFonts="1">
    <font>
      <sz val="11"/>
      <color theme="1"/>
      <name val="Calibri"/>
      <family val="2"/>
      <scheme val="minor"/>
    </font>
    <font>
      <b/>
      <sz val="14"/>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theme="4" tint="-0.499984740745262"/>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9"/>
      <name val="Arial"/>
      <family val="2"/>
    </font>
    <font>
      <b/>
      <sz val="10"/>
      <color rgb="FF7030A0"/>
      <name val="Arial"/>
      <family val="2"/>
    </font>
    <font>
      <sz val="10"/>
      <color rgb="FF000000"/>
      <name val="Arial"/>
      <family val="2"/>
      <charset val="1"/>
    </font>
    <font>
      <sz val="11"/>
      <color theme="1"/>
      <name val="Arial"/>
      <family val="2"/>
    </font>
    <font>
      <b/>
      <sz val="14"/>
      <color theme="1"/>
      <name val="Arial"/>
      <family val="2"/>
    </font>
    <font>
      <u/>
      <sz val="10"/>
      <color theme="1"/>
      <name val="Arial"/>
      <family val="2"/>
    </font>
    <font>
      <sz val="8"/>
      <color theme="1"/>
      <name val="Arial"/>
      <family val="2"/>
    </font>
    <font>
      <b/>
      <sz val="9"/>
      <color theme="1"/>
      <name val="Arial"/>
      <family val="2"/>
    </font>
    <font>
      <b/>
      <sz val="10"/>
      <color rgb="FFFFFFFF"/>
      <name val="Arial"/>
      <family val="2"/>
    </font>
    <font>
      <sz val="14"/>
      <color theme="1"/>
      <name val="Arial"/>
      <family val="2"/>
    </font>
    <font>
      <sz val="14"/>
      <color theme="0"/>
      <name val="Arial"/>
      <family val="2"/>
    </font>
    <font>
      <sz val="12"/>
      <color theme="0"/>
      <name val="Arial"/>
      <family val="2"/>
    </font>
    <font>
      <b/>
      <sz val="10"/>
      <color theme="0"/>
      <name val="Arial"/>
      <family val="2"/>
    </font>
    <font>
      <b/>
      <sz val="12"/>
      <color rgb="FFFFFFFF"/>
      <name val="Arial"/>
      <family val="2"/>
    </font>
    <font>
      <sz val="11"/>
      <name val="Cambria"/>
      <family val="1"/>
    </font>
    <font>
      <sz val="11"/>
      <color theme="1"/>
      <name val="Cambria"/>
      <family val="1"/>
    </font>
    <font>
      <b/>
      <sz val="11"/>
      <color theme="1"/>
      <name val="Cambria"/>
      <family val="1"/>
    </font>
    <font>
      <sz val="10"/>
      <color rgb="FF7030A0"/>
      <name val="Arial"/>
      <family val="2"/>
    </font>
    <font>
      <sz val="10"/>
      <color theme="0"/>
      <name val="Calibri"/>
      <family val="2"/>
      <scheme val="minor"/>
    </font>
    <font>
      <sz val="11"/>
      <color theme="1"/>
      <name val="Calibri"/>
      <family val="2"/>
    </font>
    <font>
      <b/>
      <sz val="10"/>
      <color rgb="FF2F5496"/>
      <name val="Arial"/>
      <family val="2"/>
    </font>
    <font>
      <sz val="11"/>
      <name val="Arial"/>
      <family val="2"/>
    </font>
    <font>
      <sz val="10"/>
      <color rgb="FF0070C0"/>
      <name val="Arial"/>
      <family val="2"/>
    </font>
    <font>
      <sz val="8"/>
      <color rgb="FF000000"/>
      <name val="Arial"/>
      <family val="2"/>
    </font>
    <font>
      <b/>
      <sz val="8"/>
      <color rgb="FF000000"/>
      <name val="Arial"/>
      <family val="2"/>
    </font>
    <font>
      <sz val="9"/>
      <color rgb="FF0070C0"/>
      <name val="Arial"/>
      <family val="2"/>
    </font>
    <font>
      <sz val="9"/>
      <color rgb="FF000000"/>
      <name val="Arial"/>
      <family val="2"/>
    </font>
    <font>
      <sz val="11"/>
      <color rgb="FF000000"/>
      <name val="Calibri"/>
      <family val="2"/>
    </font>
    <font>
      <b/>
      <sz val="12"/>
      <color rgb="FF000000"/>
      <name val="Arial"/>
      <family val="2"/>
    </font>
    <font>
      <sz val="11"/>
      <color rgb="FF000000"/>
      <name val="Arial"/>
      <family val="2"/>
    </font>
    <font>
      <b/>
      <sz val="11"/>
      <name val="Calibri"/>
      <family val="2"/>
    </font>
    <font>
      <b/>
      <sz val="14"/>
      <color rgb="FFFFFFFF"/>
      <name val="Calibri"/>
      <family val="2"/>
    </font>
    <font>
      <b/>
      <sz val="9"/>
      <color rgb="FF000000"/>
      <name val="Arial"/>
      <family val="2"/>
    </font>
    <font>
      <b/>
      <sz val="11"/>
      <color rgb="FF000000"/>
      <name val="Calibri"/>
      <family val="2"/>
    </font>
    <font>
      <sz val="9"/>
      <color theme="4"/>
      <name val="Arial"/>
      <family val="2"/>
    </font>
    <font>
      <sz val="9"/>
      <color rgb="FF4472C4"/>
      <name val="Arial"/>
      <family val="2"/>
    </font>
    <font>
      <u/>
      <sz val="10"/>
      <color rgb="FF000000"/>
      <name val="Arial"/>
      <family val="2"/>
    </font>
    <font>
      <b/>
      <sz val="15"/>
      <color rgb="FF000000"/>
      <name val="Arial"/>
      <family val="2"/>
    </font>
    <font>
      <b/>
      <sz val="14"/>
      <color rgb="FF000000"/>
      <name val="Calibri"/>
      <family val="2"/>
      <scheme val="minor"/>
    </font>
    <font>
      <b/>
      <sz val="11"/>
      <color rgb="FF000000"/>
      <name val="Arial"/>
      <family val="2"/>
    </font>
    <font>
      <sz val="10"/>
      <color rgb="FF141414"/>
      <name val="Arial"/>
      <family val="2"/>
    </font>
    <font>
      <b/>
      <sz val="10"/>
      <color rgb="FF141414"/>
      <name val="Arial"/>
      <family val="2"/>
    </font>
    <font>
      <u/>
      <sz val="11"/>
      <color rgb="FF000000"/>
      <name val="Calibri"/>
      <family val="2"/>
      <scheme val="minor"/>
    </font>
    <font>
      <b/>
      <sz val="12"/>
      <color theme="1"/>
      <name val="Arial"/>
      <family val="2"/>
    </font>
    <font>
      <sz val="12"/>
      <color theme="1"/>
      <name val="Arial"/>
      <family val="2"/>
    </font>
    <font>
      <vertAlign val="superscript"/>
      <sz val="10"/>
      <color rgb="FF000000"/>
      <name val="Arial"/>
      <family val="2"/>
    </font>
    <font>
      <sz val="10"/>
      <color rgb="FF000000"/>
      <name val="Arial"/>
    </font>
    <font>
      <sz val="10"/>
      <color theme="1"/>
      <name val="Arial"/>
    </font>
    <font>
      <b/>
      <sz val="12"/>
      <color rgb="FFFFFFFF"/>
      <name val="Arial"/>
    </font>
    <font>
      <sz val="10"/>
      <color rgb="FFFFFFFF"/>
      <name val="Arial"/>
    </font>
  </fonts>
  <fills count="34">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005DAA"/>
        <bgColor indexed="64"/>
      </patternFill>
    </fill>
    <fill>
      <patternFill patternType="solid">
        <fgColor rgb="FFCBD2E2"/>
        <bgColor indexed="64"/>
      </patternFill>
    </fill>
    <fill>
      <patternFill patternType="solid">
        <fgColor rgb="FFE7EAF1"/>
        <bgColor indexed="64"/>
      </patternFill>
    </fill>
    <fill>
      <patternFill patternType="solid">
        <fgColor rgb="FF203764"/>
        <bgColor rgb="FF000000"/>
      </patternFill>
    </fill>
    <fill>
      <patternFill patternType="solid">
        <fgColor rgb="FFD9E1F2"/>
        <bgColor rgb="FF000000"/>
      </patternFill>
    </fill>
    <fill>
      <patternFill patternType="solid">
        <fgColor rgb="FFD9D9D9"/>
        <bgColor indexed="64"/>
      </patternFill>
    </fill>
    <fill>
      <patternFill patternType="solid">
        <fgColor rgb="FFFFFFFF"/>
        <bgColor indexed="64"/>
      </patternFill>
    </fill>
    <fill>
      <patternFill patternType="solid">
        <fgColor rgb="FFFFFFFF"/>
        <bgColor rgb="FF000000"/>
      </patternFill>
    </fill>
    <fill>
      <patternFill patternType="solid">
        <fgColor rgb="FFD6DCE4"/>
        <bgColor rgb="FF000000"/>
      </patternFill>
    </fill>
    <fill>
      <patternFill patternType="solid">
        <fgColor theme="7" tint="0.79998168889431442"/>
        <bgColor rgb="FF000000"/>
      </patternFill>
    </fill>
    <fill>
      <patternFill patternType="solid">
        <fgColor rgb="FFD9E1F2"/>
        <bgColor indexed="64"/>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CFCFC"/>
        <bgColor indexed="64"/>
      </patternFill>
    </fill>
    <fill>
      <patternFill patternType="solid">
        <fgColor rgb="FF919191"/>
        <bgColor indexed="64"/>
      </patternFill>
    </fill>
    <fill>
      <patternFill patternType="solid">
        <fgColor rgb="FFC2BCBC"/>
        <bgColor indexed="64"/>
      </patternFill>
    </fill>
  </fills>
  <borders count="291">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theme="0" tint="-0.499984740745262"/>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medium">
        <color rgb="FF000000"/>
      </left>
      <right style="medium">
        <color rgb="FF000000"/>
      </right>
      <top style="medium">
        <color rgb="FF000000"/>
      </top>
      <bottom style="medium">
        <color rgb="FF000000"/>
      </bottom>
      <diagonal/>
    </border>
    <border>
      <left style="medium">
        <color rgb="FFFFFFFF"/>
      </left>
      <right/>
      <top style="thick">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style="medium">
        <color rgb="FFFFFFFF"/>
      </top>
      <bottom style="medium">
        <color rgb="FFFFFFFF"/>
      </bottom>
      <diagonal/>
    </border>
    <border>
      <left/>
      <right style="medium">
        <color rgb="FFFFFFFF"/>
      </right>
      <top style="thick">
        <color rgb="FFFFFFFF"/>
      </top>
      <bottom/>
      <diagonal/>
    </border>
    <border>
      <left/>
      <right/>
      <top style="thick">
        <color rgb="FFFFFFFF"/>
      </top>
      <bottom/>
      <diagonal/>
    </border>
    <border>
      <left/>
      <right style="medium">
        <color rgb="FFFFFFFF"/>
      </right>
      <top/>
      <bottom style="medium">
        <color rgb="FFFFFFF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808080"/>
      </left>
      <right style="thin">
        <color rgb="FF808080"/>
      </right>
      <top style="thin">
        <color rgb="FF808080"/>
      </top>
      <bottom style="thin">
        <color rgb="FF808080"/>
      </bottom>
      <diagonal/>
    </border>
    <border>
      <left style="medium">
        <color indexed="64"/>
      </left>
      <right style="thin">
        <color indexed="64"/>
      </right>
      <top/>
      <bottom style="thin">
        <color indexed="64"/>
      </bottom>
      <diagonal/>
    </border>
    <border>
      <left style="thin">
        <color theme="0" tint="-0.499984740745262"/>
      </left>
      <right style="thin">
        <color theme="0" tint="-0.499984740745262"/>
      </right>
      <top style="thin">
        <color indexed="64"/>
      </top>
      <bottom/>
      <diagonal/>
    </border>
    <border>
      <left style="thin">
        <color theme="0" tint="-0.499984740745262"/>
      </left>
      <right style="thin">
        <color rgb="FF808080"/>
      </right>
      <top style="thin">
        <color theme="0" tint="-0.499984740745262"/>
      </top>
      <bottom/>
      <diagonal/>
    </border>
    <border>
      <left style="thin">
        <color theme="0" tint="-0.499984740745262"/>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808080"/>
      </left>
      <right style="thin">
        <color rgb="FF808080"/>
      </right>
      <top style="thin">
        <color theme="0" tint="-0.499984740745262"/>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thin">
        <color theme="0" tint="-0.499984740745262"/>
      </left>
      <right style="thin">
        <color indexed="64"/>
      </right>
      <top style="thin">
        <color theme="0" tint="-0.499984740745262"/>
      </top>
      <bottom style="thin">
        <color theme="0" tint="-0.499984740745262"/>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indexed="64"/>
      </right>
      <top style="medium">
        <color indexed="64"/>
      </top>
      <bottom style="thin">
        <color indexed="64"/>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top style="thin">
        <color indexed="64"/>
      </top>
      <bottom style="medium">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right/>
      <top/>
      <bottom style="thin">
        <color theme="1" tint="0.34998626667073579"/>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medium">
        <color indexed="64"/>
      </right>
      <top style="medium">
        <color theme="1" tint="0.34998626667073579"/>
      </top>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thin">
        <color theme="1" tint="0.34998626667073579"/>
      </left>
      <right style="medium">
        <color indexed="64"/>
      </right>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diagonal/>
    </border>
    <border>
      <left style="medium">
        <color indexed="64"/>
      </left>
      <right style="thin">
        <color rgb="FF595959"/>
      </right>
      <top style="medium">
        <color rgb="FF595959"/>
      </top>
      <bottom/>
      <diagonal/>
    </border>
    <border>
      <left style="medium">
        <color indexed="64"/>
      </left>
      <right style="thin">
        <color rgb="FF595959"/>
      </right>
      <top/>
      <bottom/>
      <diagonal/>
    </border>
    <border>
      <left style="medium">
        <color indexed="64"/>
      </left>
      <right style="thin">
        <color rgb="FF595959"/>
      </right>
      <top/>
      <bottom style="thin">
        <color rgb="FF595959"/>
      </bottom>
      <diagonal/>
    </border>
    <border>
      <left style="thin">
        <color rgb="FF595959"/>
      </left>
      <right style="thin">
        <color rgb="FF595959"/>
      </right>
      <top style="medium">
        <color rgb="FF595959"/>
      </top>
      <bottom/>
      <diagonal/>
    </border>
    <border>
      <left style="thin">
        <color rgb="FF595959"/>
      </left>
      <right style="thin">
        <color rgb="FF595959"/>
      </right>
      <top/>
      <bottom/>
      <diagonal/>
    </border>
    <border>
      <left style="thin">
        <color rgb="FF595959"/>
      </left>
      <right style="thin">
        <color rgb="FF595959"/>
      </right>
      <top/>
      <bottom style="thin">
        <color rgb="FF595959"/>
      </bottom>
      <diagonal/>
    </border>
    <border>
      <left style="thin">
        <color rgb="FF595959"/>
      </left>
      <right style="medium">
        <color indexed="64"/>
      </right>
      <top style="medium">
        <color rgb="FF595959"/>
      </top>
      <bottom/>
      <diagonal/>
    </border>
    <border>
      <left style="thin">
        <color rgb="FF595959"/>
      </left>
      <right style="medium">
        <color indexed="64"/>
      </right>
      <top/>
      <bottom/>
      <diagonal/>
    </border>
    <border>
      <left style="thin">
        <color rgb="FF595959"/>
      </left>
      <right style="medium">
        <color indexed="64"/>
      </right>
      <top/>
      <bottom style="thin">
        <color rgb="FF595959"/>
      </bottom>
      <diagonal/>
    </border>
    <border>
      <left/>
      <right style="thin">
        <color rgb="FF595959"/>
      </right>
      <top style="medium">
        <color rgb="FF595959"/>
      </top>
      <bottom style="thin">
        <color rgb="FF595959"/>
      </bottom>
      <diagonal/>
    </border>
    <border>
      <left style="thin">
        <color rgb="FF595959"/>
      </left>
      <right style="thin">
        <color rgb="FF595959"/>
      </right>
      <top style="medium">
        <color rgb="FF595959"/>
      </top>
      <bottom style="thin">
        <color rgb="FF595959"/>
      </bottom>
      <diagonal/>
    </border>
    <border>
      <left style="thin">
        <color rgb="FF595959"/>
      </left>
      <right style="medium">
        <color rgb="FF595959"/>
      </right>
      <top style="medium">
        <color rgb="FF595959"/>
      </top>
      <bottom style="thin">
        <color rgb="FF595959"/>
      </bottom>
      <diagonal/>
    </border>
    <border>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medium">
        <color rgb="FF595959"/>
      </right>
      <top style="thin">
        <color rgb="FF595959"/>
      </top>
      <bottom style="thin">
        <color rgb="FF595959"/>
      </bottom>
      <diagonal/>
    </border>
    <border>
      <left/>
      <right style="thin">
        <color rgb="FF595959"/>
      </right>
      <top style="thin">
        <color rgb="FF595959"/>
      </top>
      <bottom style="medium">
        <color rgb="FF595959"/>
      </bottom>
      <diagonal/>
    </border>
    <border>
      <left style="thin">
        <color rgb="FF595959"/>
      </left>
      <right style="thin">
        <color rgb="FF595959"/>
      </right>
      <top style="thin">
        <color rgb="FF595959"/>
      </top>
      <bottom style="medium">
        <color rgb="FF595959"/>
      </bottom>
      <diagonal/>
    </border>
    <border>
      <left style="thin">
        <color rgb="FF595959"/>
      </left>
      <right style="medium">
        <color rgb="FF595959"/>
      </right>
      <top style="thin">
        <color rgb="FF595959"/>
      </top>
      <bottom style="medium">
        <color rgb="FF59595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medium">
        <color rgb="FF000000"/>
      </left>
      <right style="thin">
        <color indexed="64"/>
      </right>
      <top style="medium">
        <color rgb="FF000000"/>
      </top>
      <bottom style="thin">
        <color indexed="64"/>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style="medium">
        <color indexed="64"/>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medium">
        <color rgb="FF000000"/>
      </left>
      <right style="thin">
        <color indexed="64"/>
      </right>
      <top style="medium">
        <color rgb="FF000000"/>
      </top>
      <bottom/>
      <diagonal/>
    </border>
    <border>
      <left style="thin">
        <color theme="0" tint="-0.499984740745262"/>
      </left>
      <right style="thin">
        <color theme="0" tint="-0.499984740745262"/>
      </right>
      <top style="medium">
        <color rgb="FF000000"/>
      </top>
      <bottom/>
      <diagonal/>
    </border>
    <border>
      <left style="thin">
        <color rgb="FF000000"/>
      </left>
      <right style="thin">
        <color rgb="FF000000"/>
      </right>
      <top style="medium">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style="thin">
        <color indexed="64"/>
      </right>
      <top style="medium">
        <color rgb="FF000000"/>
      </top>
      <bottom/>
      <diagonal/>
    </border>
    <border>
      <left/>
      <right style="medium">
        <color indexed="64"/>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diagonal/>
    </border>
    <border>
      <left style="thin">
        <color rgb="FF000000"/>
      </left>
      <right style="thin">
        <color rgb="FF000000"/>
      </right>
      <top/>
      <bottom/>
      <diagonal/>
    </border>
    <border>
      <left style="medium">
        <color indexed="64"/>
      </left>
      <right style="thin">
        <color theme="1" tint="0.34998626667073579"/>
      </right>
      <top/>
      <bottom style="thin">
        <color theme="1" tint="0.34998626667073579"/>
      </bottom>
      <diagonal/>
    </border>
    <border>
      <left style="thin">
        <color rgb="FF000000"/>
      </left>
      <right/>
      <top style="thin">
        <color rgb="FF000000"/>
      </top>
      <bottom style="thin">
        <color theme="1" tint="0.34998626667073579"/>
      </bottom>
      <diagonal/>
    </border>
    <border>
      <left/>
      <right/>
      <top style="thin">
        <color rgb="FF000000"/>
      </top>
      <bottom style="thin">
        <color theme="1" tint="0.34998626667073579"/>
      </bottom>
      <diagonal/>
    </border>
    <border>
      <left/>
      <right style="thin">
        <color rgb="FF000000"/>
      </right>
      <top style="thin">
        <color rgb="FF000000"/>
      </top>
      <bottom style="thin">
        <color theme="1" tint="0.34998626667073579"/>
      </bottom>
      <diagonal/>
    </border>
    <border>
      <left style="thin">
        <color rgb="FF000000"/>
      </left>
      <right style="thin">
        <color theme="1" tint="0.34998626667073579"/>
      </right>
      <top style="thin">
        <color theme="1" tint="0.34998626667073579"/>
      </top>
      <bottom/>
      <diagonal/>
    </border>
    <border>
      <left style="thin">
        <color theme="1" tint="0.34998626667073579"/>
      </left>
      <right style="thin">
        <color rgb="FF000000"/>
      </right>
      <top style="thin">
        <color theme="1" tint="0.34998626667073579"/>
      </top>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style="thin">
        <color indexed="64"/>
      </top>
      <bottom style="thin">
        <color rgb="FF000000"/>
      </bottom>
      <diagonal/>
    </border>
    <border>
      <left style="thin">
        <color theme="0" tint="-0.499984740745262"/>
      </left>
      <right style="thin">
        <color theme="0" tint="-0.499984740745262"/>
      </right>
      <top style="thin">
        <color theme="0" tint="-0.499984740745262"/>
      </top>
      <bottom style="thin">
        <color rgb="FF000000"/>
      </bottom>
      <diagonal/>
    </border>
    <border>
      <left style="thin">
        <color theme="0" tint="-0.499984740745262"/>
      </left>
      <right/>
      <top style="thin">
        <color theme="0" tint="-0.499984740745262"/>
      </top>
      <bottom style="thin">
        <color rgb="FF000000"/>
      </bottom>
      <diagonal/>
    </border>
    <border>
      <left style="thin">
        <color theme="0" tint="-0.499984740745262"/>
      </left>
      <right style="thin">
        <color indexed="64"/>
      </right>
      <top style="thin">
        <color theme="0" tint="-0.499984740745262"/>
      </top>
      <bottom style="thin">
        <color rgb="FF000000"/>
      </bottom>
      <diagonal/>
    </border>
    <border>
      <left style="thin">
        <color indexed="64"/>
      </left>
      <right style="thin">
        <color rgb="FF000000"/>
      </right>
      <top/>
      <bottom style="thin">
        <color rgb="FF000000"/>
      </bottom>
      <diagonal/>
    </border>
    <border>
      <left/>
      <right/>
      <top style="thin">
        <color theme="1" tint="0.34998626667073579"/>
      </top>
      <bottom style="thin">
        <color theme="1" tint="0.34998626667073579"/>
      </bottom>
      <diagonal/>
    </border>
    <border>
      <left style="thin">
        <color theme="1" tint="0.34998626667073579"/>
      </left>
      <right style="thin">
        <color theme="1" tint="0.34998626667073579"/>
      </right>
      <top style="medium">
        <color rgb="FF000000"/>
      </top>
      <bottom/>
      <diagonal/>
    </border>
    <border>
      <left style="thin">
        <color theme="1" tint="0.34998626667073579"/>
      </left>
      <right style="medium">
        <color indexed="64"/>
      </right>
      <top style="medium">
        <color rgb="FF000000"/>
      </top>
      <bottom style="thin">
        <color theme="1" tint="0.34998626667073579"/>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diagonal/>
    </border>
    <border>
      <left style="thin">
        <color theme="1" tint="0.34998626667073579"/>
      </left>
      <right style="medium">
        <color indexed="64"/>
      </right>
      <top style="thin">
        <color theme="1" tint="0.34998626667073579"/>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bottom style="medium">
        <color rgb="FF000000"/>
      </bottom>
      <diagonal/>
    </border>
    <border>
      <left style="medium">
        <color indexed="64"/>
      </left>
      <right/>
      <top style="medium">
        <color rgb="FF000000"/>
      </top>
      <bottom style="thin">
        <color indexed="64"/>
      </bottom>
      <diagonal/>
    </border>
    <border>
      <left style="medium">
        <color indexed="64"/>
      </left>
      <right/>
      <top style="thin">
        <color indexed="64"/>
      </top>
      <bottom style="thin">
        <color indexed="64"/>
      </bottom>
      <diagonal/>
    </border>
    <border>
      <left style="medium">
        <color rgb="FF000000"/>
      </left>
      <right style="thin">
        <color theme="1" tint="0.34998626667073579"/>
      </right>
      <top style="thin">
        <color theme="1" tint="0.34998626667073579"/>
      </top>
      <bottom/>
      <diagonal/>
    </border>
    <border>
      <left style="medium">
        <color indexed="64"/>
      </left>
      <right/>
      <top style="thin">
        <color indexed="64"/>
      </top>
      <bottom/>
      <diagonal/>
    </border>
    <border>
      <left style="thin">
        <color theme="1" tint="0.34998626667073579"/>
      </left>
      <right style="thin">
        <color theme="1" tint="0.34998626667073579"/>
      </right>
      <top style="medium">
        <color rgb="FF000000"/>
      </top>
      <bottom style="thin">
        <color indexed="64"/>
      </bottom>
      <diagonal/>
    </border>
    <border>
      <left style="thin">
        <color theme="1" tint="0.34998626667073579"/>
      </left>
      <right style="thin">
        <color theme="1" tint="0.34998626667073579"/>
      </right>
      <top style="thin">
        <color indexed="64"/>
      </top>
      <bottom style="medium">
        <color rgb="FF000000"/>
      </bottom>
      <diagonal/>
    </border>
    <border>
      <left style="medium">
        <color indexed="64"/>
      </left>
      <right/>
      <top style="thin">
        <color indexed="64"/>
      </top>
      <bottom style="medium">
        <color rgb="FF000000"/>
      </bottom>
      <diagonal/>
    </border>
    <border>
      <left style="thin">
        <color rgb="FF000000"/>
      </left>
      <right/>
      <top/>
      <bottom/>
      <diagonal/>
    </border>
    <border>
      <left style="thin">
        <color theme="1" tint="0.499984740745262"/>
      </left>
      <right/>
      <top style="thin">
        <color theme="1" tint="0.499984740745262"/>
      </top>
      <bottom style="thin">
        <color theme="1" tint="0.499984740745262"/>
      </bottom>
      <diagonal/>
    </border>
    <border>
      <left style="thin">
        <color rgb="FF808080"/>
      </left>
      <right style="thin">
        <color rgb="FF000000"/>
      </right>
      <top style="thin">
        <color rgb="FF000000"/>
      </top>
      <bottom/>
      <diagonal/>
    </border>
    <border>
      <left style="thin">
        <color rgb="FF808080"/>
      </left>
      <right/>
      <top/>
      <bottom/>
      <diagonal/>
    </border>
    <border>
      <left style="thin">
        <color rgb="FF808080"/>
      </left>
      <right/>
      <top/>
      <bottom style="thin">
        <color rgb="FF808080"/>
      </bottom>
      <diagonal/>
    </border>
    <border>
      <left style="thin">
        <color indexed="64"/>
      </left>
      <right/>
      <top/>
      <bottom style="thin">
        <color rgb="FF000000"/>
      </bottom>
      <diagonal/>
    </border>
    <border>
      <left/>
      <right/>
      <top style="thin">
        <color rgb="FF000000"/>
      </top>
      <bottom/>
      <diagonal/>
    </border>
    <border>
      <left/>
      <right style="thin">
        <color indexed="64"/>
      </right>
      <top/>
      <bottom/>
      <diagonal/>
    </border>
    <border>
      <left style="thin">
        <color theme="1" tint="0.34998626667073579"/>
      </left>
      <right style="medium">
        <color rgb="FF000000"/>
      </right>
      <top/>
      <bottom/>
      <diagonal/>
    </border>
    <border>
      <left/>
      <right/>
      <top style="thin">
        <color theme="1" tint="0.34998626667073579"/>
      </top>
      <bottom style="medium">
        <color theme="1" tint="0.34998626667073579"/>
      </bottom>
      <diagonal/>
    </border>
    <border>
      <left style="thin">
        <color indexed="64"/>
      </left>
      <right style="thin">
        <color indexed="64"/>
      </right>
      <top style="thin">
        <color indexed="64"/>
      </top>
      <bottom style="medium">
        <color rgb="FF000000"/>
      </bottom>
      <diagonal/>
    </border>
    <border>
      <left style="thin">
        <color indexed="64"/>
      </left>
      <right style="medium">
        <color indexed="64"/>
      </right>
      <top style="thin">
        <color indexed="64"/>
      </top>
      <bottom style="medium">
        <color rgb="FF000000"/>
      </bottom>
      <diagonal/>
    </border>
    <border>
      <left style="thin">
        <color theme="0" tint="-0.499984740745262"/>
      </left>
      <right style="thin">
        <color theme="0" tint="-0.14999847407452621"/>
      </right>
      <top style="thin">
        <color theme="0" tint="-0.499984740745262"/>
      </top>
      <bottom style="thin">
        <color theme="0" tint="-0.499984740745262"/>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thin">
        <color theme="1" tint="0.249977111117893"/>
      </left>
      <right/>
      <top/>
      <bottom/>
      <diagonal/>
    </border>
    <border>
      <left/>
      <right style="thin">
        <color theme="1" tint="0.249977111117893"/>
      </right>
      <top/>
      <bottom/>
      <diagonal/>
    </border>
    <border>
      <left/>
      <right/>
      <top/>
      <bottom style="thin">
        <color theme="1" tint="0.249977111117893"/>
      </bottom>
      <diagonal/>
    </border>
    <border>
      <left/>
      <right style="thin">
        <color theme="1" tint="0.249977111117893"/>
      </right>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right style="thin">
        <color theme="1" tint="0.249977111117893"/>
      </right>
      <top style="thin">
        <color indexed="64"/>
      </top>
      <bottom/>
      <diagonal/>
    </border>
    <border>
      <left style="thin">
        <color indexed="64"/>
      </left>
      <right/>
      <top/>
      <bottom style="thin">
        <color theme="1" tint="0.249977111117893"/>
      </bottom>
      <diagonal/>
    </border>
    <border>
      <left style="thin">
        <color rgb="FF000000"/>
      </left>
      <right/>
      <top/>
      <bottom style="thin">
        <color indexed="64"/>
      </bottom>
      <diagonal/>
    </border>
    <border>
      <left/>
      <right style="thin">
        <color rgb="FF000000"/>
      </right>
      <top/>
      <bottom/>
      <diagonal/>
    </border>
  </borders>
  <cellStyleXfs count="15">
    <xf numFmtId="0" fontId="0" fillId="0" borderId="0"/>
    <xf numFmtId="0" fontId="2" fillId="0" borderId="0"/>
    <xf numFmtId="9" fontId="3" fillId="0" borderId="0" applyFont="0" applyFill="0" applyBorder="0" applyAlignment="0" applyProtection="0"/>
    <xf numFmtId="0" fontId="5" fillId="0" borderId="0" applyNumberFormat="0" applyFill="0" applyBorder="0" applyAlignment="0" applyProtection="0"/>
    <xf numFmtId="0" fontId="7" fillId="0" borderId="0"/>
    <xf numFmtId="0" fontId="9" fillId="0" borderId="0" applyNumberFormat="0" applyFill="0" applyBorder="0" applyAlignment="0" applyProtection="0"/>
    <xf numFmtId="43" fontId="3" fillId="0" borderId="0" applyFont="0" applyFill="0" applyBorder="0" applyAlignment="0" applyProtection="0"/>
    <xf numFmtId="0" fontId="3" fillId="0" borderId="0"/>
    <xf numFmtId="9" fontId="7" fillId="0" borderId="0" applyFont="0" applyFill="0" applyBorder="0" applyAlignment="0" applyProtection="0"/>
    <xf numFmtId="0" fontId="15" fillId="0" borderId="0"/>
    <xf numFmtId="0" fontId="17" fillId="0" borderId="0" applyNumberFormat="0" applyFill="0" applyBorder="0" applyAlignment="0" applyProtection="0"/>
    <xf numFmtId="0" fontId="7" fillId="0" borderId="0"/>
    <xf numFmtId="0" fontId="7" fillId="0" borderId="0"/>
    <xf numFmtId="0" fontId="3" fillId="0" borderId="0"/>
    <xf numFmtId="0" fontId="46" fillId="0" borderId="0"/>
  </cellStyleXfs>
  <cellXfs count="1060">
    <xf numFmtId="0" fontId="0" fillId="0" borderId="0" xfId="0"/>
    <xf numFmtId="0" fontId="9" fillId="0" borderId="0" xfId="5"/>
    <xf numFmtId="2" fontId="0" fillId="0" borderId="0" xfId="0" applyNumberFormat="1"/>
    <xf numFmtId="0" fontId="13" fillId="0" borderId="0" xfId="0" applyFont="1"/>
    <xf numFmtId="0" fontId="13" fillId="0" borderId="0" xfId="0" applyFont="1" applyAlignment="1">
      <alignment horizontal="center" vertical="center"/>
    </xf>
    <xf numFmtId="0" fontId="7" fillId="0" borderId="0" xfId="0" applyFont="1"/>
    <xf numFmtId="0" fontId="7" fillId="0" borderId="0" xfId="0" applyFont="1" applyAlignment="1">
      <alignment vertical="center"/>
    </xf>
    <xf numFmtId="0" fontId="7" fillId="0" borderId="0" xfId="0" applyFont="1" applyAlignment="1">
      <alignment vertical="center" wrapText="1"/>
    </xf>
    <xf numFmtId="0" fontId="17" fillId="0" borderId="0" xfId="5" applyFont="1"/>
    <xf numFmtId="0" fontId="16" fillId="0" borderId="0" xfId="0" applyFont="1" applyAlignment="1">
      <alignment vertical="center"/>
    </xf>
    <xf numFmtId="0" fontId="2" fillId="0" borderId="2" xfId="1" applyBorder="1" applyAlignment="1">
      <alignment vertical="center" wrapText="1"/>
    </xf>
    <xf numFmtId="3" fontId="2" fillId="0" borderId="2" xfId="1" applyNumberFormat="1" applyBorder="1" applyAlignment="1">
      <alignment horizontal="center" vertical="center" wrapText="1"/>
    </xf>
    <xf numFmtId="0" fontId="2" fillId="0" borderId="2" xfId="1" applyBorder="1" applyAlignment="1">
      <alignment vertical="center"/>
    </xf>
    <xf numFmtId="0" fontId="2" fillId="0" borderId="2" xfId="1" applyBorder="1" applyAlignment="1">
      <alignment horizontal="center" vertical="center" wrapText="1"/>
    </xf>
    <xf numFmtId="0" fontId="7" fillId="0" borderId="2" xfId="0" applyFont="1" applyBorder="1" applyAlignment="1">
      <alignment vertical="center"/>
    </xf>
    <xf numFmtId="0" fontId="7" fillId="0" borderId="2" xfId="0" applyFont="1" applyBorder="1" applyAlignment="1">
      <alignment vertical="center" wrapText="1"/>
    </xf>
    <xf numFmtId="0" fontId="20" fillId="10" borderId="2" xfId="0" applyFont="1" applyFill="1" applyBorder="1" applyAlignment="1">
      <alignment vertical="center"/>
    </xf>
    <xf numFmtId="0" fontId="20" fillId="10" borderId="2" xfId="0" applyFont="1" applyFill="1" applyBorder="1" applyAlignment="1">
      <alignment horizontal="left" vertical="center"/>
    </xf>
    <xf numFmtId="3" fontId="7" fillId="0" borderId="2" xfId="7" applyNumberFormat="1" applyFont="1" applyBorder="1" applyAlignment="1">
      <alignment horizontal="center" vertical="center"/>
    </xf>
    <xf numFmtId="3" fontId="12" fillId="0" borderId="2" xfId="3" applyNumberFormat="1" applyFont="1" applyFill="1" applyBorder="1" applyAlignment="1">
      <alignment horizontal="center" vertical="center" wrapText="1"/>
    </xf>
    <xf numFmtId="0" fontId="7" fillId="0" borderId="0" xfId="0" applyFont="1" applyAlignment="1">
      <alignment horizontal="center" vertical="top" wrapText="1"/>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7" fillId="0" borderId="2" xfId="0" applyFont="1" applyBorder="1" applyAlignment="1">
      <alignment horizontal="left" vertical="center" wrapText="1"/>
    </xf>
    <xf numFmtId="9" fontId="7" fillId="0" borderId="0" xfId="2" applyFont="1" applyFill="1" applyBorder="1" applyAlignment="1">
      <alignment horizontal="center" vertical="center"/>
    </xf>
    <xf numFmtId="0" fontId="8" fillId="0" borderId="0" xfId="0" applyFont="1" applyAlignment="1">
      <alignment horizontal="center"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0" fontId="8" fillId="10" borderId="24" xfId="0" applyFont="1" applyFill="1" applyBorder="1" applyAlignment="1">
      <alignment horizontal="center" vertical="center"/>
    </xf>
    <xf numFmtId="9" fontId="7" fillId="0" borderId="0" xfId="0" applyNumberFormat="1" applyFont="1" applyAlignment="1">
      <alignment vertical="center"/>
    </xf>
    <xf numFmtId="0" fontId="8" fillId="0" borderId="0" xfId="0" applyFont="1" applyAlignment="1">
      <alignment vertical="center"/>
    </xf>
    <xf numFmtId="0" fontId="17" fillId="0" borderId="0" xfId="5" applyFont="1" applyAlignment="1">
      <alignment vertical="center"/>
    </xf>
    <xf numFmtId="0" fontId="25" fillId="10" borderId="15" xfId="0" applyFont="1" applyFill="1" applyBorder="1" applyAlignment="1">
      <alignment horizontal="center" vertical="center" wrapText="1"/>
    </xf>
    <xf numFmtId="3" fontId="7" fillId="0" borderId="2" xfId="0" applyNumberFormat="1" applyFont="1" applyBorder="1" applyAlignment="1">
      <alignment horizontal="center" vertical="center"/>
    </xf>
    <xf numFmtId="0" fontId="24" fillId="0" borderId="0" xfId="0" applyFont="1" applyAlignment="1">
      <alignment horizontal="center" vertical="center"/>
    </xf>
    <xf numFmtId="0" fontId="24" fillId="0" borderId="32" xfId="0" applyFont="1" applyBorder="1" applyAlignment="1">
      <alignment horizontal="center" vertical="center"/>
    </xf>
    <xf numFmtId="0" fontId="24" fillId="0" borderId="34" xfId="0" applyFont="1" applyBorder="1" applyAlignment="1">
      <alignment horizontal="center" vertical="center"/>
    </xf>
    <xf numFmtId="0" fontId="24" fillId="0" borderId="35" xfId="0" applyFont="1" applyBorder="1" applyAlignment="1">
      <alignment horizontal="center" vertical="center"/>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9" xfId="0" applyFont="1" applyBorder="1" applyAlignment="1">
      <alignment horizontal="center" vertical="center"/>
    </xf>
    <xf numFmtId="0" fontId="26" fillId="5" borderId="0" xfId="0" applyFont="1" applyFill="1" applyAlignment="1">
      <alignment vertical="center" wrapText="1"/>
    </xf>
    <xf numFmtId="0" fontId="24" fillId="5" borderId="0" xfId="0" applyFont="1" applyFill="1" applyAlignment="1">
      <alignment horizontal="center" vertical="center"/>
    </xf>
    <xf numFmtId="165" fontId="24" fillId="5" borderId="0" xfId="0" applyNumberFormat="1" applyFont="1" applyFill="1" applyAlignment="1">
      <alignment horizontal="center" vertical="center"/>
    </xf>
    <xf numFmtId="168" fontId="7" fillId="0" borderId="24" xfId="6" applyNumberFormat="1" applyFont="1" applyBorder="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0" fontId="8" fillId="2" borderId="0" xfId="0" applyFont="1" applyFill="1" applyAlignment="1">
      <alignment horizontal="center" vertical="center"/>
    </xf>
    <xf numFmtId="167" fontId="24" fillId="0" borderId="0" xfId="0" applyNumberFormat="1" applyFont="1" applyAlignment="1">
      <alignment horizontal="center" vertical="center"/>
    </xf>
    <xf numFmtId="0" fontId="14" fillId="0" borderId="0" xfId="0" applyFont="1" applyAlignment="1">
      <alignment vertical="center"/>
    </xf>
    <xf numFmtId="3" fontId="7" fillId="0" borderId="0" xfId="7" applyNumberFormat="1" applyFont="1" applyAlignment="1">
      <alignment horizontal="center" vertical="center"/>
    </xf>
    <xf numFmtId="0" fontId="30" fillId="0" borderId="0" xfId="0" applyFont="1"/>
    <xf numFmtId="0" fontId="31" fillId="2" borderId="0" xfId="0" applyFont="1" applyFill="1"/>
    <xf numFmtId="166" fontId="2" fillId="0" borderId="2" xfId="1" applyNumberFormat="1" applyBorder="1" applyAlignment="1">
      <alignment horizontal="center" vertical="center" wrapText="1"/>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29" fillId="0" borderId="0" xfId="0" applyFont="1"/>
    <xf numFmtId="0" fontId="8" fillId="10" borderId="24" xfId="0" applyFont="1" applyFill="1" applyBorder="1" applyAlignment="1">
      <alignment horizontal="center" vertical="center" wrapText="1"/>
    </xf>
    <xf numFmtId="168" fontId="7" fillId="0" borderId="24" xfId="6" applyNumberFormat="1" applyFont="1" applyBorder="1" applyAlignment="1">
      <alignment horizontal="center"/>
    </xf>
    <xf numFmtId="0" fontId="7" fillId="0" borderId="24" xfId="0" applyFont="1" applyBorder="1" applyAlignment="1">
      <alignment horizontal="center"/>
    </xf>
    <xf numFmtId="0" fontId="23" fillId="0" borderId="0" xfId="0" applyFont="1" applyAlignment="1">
      <alignment horizontal="center" vertical="center"/>
    </xf>
    <xf numFmtId="0" fontId="33" fillId="0" borderId="0" xfId="0" applyFont="1"/>
    <xf numFmtId="0" fontId="7" fillId="5" borderId="0" xfId="0" applyFont="1" applyFill="1"/>
    <xf numFmtId="0" fontId="7" fillId="5" borderId="52" xfId="0" applyFont="1" applyFill="1" applyBorder="1"/>
    <xf numFmtId="0" fontId="7" fillId="5" borderId="53" xfId="0" applyFont="1" applyFill="1" applyBorder="1"/>
    <xf numFmtId="0" fontId="7" fillId="5" borderId="52" xfId="0" applyFont="1" applyFill="1" applyBorder="1" applyAlignment="1">
      <alignment horizontal="center" vertical="center" wrapText="1"/>
    </xf>
    <xf numFmtId="0" fontId="7" fillId="5" borderId="54" xfId="0" applyFont="1" applyFill="1" applyBorder="1"/>
    <xf numFmtId="0" fontId="7" fillId="5" borderId="55" xfId="0" applyFont="1" applyFill="1" applyBorder="1"/>
    <xf numFmtId="0" fontId="24" fillId="0" borderId="24" xfId="0" applyFont="1" applyBorder="1" applyAlignment="1">
      <alignment horizontal="center" vertical="center" wrapText="1"/>
    </xf>
    <xf numFmtId="0" fontId="35" fillId="13" borderId="45" xfId="0" applyFont="1" applyFill="1" applyBorder="1" applyAlignment="1">
      <alignment horizontal="left" vertical="center" wrapText="1" readingOrder="1"/>
    </xf>
    <xf numFmtId="0" fontId="35" fillId="13" borderId="45" xfId="0" applyFont="1" applyFill="1" applyBorder="1" applyAlignment="1">
      <alignment horizontal="left" vertical="center" wrapText="1" indent="1" readingOrder="1"/>
    </xf>
    <xf numFmtId="0" fontId="35" fillId="13" borderId="45" xfId="0" applyFont="1" applyFill="1" applyBorder="1" applyAlignment="1">
      <alignment horizontal="center" vertical="center" wrapText="1" readingOrder="1"/>
    </xf>
    <xf numFmtId="0" fontId="35" fillId="13" borderId="58" xfId="0" applyFont="1" applyFill="1" applyBorder="1" applyAlignment="1">
      <alignment horizontal="center" vertical="center" wrapText="1" readingOrder="1"/>
    </xf>
    <xf numFmtId="0" fontId="36" fillId="0" borderId="0" xfId="0" applyFont="1"/>
    <xf numFmtId="0" fontId="14" fillId="7" borderId="0" xfId="0" applyFont="1" applyFill="1" applyAlignment="1">
      <alignment vertical="center"/>
    </xf>
    <xf numFmtId="0" fontId="37" fillId="7" borderId="0" xfId="0" applyFont="1" applyFill="1"/>
    <xf numFmtId="0" fontId="8" fillId="5" borderId="0" xfId="0" applyFont="1" applyFill="1" applyAlignment="1">
      <alignment vertical="center"/>
    </xf>
    <xf numFmtId="0" fontId="8" fillId="10" borderId="27" xfId="0" applyFont="1" applyFill="1" applyBorder="1" applyAlignment="1">
      <alignment horizontal="center" vertical="center" wrapText="1"/>
    </xf>
    <xf numFmtId="9" fontId="2" fillId="0" borderId="2" xfId="2" applyFont="1" applyFill="1" applyBorder="1" applyAlignment="1">
      <alignment horizontal="center" vertical="center"/>
    </xf>
    <xf numFmtId="0" fontId="25" fillId="0" borderId="0" xfId="0" applyFont="1" applyAlignment="1">
      <alignment horizontal="center" vertical="center"/>
    </xf>
    <xf numFmtId="9" fontId="8" fillId="0" borderId="0" xfId="2" applyFont="1" applyFill="1" applyBorder="1" applyAlignment="1">
      <alignment horizontal="center" vertical="center"/>
    </xf>
    <xf numFmtId="9" fontId="8" fillId="0" borderId="0" xfId="2" applyFont="1" applyFill="1" applyBorder="1" applyAlignment="1">
      <alignment vertical="center"/>
    </xf>
    <xf numFmtId="0" fontId="14" fillId="0" borderId="0" xfId="0" applyFont="1" applyAlignment="1">
      <alignment vertical="center" wrapText="1"/>
    </xf>
    <xf numFmtId="0" fontId="25" fillId="0" borderId="0" xfId="0" applyFont="1" applyAlignment="1">
      <alignment vertical="center"/>
    </xf>
    <xf numFmtId="0" fontId="7" fillId="0" borderId="2" xfId="0" applyFont="1" applyBorder="1" applyAlignment="1">
      <alignment horizontal="center"/>
    </xf>
    <xf numFmtId="0" fontId="20" fillId="17" borderId="2" xfId="0" applyFont="1" applyFill="1" applyBorder="1" applyAlignment="1">
      <alignment horizontal="center" vertical="center" wrapText="1"/>
    </xf>
    <xf numFmtId="0" fontId="25" fillId="17" borderId="65" xfId="0" applyFont="1" applyFill="1" applyBorder="1" applyAlignment="1">
      <alignment horizontal="center" vertical="center"/>
    </xf>
    <xf numFmtId="0" fontId="20" fillId="10" borderId="15" xfId="0" applyFont="1" applyFill="1" applyBorder="1" applyAlignment="1">
      <alignment horizontal="center" vertical="center" wrapText="1"/>
    </xf>
    <xf numFmtId="0" fontId="23" fillId="0" borderId="0" xfId="0" applyFont="1" applyAlignment="1">
      <alignment vertical="center" wrapText="1"/>
    </xf>
    <xf numFmtId="0" fontId="25" fillId="0" borderId="0" xfId="0" applyFont="1" applyAlignment="1">
      <alignment vertical="center" wrapText="1"/>
    </xf>
    <xf numFmtId="0" fontId="7" fillId="0" borderId="64" xfId="0" quotePrefix="1" applyFont="1" applyBorder="1" applyAlignment="1">
      <alignment horizontal="center" vertical="center" wrapText="1"/>
    </xf>
    <xf numFmtId="0" fontId="2" fillId="0" borderId="64" xfId="0" applyFont="1" applyBorder="1" applyAlignment="1">
      <alignment horizontal="center" vertical="center" wrapText="1"/>
    </xf>
    <xf numFmtId="0" fontId="7" fillId="6" borderId="24" xfId="0" applyFont="1" applyFill="1" applyBorder="1"/>
    <xf numFmtId="168" fontId="7" fillId="0" borderId="2" xfId="6" applyNumberFormat="1" applyFont="1" applyBorder="1" applyAlignment="1">
      <alignment horizontal="center" vertical="center"/>
    </xf>
    <xf numFmtId="3" fontId="7" fillId="6" borderId="2" xfId="7" applyNumberFormat="1" applyFont="1" applyFill="1" applyBorder="1" applyAlignment="1">
      <alignment horizontal="center" vertical="center"/>
    </xf>
    <xf numFmtId="168" fontId="7" fillId="6" borderId="2" xfId="6" applyNumberFormat="1" applyFont="1" applyFill="1" applyBorder="1" applyAlignment="1">
      <alignment horizontal="center" vertical="center"/>
    </xf>
    <xf numFmtId="0" fontId="42" fillId="0" borderId="2" xfId="0" applyFont="1" applyBorder="1" applyAlignment="1">
      <alignment vertical="center"/>
    </xf>
    <xf numFmtId="0" fontId="7" fillId="0" borderId="2" xfId="0" applyFont="1" applyBorder="1" applyAlignment="1">
      <alignment wrapText="1"/>
    </xf>
    <xf numFmtId="0" fontId="43" fillId="10" borderId="2" xfId="0" applyFont="1" applyFill="1" applyBorder="1" applyAlignment="1">
      <alignment horizontal="center" vertical="center"/>
    </xf>
    <xf numFmtId="0" fontId="41" fillId="0" borderId="2" xfId="0" applyFont="1" applyBorder="1" applyAlignment="1">
      <alignment vertical="center" wrapText="1"/>
    </xf>
    <xf numFmtId="0" fontId="2" fillId="0" borderId="0" xfId="0" applyFont="1"/>
    <xf numFmtId="3" fontId="24" fillId="0" borderId="24" xfId="0" applyNumberFormat="1" applyFont="1" applyBorder="1" applyAlignment="1">
      <alignment horizontal="center" vertical="center" wrapText="1"/>
    </xf>
    <xf numFmtId="0" fontId="27" fillId="5" borderId="24" xfId="0" applyFont="1" applyFill="1" applyBorder="1" applyAlignment="1">
      <alignment horizontal="center" vertical="center" wrapText="1"/>
    </xf>
    <xf numFmtId="0" fontId="2" fillId="0" borderId="24" xfId="0" applyFont="1" applyBorder="1" applyAlignment="1">
      <alignment horizontal="center" vertical="center"/>
    </xf>
    <xf numFmtId="0" fontId="44" fillId="0" borderId="0" xfId="0" applyFont="1"/>
    <xf numFmtId="0" fontId="7" fillId="0" borderId="0" xfId="0" applyFont="1" applyAlignment="1">
      <alignment wrapText="1"/>
    </xf>
    <xf numFmtId="0" fontId="7" fillId="5" borderId="0" xfId="0" applyFont="1" applyFill="1" applyAlignment="1">
      <alignment horizontal="center"/>
    </xf>
    <xf numFmtId="0" fontId="18" fillId="0" borderId="0" xfId="0" applyFont="1"/>
    <xf numFmtId="0" fontId="18" fillId="0" borderId="0" xfId="0" applyFont="1" applyAlignment="1">
      <alignment wrapText="1"/>
    </xf>
    <xf numFmtId="0" fontId="18" fillId="0" borderId="0" xfId="0" applyFont="1" applyAlignment="1">
      <alignment horizontal="center"/>
    </xf>
    <xf numFmtId="0" fontId="18" fillId="0" borderId="0" xfId="0" applyFont="1" applyAlignment="1">
      <alignment vertical="center"/>
    </xf>
    <xf numFmtId="0" fontId="17" fillId="0" borderId="24" xfId="5" applyFont="1" applyBorder="1" applyAlignment="1">
      <alignment horizontal="center" vertical="center"/>
    </xf>
    <xf numFmtId="0" fontId="45" fillId="0" borderId="0" xfId="0" quotePrefix="1" applyFont="1"/>
    <xf numFmtId="164" fontId="7" fillId="0" borderId="2" xfId="2" applyNumberFormat="1" applyFont="1" applyBorder="1" applyAlignment="1">
      <alignment horizontal="center" vertical="center"/>
    </xf>
    <xf numFmtId="43" fontId="7" fillId="0" borderId="0" xfId="0" applyNumberFormat="1" applyFont="1" applyAlignment="1">
      <alignment vertical="center"/>
    </xf>
    <xf numFmtId="164" fontId="7" fillId="6" borderId="2" xfId="2" applyNumberFormat="1" applyFont="1" applyFill="1" applyBorder="1" applyAlignment="1">
      <alignment horizontal="center" vertical="center"/>
    </xf>
    <xf numFmtId="0" fontId="7" fillId="5" borderId="0" xfId="0" applyFont="1" applyFill="1" applyAlignment="1">
      <alignment vertical="center"/>
    </xf>
    <xf numFmtId="0" fontId="7" fillId="5" borderId="22" xfId="0" applyFont="1" applyFill="1" applyBorder="1" applyAlignment="1">
      <alignment vertical="center"/>
    </xf>
    <xf numFmtId="0" fontId="20" fillId="0" borderId="0" xfId="0" applyFont="1" applyAlignment="1">
      <alignment vertical="center"/>
    </xf>
    <xf numFmtId="3" fontId="7" fillId="0" borderId="24" xfId="0" applyNumberFormat="1" applyFont="1" applyBorder="1" applyAlignment="1">
      <alignment horizontal="center" vertical="center"/>
    </xf>
    <xf numFmtId="168" fontId="7" fillId="0" borderId="28" xfId="6" applyNumberFormat="1" applyFont="1" applyBorder="1" applyAlignment="1">
      <alignment horizontal="center" vertical="center"/>
    </xf>
    <xf numFmtId="0" fontId="46" fillId="0" borderId="0" xfId="0" applyFont="1" applyAlignment="1">
      <alignment wrapText="1"/>
    </xf>
    <xf numFmtId="0" fontId="37" fillId="0" borderId="0" xfId="0" applyFont="1"/>
    <xf numFmtId="0" fontId="42" fillId="0" borderId="15" xfId="0" applyFont="1" applyBorder="1" applyAlignment="1">
      <alignment vertical="center"/>
    </xf>
    <xf numFmtId="0" fontId="42" fillId="0" borderId="32" xfId="0" applyFont="1" applyBorder="1" applyAlignment="1">
      <alignment vertical="center"/>
    </xf>
    <xf numFmtId="0" fontId="25" fillId="0" borderId="0" xfId="0" applyFont="1" applyAlignment="1">
      <alignment horizontal="left" vertical="center"/>
    </xf>
    <xf numFmtId="0" fontId="7" fillId="0" borderId="32" xfId="0" applyFont="1" applyBorder="1"/>
    <xf numFmtId="0" fontId="7" fillId="0" borderId="15" xfId="0" applyFont="1" applyBorder="1"/>
    <xf numFmtId="0" fontId="25" fillId="10" borderId="23" xfId="0" applyFont="1" applyFill="1" applyBorder="1"/>
    <xf numFmtId="0" fontId="25" fillId="10" borderId="23" xfId="0" applyFont="1" applyFill="1" applyBorder="1" applyAlignment="1">
      <alignment wrapText="1"/>
    </xf>
    <xf numFmtId="0" fontId="25" fillId="10" borderId="23" xfId="0" applyFont="1" applyFill="1" applyBorder="1" applyAlignment="1">
      <alignment horizontal="center"/>
    </xf>
    <xf numFmtId="0" fontId="25" fillId="10" borderId="23" xfId="0" applyFont="1" applyFill="1" applyBorder="1" applyAlignment="1">
      <alignment horizontal="center" wrapText="1"/>
    </xf>
    <xf numFmtId="0" fontId="25" fillId="18" borderId="20" xfId="0" applyFont="1" applyFill="1" applyBorder="1" applyAlignment="1">
      <alignment wrapText="1"/>
    </xf>
    <xf numFmtId="165" fontId="13" fillId="0" borderId="0" xfId="0" applyNumberFormat="1" applyFont="1" applyAlignment="1">
      <alignment horizontal="center" vertical="center"/>
    </xf>
    <xf numFmtId="0" fontId="16" fillId="2" borderId="0" xfId="0" applyFont="1" applyFill="1"/>
    <xf numFmtId="0" fontId="16" fillId="2" borderId="0" xfId="0" applyFont="1" applyFill="1" applyAlignment="1">
      <alignment horizontal="center"/>
    </xf>
    <xf numFmtId="0" fontId="7" fillId="6" borderId="24" xfId="0" applyFont="1" applyFill="1" applyBorder="1" applyAlignment="1">
      <alignment horizontal="center" vertical="center"/>
    </xf>
    <xf numFmtId="0" fontId="34" fillId="6" borderId="24" xfId="0" applyFont="1" applyFill="1" applyBorder="1" applyAlignment="1">
      <alignment horizontal="center" vertical="center" wrapText="1"/>
    </xf>
    <xf numFmtId="0" fontId="8" fillId="10" borderId="25" xfId="0" applyFont="1" applyFill="1" applyBorder="1" applyAlignment="1">
      <alignment horizontal="center" vertical="center"/>
    </xf>
    <xf numFmtId="0" fontId="8" fillId="10" borderId="2" xfId="0" applyFont="1" applyFill="1" applyBorder="1" applyAlignment="1">
      <alignment horizontal="center" vertical="center" wrapText="1"/>
    </xf>
    <xf numFmtId="0" fontId="7" fillId="0" borderId="28" xfId="0" applyFont="1" applyBorder="1" applyAlignment="1">
      <alignment horizontal="center" vertical="center"/>
    </xf>
    <xf numFmtId="3" fontId="7" fillId="6" borderId="24" xfId="0" applyNumberFormat="1" applyFont="1" applyFill="1" applyBorder="1" applyAlignment="1">
      <alignment horizontal="center" vertical="center"/>
    </xf>
    <xf numFmtId="168" fontId="7" fillId="6" borderId="28" xfId="6" applyNumberFormat="1" applyFont="1" applyFill="1" applyBorder="1" applyAlignment="1">
      <alignment horizontal="center" vertical="center"/>
    </xf>
    <xf numFmtId="0" fontId="7" fillId="6" borderId="28" xfId="0" applyFont="1" applyFill="1" applyBorder="1" applyAlignment="1">
      <alignment horizontal="center" vertical="center"/>
    </xf>
    <xf numFmtId="168" fontId="7" fillId="0" borderId="78" xfId="6" applyNumberFormat="1" applyFont="1" applyBorder="1" applyAlignment="1">
      <alignment horizontal="center" vertical="center"/>
    </xf>
    <xf numFmtId="168" fontId="7" fillId="6" borderId="78" xfId="6" applyNumberFormat="1" applyFont="1" applyFill="1" applyBorder="1" applyAlignment="1">
      <alignment horizontal="center" vertical="center"/>
    </xf>
    <xf numFmtId="9" fontId="12" fillId="0" borderId="2" xfId="2" applyFont="1" applyBorder="1" applyAlignment="1">
      <alignment horizontal="center" vertical="center" wrapText="1"/>
    </xf>
    <xf numFmtId="43" fontId="2" fillId="0" borderId="0" xfId="0" applyNumberFormat="1" applyFont="1" applyAlignment="1">
      <alignment vertical="center"/>
    </xf>
    <xf numFmtId="0" fontId="12" fillId="0" borderId="2" xfId="3" applyFont="1" applyBorder="1" applyAlignment="1">
      <alignment horizontal="center" vertical="center" wrapText="1"/>
    </xf>
    <xf numFmtId="0" fontId="12" fillId="0" borderId="2" xfId="3" applyFont="1" applyFill="1" applyBorder="1" applyAlignment="1">
      <alignment horizontal="center" vertical="center" wrapText="1"/>
    </xf>
    <xf numFmtId="0" fontId="12" fillId="6" borderId="2" xfId="3" applyFont="1" applyFill="1" applyBorder="1" applyAlignment="1">
      <alignment horizontal="center" vertical="center" wrapText="1"/>
    </xf>
    <xf numFmtId="3" fontId="2" fillId="0" borderId="2" xfId="3" applyNumberFormat="1" applyFont="1" applyFill="1" applyBorder="1" applyAlignment="1">
      <alignment horizontal="center" vertical="center" wrapText="1"/>
    </xf>
    <xf numFmtId="4" fontId="8" fillId="0" borderId="0" xfId="0" applyNumberFormat="1" applyFont="1" applyAlignment="1">
      <alignment vertical="center"/>
    </xf>
    <xf numFmtId="0" fontId="33" fillId="0" borderId="0" xfId="0" applyFont="1" applyAlignment="1">
      <alignment vertical="center"/>
    </xf>
    <xf numFmtId="0" fontId="50" fillId="0" borderId="0" xfId="0" applyFont="1" applyAlignment="1">
      <alignment horizontal="left" vertical="center" indent="1"/>
    </xf>
    <xf numFmtId="0" fontId="51" fillId="0" borderId="0" xfId="0" applyFont="1" applyAlignment="1">
      <alignment vertical="center"/>
    </xf>
    <xf numFmtId="43" fontId="8" fillId="0" borderId="0" xfId="0" applyNumberFormat="1" applyFont="1" applyAlignment="1">
      <alignment vertical="center"/>
    </xf>
    <xf numFmtId="164" fontId="7" fillId="0" borderId="0" xfId="0" applyNumberFormat="1" applyFont="1" applyAlignment="1">
      <alignment vertical="center"/>
    </xf>
    <xf numFmtId="0" fontId="35" fillId="0" borderId="0" xfId="0" applyFont="1" applyAlignment="1">
      <alignment horizontal="left" vertical="center" wrapText="1"/>
    </xf>
    <xf numFmtId="0" fontId="35" fillId="0" borderId="0" xfId="0" applyFont="1" applyAlignment="1">
      <alignment horizontal="center" vertical="center" wrapText="1"/>
    </xf>
    <xf numFmtId="4" fontId="8" fillId="0" borderId="0" xfId="0" applyNumberFormat="1"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24" fillId="0" borderId="4" xfId="0" applyFont="1" applyBorder="1" applyAlignment="1">
      <alignment horizontal="center" vertical="center"/>
    </xf>
    <xf numFmtId="0" fontId="24" fillId="0" borderId="6" xfId="0" applyFont="1" applyBorder="1" applyAlignment="1">
      <alignment horizontal="center" vertical="center"/>
    </xf>
    <xf numFmtId="0" fontId="24" fillId="0" borderId="8" xfId="0" applyFont="1" applyBorder="1" applyAlignment="1">
      <alignment horizontal="center" vertical="center"/>
    </xf>
    <xf numFmtId="169" fontId="8" fillId="0" borderId="0" xfId="0" applyNumberFormat="1" applyFont="1" applyAlignment="1">
      <alignment vertical="center"/>
    </xf>
    <xf numFmtId="170" fontId="8" fillId="0" borderId="0" xfId="0" applyNumberFormat="1" applyFont="1" applyAlignment="1">
      <alignment vertical="center"/>
    </xf>
    <xf numFmtId="4" fontId="25" fillId="0" borderId="0" xfId="0" applyNumberFormat="1" applyFont="1" applyAlignment="1">
      <alignment vertical="center"/>
    </xf>
    <xf numFmtId="168" fontId="7" fillId="0" borderId="2" xfId="6" applyNumberFormat="1" applyFont="1" applyBorder="1" applyAlignment="1">
      <alignment vertical="center"/>
    </xf>
    <xf numFmtId="0" fontId="48" fillId="0" borderId="0" xfId="13" applyFont="1" applyAlignment="1">
      <alignment horizontal="center" vertical="top"/>
    </xf>
    <xf numFmtId="168" fontId="7" fillId="0" borderId="2" xfId="6" applyNumberFormat="1" applyFont="1" applyFill="1" applyBorder="1" applyAlignment="1">
      <alignment horizontal="center" vertical="center"/>
    </xf>
    <xf numFmtId="168" fontId="7" fillId="0" borderId="0" xfId="6" applyNumberFormat="1" applyFont="1" applyFill="1" applyAlignment="1">
      <alignment horizontal="center" vertical="center"/>
    </xf>
    <xf numFmtId="10" fontId="7" fillId="0" borderId="0" xfId="0" applyNumberFormat="1" applyFont="1" applyAlignment="1">
      <alignment vertical="center"/>
    </xf>
    <xf numFmtId="0" fontId="21" fillId="10" borderId="79" xfId="0" applyFont="1" applyFill="1" applyBorder="1" applyAlignment="1">
      <alignment horizontal="center" vertical="center" wrapText="1"/>
    </xf>
    <xf numFmtId="0" fontId="20" fillId="10" borderId="79" xfId="0" applyFont="1" applyFill="1" applyBorder="1" applyAlignment="1">
      <alignment horizontal="center" vertical="center" wrapText="1"/>
    </xf>
    <xf numFmtId="0" fontId="20" fillId="10" borderId="79" xfId="0" applyFont="1" applyFill="1" applyBorder="1" applyAlignment="1">
      <alignment horizontal="center" vertical="center"/>
    </xf>
    <xf numFmtId="0" fontId="25" fillId="17" borderId="79" xfId="0" applyFont="1" applyFill="1" applyBorder="1" applyAlignment="1">
      <alignment horizontal="center" vertical="center" wrapText="1"/>
    </xf>
    <xf numFmtId="0" fontId="24" fillId="0" borderId="85" xfId="0" applyFont="1" applyBorder="1" applyAlignment="1">
      <alignment horizontal="center" vertical="center"/>
    </xf>
    <xf numFmtId="2" fontId="24" fillId="0" borderId="1" xfId="0" applyNumberFormat="1" applyFont="1" applyBorder="1" applyAlignment="1">
      <alignment horizontal="center" vertical="center"/>
    </xf>
    <xf numFmtId="2" fontId="24" fillId="0" borderId="5" xfId="0" applyNumberFormat="1" applyFont="1" applyBorder="1" applyAlignment="1">
      <alignment horizontal="center" vertical="center"/>
    </xf>
    <xf numFmtId="0" fontId="24" fillId="0" borderId="14" xfId="0" applyFont="1" applyBorder="1" applyAlignment="1">
      <alignment horizontal="center" vertical="center"/>
    </xf>
    <xf numFmtId="2" fontId="24" fillId="0" borderId="2" xfId="0" applyNumberFormat="1" applyFont="1" applyBorder="1" applyAlignment="1">
      <alignment horizontal="center" vertical="center"/>
    </xf>
    <xf numFmtId="2" fontId="52" fillId="0" borderId="15" xfId="0" applyNumberFormat="1" applyFont="1" applyBorder="1" applyAlignment="1">
      <alignment horizontal="center" vertical="center"/>
    </xf>
    <xf numFmtId="2" fontId="52" fillId="0" borderId="2" xfId="0" applyNumberFormat="1" applyFont="1" applyBorder="1" applyAlignment="1">
      <alignment horizontal="center" vertical="center"/>
    </xf>
    <xf numFmtId="2" fontId="24" fillId="0" borderId="7" xfId="0" applyNumberFormat="1" applyFont="1" applyBorder="1" applyAlignment="1">
      <alignment horizontal="center" vertical="center"/>
    </xf>
    <xf numFmtId="0" fontId="24" fillId="0" borderId="17" xfId="0" applyFont="1" applyBorder="1" applyAlignment="1">
      <alignment horizontal="center" vertical="center"/>
    </xf>
    <xf numFmtId="2" fontId="24" fillId="0" borderId="15" xfId="0" applyNumberFormat="1" applyFont="1" applyBorder="1" applyAlignment="1">
      <alignment horizontal="center" vertical="center"/>
    </xf>
    <xf numFmtId="2" fontId="24" fillId="0" borderId="93" xfId="0" applyNumberFormat="1" applyFont="1" applyBorder="1" applyAlignment="1">
      <alignment horizontal="center" vertical="center"/>
    </xf>
    <xf numFmtId="0" fontId="24" fillId="0" borderId="95" xfId="0" applyFont="1" applyBorder="1" applyAlignment="1">
      <alignment horizontal="center" vertical="center"/>
    </xf>
    <xf numFmtId="0" fontId="24" fillId="0" borderId="96" xfId="0" applyFont="1" applyBorder="1" applyAlignment="1">
      <alignment horizontal="center" vertical="center"/>
    </xf>
    <xf numFmtId="0" fontId="24" fillId="0" borderId="97" xfId="0" applyFont="1" applyBorder="1" applyAlignment="1">
      <alignment horizontal="center" vertical="center"/>
    </xf>
    <xf numFmtId="2" fontId="24" fillId="0" borderId="43" xfId="0" applyNumberFormat="1" applyFont="1" applyBorder="1" applyAlignment="1">
      <alignment horizontal="center" vertical="center"/>
    </xf>
    <xf numFmtId="2" fontId="24" fillId="0" borderId="9" xfId="0" applyNumberFormat="1" applyFont="1" applyBorder="1" applyAlignment="1">
      <alignment horizontal="center" vertical="center"/>
    </xf>
    <xf numFmtId="2" fontId="52" fillId="0" borderId="99" xfId="0" applyNumberFormat="1" applyFont="1" applyBorder="1" applyAlignment="1">
      <alignment horizontal="center" vertical="center"/>
    </xf>
    <xf numFmtId="2" fontId="52" fillId="0" borderId="100" xfId="0" applyNumberFormat="1" applyFont="1" applyBorder="1" applyAlignment="1">
      <alignment horizontal="center" vertical="center"/>
    </xf>
    <xf numFmtId="2" fontId="52" fillId="0" borderId="64" xfId="0" applyNumberFormat="1" applyFont="1" applyBorder="1" applyAlignment="1">
      <alignment horizontal="center" vertical="center"/>
    </xf>
    <xf numFmtId="2" fontId="52" fillId="0" borderId="101" xfId="0" applyNumberFormat="1" applyFont="1" applyBorder="1" applyAlignment="1">
      <alignment horizontal="center" vertical="center"/>
    </xf>
    <xf numFmtId="0" fontId="24" fillId="0" borderId="104" xfId="0" applyFont="1" applyBorder="1" applyAlignment="1">
      <alignment horizontal="center" vertical="center"/>
    </xf>
    <xf numFmtId="2" fontId="52" fillId="0" borderId="105" xfId="0" applyNumberFormat="1" applyFont="1" applyBorder="1" applyAlignment="1">
      <alignment horizontal="center" vertical="center"/>
    </xf>
    <xf numFmtId="2" fontId="52" fillId="0" borderId="106" xfId="0" applyNumberFormat="1" applyFont="1" applyBorder="1" applyAlignment="1">
      <alignment horizontal="center" vertical="center"/>
    </xf>
    <xf numFmtId="0" fontId="24" fillId="0" borderId="108" xfId="0" applyFont="1" applyBorder="1" applyAlignment="1">
      <alignment horizontal="center" vertical="center"/>
    </xf>
    <xf numFmtId="2" fontId="24" fillId="0" borderId="20" xfId="0" applyNumberFormat="1" applyFont="1" applyBorder="1" applyAlignment="1">
      <alignment horizontal="center" vertical="center"/>
    </xf>
    <xf numFmtId="2" fontId="24" fillId="0" borderId="109" xfId="0" applyNumberFormat="1" applyFont="1" applyBorder="1" applyAlignment="1">
      <alignment horizontal="center" vertical="center"/>
    </xf>
    <xf numFmtId="2" fontId="24" fillId="0" borderId="107" xfId="0" applyNumberFormat="1" applyFont="1" applyBorder="1" applyAlignment="1">
      <alignment horizontal="center" vertical="center"/>
    </xf>
    <xf numFmtId="2" fontId="24" fillId="0" borderId="110" xfId="0" applyNumberFormat="1" applyFont="1" applyBorder="1" applyAlignment="1">
      <alignment horizontal="center" vertical="center"/>
    </xf>
    <xf numFmtId="2" fontId="24" fillId="0" borderId="79" xfId="0" applyNumberFormat="1" applyFont="1" applyBorder="1" applyAlignment="1">
      <alignment horizontal="center" vertical="center"/>
    </xf>
    <xf numFmtId="2" fontId="24" fillId="0" borderId="111" xfId="0" applyNumberFormat="1" applyFont="1" applyBorder="1" applyAlignment="1">
      <alignment horizontal="center" vertical="center"/>
    </xf>
    <xf numFmtId="2" fontId="24" fillId="0" borderId="102" xfId="0" applyNumberFormat="1" applyFont="1" applyBorder="1" applyAlignment="1">
      <alignment horizontal="center" vertical="center"/>
    </xf>
    <xf numFmtId="2" fontId="24" fillId="0" borderId="112" xfId="0" applyNumberFormat="1" applyFont="1" applyBorder="1" applyAlignment="1">
      <alignment horizontal="center" vertical="center"/>
    </xf>
    <xf numFmtId="1" fontId="24" fillId="0" borderId="1" xfId="0" applyNumberFormat="1" applyFont="1" applyBorder="1" applyAlignment="1">
      <alignment horizontal="center" vertical="center"/>
    </xf>
    <xf numFmtId="1" fontId="24" fillId="0" borderId="5" xfId="0" applyNumberFormat="1" applyFont="1" applyBorder="1" applyAlignment="1">
      <alignment horizontal="center" vertical="center"/>
    </xf>
    <xf numFmtId="1" fontId="24" fillId="0" borderId="2" xfId="0" applyNumberFormat="1" applyFont="1" applyBorder="1" applyAlignment="1">
      <alignment horizontal="center" vertical="center"/>
    </xf>
    <xf numFmtId="1" fontId="24" fillId="0" borderId="7" xfId="0" applyNumberFormat="1" applyFont="1" applyBorder="1" applyAlignment="1">
      <alignment horizontal="center" vertical="center"/>
    </xf>
    <xf numFmtId="1" fontId="24" fillId="0" borderId="43" xfId="0" applyNumberFormat="1" applyFont="1" applyBorder="1" applyAlignment="1">
      <alignment horizontal="center" vertical="center"/>
    </xf>
    <xf numFmtId="1" fontId="24" fillId="0" borderId="9" xfId="0" applyNumberFormat="1" applyFont="1" applyBorder="1" applyAlignment="1">
      <alignment horizontal="center" vertical="center"/>
    </xf>
    <xf numFmtId="0" fontId="24" fillId="0" borderId="66" xfId="0" applyFont="1" applyBorder="1" applyAlignment="1">
      <alignment horizontal="center" vertical="center"/>
    </xf>
    <xf numFmtId="1" fontId="24" fillId="0" borderId="20" xfId="0" applyNumberFormat="1" applyFont="1" applyBorder="1" applyAlignment="1">
      <alignment horizontal="center" vertical="center"/>
    </xf>
    <xf numFmtId="1" fontId="24" fillId="0" borderId="109" xfId="0" applyNumberFormat="1" applyFont="1" applyBorder="1" applyAlignment="1">
      <alignment horizontal="center" vertical="center"/>
    </xf>
    <xf numFmtId="0" fontId="24" fillId="0" borderId="127" xfId="0" applyFont="1" applyBorder="1" applyAlignment="1">
      <alignment horizontal="center" vertical="center"/>
    </xf>
    <xf numFmtId="0" fontId="24" fillId="0" borderId="131" xfId="0" applyFont="1" applyBorder="1" applyAlignment="1">
      <alignment horizontal="center" vertical="center"/>
    </xf>
    <xf numFmtId="1" fontId="24" fillId="0" borderId="94" xfId="0" applyNumberFormat="1" applyFont="1" applyBorder="1" applyAlignment="1">
      <alignment horizontal="center" vertical="center"/>
    </xf>
    <xf numFmtId="1" fontId="24" fillId="0" borderId="138" xfId="0" applyNumberFormat="1" applyFont="1" applyBorder="1" applyAlignment="1">
      <alignment horizontal="center" vertical="center"/>
    </xf>
    <xf numFmtId="1" fontId="24" fillId="0" borderId="102" xfId="0" applyNumberFormat="1" applyFont="1" applyBorder="1" applyAlignment="1">
      <alignment horizontal="center" vertical="center"/>
    </xf>
    <xf numFmtId="1" fontId="24" fillId="0" borderId="112" xfId="0" applyNumberFormat="1" applyFont="1" applyBorder="1" applyAlignment="1">
      <alignment horizontal="center" vertical="center"/>
    </xf>
    <xf numFmtId="0" fontId="8" fillId="10" borderId="91" xfId="0" applyFont="1" applyFill="1" applyBorder="1" applyAlignment="1">
      <alignment horizontal="center" vertical="center"/>
    </xf>
    <xf numFmtId="0" fontId="25" fillId="17" borderId="91" xfId="0" applyFont="1" applyFill="1" applyBorder="1" applyAlignment="1">
      <alignment horizontal="center" vertical="center" wrapText="1"/>
    </xf>
    <xf numFmtId="0" fontId="25" fillId="17" borderId="91" xfId="0" applyFont="1" applyFill="1" applyBorder="1" applyAlignment="1">
      <alignment horizontal="center" vertical="center"/>
    </xf>
    <xf numFmtId="0" fontId="8" fillId="10" borderId="91" xfId="0" applyFont="1" applyFill="1" applyBorder="1" applyAlignment="1">
      <alignment horizontal="center" vertical="center" wrapText="1"/>
    </xf>
    <xf numFmtId="0" fontId="20" fillId="10" borderId="64" xfId="0" applyFont="1" applyFill="1" applyBorder="1" applyAlignment="1">
      <alignment horizontal="center" vertical="center" wrapText="1"/>
    </xf>
    <xf numFmtId="1" fontId="12" fillId="0" borderId="64" xfId="3" applyNumberFormat="1" applyFont="1" applyBorder="1" applyAlignment="1">
      <alignment horizontal="left" vertical="center" wrapText="1"/>
    </xf>
    <xf numFmtId="0" fontId="2" fillId="0" borderId="64" xfId="0" applyFont="1" applyBorder="1"/>
    <xf numFmtId="1" fontId="12" fillId="0" borderId="0" xfId="3" applyNumberFormat="1" applyFont="1" applyBorder="1" applyAlignment="1">
      <alignment horizontal="left" vertical="center" wrapText="1"/>
    </xf>
    <xf numFmtId="0" fontId="8" fillId="17" borderId="91" xfId="0" applyFont="1" applyFill="1" applyBorder="1" applyAlignment="1">
      <alignment horizontal="center" vertical="center" wrapText="1"/>
    </xf>
    <xf numFmtId="0" fontId="8" fillId="17" borderId="91" xfId="0" applyFont="1" applyFill="1" applyBorder="1" applyAlignment="1">
      <alignment horizontal="center" vertical="center"/>
    </xf>
    <xf numFmtId="9" fontId="7" fillId="5" borderId="0" xfId="0" applyNumberFormat="1" applyFont="1" applyFill="1"/>
    <xf numFmtId="0" fontId="7" fillId="5" borderId="125" xfId="0" applyFont="1" applyFill="1" applyBorder="1" applyAlignment="1">
      <alignment vertical="center"/>
    </xf>
    <xf numFmtId="2" fontId="7" fillId="0" borderId="0" xfId="0" applyNumberFormat="1" applyFont="1"/>
    <xf numFmtId="0" fontId="8" fillId="0" borderId="2" xfId="0" applyFont="1" applyBorder="1" applyAlignment="1">
      <alignment horizontal="center" vertical="center"/>
    </xf>
    <xf numFmtId="0" fontId="8" fillId="0" borderId="15" xfId="0" applyFont="1" applyBorder="1" applyAlignment="1">
      <alignment horizontal="center" vertical="center"/>
    </xf>
    <xf numFmtId="1" fontId="24" fillId="0" borderId="79" xfId="0" applyNumberFormat="1" applyFont="1" applyBorder="1" applyAlignment="1">
      <alignment horizontal="center" vertical="center"/>
    </xf>
    <xf numFmtId="1" fontId="24" fillId="0" borderId="111" xfId="0" applyNumberFormat="1" applyFont="1" applyBorder="1" applyAlignment="1">
      <alignment horizontal="center" vertical="center"/>
    </xf>
    <xf numFmtId="2" fontId="24" fillId="0" borderId="144" xfId="0" applyNumberFormat="1" applyFont="1" applyBorder="1" applyAlignment="1">
      <alignment horizontal="center" vertical="center"/>
    </xf>
    <xf numFmtId="2" fontId="24" fillId="0" borderId="80" xfId="0" applyNumberFormat="1" applyFont="1" applyBorder="1" applyAlignment="1">
      <alignment horizontal="center" vertical="center"/>
    </xf>
    <xf numFmtId="2" fontId="52" fillId="0" borderId="7" xfId="0" applyNumberFormat="1" applyFont="1" applyBorder="1" applyAlignment="1">
      <alignment horizontal="center" vertical="center"/>
    </xf>
    <xf numFmtId="2" fontId="24" fillId="0" borderId="145" xfId="0" applyNumberFormat="1" applyFont="1" applyBorder="1" applyAlignment="1">
      <alignment horizontal="center" vertical="center"/>
    </xf>
    <xf numFmtId="0" fontId="25" fillId="10" borderId="15" xfId="0" applyFont="1" applyFill="1" applyBorder="1" applyAlignment="1">
      <alignment horizontal="left" vertical="center" wrapText="1"/>
    </xf>
    <xf numFmtId="0" fontId="25" fillId="10" borderId="79" xfId="0" applyFont="1" applyFill="1" applyBorder="1" applyAlignment="1">
      <alignment horizontal="center" vertical="center" wrapText="1"/>
    </xf>
    <xf numFmtId="0" fontId="7" fillId="0" borderId="2" xfId="0" applyFont="1" applyBorder="1" applyAlignment="1">
      <alignment horizontal="right" vertical="center"/>
    </xf>
    <xf numFmtId="171" fontId="7" fillId="0" borderId="2" xfId="0" applyNumberFormat="1" applyFont="1" applyBorder="1" applyAlignment="1">
      <alignment vertical="center"/>
    </xf>
    <xf numFmtId="168" fontId="7" fillId="0" borderId="2" xfId="6" applyNumberFormat="1" applyFont="1" applyBorder="1" applyAlignment="1">
      <alignment horizontal="right" vertical="center" wrapText="1"/>
    </xf>
    <xf numFmtId="0" fontId="7" fillId="0" borderId="14" xfId="0" applyFont="1" applyBorder="1" applyAlignment="1">
      <alignment vertical="center" wrapText="1"/>
    </xf>
    <xf numFmtId="0" fontId="7" fillId="0" borderId="14" xfId="0" applyFont="1" applyBorder="1" applyAlignment="1">
      <alignment horizontal="right" vertical="center"/>
    </xf>
    <xf numFmtId="168" fontId="7" fillId="0" borderId="14" xfId="6" applyNumberFormat="1" applyFont="1" applyBorder="1" applyAlignment="1">
      <alignment horizontal="right" vertical="center"/>
    </xf>
    <xf numFmtId="171" fontId="2" fillId="0" borderId="2" xfId="0" applyNumberFormat="1" applyFont="1" applyBorder="1" applyAlignment="1">
      <alignment vertical="center"/>
    </xf>
    <xf numFmtId="171" fontId="2" fillId="11" borderId="14" xfId="0" applyNumberFormat="1" applyFont="1" applyFill="1" applyBorder="1" applyAlignment="1">
      <alignment vertical="center"/>
    </xf>
    <xf numFmtId="3" fontId="7" fillId="0" borderId="0" xfId="0" applyNumberFormat="1" applyFont="1" applyAlignment="1">
      <alignment horizontal="left"/>
    </xf>
    <xf numFmtId="43" fontId="7" fillId="0" borderId="0" xfId="0" applyNumberFormat="1" applyFont="1" applyAlignment="1">
      <alignment horizontal="center" vertical="center" wrapText="1"/>
    </xf>
    <xf numFmtId="0" fontId="7" fillId="0" borderId="15" xfId="0" applyFont="1" applyBorder="1" applyAlignment="1">
      <alignment vertical="center"/>
    </xf>
    <xf numFmtId="0" fontId="7" fillId="0" borderId="17" xfId="0" applyFont="1" applyBorder="1" applyAlignment="1">
      <alignment vertical="center"/>
    </xf>
    <xf numFmtId="168" fontId="7" fillId="0" borderId="17" xfId="6" applyNumberFormat="1" applyFont="1" applyBorder="1" applyAlignment="1">
      <alignment horizontal="right" vertical="center"/>
    </xf>
    <xf numFmtId="0" fontId="7" fillId="0" borderId="79" xfId="0" applyFont="1" applyBorder="1" applyAlignment="1">
      <alignment vertical="center"/>
    </xf>
    <xf numFmtId="0" fontId="7" fillId="0" borderId="79" xfId="0" applyFont="1" applyBorder="1" applyAlignment="1">
      <alignment vertical="center" wrapText="1"/>
    </xf>
    <xf numFmtId="0" fontId="12" fillId="0" borderId="79" xfId="3" applyFont="1" applyFill="1" applyBorder="1" applyAlignment="1">
      <alignment horizontal="center" vertical="center" wrapText="1"/>
    </xf>
    <xf numFmtId="0" fontId="15" fillId="0" borderId="79" xfId="0" applyFont="1" applyBorder="1" applyAlignment="1">
      <alignment horizontal="center"/>
    </xf>
    <xf numFmtId="0" fontId="12" fillId="0" borderId="79" xfId="3" applyFont="1" applyBorder="1" applyAlignment="1">
      <alignment horizontal="center" vertical="center" wrapText="1"/>
    </xf>
    <xf numFmtId="0" fontId="0" fillId="0" borderId="79" xfId="0" applyBorder="1" applyAlignment="1">
      <alignment horizontal="center" vertical="center"/>
    </xf>
    <xf numFmtId="0" fontId="7" fillId="0" borderId="79" xfId="0" applyFont="1" applyBorder="1" applyAlignment="1">
      <alignment horizontal="center"/>
    </xf>
    <xf numFmtId="165" fontId="2" fillId="0" borderId="64" xfId="0" applyNumberFormat="1" applyFont="1" applyBorder="1"/>
    <xf numFmtId="1" fontId="2" fillId="0" borderId="64" xfId="0" applyNumberFormat="1" applyFont="1" applyBorder="1"/>
    <xf numFmtId="168" fontId="2" fillId="0" borderId="64" xfId="6" applyNumberFormat="1" applyFont="1" applyBorder="1"/>
    <xf numFmtId="0" fontId="2" fillId="0" borderId="64" xfId="0" applyFont="1" applyBorder="1" applyAlignment="1">
      <alignment horizontal="center"/>
    </xf>
    <xf numFmtId="1" fontId="7" fillId="6" borderId="28" xfId="0" applyNumberFormat="1" applyFont="1" applyFill="1" applyBorder="1" applyAlignment="1">
      <alignment horizontal="center" vertical="center"/>
    </xf>
    <xf numFmtId="1" fontId="24" fillId="0" borderId="91" xfId="0" applyNumberFormat="1" applyFont="1" applyBorder="1" applyAlignment="1">
      <alignment horizontal="center" vertical="center"/>
    </xf>
    <xf numFmtId="1" fontId="24" fillId="0" borderId="148" xfId="0" applyNumberFormat="1" applyFont="1" applyBorder="1" applyAlignment="1">
      <alignment horizontal="center" vertical="center"/>
    </xf>
    <xf numFmtId="1" fontId="24" fillId="0" borderId="83" xfId="0" applyNumberFormat="1" applyFont="1" applyBorder="1" applyAlignment="1">
      <alignment horizontal="center" vertical="center"/>
    </xf>
    <xf numFmtId="1" fontId="24" fillId="0" borderId="84" xfId="0" applyNumberFormat="1" applyFont="1" applyBorder="1" applyAlignment="1">
      <alignment horizontal="center" vertical="center"/>
    </xf>
    <xf numFmtId="1" fontId="24" fillId="0" borderId="88" xfId="0" applyNumberFormat="1" applyFont="1" applyBorder="1" applyAlignment="1">
      <alignment horizontal="center" vertical="center"/>
    </xf>
    <xf numFmtId="1" fontId="24" fillId="0" borderId="129" xfId="0" applyNumberFormat="1" applyFont="1" applyBorder="1" applyAlignment="1">
      <alignment horizontal="center" vertical="center"/>
    </xf>
    <xf numFmtId="1" fontId="24" fillId="0" borderId="132" xfId="0" applyNumberFormat="1" applyFont="1" applyBorder="1" applyAlignment="1">
      <alignment horizontal="center" vertical="center"/>
    </xf>
    <xf numFmtId="0" fontId="53" fillId="0" borderId="158" xfId="0" applyFont="1" applyBorder="1" applyAlignment="1">
      <alignment horizontal="center" vertical="center"/>
    </xf>
    <xf numFmtId="0" fontId="53" fillId="0" borderId="159" xfId="0" applyFont="1" applyBorder="1" applyAlignment="1">
      <alignment horizontal="center" vertical="center"/>
    </xf>
    <xf numFmtId="0" fontId="53" fillId="0" borderId="160" xfId="0" applyFont="1" applyBorder="1" applyAlignment="1">
      <alignment horizontal="center" vertical="center"/>
    </xf>
    <xf numFmtId="0" fontId="53" fillId="20" borderId="0" xfId="0" applyFont="1" applyFill="1" applyAlignment="1">
      <alignment horizontal="center" vertical="center"/>
    </xf>
    <xf numFmtId="0" fontId="53" fillId="0" borderId="0" xfId="0" applyFont="1" applyAlignment="1">
      <alignment horizontal="center" vertical="center"/>
    </xf>
    <xf numFmtId="0" fontId="53" fillId="0" borderId="161" xfId="0" applyFont="1" applyBorder="1" applyAlignment="1">
      <alignment horizontal="center" vertical="center"/>
    </xf>
    <xf numFmtId="0" fontId="53" fillId="0" borderId="162" xfId="0" applyFont="1" applyBorder="1" applyAlignment="1">
      <alignment horizontal="center" vertical="center"/>
    </xf>
    <xf numFmtId="0" fontId="53" fillId="0" borderId="163" xfId="0" applyFont="1" applyBorder="1" applyAlignment="1">
      <alignment horizontal="center" vertical="center"/>
    </xf>
    <xf numFmtId="0" fontId="53" fillId="0" borderId="164" xfId="0" applyFont="1" applyBorder="1" applyAlignment="1">
      <alignment horizontal="center" vertical="center"/>
    </xf>
    <xf numFmtId="0" fontId="53" fillId="0" borderId="165" xfId="0" applyFont="1" applyBorder="1" applyAlignment="1">
      <alignment horizontal="center" vertical="center"/>
    </xf>
    <xf numFmtId="0" fontId="53" fillId="0" borderId="166" xfId="0" applyFont="1" applyBorder="1" applyAlignment="1">
      <alignment horizontal="center" vertical="center"/>
    </xf>
    <xf numFmtId="0" fontId="50" fillId="0" borderId="0" xfId="0" applyFont="1" applyAlignment="1">
      <alignment vertical="center"/>
    </xf>
    <xf numFmtId="168" fontId="7" fillId="6" borderId="0" xfId="6" applyNumberFormat="1" applyFont="1" applyFill="1" applyAlignment="1">
      <alignment horizontal="center" vertical="center"/>
    </xf>
    <xf numFmtId="1" fontId="52" fillId="0" borderId="79" xfId="0" applyNumberFormat="1" applyFont="1" applyBorder="1" applyAlignment="1">
      <alignment horizontal="center" vertical="center"/>
    </xf>
    <xf numFmtId="0" fontId="25" fillId="17" borderId="173" xfId="0" applyFont="1" applyFill="1" applyBorder="1" applyAlignment="1">
      <alignment horizontal="center" vertical="center" wrapText="1"/>
    </xf>
    <xf numFmtId="0" fontId="20" fillId="21" borderId="174" xfId="0" applyFont="1" applyFill="1" applyBorder="1" applyAlignment="1">
      <alignment horizontal="center" vertical="center" wrapText="1"/>
    </xf>
    <xf numFmtId="0" fontId="20" fillId="21" borderId="175" xfId="0" applyFont="1" applyFill="1" applyBorder="1" applyAlignment="1">
      <alignment horizontal="center" vertical="center" wrapText="1"/>
    </xf>
    <xf numFmtId="0" fontId="20" fillId="21" borderId="176" xfId="0" applyFont="1" applyFill="1" applyBorder="1" applyAlignment="1">
      <alignment horizontal="center" vertical="center" wrapText="1"/>
    </xf>
    <xf numFmtId="0" fontId="20" fillId="22" borderId="177" xfId="0" applyFont="1" applyFill="1" applyBorder="1" applyAlignment="1">
      <alignment horizontal="center" vertical="center" wrapText="1"/>
    </xf>
    <xf numFmtId="0" fontId="20" fillId="22" borderId="178" xfId="0" applyFont="1" applyFill="1" applyBorder="1" applyAlignment="1">
      <alignment horizontal="center" vertical="center" wrapText="1"/>
    </xf>
    <xf numFmtId="0" fontId="7" fillId="0" borderId="32" xfId="4" applyBorder="1" applyAlignment="1">
      <alignment horizontal="center" vertical="center"/>
    </xf>
    <xf numFmtId="168" fontId="7" fillId="0" borderId="32" xfId="6" applyNumberFormat="1" applyFont="1" applyBorder="1" applyAlignment="1">
      <alignment horizontal="center" vertical="center"/>
    </xf>
    <xf numFmtId="2" fontId="7" fillId="0" borderId="32" xfId="0" applyNumberFormat="1" applyFont="1" applyBorder="1" applyAlignment="1">
      <alignment horizontal="center" vertical="center"/>
    </xf>
    <xf numFmtId="2" fontId="7" fillId="0" borderId="32" xfId="0" applyNumberFormat="1" applyFont="1" applyBorder="1"/>
    <xf numFmtId="165" fontId="54" fillId="0" borderId="185" xfId="0" applyNumberFormat="1" applyFont="1" applyBorder="1"/>
    <xf numFmtId="165" fontId="54" fillId="0" borderId="186" xfId="0" applyNumberFormat="1" applyFont="1" applyBorder="1"/>
    <xf numFmtId="2" fontId="7" fillId="0" borderId="180" xfId="0" applyNumberFormat="1" applyFont="1" applyBorder="1"/>
    <xf numFmtId="0" fontId="20" fillId="22" borderId="187" xfId="0" applyFont="1" applyFill="1" applyBorder="1" applyAlignment="1">
      <alignment horizontal="center" vertical="center" wrapText="1"/>
    </xf>
    <xf numFmtId="2" fontId="7" fillId="0" borderId="185" xfId="0" applyNumberFormat="1" applyFont="1" applyBorder="1"/>
    <xf numFmtId="0" fontId="7" fillId="0" borderId="185" xfId="0" applyFont="1" applyBorder="1"/>
    <xf numFmtId="0" fontId="8" fillId="8" borderId="178" xfId="0" applyFont="1" applyFill="1" applyBorder="1" applyAlignment="1">
      <alignment vertical="center" wrapText="1"/>
    </xf>
    <xf numFmtId="0" fontId="7" fillId="0" borderId="186" xfId="0" applyFont="1" applyBorder="1"/>
    <xf numFmtId="2" fontId="7" fillId="0" borderId="183" xfId="0" applyNumberFormat="1" applyFont="1" applyBorder="1"/>
    <xf numFmtId="0" fontId="25" fillId="10" borderId="188" xfId="0" applyFont="1" applyFill="1" applyBorder="1" applyAlignment="1">
      <alignment horizontal="center" vertical="center"/>
    </xf>
    <xf numFmtId="0" fontId="20" fillId="10" borderId="189" xfId="0" applyFont="1" applyFill="1" applyBorder="1" applyAlignment="1">
      <alignment horizontal="center" vertical="center" wrapText="1"/>
    </xf>
    <xf numFmtId="0" fontId="8" fillId="23" borderId="190" xfId="0" applyFont="1" applyFill="1" applyBorder="1" applyAlignment="1">
      <alignment horizontal="center" vertical="center" wrapText="1"/>
    </xf>
    <xf numFmtId="0" fontId="8" fillId="23" borderId="187" xfId="0" applyFont="1" applyFill="1" applyBorder="1" applyAlignment="1">
      <alignment horizontal="center" vertical="center" wrapText="1"/>
    </xf>
    <xf numFmtId="0" fontId="8" fillId="10" borderId="184" xfId="0" applyFont="1" applyFill="1" applyBorder="1" applyAlignment="1">
      <alignment horizontal="center" vertical="center" wrapText="1"/>
    </xf>
    <xf numFmtId="0" fontId="7" fillId="0" borderId="181" xfId="4" applyBorder="1" applyAlignment="1">
      <alignment horizontal="center" vertical="center"/>
    </xf>
    <xf numFmtId="168" fontId="7" fillId="0" borderId="181" xfId="6" applyNumberFormat="1" applyFont="1" applyBorder="1" applyAlignment="1">
      <alignment horizontal="center" vertical="center"/>
    </xf>
    <xf numFmtId="2" fontId="7" fillId="0" borderId="181" xfId="0" applyNumberFormat="1" applyFont="1" applyBorder="1" applyAlignment="1">
      <alignment horizontal="center" vertical="center"/>
    </xf>
    <xf numFmtId="2" fontId="7" fillId="0" borderId="181" xfId="0" applyNumberFormat="1" applyFont="1" applyBorder="1"/>
    <xf numFmtId="165" fontId="54" fillId="0" borderId="179" xfId="0" applyNumberFormat="1" applyFont="1" applyBorder="1"/>
    <xf numFmtId="165" fontId="54" fillId="0" borderId="182" xfId="0" applyNumberFormat="1" applyFont="1" applyBorder="1"/>
    <xf numFmtId="0" fontId="54" fillId="0" borderId="32" xfId="0" applyFont="1" applyBorder="1"/>
    <xf numFmtId="0" fontId="20" fillId="17" borderId="195" xfId="0" applyFont="1" applyFill="1" applyBorder="1" applyAlignment="1">
      <alignment horizontal="center" vertical="center" wrapText="1"/>
    </xf>
    <xf numFmtId="0" fontId="20" fillId="21" borderId="196" xfId="0" applyFont="1" applyFill="1" applyBorder="1" applyAlignment="1">
      <alignment horizontal="center" vertical="center" wrapText="1"/>
    </xf>
    <xf numFmtId="0" fontId="20" fillId="21" borderId="197" xfId="0" applyFont="1" applyFill="1" applyBorder="1" applyAlignment="1">
      <alignment horizontal="center" vertical="center" wrapText="1"/>
    </xf>
    <xf numFmtId="0" fontId="54" fillId="0" borderId="181" xfId="0" applyFont="1" applyBorder="1"/>
    <xf numFmtId="1" fontId="24" fillId="0" borderId="107" xfId="0" applyNumberFormat="1" applyFont="1" applyBorder="1" applyAlignment="1">
      <alignment horizontal="center" vertical="center"/>
    </xf>
    <xf numFmtId="1" fontId="24" fillId="0" borderId="110" xfId="0" applyNumberFormat="1" applyFont="1" applyBorder="1" applyAlignment="1">
      <alignment horizontal="center" vertical="center"/>
    </xf>
    <xf numFmtId="0" fontId="14" fillId="12" borderId="32" xfId="0" applyFont="1" applyFill="1" applyBorder="1" applyAlignment="1">
      <alignment vertical="center"/>
    </xf>
    <xf numFmtId="0" fontId="8" fillId="10" borderId="32" xfId="0" applyFont="1" applyFill="1" applyBorder="1" applyAlignment="1">
      <alignment horizontal="center" vertical="center"/>
    </xf>
    <xf numFmtId="43" fontId="7" fillId="0" borderId="32" xfId="0" applyNumberFormat="1" applyFont="1" applyBorder="1" applyAlignment="1">
      <alignment vertical="center"/>
    </xf>
    <xf numFmtId="0" fontId="7" fillId="0" borderId="32" xfId="0" applyFont="1" applyBorder="1" applyAlignment="1">
      <alignment vertical="center"/>
    </xf>
    <xf numFmtId="0" fontId="21" fillId="10" borderId="3" xfId="0" applyFont="1" applyFill="1" applyBorder="1" applyAlignment="1">
      <alignment horizontal="center" vertical="center" wrapText="1"/>
    </xf>
    <xf numFmtId="1" fontId="2" fillId="0" borderId="3" xfId="7" applyNumberFormat="1" applyFont="1" applyBorder="1" applyAlignment="1">
      <alignment horizontal="center" vertical="center"/>
    </xf>
    <xf numFmtId="1" fontId="2" fillId="0" borderId="3" xfId="7" quotePrefix="1" applyNumberFormat="1" applyFont="1" applyBorder="1" applyAlignment="1">
      <alignment horizontal="center" vertical="center"/>
    </xf>
    <xf numFmtId="1" fontId="22" fillId="0" borderId="3" xfId="7" quotePrefix="1" applyNumberFormat="1" applyFont="1" applyBorder="1" applyAlignment="1">
      <alignment horizontal="center" vertical="center"/>
    </xf>
    <xf numFmtId="1" fontId="2" fillId="6" borderId="3" xfId="7" applyNumberFormat="1" applyFont="1" applyFill="1" applyBorder="1" applyAlignment="1">
      <alignment horizontal="center" vertical="center"/>
    </xf>
    <xf numFmtId="1" fontId="2" fillId="6" borderId="3" xfId="7" quotePrefix="1" applyNumberFormat="1" applyFont="1" applyFill="1" applyBorder="1" applyAlignment="1">
      <alignment horizontal="center" vertical="center"/>
    </xf>
    <xf numFmtId="43" fontId="7" fillId="0" borderId="32" xfId="0" applyNumberFormat="1" applyFont="1" applyBorder="1" applyAlignment="1">
      <alignment vertical="center" wrapText="1"/>
    </xf>
    <xf numFmtId="43" fontId="7" fillId="0" borderId="32" xfId="0" applyNumberFormat="1" applyFont="1" applyBorder="1" applyAlignment="1">
      <alignment horizontal="left" vertical="center" wrapText="1"/>
    </xf>
    <xf numFmtId="0" fontId="55" fillId="0" borderId="0" xfId="0" applyFont="1"/>
    <xf numFmtId="0" fontId="13" fillId="0" borderId="0" xfId="0" applyFont="1" applyAlignment="1">
      <alignment vertical="center" indent="1"/>
    </xf>
    <xf numFmtId="0" fontId="16" fillId="2" borderId="0" xfId="0" applyFont="1" applyFill="1" applyAlignment="1">
      <alignment vertical="center" indent="1"/>
    </xf>
    <xf numFmtId="0" fontId="30" fillId="0" borderId="0" xfId="0" applyFont="1" applyAlignment="1">
      <alignment vertical="center" indent="1"/>
    </xf>
    <xf numFmtId="168" fontId="7" fillId="0" borderId="213" xfId="0" applyNumberFormat="1" applyFont="1" applyBorder="1" applyAlignment="1">
      <alignment vertical="center"/>
    </xf>
    <xf numFmtId="0" fontId="8" fillId="0" borderId="221" xfId="0" applyFont="1" applyBorder="1" applyAlignment="1">
      <alignment horizontal="center" vertical="center" wrapText="1"/>
    </xf>
    <xf numFmtId="0" fontId="8" fillId="0" borderId="222" xfId="0" applyFont="1" applyBorder="1" applyAlignment="1">
      <alignment horizontal="center" vertical="center" wrapText="1"/>
    </xf>
    <xf numFmtId="0" fontId="8" fillId="0" borderId="223" xfId="0" applyFont="1" applyBorder="1" applyAlignment="1">
      <alignment horizontal="center" vertical="center" wrapText="1"/>
    </xf>
    <xf numFmtId="164" fontId="8" fillId="0" borderId="214" xfId="0" applyNumberFormat="1" applyFont="1" applyBorder="1" applyAlignment="1">
      <alignment horizontal="center" vertical="center"/>
    </xf>
    <xf numFmtId="0" fontId="8" fillId="0" borderId="227" xfId="0" applyFont="1" applyBorder="1" applyAlignment="1">
      <alignment horizontal="center" vertical="center" wrapText="1"/>
    </xf>
    <xf numFmtId="0" fontId="8" fillId="0" borderId="228" xfId="0" applyFont="1" applyBorder="1" applyAlignment="1">
      <alignment horizontal="center" vertical="center" wrapText="1"/>
    </xf>
    <xf numFmtId="0" fontId="8" fillId="0" borderId="229" xfId="0" applyFont="1" applyBorder="1" applyAlignment="1">
      <alignment horizontal="center" vertical="center" wrapText="1"/>
    </xf>
    <xf numFmtId="0" fontId="15" fillId="0" borderId="0" xfId="0" applyFont="1" applyAlignment="1">
      <alignment horizontal="center" vertical="center" wrapText="1"/>
    </xf>
    <xf numFmtId="0" fontId="0" fillId="0" borderId="0" xfId="0" applyAlignment="1">
      <alignment horizontal="center" vertical="center" wrapText="1"/>
    </xf>
    <xf numFmtId="0" fontId="59" fillId="0" borderId="0" xfId="0" applyFont="1" applyAlignment="1">
      <alignment horizontal="center" vertical="center"/>
    </xf>
    <xf numFmtId="0" fontId="54" fillId="0" borderId="0" xfId="0" applyFont="1" applyAlignment="1">
      <alignment horizontal="center" vertical="center" wrapText="1"/>
    </xf>
    <xf numFmtId="0" fontId="57" fillId="0" borderId="0" xfId="0" applyFont="1" applyAlignment="1">
      <alignment horizontal="center" vertical="center" wrapText="1"/>
    </xf>
    <xf numFmtId="0" fontId="7" fillId="0" borderId="32" xfId="0" quotePrefix="1" applyFont="1" applyBorder="1" applyAlignment="1">
      <alignment vertical="center" wrapText="1"/>
    </xf>
    <xf numFmtId="1" fontId="7" fillId="6" borderId="3" xfId="7" applyNumberFormat="1" applyFont="1" applyFill="1" applyBorder="1" applyAlignment="1">
      <alignment horizontal="center" vertical="center"/>
    </xf>
    <xf numFmtId="0" fontId="7" fillId="0" borderId="32" xfId="0" quotePrefix="1" applyFont="1" applyBorder="1" applyAlignment="1">
      <alignment horizontal="left" vertical="top" wrapText="1"/>
    </xf>
    <xf numFmtId="0" fontId="8" fillId="10" borderId="239" xfId="0" applyFont="1" applyFill="1" applyBorder="1" applyAlignment="1">
      <alignment horizontal="center" vertical="center"/>
    </xf>
    <xf numFmtId="0" fontId="7" fillId="0" borderId="241" xfId="0" applyFont="1" applyBorder="1" applyAlignment="1">
      <alignment vertical="center"/>
    </xf>
    <xf numFmtId="0" fontId="7" fillId="6" borderId="241" xfId="0" applyFont="1" applyFill="1" applyBorder="1" applyAlignment="1">
      <alignment vertical="center"/>
    </xf>
    <xf numFmtId="0" fontId="7" fillId="6" borderId="244" xfId="0" applyFont="1" applyFill="1" applyBorder="1" applyAlignment="1">
      <alignment vertical="center"/>
    </xf>
    <xf numFmtId="3" fontId="7" fillId="6" borderId="245" xfId="0" applyNumberFormat="1" applyFont="1" applyFill="1" applyBorder="1" applyAlignment="1">
      <alignment horizontal="center" vertical="center"/>
    </xf>
    <xf numFmtId="168" fontId="7" fillId="6" borderId="246" xfId="6" applyNumberFormat="1" applyFont="1" applyFill="1" applyBorder="1" applyAlignment="1">
      <alignment horizontal="center" vertical="center"/>
    </xf>
    <xf numFmtId="0" fontId="7" fillId="6" borderId="245" xfId="0" applyFont="1" applyFill="1" applyBorder="1" applyAlignment="1">
      <alignment horizontal="center" vertical="center"/>
    </xf>
    <xf numFmtId="0" fontId="7" fillId="6" borderId="246" xfId="0" applyFont="1" applyFill="1" applyBorder="1" applyAlignment="1">
      <alignment horizontal="center" vertical="center"/>
    </xf>
    <xf numFmtId="168" fontId="7" fillId="6" borderId="247" xfId="6" applyNumberFormat="1" applyFont="1" applyFill="1" applyBorder="1" applyAlignment="1">
      <alignment horizontal="center" vertical="center"/>
    </xf>
    <xf numFmtId="2" fontId="24" fillId="0" borderId="32" xfId="0" applyNumberFormat="1" applyFont="1" applyBorder="1" applyAlignment="1">
      <alignment horizontal="center" vertical="center"/>
    </xf>
    <xf numFmtId="0" fontId="24" fillId="0" borderId="249" xfId="0" applyFont="1" applyBorder="1" applyAlignment="1">
      <alignment horizontal="center" vertical="center"/>
    </xf>
    <xf numFmtId="0" fontId="24" fillId="0" borderId="252" xfId="0" applyFont="1" applyBorder="1" applyAlignment="1">
      <alignment horizontal="center" vertical="center"/>
    </xf>
    <xf numFmtId="2" fontId="24" fillId="0" borderId="250" xfId="0" applyNumberFormat="1" applyFont="1" applyBorder="1" applyAlignment="1">
      <alignment horizontal="center" vertical="center"/>
    </xf>
    <xf numFmtId="2" fontId="24" fillId="0" borderId="253" xfId="0" applyNumberFormat="1" applyFont="1" applyBorder="1" applyAlignment="1">
      <alignment horizontal="center" vertical="center"/>
    </xf>
    <xf numFmtId="2" fontId="24" fillId="0" borderId="180" xfId="0" applyNumberFormat="1" applyFont="1" applyBorder="1" applyAlignment="1">
      <alignment horizontal="center" vertical="center"/>
    </xf>
    <xf numFmtId="0" fontId="24" fillId="0" borderId="255" xfId="0" applyFont="1" applyBorder="1" applyAlignment="1">
      <alignment horizontal="center" vertical="center"/>
    </xf>
    <xf numFmtId="2" fontId="24" fillId="0" borderId="172" xfId="0" applyNumberFormat="1" applyFont="1" applyBorder="1" applyAlignment="1">
      <alignment horizontal="center" vertical="center"/>
    </xf>
    <xf numFmtId="2" fontId="24" fillId="0" borderId="256" xfId="0" applyNumberFormat="1" applyFont="1" applyBorder="1" applyAlignment="1">
      <alignment horizontal="center" vertical="center"/>
    </xf>
    <xf numFmtId="0" fontId="20" fillId="10"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8" fillId="17" borderId="2" xfId="0" applyFont="1" applyFill="1" applyBorder="1" applyAlignment="1">
      <alignment horizontal="center" vertical="center" wrapText="1"/>
    </xf>
    <xf numFmtId="0" fontId="20" fillId="0" borderId="0" xfId="0" applyFont="1" applyAlignment="1">
      <alignment horizontal="center" vertical="center" wrapText="1"/>
    </xf>
    <xf numFmtId="2" fontId="7" fillId="0" borderId="2" xfId="0" applyNumberFormat="1" applyFont="1" applyBorder="1" applyAlignment="1">
      <alignment horizontal="center" vertical="center" wrapText="1"/>
    </xf>
    <xf numFmtId="0" fontId="7" fillId="0" borderId="264" xfId="0" applyFont="1" applyBorder="1" applyAlignment="1">
      <alignment horizontal="center" vertical="center" wrapText="1"/>
    </xf>
    <xf numFmtId="168" fontId="7" fillId="0" borderId="264" xfId="0" applyNumberFormat="1" applyFont="1" applyBorder="1" applyAlignment="1">
      <alignment horizontal="center" vertical="center" wrapText="1"/>
    </xf>
    <xf numFmtId="165" fontId="2" fillId="0" borderId="265" xfId="0" applyNumberFormat="1" applyFont="1" applyBorder="1"/>
    <xf numFmtId="0" fontId="7" fillId="0" borderId="0" xfId="14" applyFont="1"/>
    <xf numFmtId="0" fontId="54" fillId="0" borderId="0" xfId="14" applyFont="1" applyAlignment="1">
      <alignment vertical="center" wrapText="1"/>
    </xf>
    <xf numFmtId="0" fontId="54" fillId="0" borderId="0" xfId="14" applyFont="1" applyAlignment="1">
      <alignment vertical="center"/>
    </xf>
    <xf numFmtId="0" fontId="7" fillId="0" borderId="0" xfId="14" applyFont="1" applyAlignment="1">
      <alignment horizontal="left"/>
    </xf>
    <xf numFmtId="0" fontId="46" fillId="0" borderId="0" xfId="14"/>
    <xf numFmtId="0" fontId="7" fillId="0" borderId="0" xfId="14" applyFont="1" applyAlignment="1">
      <alignment wrapText="1"/>
    </xf>
    <xf numFmtId="0" fontId="46" fillId="0" borderId="0" xfId="14" applyAlignment="1">
      <alignment horizontal="left" vertical="center"/>
    </xf>
    <xf numFmtId="0" fontId="7" fillId="0" borderId="0" xfId="14" applyFont="1" applyAlignment="1">
      <alignment horizontal="left" vertical="center"/>
    </xf>
    <xf numFmtId="0" fontId="7" fillId="0" borderId="0" xfId="0" applyFont="1" applyAlignment="1">
      <alignment horizontal="left"/>
    </xf>
    <xf numFmtId="0" fontId="60" fillId="25" borderId="32" xfId="0" applyFont="1" applyFill="1" applyBorder="1" applyAlignment="1">
      <alignment horizontal="center" vertical="center" wrapText="1"/>
    </xf>
    <xf numFmtId="0" fontId="8" fillId="0" borderId="212" xfId="0" applyFont="1" applyBorder="1" applyAlignment="1">
      <alignment horizontal="center" vertical="center"/>
    </xf>
    <xf numFmtId="0" fontId="7" fillId="0" borderId="0" xfId="0" applyFont="1" applyAlignment="1">
      <alignment horizontal="center" vertical="center" wrapText="1"/>
    </xf>
    <xf numFmtId="2" fontId="61" fillId="0" borderId="2" xfId="0" applyNumberFormat="1" applyFont="1" applyBorder="1" applyAlignment="1">
      <alignment horizontal="center" vertical="center"/>
    </xf>
    <xf numFmtId="164" fontId="7" fillId="0" borderId="0" xfId="2" applyNumberFormat="1" applyFont="1" applyFill="1" applyBorder="1" applyAlignment="1">
      <alignment horizontal="center" vertical="center"/>
    </xf>
    <xf numFmtId="0" fontId="17" fillId="0" borderId="0" xfId="5" applyFont="1" applyAlignment="1"/>
    <xf numFmtId="164" fontId="7" fillId="0" borderId="0" xfId="0" applyNumberFormat="1" applyFont="1" applyAlignment="1">
      <alignment horizontal="center" vertical="center"/>
    </xf>
    <xf numFmtId="10" fontId="7" fillId="0" borderId="0" xfId="0" applyNumberFormat="1" applyFont="1" applyAlignment="1">
      <alignment horizontal="center" vertical="center" wrapText="1"/>
    </xf>
    <xf numFmtId="0" fontId="24" fillId="5" borderId="24" xfId="0" applyFont="1" applyFill="1" applyBorder="1" applyAlignment="1">
      <alignment horizontal="center" vertical="center" wrapText="1"/>
    </xf>
    <xf numFmtId="0" fontId="33" fillId="5" borderId="0" xfId="0" applyFont="1" applyFill="1"/>
    <xf numFmtId="0" fontId="34" fillId="6" borderId="276" xfId="0" applyFont="1" applyFill="1" applyBorder="1" applyAlignment="1">
      <alignment horizontal="center" vertical="center" wrapText="1"/>
    </xf>
    <xf numFmtId="3" fontId="24" fillId="0" borderId="276" xfId="0" applyNumberFormat="1" applyFont="1" applyBorder="1" applyAlignment="1">
      <alignment horizontal="center" vertical="center" wrapText="1"/>
    </xf>
    <xf numFmtId="0" fontId="24" fillId="5" borderId="276" xfId="0" applyFont="1" applyFill="1" applyBorder="1" applyAlignment="1">
      <alignment horizontal="center" vertical="center" wrapText="1"/>
    </xf>
    <xf numFmtId="0" fontId="27" fillId="5" borderId="276" xfId="0" applyFont="1" applyFill="1" applyBorder="1" applyAlignment="1">
      <alignment horizontal="center" vertical="center" wrapText="1"/>
    </xf>
    <xf numFmtId="3" fontId="2" fillId="0" borderId="2" xfId="7" applyNumberFormat="1" applyFont="1" applyBorder="1" applyAlignment="1">
      <alignment horizontal="center" vertical="center"/>
    </xf>
    <xf numFmtId="3" fontId="2" fillId="6" borderId="2" xfId="7" applyNumberFormat="1" applyFont="1" applyFill="1" applyBorder="1" applyAlignment="1">
      <alignment horizontal="center" vertical="center"/>
    </xf>
    <xf numFmtId="0" fontId="56" fillId="0" borderId="242" xfId="0" applyFont="1" applyBorder="1" applyAlignment="1">
      <alignment horizontal="center" vertical="center" indent="1"/>
    </xf>
    <xf numFmtId="0" fontId="56" fillId="0" borderId="243" xfId="0" applyFont="1" applyBorder="1" applyAlignment="1">
      <alignment horizontal="center" vertical="center" indent="1"/>
    </xf>
    <xf numFmtId="0" fontId="56" fillId="0" borderId="243" xfId="0" applyFont="1" applyBorder="1" applyAlignment="1">
      <alignment horizontal="center" vertical="center" wrapText="1" indent="1"/>
    </xf>
    <xf numFmtId="0" fontId="56" fillId="0" borderId="248" xfId="0" applyFont="1" applyBorder="1" applyAlignment="1">
      <alignment horizontal="center" vertical="center" indent="1"/>
    </xf>
    <xf numFmtId="0" fontId="63" fillId="0" borderId="0" xfId="5" applyFont="1" applyAlignment="1">
      <alignment vertical="center"/>
    </xf>
    <xf numFmtId="0" fontId="49" fillId="20" borderId="264" xfId="0" applyFont="1" applyFill="1" applyBorder="1" applyAlignment="1">
      <alignment horizontal="left" vertical="center"/>
    </xf>
    <xf numFmtId="0" fontId="7" fillId="5" borderId="125" xfId="0" applyFont="1" applyFill="1" applyBorder="1"/>
    <xf numFmtId="0" fontId="8" fillId="0" borderId="16" xfId="0" applyFont="1" applyBorder="1" applyAlignment="1">
      <alignment vertical="center"/>
    </xf>
    <xf numFmtId="0" fontId="8" fillId="0" borderId="17" xfId="0" applyFont="1" applyBorder="1" applyAlignment="1">
      <alignment vertical="center"/>
    </xf>
    <xf numFmtId="0" fontId="8" fillId="5" borderId="271" xfId="0" applyFont="1" applyFill="1" applyBorder="1" applyAlignment="1">
      <alignment vertical="center"/>
    </xf>
    <xf numFmtId="0" fontId="7" fillId="5" borderId="19" xfId="0" applyFont="1" applyFill="1" applyBorder="1" applyAlignment="1">
      <alignment vertical="center"/>
    </xf>
    <xf numFmtId="0" fontId="7" fillId="5" borderId="23" xfId="0" applyFont="1" applyFill="1" applyBorder="1" applyAlignment="1">
      <alignment vertical="center"/>
    </xf>
    <xf numFmtId="0" fontId="64" fillId="0" borderId="0" xfId="0" applyFont="1" applyAlignment="1">
      <alignment vertical="center"/>
    </xf>
    <xf numFmtId="0" fontId="65" fillId="5" borderId="19" xfId="0" applyFont="1" applyFill="1" applyBorder="1" applyAlignment="1">
      <alignment vertical="center"/>
    </xf>
    <xf numFmtId="0" fontId="65" fillId="5" borderId="0" xfId="0" applyFont="1" applyFill="1" applyAlignment="1">
      <alignment vertical="center"/>
    </xf>
    <xf numFmtId="0" fontId="66" fillId="6" borderId="270" xfId="14" applyFont="1" applyFill="1" applyBorder="1" applyAlignment="1">
      <alignment vertical="center" wrapText="1"/>
    </xf>
    <xf numFmtId="0" fontId="66" fillId="29" borderId="233" xfId="14" applyFont="1" applyFill="1" applyBorder="1" applyAlignment="1">
      <alignment vertical="center" wrapText="1"/>
    </xf>
    <xf numFmtId="0" fontId="66" fillId="29" borderId="16" xfId="14" applyFont="1" applyFill="1" applyBorder="1" applyAlignment="1">
      <alignment vertical="center" wrapText="1"/>
    </xf>
    <xf numFmtId="0" fontId="66" fillId="29" borderId="16" xfId="14" applyFont="1" applyFill="1" applyBorder="1" applyAlignment="1">
      <alignment horizontal="left" vertical="center" wrapText="1"/>
    </xf>
    <xf numFmtId="0" fontId="66" fillId="29" borderId="17" xfId="14" applyFont="1" applyFill="1" applyBorder="1" applyAlignment="1">
      <alignment vertical="center" wrapText="1"/>
    </xf>
    <xf numFmtId="0" fontId="56" fillId="11" borderId="17" xfId="14" applyFont="1" applyFill="1" applyBorder="1" applyAlignment="1">
      <alignment horizontal="left" vertical="center"/>
    </xf>
    <xf numFmtId="0" fontId="56" fillId="11" borderId="271" xfId="14" applyFont="1" applyFill="1" applyBorder="1" applyAlignment="1">
      <alignment horizontal="left" vertical="center"/>
    </xf>
    <xf numFmtId="43" fontId="7" fillId="0" borderId="3" xfId="6" applyFont="1" applyBorder="1" applyAlignment="1">
      <alignment horizontal="center" vertical="center"/>
    </xf>
    <xf numFmtId="0" fontId="67" fillId="31" borderId="280" xfId="0" applyFont="1" applyFill="1" applyBorder="1" applyAlignment="1">
      <alignment horizontal="left" vertical="center" wrapText="1"/>
    </xf>
    <xf numFmtId="0" fontId="67" fillId="31" borderId="0" xfId="0" applyFont="1" applyFill="1" applyAlignment="1">
      <alignment horizontal="left" vertical="center" wrapText="1"/>
    </xf>
    <xf numFmtId="0" fontId="67" fillId="31" borderId="281" xfId="0" applyFont="1" applyFill="1" applyBorder="1" applyAlignment="1">
      <alignment horizontal="left" vertical="center" wrapText="1"/>
    </xf>
    <xf numFmtId="0" fontId="68" fillId="6" borderId="284" xfId="0" applyFont="1" applyFill="1" applyBorder="1" applyAlignment="1">
      <alignment horizontal="left" vertical="top"/>
    </xf>
    <xf numFmtId="0" fontId="68" fillId="6" borderId="285" xfId="0" applyFont="1" applyFill="1" applyBorder="1" applyAlignment="1">
      <alignment horizontal="left" vertical="top"/>
    </xf>
    <xf numFmtId="0" fontId="68" fillId="6" borderId="286" xfId="0" applyFont="1" applyFill="1" applyBorder="1" applyAlignment="1">
      <alignment horizontal="left" vertical="top"/>
    </xf>
    <xf numFmtId="0" fontId="67" fillId="31" borderId="284" xfId="0" applyFont="1" applyFill="1" applyBorder="1" applyAlignment="1">
      <alignment horizontal="left" vertical="center" wrapText="1"/>
    </xf>
    <xf numFmtId="0" fontId="67" fillId="31" borderId="285" xfId="0" applyFont="1" applyFill="1" applyBorder="1" applyAlignment="1">
      <alignment horizontal="left" vertical="top" wrapText="1"/>
    </xf>
    <xf numFmtId="0" fontId="67" fillId="31" borderId="286" xfId="0" applyFont="1" applyFill="1" applyBorder="1" applyAlignment="1">
      <alignment horizontal="left" vertical="center" wrapText="1"/>
    </xf>
    <xf numFmtId="0" fontId="69" fillId="0" borderId="0" xfId="5" applyFont="1" applyAlignment="1">
      <alignment horizontal="left" vertical="top"/>
    </xf>
    <xf numFmtId="43" fontId="7" fillId="0" borderId="0" xfId="6" applyFont="1" applyBorder="1" applyAlignment="1">
      <alignment horizontal="center" vertical="center"/>
    </xf>
    <xf numFmtId="0" fontId="70" fillId="0" borderId="0" xfId="0" applyFont="1"/>
    <xf numFmtId="0" fontId="71" fillId="0" borderId="0" xfId="0" applyFont="1"/>
    <xf numFmtId="0" fontId="12" fillId="0" borderId="14" xfId="3" applyFont="1" applyBorder="1" applyAlignment="1">
      <alignment horizontal="center" vertical="center" wrapText="1"/>
    </xf>
    <xf numFmtId="0" fontId="12" fillId="6" borderId="14" xfId="3" applyFont="1" applyFill="1" applyBorder="1" applyAlignment="1">
      <alignment horizontal="center" vertical="center" wrapText="1"/>
    </xf>
    <xf numFmtId="3" fontId="12" fillId="0" borderId="14" xfId="3" applyNumberFormat="1" applyFont="1" applyBorder="1" applyAlignment="1">
      <alignment horizontal="center" vertical="center" wrapText="1"/>
    </xf>
    <xf numFmtId="3" fontId="12" fillId="0" borderId="0" xfId="3" applyNumberFormat="1" applyFont="1" applyBorder="1" applyAlignment="1">
      <alignment horizontal="center" vertical="center" wrapText="1"/>
    </xf>
    <xf numFmtId="3" fontId="12" fillId="0" borderId="0" xfId="3" applyNumberFormat="1" applyFont="1" applyFill="1" applyBorder="1" applyAlignment="1">
      <alignment horizontal="center" vertical="center" wrapText="1"/>
    </xf>
    <xf numFmtId="3" fontId="2" fillId="0" borderId="0" xfId="3" applyNumberFormat="1" applyFont="1" applyFill="1" applyBorder="1" applyAlignment="1">
      <alignment horizontal="center" vertical="center" wrapText="1"/>
    </xf>
    <xf numFmtId="9" fontId="12" fillId="0" borderId="0" xfId="2" applyFont="1" applyBorder="1" applyAlignment="1">
      <alignment horizontal="center" vertical="center" wrapText="1"/>
    </xf>
    <xf numFmtId="168" fontId="7" fillId="0" borderId="0" xfId="6" applyNumberFormat="1" applyFont="1" applyBorder="1" applyAlignment="1">
      <alignment vertical="center"/>
    </xf>
    <xf numFmtId="1" fontId="2" fillId="0" borderId="0" xfId="7" applyNumberFormat="1" applyFont="1" applyAlignment="1">
      <alignment horizontal="center" vertical="center"/>
    </xf>
    <xf numFmtId="0" fontId="7" fillId="0" borderId="15" xfId="0" applyFont="1" applyBorder="1" applyAlignment="1">
      <alignment horizontal="center" vertical="center"/>
    </xf>
    <xf numFmtId="0" fontId="7" fillId="5" borderId="0" xfId="0" applyFont="1" applyFill="1" applyAlignment="1">
      <alignment horizontal="left" vertical="center"/>
    </xf>
    <xf numFmtId="2" fontId="7" fillId="0" borderId="32" xfId="0" applyNumberFormat="1" applyFont="1" applyBorder="1" applyAlignment="1">
      <alignment horizontal="center" vertical="center" wrapText="1"/>
    </xf>
    <xf numFmtId="0" fontId="17" fillId="0" borderId="0" xfId="5" applyFont="1" applyFill="1" applyBorder="1"/>
    <xf numFmtId="0" fontId="7" fillId="0" borderId="205" xfId="0" applyFont="1" applyBorder="1" applyAlignment="1">
      <alignment horizontal="center" vertical="center"/>
    </xf>
    <xf numFmtId="0" fontId="63" fillId="0" borderId="0" xfId="5" applyFont="1" applyBorder="1" applyAlignment="1">
      <alignment horizontal="center" vertical="center" wrapText="1"/>
    </xf>
    <xf numFmtId="0" fontId="7" fillId="0" borderId="24" xfId="0" applyFont="1" applyBorder="1" applyAlignment="1">
      <alignment horizontal="center" vertical="center" wrapText="1"/>
    </xf>
    <xf numFmtId="0" fontId="2" fillId="0" borderId="26" xfId="0" applyFont="1" applyBorder="1" applyAlignment="1">
      <alignment horizontal="center" vertical="center"/>
    </xf>
    <xf numFmtId="0" fontId="2" fillId="0" borderId="24" xfId="0" applyFont="1" applyBorder="1" applyAlignment="1">
      <alignment horizontal="center" vertical="center" wrapText="1"/>
    </xf>
    <xf numFmtId="0" fontId="0" fillId="0" borderId="0" xfId="0" applyAlignment="1">
      <alignment horizontal="center" vertical="center"/>
    </xf>
    <xf numFmtId="167" fontId="2" fillId="0" borderId="79" xfId="0" applyNumberFormat="1" applyFont="1" applyBorder="1" applyAlignment="1">
      <alignment horizontal="center" vertical="center" wrapText="1"/>
    </xf>
    <xf numFmtId="167" fontId="2" fillId="0" borderId="79" xfId="0" applyNumberFormat="1" applyFont="1" applyBorder="1" applyAlignment="1">
      <alignment horizontal="center" vertical="center"/>
    </xf>
    <xf numFmtId="0" fontId="7" fillId="11" borderId="79" xfId="0" applyFont="1" applyFill="1" applyBorder="1" applyAlignment="1">
      <alignment horizontal="center" vertical="center"/>
    </xf>
    <xf numFmtId="0" fontId="7" fillId="11" borderId="79" xfId="0" applyFont="1" applyFill="1" applyBorder="1" applyAlignment="1">
      <alignment horizontal="center" vertical="center" wrapText="1"/>
    </xf>
    <xf numFmtId="167" fontId="7" fillId="11" borderId="79" xfId="0" applyNumberFormat="1" applyFont="1" applyFill="1" applyBorder="1" applyAlignment="1">
      <alignment horizontal="center" vertical="center"/>
    </xf>
    <xf numFmtId="0" fontId="7" fillId="6" borderId="79" xfId="0" applyFont="1" applyFill="1" applyBorder="1" applyAlignment="1">
      <alignment horizontal="center" vertical="center"/>
    </xf>
    <xf numFmtId="0" fontId="56" fillId="6" borderId="79" xfId="0" applyFont="1" applyFill="1" applyBorder="1" applyAlignment="1">
      <alignment horizontal="center" vertical="center"/>
    </xf>
    <xf numFmtId="0" fontId="7" fillId="3" borderId="79" xfId="0" applyFont="1" applyFill="1" applyBorder="1" applyAlignment="1">
      <alignment horizontal="center" vertical="center"/>
    </xf>
    <xf numFmtId="0" fontId="56" fillId="3" borderId="79" xfId="0" applyFont="1" applyFill="1" applyBorder="1" applyAlignment="1">
      <alignment horizontal="center" vertical="center"/>
    </xf>
    <xf numFmtId="0" fontId="7" fillId="32" borderId="79" xfId="0" applyFont="1" applyFill="1" applyBorder="1" applyAlignment="1">
      <alignment horizontal="center" vertical="center"/>
    </xf>
    <xf numFmtId="0" fontId="2" fillId="32" borderId="79" xfId="0" applyFont="1" applyFill="1" applyBorder="1" applyAlignment="1">
      <alignment horizontal="center" vertical="center"/>
    </xf>
    <xf numFmtId="167" fontId="7" fillId="0" borderId="79" xfId="0" applyNumberFormat="1" applyFont="1" applyBorder="1" applyAlignment="1">
      <alignment horizontal="center" vertical="center"/>
    </xf>
    <xf numFmtId="167" fontId="7" fillId="5" borderId="79" xfId="0" applyNumberFormat="1" applyFont="1" applyFill="1" applyBorder="1" applyAlignment="1">
      <alignment horizontal="center" vertical="center"/>
    </xf>
    <xf numFmtId="0" fontId="7" fillId="5" borderId="79" xfId="0" applyFont="1" applyFill="1" applyBorder="1" applyAlignment="1">
      <alignment horizontal="center" vertical="center"/>
    </xf>
    <xf numFmtId="2" fontId="7" fillId="5" borderId="79" xfId="0" applyNumberFormat="1" applyFont="1" applyFill="1" applyBorder="1" applyAlignment="1">
      <alignment horizontal="center" vertical="center"/>
    </xf>
    <xf numFmtId="0" fontId="56" fillId="32" borderId="79" xfId="0" applyFont="1" applyFill="1" applyBorder="1" applyAlignment="1">
      <alignment horizontal="center" vertical="center"/>
    </xf>
    <xf numFmtId="0" fontId="7" fillId="6" borderId="79" xfId="0" applyFont="1" applyFill="1" applyBorder="1" applyAlignment="1">
      <alignment vertical="center"/>
    </xf>
    <xf numFmtId="0" fontId="7" fillId="6" borderId="79" xfId="0" applyFont="1" applyFill="1" applyBorder="1" applyAlignment="1">
      <alignment horizontal="center" vertical="center" wrapText="1"/>
    </xf>
    <xf numFmtId="0" fontId="7" fillId="0" borderId="26" xfId="0" applyFont="1" applyBorder="1" applyAlignment="1">
      <alignment vertical="center"/>
    </xf>
    <xf numFmtId="173" fontId="7" fillId="0" borderId="0" xfId="0" applyNumberFormat="1" applyFont="1" applyAlignment="1">
      <alignment vertical="center"/>
    </xf>
    <xf numFmtId="0" fontId="7" fillId="0" borderId="0" xfId="0" applyFont="1" applyAlignment="1">
      <alignment horizontal="left" vertical="center" wrapText="1"/>
    </xf>
    <xf numFmtId="0" fontId="7" fillId="0" borderId="79" xfId="0" applyFont="1" applyBorder="1" applyAlignment="1">
      <alignment horizontal="center" vertical="center"/>
    </xf>
    <xf numFmtId="0" fontId="7" fillId="0" borderId="79" xfId="0" applyFont="1" applyBorder="1" applyAlignment="1">
      <alignment horizontal="center" vertical="center" wrapText="1"/>
    </xf>
    <xf numFmtId="0" fontId="2" fillId="0" borderId="79" xfId="0" applyFont="1" applyBorder="1" applyAlignment="1">
      <alignment horizontal="center" vertical="center" wrapText="1"/>
    </xf>
    <xf numFmtId="0" fontId="7" fillId="0" borderId="24" xfId="0" applyFont="1" applyBorder="1" applyAlignment="1">
      <alignment horizontal="center" vertical="center"/>
    </xf>
    <xf numFmtId="0" fontId="7" fillId="0" borderId="0" xfId="0" applyFont="1" applyAlignment="1">
      <alignment horizontal="left" vertical="center"/>
    </xf>
    <xf numFmtId="0" fontId="17" fillId="0" borderId="0" xfId="5" applyFont="1" applyAlignment="1">
      <alignment horizontal="left"/>
    </xf>
    <xf numFmtId="0" fontId="9" fillId="0" borderId="0" xfId="5" applyAlignment="1">
      <alignment horizontal="left" vertical="center"/>
    </xf>
    <xf numFmtId="0" fontId="7" fillId="0" borderId="0" xfId="0" applyFont="1" applyAlignment="1">
      <alignment horizontal="center"/>
    </xf>
    <xf numFmtId="0" fontId="7" fillId="0" borderId="32" xfId="0" applyFont="1" applyBorder="1" applyAlignment="1">
      <alignment horizontal="center" vertical="center" wrapText="1"/>
    </xf>
    <xf numFmtId="0" fontId="14" fillId="12" borderId="0" xfId="0" applyFont="1" applyFill="1" applyAlignment="1">
      <alignment horizontal="center" vertical="center" wrapText="1"/>
    </xf>
    <xf numFmtId="0" fontId="23" fillId="0" borderId="0" xfId="0" applyFont="1" applyAlignment="1">
      <alignment horizontal="left" vertical="center" wrapText="1"/>
    </xf>
    <xf numFmtId="0" fontId="23" fillId="0" borderId="0" xfId="0" applyFont="1" applyAlignment="1">
      <alignment horizontal="left" vertical="center"/>
    </xf>
    <xf numFmtId="0" fontId="7" fillId="0" borderId="64" xfId="0" applyFont="1" applyBorder="1" applyAlignment="1">
      <alignment horizontal="center" vertical="center" wrapText="1"/>
    </xf>
    <xf numFmtId="0" fontId="7" fillId="0" borderId="64" xfId="0" applyFont="1" applyBorder="1" applyAlignment="1">
      <alignment horizontal="center" vertical="center"/>
    </xf>
    <xf numFmtId="0" fontId="7" fillId="0" borderId="26" xfId="0" applyFont="1" applyBorder="1" applyAlignment="1">
      <alignment horizontal="center" vertical="center"/>
    </xf>
    <xf numFmtId="0" fontId="8" fillId="10" borderId="79" xfId="0" applyFont="1" applyFill="1" applyBorder="1" applyAlignment="1">
      <alignment horizontal="center" vertical="center"/>
    </xf>
    <xf numFmtId="0" fontId="8" fillId="10" borderId="79"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0" borderId="20" xfId="0" applyFont="1" applyBorder="1" applyAlignment="1">
      <alignment horizontal="center" vertical="center" wrapText="1"/>
    </xf>
    <xf numFmtId="0" fontId="8" fillId="10" borderId="2" xfId="0" applyFont="1" applyFill="1" applyBorder="1" applyAlignment="1">
      <alignment horizontal="center" vertical="center"/>
    </xf>
    <xf numFmtId="0" fontId="8" fillId="10" borderId="15" xfId="0" applyFont="1" applyFill="1" applyBorder="1" applyAlignment="1">
      <alignment horizontal="center" vertical="center"/>
    </xf>
    <xf numFmtId="0" fontId="8" fillId="10" borderId="0" xfId="0" applyFont="1" applyFill="1" applyAlignment="1">
      <alignment horizontal="center" vertical="center"/>
    </xf>
    <xf numFmtId="0" fontId="25" fillId="10" borderId="15" xfId="0" applyFont="1" applyFill="1" applyBorder="1" applyAlignment="1">
      <alignment horizontal="center" vertical="center"/>
    </xf>
    <xf numFmtId="0" fontId="8" fillId="0" borderId="32" xfId="4" applyFont="1" applyBorder="1" applyAlignment="1">
      <alignment horizontal="center" vertical="center"/>
    </xf>
    <xf numFmtId="164" fontId="7" fillId="0" borderId="32" xfId="0" applyNumberFormat="1" applyFont="1" applyBorder="1"/>
    <xf numFmtId="164" fontId="3" fillId="0" borderId="32" xfId="2" applyNumberFormat="1" applyFont="1" applyBorder="1"/>
    <xf numFmtId="9" fontId="8" fillId="0" borderId="32" xfId="0" applyNumberFormat="1" applyFont="1" applyBorder="1" applyAlignment="1">
      <alignment horizontal="center"/>
    </xf>
    <xf numFmtId="164" fontId="0" fillId="0" borderId="32" xfId="2" applyNumberFormat="1" applyFont="1" applyFill="1" applyBorder="1"/>
    <xf numFmtId="0" fontId="23" fillId="0" borderId="0" xfId="0" applyFont="1"/>
    <xf numFmtId="0" fontId="23" fillId="0" borderId="0" xfId="0" applyFont="1" applyAlignment="1">
      <alignment wrapText="1"/>
    </xf>
    <xf numFmtId="0" fontId="23" fillId="0" borderId="2" xfId="0" applyFont="1" applyBorder="1" applyAlignment="1">
      <alignment vertical="center"/>
    </xf>
    <xf numFmtId="0" fontId="23" fillId="0" borderId="2" xfId="0" applyFont="1" applyBorder="1" applyAlignment="1">
      <alignment horizontal="center" vertical="center"/>
    </xf>
    <xf numFmtId="0" fontId="25" fillId="10" borderId="91" xfId="0" applyFont="1" applyFill="1" applyBorder="1" applyAlignment="1">
      <alignment horizontal="center" vertical="center" wrapText="1"/>
    </xf>
    <xf numFmtId="0" fontId="23" fillId="0" borderId="32" xfId="0" applyFont="1" applyBorder="1" applyAlignment="1">
      <alignment horizontal="center" vertical="center"/>
    </xf>
    <xf numFmtId="0" fontId="23" fillId="0" borderId="2" xfId="3" applyFont="1" applyBorder="1" applyAlignment="1">
      <alignment horizontal="center" vertical="center" wrapText="1"/>
    </xf>
    <xf numFmtId="0" fontId="23" fillId="5" borderId="233" xfId="0" applyFont="1" applyFill="1" applyBorder="1" applyAlignment="1">
      <alignment vertical="center"/>
    </xf>
    <xf numFmtId="0" fontId="23" fillId="5" borderId="16" xfId="0" applyFont="1" applyFill="1" applyBorder="1" applyAlignment="1">
      <alignment vertical="center"/>
    </xf>
    <xf numFmtId="0" fontId="25" fillId="5" borderId="0" xfId="0" applyFont="1" applyFill="1" applyAlignment="1">
      <alignment vertical="center"/>
    </xf>
    <xf numFmtId="0" fontId="23" fillId="5" borderId="0" xfId="0" applyFont="1" applyFill="1" applyAlignment="1">
      <alignment vertical="center"/>
    </xf>
    <xf numFmtId="0" fontId="23" fillId="0" borderId="0" xfId="0" applyFont="1" applyAlignment="1">
      <alignment vertical="center"/>
    </xf>
    <xf numFmtId="0" fontId="25" fillId="5" borderId="19" xfId="0" applyFont="1" applyFill="1" applyBorder="1" applyAlignment="1">
      <alignment vertical="center"/>
    </xf>
    <xf numFmtId="1" fontId="23" fillId="0" borderId="3" xfId="7" quotePrefix="1" applyNumberFormat="1" applyFont="1" applyBorder="1" applyAlignment="1">
      <alignment horizontal="center" vertical="center"/>
    </xf>
    <xf numFmtId="43" fontId="23" fillId="0" borderId="32" xfId="0" applyNumberFormat="1" applyFont="1" applyBorder="1" applyAlignment="1">
      <alignment horizontal="left" vertical="center"/>
    </xf>
    <xf numFmtId="3" fontId="23" fillId="0" borderId="2" xfId="7" applyNumberFormat="1" applyFont="1" applyBorder="1" applyAlignment="1">
      <alignment horizontal="center" vertical="center"/>
    </xf>
    <xf numFmtId="0" fontId="23" fillId="0" borderId="14" xfId="3" applyFont="1" applyBorder="1" applyAlignment="1">
      <alignment horizontal="center" vertical="center" wrapText="1"/>
    </xf>
    <xf numFmtId="1" fontId="23" fillId="0" borderId="3" xfId="7" applyNumberFormat="1" applyFont="1" applyBorder="1" applyAlignment="1">
      <alignment horizontal="center" vertical="center"/>
    </xf>
    <xf numFmtId="10" fontId="23" fillId="0" borderId="32" xfId="2" applyNumberFormat="1" applyFont="1" applyBorder="1" applyAlignment="1">
      <alignment horizontal="left" vertical="center" wrapText="1"/>
    </xf>
    <xf numFmtId="0" fontId="23" fillId="5" borderId="19" xfId="0" applyFont="1" applyFill="1" applyBorder="1" applyAlignment="1">
      <alignment vertical="center"/>
    </xf>
    <xf numFmtId="0" fontId="23" fillId="6" borderId="14" xfId="3" applyFont="1" applyFill="1" applyBorder="1" applyAlignment="1">
      <alignment horizontal="center" vertical="center" wrapText="1"/>
    </xf>
    <xf numFmtId="0" fontId="23" fillId="6" borderId="2" xfId="3" applyFont="1" applyFill="1" applyBorder="1" applyAlignment="1">
      <alignment horizontal="center" vertical="center" wrapText="1"/>
    </xf>
    <xf numFmtId="168" fontId="23" fillId="6" borderId="2" xfId="6" applyNumberFormat="1" applyFont="1" applyFill="1" applyBorder="1" applyAlignment="1">
      <alignment horizontal="center" vertical="center"/>
    </xf>
    <xf numFmtId="0" fontId="23" fillId="6" borderId="3" xfId="7" quotePrefix="1" applyFont="1" applyFill="1" applyBorder="1" applyAlignment="1">
      <alignment horizontal="center" vertical="center"/>
    </xf>
    <xf numFmtId="0" fontId="23" fillId="0" borderId="225" xfId="0" applyFont="1" applyBorder="1" applyAlignment="1">
      <alignment horizontal="center" vertical="center" wrapText="1"/>
    </xf>
    <xf numFmtId="168" fontId="23" fillId="0" borderId="224" xfId="0" applyNumberFormat="1" applyFont="1" applyBorder="1" applyAlignment="1">
      <alignment vertical="center" wrapText="1"/>
    </xf>
    <xf numFmtId="164" fontId="23" fillId="0" borderId="226" xfId="2" applyNumberFormat="1" applyFont="1" applyFill="1" applyBorder="1" applyAlignment="1">
      <alignment horizontal="center" vertical="center" wrapText="1"/>
    </xf>
    <xf numFmtId="10" fontId="23" fillId="0" borderId="0" xfId="0" applyNumberFormat="1" applyFont="1" applyAlignment="1">
      <alignment horizontal="left" vertical="center"/>
    </xf>
    <xf numFmtId="9" fontId="23" fillId="0" borderId="226" xfId="2" applyFont="1" applyFill="1" applyBorder="1" applyAlignment="1">
      <alignment horizontal="center" vertical="center" wrapText="1"/>
    </xf>
    <xf numFmtId="0" fontId="23" fillId="0" borderId="215" xfId="0" applyFont="1" applyBorder="1" applyAlignment="1">
      <alignment horizontal="center" vertical="center" wrapText="1"/>
    </xf>
    <xf numFmtId="168" fontId="23" fillId="0" borderId="20" xfId="0" applyNumberFormat="1" applyFont="1" applyBorder="1" applyAlignment="1">
      <alignment horizontal="center" vertical="center" wrapText="1"/>
    </xf>
    <xf numFmtId="164" fontId="23" fillId="0" borderId="216" xfId="2" applyNumberFormat="1" applyFont="1" applyFill="1" applyBorder="1" applyAlignment="1">
      <alignment horizontal="center" vertical="center" wrapText="1"/>
    </xf>
    <xf numFmtId="0" fontId="23" fillId="0" borderId="203" xfId="0" applyFont="1" applyBorder="1" applyAlignment="1">
      <alignment horizontal="center" vertical="center" wrapText="1"/>
    </xf>
    <xf numFmtId="168" fontId="23" fillId="0" borderId="32" xfId="0" applyNumberFormat="1" applyFont="1" applyBorder="1" applyAlignment="1">
      <alignment vertical="center" wrapText="1"/>
    </xf>
    <xf numFmtId="164" fontId="23" fillId="0" borderId="180" xfId="2" applyNumberFormat="1" applyFont="1" applyFill="1" applyBorder="1" applyAlignment="1">
      <alignment horizontal="center" vertical="center" wrapText="1"/>
    </xf>
    <xf numFmtId="9" fontId="23" fillId="0" borderId="180" xfId="2" applyFont="1" applyFill="1" applyBorder="1" applyAlignment="1">
      <alignment horizontal="center" vertical="center" wrapText="1"/>
    </xf>
    <xf numFmtId="0" fontId="23" fillId="0" borderId="217" xfId="0" applyFont="1" applyBorder="1" applyAlignment="1">
      <alignment horizontal="center" vertical="center" wrapText="1"/>
    </xf>
    <xf numFmtId="168" fontId="23" fillId="0" borderId="2" xfId="0" applyNumberFormat="1" applyFont="1" applyBorder="1" applyAlignment="1">
      <alignment horizontal="center" vertical="center" wrapText="1"/>
    </xf>
    <xf numFmtId="164" fontId="23" fillId="0" borderId="218" xfId="2" applyNumberFormat="1" applyFont="1" applyFill="1" applyBorder="1" applyAlignment="1">
      <alignment horizontal="center" vertical="center" wrapText="1"/>
    </xf>
    <xf numFmtId="164" fontId="23" fillId="0" borderId="180" xfId="2" applyNumberFormat="1" applyFont="1" applyBorder="1" applyAlignment="1">
      <alignment horizontal="center" vertical="center" wrapText="1"/>
    </xf>
    <xf numFmtId="1" fontId="23" fillId="6" borderId="3" xfId="7" applyNumberFormat="1" applyFont="1" applyFill="1" applyBorder="1" applyAlignment="1">
      <alignment horizontal="center" vertical="center"/>
    </xf>
    <xf numFmtId="0" fontId="23" fillId="0" borderId="32" xfId="0" quotePrefix="1" applyFont="1" applyBorder="1" applyAlignment="1">
      <alignment vertical="center" wrapText="1"/>
    </xf>
    <xf numFmtId="3" fontId="23" fillId="6" borderId="2" xfId="7" applyNumberFormat="1" applyFont="1" applyFill="1" applyBorder="1" applyAlignment="1">
      <alignment horizontal="center" vertical="center"/>
    </xf>
    <xf numFmtId="0" fontId="23" fillId="0" borderId="204" xfId="0" applyFont="1" applyBorder="1" applyAlignment="1">
      <alignment horizontal="center" vertical="center" wrapText="1"/>
    </xf>
    <xf numFmtId="168" fontId="23" fillId="0" borderId="205" xfId="0" applyNumberFormat="1" applyFont="1" applyBorder="1" applyAlignment="1">
      <alignment vertical="center" wrapText="1"/>
    </xf>
    <xf numFmtId="9" fontId="23" fillId="0" borderId="207" xfId="2" applyFont="1" applyFill="1" applyBorder="1" applyAlignment="1">
      <alignment horizontal="center" vertical="center" wrapText="1"/>
    </xf>
    <xf numFmtId="0" fontId="23" fillId="0" borderId="219" xfId="0" applyFont="1" applyBorder="1" applyAlignment="1">
      <alignment horizontal="center" vertical="center" wrapText="1"/>
    </xf>
    <xf numFmtId="0" fontId="23" fillId="0" borderId="15" xfId="0" applyFont="1" applyBorder="1" applyAlignment="1">
      <alignment horizontal="right" vertical="center" wrapText="1"/>
    </xf>
    <xf numFmtId="164" fontId="23" fillId="0" borderId="220" xfId="2" applyNumberFormat="1" applyFont="1" applyFill="1" applyBorder="1" applyAlignment="1">
      <alignment horizontal="center" vertical="center" wrapText="1"/>
    </xf>
    <xf numFmtId="0" fontId="23" fillId="0" borderId="2" xfId="3" applyFont="1" applyFill="1" applyBorder="1" applyAlignment="1">
      <alignment horizontal="center" vertical="center" wrapText="1"/>
    </xf>
    <xf numFmtId="168" fontId="23" fillId="0" borderId="0" xfId="0" applyNumberFormat="1" applyFont="1" applyAlignment="1">
      <alignment horizontal="center" vertical="center" wrapText="1"/>
    </xf>
    <xf numFmtId="9" fontId="23" fillId="0" borderId="0" xfId="2" applyFont="1" applyFill="1" applyBorder="1" applyAlignment="1">
      <alignment horizontal="right" vertical="center" wrapText="1"/>
    </xf>
    <xf numFmtId="0" fontId="25" fillId="0" borderId="178" xfId="0" applyFont="1" applyBorder="1" applyAlignment="1">
      <alignment horizontal="center" vertical="center"/>
    </xf>
    <xf numFmtId="164" fontId="23" fillId="0" borderId="180" xfId="0" applyNumberFormat="1" applyFont="1" applyBorder="1" applyAlignment="1">
      <alignment horizontal="center" vertical="center"/>
    </xf>
    <xf numFmtId="0" fontId="23" fillId="0" borderId="3" xfId="7" quotePrefix="1" applyFont="1" applyBorder="1" applyAlignment="1">
      <alignment horizontal="center" vertical="center"/>
    </xf>
    <xf numFmtId="164" fontId="23" fillId="0" borderId="207" xfId="0" applyNumberFormat="1" applyFont="1" applyBorder="1" applyAlignment="1">
      <alignment horizontal="center" vertical="center"/>
    </xf>
    <xf numFmtId="43" fontId="23" fillId="0" borderId="32" xfId="0" quotePrefix="1" applyNumberFormat="1" applyFont="1" applyBorder="1" applyAlignment="1">
      <alignment vertical="center" wrapText="1"/>
    </xf>
    <xf numFmtId="0" fontId="23" fillId="0" borderId="32" xfId="0" quotePrefix="1" applyFont="1" applyBorder="1" applyAlignment="1">
      <alignment horizontal="left" vertical="top" wrapText="1"/>
    </xf>
    <xf numFmtId="9" fontId="25" fillId="0" borderId="183" xfId="0" applyNumberFormat="1" applyFont="1" applyBorder="1" applyAlignment="1">
      <alignment horizontal="center" vertical="center"/>
    </xf>
    <xf numFmtId="3" fontId="23" fillId="0" borderId="32" xfId="3" applyNumberFormat="1" applyFont="1" applyBorder="1" applyAlignment="1">
      <alignment horizontal="center" vertical="center" wrapText="1"/>
    </xf>
    <xf numFmtId="3" fontId="23" fillId="0" borderId="0" xfId="3" applyNumberFormat="1" applyFont="1" applyBorder="1" applyAlignment="1">
      <alignment horizontal="center" vertical="center" wrapText="1"/>
    </xf>
    <xf numFmtId="0" fontId="23" fillId="32" borderId="79" xfId="0" applyFont="1" applyFill="1" applyBorder="1" applyAlignment="1">
      <alignment horizontal="center" vertical="center"/>
    </xf>
    <xf numFmtId="0" fontId="23" fillId="6" borderId="79" xfId="0" applyFont="1" applyFill="1" applyBorder="1" applyAlignment="1">
      <alignment horizontal="center" vertical="center"/>
    </xf>
    <xf numFmtId="0" fontId="23" fillId="3" borderId="79" xfId="0" applyFont="1" applyFill="1" applyBorder="1" applyAlignment="1">
      <alignment horizontal="center" vertical="center"/>
    </xf>
    <xf numFmtId="0" fontId="25" fillId="10" borderId="24" xfId="0" applyFont="1" applyFill="1" applyBorder="1" applyAlignment="1">
      <alignment horizontal="center" vertical="center" wrapText="1"/>
    </xf>
    <xf numFmtId="3" fontId="15" fillId="0" borderId="0" xfId="0" applyNumberFormat="1" applyFont="1"/>
    <xf numFmtId="0" fontId="15" fillId="0" borderId="0" xfId="0" applyFont="1"/>
    <xf numFmtId="172" fontId="15" fillId="0" borderId="0" xfId="0" applyNumberFormat="1" applyFont="1"/>
    <xf numFmtId="0" fontId="23" fillId="0" borderId="2" xfId="0" applyFont="1" applyBorder="1" applyAlignment="1">
      <alignment horizontal="center" vertical="center" wrapText="1"/>
    </xf>
    <xf numFmtId="0" fontId="23" fillId="0" borderId="24" xfId="0" applyFont="1" applyBorder="1" applyAlignment="1">
      <alignment horizontal="center" vertical="center" wrapText="1"/>
    </xf>
    <xf numFmtId="0" fontId="23" fillId="0" borderId="64" xfId="0" applyFont="1" applyBorder="1" applyAlignment="1">
      <alignment horizontal="center" vertical="center"/>
    </xf>
    <xf numFmtId="0" fontId="23" fillId="0" borderId="64" xfId="0" applyFont="1" applyBorder="1" applyAlignment="1">
      <alignment horizontal="center" vertical="center" wrapText="1"/>
    </xf>
    <xf numFmtId="0" fontId="25" fillId="10" borderId="32" xfId="0" applyFont="1" applyFill="1" applyBorder="1" applyAlignment="1">
      <alignment horizontal="center" vertical="center" wrapText="1"/>
    </xf>
    <xf numFmtId="0" fontId="23" fillId="0" borderId="32" xfId="0" applyFont="1" applyBorder="1" applyAlignment="1">
      <alignment horizontal="center" vertical="center" wrapText="1"/>
    </xf>
    <xf numFmtId="0" fontId="23" fillId="0" borderId="65" xfId="0" applyFont="1" applyBorder="1" applyAlignment="1">
      <alignment horizontal="center" vertical="center" wrapText="1"/>
    </xf>
    <xf numFmtId="0" fontId="23" fillId="0" borderId="0" xfId="0" applyFont="1" applyAlignment="1">
      <alignment horizontal="center" vertical="center" wrapText="1"/>
    </xf>
    <xf numFmtId="0" fontId="23" fillId="14" borderId="46" xfId="0" applyFont="1" applyFill="1" applyBorder="1" applyAlignment="1">
      <alignment horizontal="left" vertical="center" wrapText="1" readingOrder="1"/>
    </xf>
    <xf numFmtId="9" fontId="23" fillId="14" borderId="46" xfId="0" applyNumberFormat="1" applyFont="1" applyFill="1" applyBorder="1" applyAlignment="1">
      <alignment horizontal="center" wrapText="1" readingOrder="1"/>
    </xf>
    <xf numFmtId="9" fontId="23" fillId="14" borderId="57" xfId="0" applyNumberFormat="1" applyFont="1" applyFill="1" applyBorder="1" applyAlignment="1">
      <alignment horizontal="center" wrapText="1" readingOrder="1"/>
    </xf>
    <xf numFmtId="9" fontId="23" fillId="14" borderId="56" xfId="0" applyNumberFormat="1" applyFont="1" applyFill="1" applyBorder="1" applyAlignment="1">
      <alignment horizontal="center" wrapText="1" readingOrder="1"/>
    </xf>
    <xf numFmtId="9" fontId="23" fillId="14" borderId="0" xfId="0" applyNumberFormat="1" applyFont="1" applyFill="1" applyAlignment="1">
      <alignment horizontal="center" wrapText="1" readingOrder="1"/>
    </xf>
    <xf numFmtId="9" fontId="23" fillId="14" borderId="62" xfId="0" applyNumberFormat="1" applyFont="1" applyFill="1" applyBorder="1" applyAlignment="1">
      <alignment horizontal="center" wrapText="1" readingOrder="1"/>
    </xf>
    <xf numFmtId="0" fontId="23" fillId="15" borderId="47" xfId="0" applyFont="1" applyFill="1" applyBorder="1" applyAlignment="1">
      <alignment horizontal="left" wrapText="1" readingOrder="1"/>
    </xf>
    <xf numFmtId="9" fontId="23" fillId="15" borderId="47" xfId="0" applyNumberFormat="1" applyFont="1" applyFill="1" applyBorder="1" applyAlignment="1">
      <alignment horizontal="center" wrapText="1" readingOrder="1"/>
    </xf>
    <xf numFmtId="9" fontId="23" fillId="15" borderId="59" xfId="0" applyNumberFormat="1" applyFont="1" applyFill="1" applyBorder="1" applyAlignment="1">
      <alignment horizontal="center" wrapText="1" readingOrder="1"/>
    </xf>
    <xf numFmtId="9" fontId="23" fillId="15" borderId="0" xfId="0" applyNumberFormat="1" applyFont="1" applyFill="1" applyAlignment="1">
      <alignment horizontal="center" wrapText="1" readingOrder="1"/>
    </xf>
    <xf numFmtId="9" fontId="23" fillId="15" borderId="56" xfId="0" applyNumberFormat="1" applyFont="1" applyFill="1" applyBorder="1" applyAlignment="1">
      <alignment horizontal="center" wrapText="1" readingOrder="1"/>
    </xf>
    <xf numFmtId="9" fontId="23" fillId="15" borderId="63" xfId="0" applyNumberFormat="1" applyFont="1" applyFill="1" applyBorder="1" applyAlignment="1">
      <alignment horizontal="center" wrapText="1" readingOrder="1"/>
    </xf>
    <xf numFmtId="0" fontId="23" fillId="14" borderId="57" xfId="0" applyFont="1" applyFill="1" applyBorder="1" applyAlignment="1">
      <alignment horizontal="left" vertical="center" wrapText="1" readingOrder="1"/>
    </xf>
    <xf numFmtId="9" fontId="23" fillId="14" borderId="61" xfId="0" applyNumberFormat="1" applyFont="1" applyFill="1" applyBorder="1" applyAlignment="1">
      <alignment horizontal="center" wrapText="1" readingOrder="1"/>
    </xf>
    <xf numFmtId="9" fontId="23" fillId="15" borderId="60" xfId="0" applyNumberFormat="1" applyFont="1" applyFill="1" applyBorder="1" applyAlignment="1">
      <alignment horizontal="center" wrapText="1" readingOrder="1"/>
    </xf>
    <xf numFmtId="9" fontId="23" fillId="0" borderId="23" xfId="0" applyNumberFormat="1" applyFont="1" applyBorder="1"/>
    <xf numFmtId="9" fontId="23" fillId="19" borderId="23" xfId="0" applyNumberFormat="1" applyFont="1" applyFill="1" applyBorder="1"/>
    <xf numFmtId="0" fontId="23" fillId="5" borderId="0" xfId="0" applyFont="1" applyFill="1" applyAlignment="1">
      <alignment horizontal="center" vertical="center" wrapText="1"/>
    </xf>
    <xf numFmtId="0" fontId="23" fillId="0" borderId="205" xfId="0" applyFont="1" applyBorder="1" applyAlignment="1">
      <alignment horizontal="center" vertical="center" wrapText="1"/>
    </xf>
    <xf numFmtId="2" fontId="23" fillId="0" borderId="205" xfId="0" applyNumberFormat="1" applyFont="1" applyBorder="1" applyAlignment="1">
      <alignment horizontal="center" vertical="center" wrapText="1"/>
    </xf>
    <xf numFmtId="0" fontId="23" fillId="0" borderId="205" xfId="0" quotePrefix="1" applyFont="1" applyBorder="1" applyAlignment="1">
      <alignment horizontal="center" vertical="center" wrapText="1"/>
    </xf>
    <xf numFmtId="2" fontId="23" fillId="0" borderId="0" xfId="0" applyNumberFormat="1" applyFont="1" applyAlignment="1">
      <alignment horizontal="center" vertical="center" wrapText="1"/>
    </xf>
    <xf numFmtId="0" fontId="23" fillId="0" borderId="0" xfId="0" quotePrefix="1" applyFont="1" applyAlignment="1">
      <alignment horizontal="center" vertical="center" wrapText="1"/>
    </xf>
    <xf numFmtId="0" fontId="23" fillId="0" borderId="0" xfId="0" applyFont="1" applyAlignment="1">
      <alignment horizontal="left" vertical="top" wrapText="1"/>
    </xf>
    <xf numFmtId="0" fontId="63" fillId="0" borderId="0" xfId="5" applyFont="1" applyFill="1" applyBorder="1" applyAlignment="1">
      <alignment horizontal="left" vertical="top" wrapText="1"/>
    </xf>
    <xf numFmtId="0" fontId="69" fillId="0" borderId="0" xfId="5" applyFont="1" applyFill="1" applyBorder="1" applyAlignment="1">
      <alignment horizontal="left" vertical="top" wrapText="1"/>
    </xf>
    <xf numFmtId="0" fontId="23" fillId="0" borderId="15" xfId="0" applyFont="1" applyBorder="1" applyAlignment="1">
      <alignment horizontal="center" vertical="center"/>
    </xf>
    <xf numFmtId="0" fontId="25" fillId="10" borderId="240" xfId="0" applyFont="1" applyFill="1" applyBorder="1" applyAlignment="1">
      <alignment horizontal="center" vertical="center" indent="1"/>
    </xf>
    <xf numFmtId="0" fontId="23" fillId="0" borderId="28" xfId="0" applyFont="1" applyBorder="1" applyAlignment="1">
      <alignment horizontal="center" vertical="center"/>
    </xf>
    <xf numFmtId="1" fontId="15" fillId="0" borderId="243" xfId="0" applyNumberFormat="1" applyFont="1" applyBorder="1" applyAlignment="1">
      <alignment horizontal="center" vertical="center" indent="1"/>
    </xf>
    <xf numFmtId="0" fontId="23" fillId="6" borderId="28" xfId="0" applyFont="1" applyFill="1" applyBorder="1" applyAlignment="1">
      <alignment horizontal="center" vertical="center"/>
    </xf>
    <xf numFmtId="0" fontId="25" fillId="17" borderId="2" xfId="0" applyFont="1" applyFill="1" applyBorder="1" applyAlignment="1">
      <alignment horizontal="center" vertical="center" wrapText="1"/>
    </xf>
    <xf numFmtId="1" fontId="23" fillId="0" borderId="2" xfId="0" applyNumberFormat="1" applyFont="1" applyBorder="1" applyAlignment="1">
      <alignment horizontal="center" vertical="center" wrapText="1"/>
    </xf>
    <xf numFmtId="3" fontId="23" fillId="0" borderId="2" xfId="0" applyNumberFormat="1" applyFont="1" applyBorder="1" applyAlignment="1">
      <alignment horizontal="center" vertical="center" wrapText="1"/>
    </xf>
    <xf numFmtId="0" fontId="23" fillId="0" borderId="64" xfId="0" applyFont="1" applyBorder="1"/>
    <xf numFmtId="43" fontId="25" fillId="0" borderId="2" xfId="6" applyFont="1" applyBorder="1" applyAlignment="1">
      <alignment horizontal="center" vertical="center"/>
    </xf>
    <xf numFmtId="2" fontId="25" fillId="0" borderId="2" xfId="0" applyNumberFormat="1" applyFont="1" applyBorder="1" applyAlignment="1">
      <alignment horizontal="center" vertical="center" wrapText="1"/>
    </xf>
    <xf numFmtId="43" fontId="25" fillId="0" borderId="0" xfId="6" applyFont="1" applyBorder="1" applyAlignment="1">
      <alignment horizontal="center" vertical="center"/>
    </xf>
    <xf numFmtId="2" fontId="25" fillId="0" borderId="0" xfId="0" applyNumberFormat="1" applyFont="1" applyAlignment="1">
      <alignment horizontal="center" vertical="center" wrapText="1"/>
    </xf>
    <xf numFmtId="43" fontId="23" fillId="0" borderId="0" xfId="6" applyFont="1" applyBorder="1" applyAlignment="1">
      <alignment horizontal="center" vertical="center" wrapText="1"/>
    </xf>
    <xf numFmtId="0" fontId="15" fillId="0" borderId="0" xfId="0" applyFont="1" applyAlignment="1">
      <alignment horizontal="left"/>
    </xf>
    <xf numFmtId="0" fontId="23" fillId="0" borderId="0" xfId="14" applyFont="1"/>
    <xf numFmtId="165" fontId="15" fillId="0" borderId="0" xfId="0" applyNumberFormat="1" applyFont="1" applyAlignment="1">
      <alignment horizontal="left"/>
    </xf>
    <xf numFmtId="0" fontId="15" fillId="0" borderId="0" xfId="0" applyFont="1" applyAlignment="1">
      <alignment wrapText="1"/>
    </xf>
    <xf numFmtId="0" fontId="15" fillId="0" borderId="0" xfId="0" applyFont="1" applyAlignment="1">
      <alignment horizontal="left" vertical="center"/>
    </xf>
    <xf numFmtId="0" fontId="15" fillId="0" borderId="0" xfId="0" applyFont="1" applyAlignment="1">
      <alignment vertical="center"/>
    </xf>
    <xf numFmtId="0" fontId="23" fillId="0" borderId="0" xfId="14" applyFont="1" applyAlignment="1">
      <alignment vertical="center" wrapText="1"/>
    </xf>
    <xf numFmtId="165" fontId="23" fillId="0" borderId="0" xfId="14" applyNumberFormat="1" applyFont="1" applyAlignment="1">
      <alignment horizontal="left" vertical="center" wrapText="1"/>
    </xf>
    <xf numFmtId="0" fontId="23" fillId="0" borderId="0" xfId="14" applyFont="1" applyAlignment="1">
      <alignment vertical="center"/>
    </xf>
    <xf numFmtId="167" fontId="23" fillId="0" borderId="0" xfId="14" applyNumberFormat="1" applyFont="1" applyAlignment="1">
      <alignment horizontal="left" vertical="center" wrapText="1"/>
    </xf>
    <xf numFmtId="0" fontId="23" fillId="0" borderId="0" xfId="14" applyFont="1" applyAlignment="1">
      <alignment horizontal="left" vertical="center" wrapText="1"/>
    </xf>
    <xf numFmtId="172" fontId="23" fillId="0" borderId="0" xfId="14" applyNumberFormat="1" applyFont="1" applyAlignment="1">
      <alignment horizontal="left" vertical="center" wrapText="1"/>
    </xf>
    <xf numFmtId="0" fontId="25" fillId="25" borderId="65" xfId="14" applyFont="1" applyFill="1" applyBorder="1" applyAlignment="1">
      <alignment horizontal="center" vertical="center" wrapText="1"/>
    </xf>
    <xf numFmtId="0" fontId="25" fillId="25" borderId="233" xfId="14" applyFont="1" applyFill="1" applyBorder="1" applyAlignment="1">
      <alignment vertical="center" wrapText="1"/>
    </xf>
    <xf numFmtId="0" fontId="23" fillId="0" borderId="65" xfId="14" applyFont="1" applyBorder="1" applyAlignment="1">
      <alignment horizontal="center" vertical="center" wrapText="1"/>
    </xf>
    <xf numFmtId="165" fontId="23" fillId="27" borderId="65" xfId="14" applyNumberFormat="1" applyFont="1" applyFill="1" applyBorder="1" applyAlignment="1">
      <alignment horizontal="center" vertical="center" wrapText="1"/>
    </xf>
    <xf numFmtId="3" fontId="23" fillId="0" borderId="65" xfId="14" applyNumberFormat="1" applyFont="1" applyBorder="1" applyAlignment="1">
      <alignment horizontal="center" vertical="center" wrapText="1"/>
    </xf>
    <xf numFmtId="2" fontId="23" fillId="28" borderId="73" xfId="14" applyNumberFormat="1" applyFont="1" applyFill="1" applyBorder="1" applyAlignment="1">
      <alignment horizontal="center" vertical="center" wrapText="1"/>
    </xf>
    <xf numFmtId="3" fontId="23" fillId="0" borderId="268" xfId="14" applyNumberFormat="1" applyFont="1" applyBorder="1" applyAlignment="1">
      <alignment horizontal="center" vertical="center" wrapText="1"/>
    </xf>
    <xf numFmtId="0" fontId="23" fillId="0" borderId="2" xfId="14" applyFont="1" applyBorder="1" applyAlignment="1">
      <alignment horizontal="center"/>
    </xf>
    <xf numFmtId="3" fontId="23" fillId="0" borderId="2" xfId="14" applyNumberFormat="1" applyFont="1" applyBorder="1" applyAlignment="1">
      <alignment horizontal="center"/>
    </xf>
    <xf numFmtId="165" fontId="23" fillId="0" borderId="2" xfId="14" applyNumberFormat="1" applyFont="1" applyBorder="1" applyAlignment="1">
      <alignment horizontal="center"/>
    </xf>
    <xf numFmtId="0" fontId="25" fillId="6" borderId="206" xfId="14" applyFont="1" applyFill="1" applyBorder="1" applyAlignment="1">
      <alignment vertical="center" wrapText="1"/>
    </xf>
    <xf numFmtId="0" fontId="25" fillId="29" borderId="16" xfId="14" applyFont="1" applyFill="1" applyBorder="1" applyAlignment="1">
      <alignment vertical="center" wrapText="1"/>
    </xf>
    <xf numFmtId="37" fontId="23" fillId="30" borderId="233" xfId="6" applyNumberFormat="1" applyFont="1" applyFill="1" applyBorder="1" applyAlignment="1">
      <alignment horizontal="left" vertical="center"/>
    </xf>
    <xf numFmtId="0" fontId="23" fillId="30" borderId="233" xfId="14" applyFont="1" applyFill="1" applyBorder="1" applyAlignment="1">
      <alignment horizontal="left" vertical="center"/>
    </xf>
    <xf numFmtId="3" fontId="23" fillId="30" borderId="16" xfId="6" applyNumberFormat="1" applyFont="1" applyFill="1" applyBorder="1" applyAlignment="1">
      <alignment horizontal="left" vertical="center"/>
    </xf>
    <xf numFmtId="0" fontId="23" fillId="30" borderId="16" xfId="14" applyFont="1" applyFill="1" applyBorder="1" applyAlignment="1">
      <alignment horizontal="left" vertical="center"/>
    </xf>
    <xf numFmtId="0" fontId="23" fillId="30" borderId="287" xfId="14" applyFont="1" applyFill="1" applyBorder="1" applyAlignment="1">
      <alignment horizontal="left" vertical="center"/>
    </xf>
    <xf numFmtId="37" fontId="23" fillId="30" borderId="19" xfId="6" applyNumberFormat="1" applyFont="1" applyFill="1" applyBorder="1" applyAlignment="1">
      <alignment horizontal="left" vertical="center"/>
    </xf>
    <xf numFmtId="0" fontId="23" fillId="30" borderId="19" xfId="14" applyFont="1" applyFill="1" applyBorder="1" applyAlignment="1">
      <alignment horizontal="left" vertical="center"/>
    </xf>
    <xf numFmtId="3" fontId="23" fillId="30" borderId="0" xfId="6" applyNumberFormat="1" applyFont="1" applyFill="1" applyBorder="1" applyAlignment="1">
      <alignment horizontal="left" vertical="center"/>
    </xf>
    <xf numFmtId="0" fontId="23" fillId="30" borderId="0" xfId="14" applyFont="1" applyFill="1" applyAlignment="1">
      <alignment horizontal="left" vertical="center"/>
    </xf>
    <xf numFmtId="0" fontId="23" fillId="30" borderId="281" xfId="14" applyFont="1" applyFill="1" applyBorder="1" applyAlignment="1">
      <alignment horizontal="left" vertical="center"/>
    </xf>
    <xf numFmtId="0" fontId="23" fillId="11" borderId="271" xfId="14" applyFont="1" applyFill="1" applyBorder="1" applyAlignment="1">
      <alignment horizontal="left" vertical="center"/>
    </xf>
    <xf numFmtId="0" fontId="23" fillId="30" borderId="288" xfId="14" applyFont="1" applyFill="1" applyBorder="1" applyAlignment="1">
      <alignment horizontal="left" vertical="center"/>
    </xf>
    <xf numFmtId="0" fontId="23" fillId="30" borderId="282" xfId="14" applyFont="1" applyFill="1" applyBorder="1" applyAlignment="1">
      <alignment horizontal="left" vertical="center"/>
    </xf>
    <xf numFmtId="0" fontId="23" fillId="30" borderId="283" xfId="14" applyFont="1" applyFill="1" applyBorder="1" applyAlignment="1">
      <alignment horizontal="left" vertical="center"/>
    </xf>
    <xf numFmtId="37" fontId="23" fillId="30" borderId="21" xfId="6" applyNumberFormat="1" applyFont="1" applyFill="1" applyBorder="1" applyAlignment="1">
      <alignment horizontal="left" vertical="center"/>
    </xf>
    <xf numFmtId="0" fontId="23" fillId="11" borderId="23" xfId="14" applyFont="1" applyFill="1" applyBorder="1" applyAlignment="1">
      <alignment horizontal="left" vertical="center"/>
    </xf>
    <xf numFmtId="0" fontId="23" fillId="0" borderId="79" xfId="0" applyFont="1" applyBorder="1" applyAlignment="1">
      <alignment horizontal="center" vertical="center" wrapText="1"/>
    </xf>
    <xf numFmtId="0" fontId="23" fillId="0" borderId="79" xfId="0" applyFont="1" applyBorder="1" applyAlignment="1">
      <alignment horizontal="center" vertical="center"/>
    </xf>
    <xf numFmtId="0" fontId="23" fillId="0" borderId="2" xfId="0" applyFont="1" applyBorder="1" applyAlignment="1">
      <alignment vertical="center" wrapText="1"/>
    </xf>
    <xf numFmtId="0" fontId="23" fillId="0" borderId="14" xfId="0" applyFont="1" applyBorder="1" applyAlignment="1">
      <alignment vertical="center" wrapText="1"/>
    </xf>
    <xf numFmtId="0" fontId="15" fillId="0" borderId="32" xfId="0" applyFont="1" applyBorder="1" applyAlignment="1">
      <alignment horizontal="center" vertical="center" wrapText="1"/>
    </xf>
    <xf numFmtId="2" fontId="15" fillId="0" borderId="32" xfId="0" applyNumberFormat="1" applyFont="1" applyBorder="1" applyAlignment="1">
      <alignment horizontal="center" vertical="center" wrapText="1"/>
    </xf>
    <xf numFmtId="2" fontId="53" fillId="0" borderId="43" xfId="0" applyNumberFormat="1" applyFont="1" applyBorder="1" applyAlignment="1">
      <alignment horizontal="center" vertical="center"/>
    </xf>
    <xf numFmtId="0" fontId="53" fillId="0" borderId="85" xfId="0" applyFont="1" applyBorder="1" applyAlignment="1">
      <alignment horizontal="center" vertical="center"/>
    </xf>
    <xf numFmtId="2" fontId="53" fillId="0" borderId="1" xfId="0" applyNumberFormat="1" applyFont="1" applyBorder="1" applyAlignment="1">
      <alignment horizontal="center" vertical="center"/>
    </xf>
    <xf numFmtId="2" fontId="53" fillId="0" borderId="5" xfId="0" applyNumberFormat="1" applyFont="1" applyBorder="1" applyAlignment="1">
      <alignment horizontal="center" vertical="center"/>
    </xf>
    <xf numFmtId="0" fontId="53" fillId="0" borderId="14" xfId="0" applyFont="1" applyBorder="1" applyAlignment="1">
      <alignment horizontal="center" vertical="center"/>
    </xf>
    <xf numFmtId="2" fontId="53" fillId="0" borderId="2" xfId="0" applyNumberFormat="1" applyFont="1" applyBorder="1" applyAlignment="1">
      <alignment horizontal="center" vertical="center"/>
    </xf>
    <xf numFmtId="2" fontId="53" fillId="0" borderId="7" xfId="0" applyNumberFormat="1" applyFont="1" applyBorder="1" applyAlignment="1">
      <alignment horizontal="center" vertical="center"/>
    </xf>
    <xf numFmtId="0" fontId="53" fillId="0" borderId="17" xfId="0" applyFont="1" applyBorder="1" applyAlignment="1">
      <alignment horizontal="center" vertical="center"/>
    </xf>
    <xf numFmtId="2" fontId="53" fillId="0" borderId="15" xfId="0" applyNumberFormat="1" applyFont="1" applyBorder="1" applyAlignment="1">
      <alignment horizontal="center" vertical="center"/>
    </xf>
    <xf numFmtId="2" fontId="53" fillId="0" borderId="93" xfId="0" applyNumberFormat="1" applyFont="1" applyBorder="1" applyAlignment="1">
      <alignment horizontal="center" vertical="center"/>
    </xf>
    <xf numFmtId="0" fontId="53" fillId="0" borderId="127" xfId="0" applyFont="1" applyBorder="1" applyAlignment="1">
      <alignment horizontal="center" vertical="center"/>
    </xf>
    <xf numFmtId="2" fontId="53" fillId="0" borderId="144" xfId="0" applyNumberFormat="1" applyFont="1" applyBorder="1" applyAlignment="1">
      <alignment horizontal="center" vertical="center"/>
    </xf>
    <xf numFmtId="0" fontId="53" fillId="0" borderId="96" xfId="0" applyFont="1" applyBorder="1" applyAlignment="1">
      <alignment horizontal="center" vertical="center"/>
    </xf>
    <xf numFmtId="0" fontId="53" fillId="0" borderId="131" xfId="0" applyFont="1" applyBorder="1" applyAlignment="1">
      <alignment horizontal="center" vertical="center"/>
    </xf>
    <xf numFmtId="2" fontId="53" fillId="0" borderId="274" xfId="0" applyNumberFormat="1" applyFont="1" applyBorder="1" applyAlignment="1">
      <alignment horizontal="center" vertical="center"/>
    </xf>
    <xf numFmtId="2" fontId="53" fillId="0" borderId="9" xfId="0" applyNumberFormat="1" applyFont="1" applyBorder="1" applyAlignment="1">
      <alignment horizontal="center" vertical="center"/>
    </xf>
    <xf numFmtId="0" fontId="53" fillId="0" borderId="108" xfId="0" applyFont="1" applyBorder="1" applyAlignment="1">
      <alignment horizontal="center" vertical="center"/>
    </xf>
    <xf numFmtId="2" fontId="53" fillId="0" borderId="20" xfId="0" applyNumberFormat="1" applyFont="1" applyBorder="1" applyAlignment="1">
      <alignment horizontal="center" vertical="center"/>
    </xf>
    <xf numFmtId="2" fontId="53" fillId="0" borderId="109" xfId="0" applyNumberFormat="1" applyFont="1" applyBorder="1" applyAlignment="1">
      <alignment horizontal="center" vertical="center"/>
    </xf>
    <xf numFmtId="0" fontId="53" fillId="0" borderId="273" xfId="0" applyFont="1" applyBorder="1" applyAlignment="1">
      <alignment horizontal="center" vertical="center"/>
    </xf>
    <xf numFmtId="2" fontId="53" fillId="0" borderId="275" xfId="0" applyNumberFormat="1" applyFont="1" applyBorder="1" applyAlignment="1">
      <alignment horizontal="center" vertical="center"/>
    </xf>
    <xf numFmtId="2" fontId="53" fillId="0" borderId="87" xfId="0" applyNumberFormat="1" applyFont="1" applyBorder="1" applyAlignment="1">
      <alignment horizontal="center" vertical="center"/>
    </xf>
    <xf numFmtId="2" fontId="53" fillId="0" borderId="272" xfId="0" applyNumberFormat="1" applyFont="1" applyBorder="1" applyAlignment="1">
      <alignment horizontal="center" vertical="center"/>
    </xf>
    <xf numFmtId="2" fontId="53" fillId="0" borderId="32" xfId="0" applyNumberFormat="1" applyFont="1" applyBorder="1" applyAlignment="1">
      <alignment horizontal="center" vertical="center"/>
    </xf>
    <xf numFmtId="2" fontId="53" fillId="0" borderId="180" xfId="0" applyNumberFormat="1" applyFont="1" applyBorder="1" applyAlignment="1">
      <alignment horizontal="center" vertical="center"/>
    </xf>
    <xf numFmtId="0" fontId="53" fillId="0" borderId="104" xfId="0" applyFont="1" applyBorder="1" applyAlignment="1">
      <alignment horizontal="center" vertical="center"/>
    </xf>
    <xf numFmtId="2" fontId="53" fillId="0" borderId="172" xfId="0" applyNumberFormat="1" applyFont="1" applyBorder="1" applyAlignment="1">
      <alignment horizontal="center" vertical="center"/>
    </xf>
    <xf numFmtId="2" fontId="53" fillId="0" borderId="256" xfId="0" applyNumberFormat="1" applyFont="1" applyBorder="1" applyAlignment="1">
      <alignment horizontal="center" vertical="center"/>
    </xf>
    <xf numFmtId="0" fontId="53" fillId="0" borderId="95" xfId="0" applyFont="1" applyBorder="1" applyAlignment="1">
      <alignment horizontal="center" vertical="center"/>
    </xf>
    <xf numFmtId="0" fontId="53" fillId="0" borderId="97" xfId="0" applyFont="1" applyBorder="1" applyAlignment="1">
      <alignment horizontal="center" vertical="center"/>
    </xf>
    <xf numFmtId="0" fontId="53" fillId="0" borderId="257" xfId="0" applyFont="1" applyBorder="1" applyAlignment="1">
      <alignment horizontal="center" vertical="center"/>
    </xf>
    <xf numFmtId="1" fontId="53" fillId="0" borderId="201" xfId="0" applyNumberFormat="1" applyFont="1" applyBorder="1" applyAlignment="1">
      <alignment horizontal="center" vertical="center"/>
    </xf>
    <xf numFmtId="1" fontId="53" fillId="0" borderId="178" xfId="0" applyNumberFormat="1" applyFont="1" applyBorder="1" applyAlignment="1">
      <alignment horizontal="center" vertical="center"/>
    </xf>
    <xf numFmtId="0" fontId="53" fillId="0" borderId="258" xfId="0" applyFont="1" applyBorder="1" applyAlignment="1">
      <alignment horizontal="center" vertical="center"/>
    </xf>
    <xf numFmtId="1" fontId="53" fillId="0" borderId="32" xfId="0" applyNumberFormat="1" applyFont="1" applyBorder="1" applyAlignment="1">
      <alignment horizontal="center" vertical="center"/>
    </xf>
    <xf numFmtId="1" fontId="53" fillId="0" borderId="180" xfId="0" applyNumberFormat="1" applyFont="1" applyBorder="1" applyAlignment="1">
      <alignment horizontal="center" vertical="center"/>
    </xf>
    <xf numFmtId="0" fontId="53" fillId="0" borderId="260" xfId="0" applyFont="1" applyBorder="1" applyAlignment="1">
      <alignment horizontal="center" vertical="center"/>
    </xf>
    <xf numFmtId="1" fontId="53" fillId="0" borderId="205" xfId="0" applyNumberFormat="1" applyFont="1" applyBorder="1" applyAlignment="1">
      <alignment horizontal="center" vertical="center"/>
    </xf>
    <xf numFmtId="1" fontId="53" fillId="0" borderId="207" xfId="0" applyNumberFormat="1" applyFont="1" applyBorder="1" applyAlignment="1">
      <alignment horizontal="center" vertical="center"/>
    </xf>
    <xf numFmtId="0" fontId="53" fillId="0" borderId="263" xfId="0" applyFont="1" applyBorder="1" applyAlignment="1">
      <alignment horizontal="center" vertical="center"/>
    </xf>
    <xf numFmtId="1" fontId="53" fillId="0" borderId="181" xfId="0" applyNumberFormat="1" applyFont="1" applyBorder="1" applyAlignment="1">
      <alignment horizontal="center" vertical="center"/>
    </xf>
    <xf numFmtId="1" fontId="53" fillId="0" borderId="183" xfId="0" applyNumberFormat="1" applyFont="1" applyBorder="1" applyAlignment="1">
      <alignment horizontal="center" vertical="center"/>
    </xf>
    <xf numFmtId="0" fontId="23" fillId="0" borderId="32" xfId="0" applyFont="1" applyBorder="1"/>
    <xf numFmtId="0" fontId="23" fillId="0" borderId="181" xfId="0" applyFont="1" applyBorder="1" applyAlignment="1">
      <alignment horizontal="center" vertical="center"/>
    </xf>
    <xf numFmtId="0" fontId="23" fillId="0" borderId="181" xfId="0" applyFont="1" applyBorder="1"/>
    <xf numFmtId="0" fontId="23" fillId="10" borderId="2" xfId="0" applyFont="1" applyFill="1" applyBorder="1" applyAlignment="1">
      <alignment horizontal="center" vertical="center"/>
    </xf>
    <xf numFmtId="0" fontId="23" fillId="0" borderId="0" xfId="0" applyFont="1" applyAlignment="1">
      <alignment horizontal="left"/>
    </xf>
    <xf numFmtId="0" fontId="19" fillId="0" borderId="22" xfId="0" applyFont="1" applyBorder="1" applyAlignment="1">
      <alignment horizontal="left" vertical="center"/>
    </xf>
    <xf numFmtId="0" fontId="14" fillId="12" borderId="3" xfId="1" applyFont="1" applyFill="1" applyBorder="1" applyAlignment="1">
      <alignment horizontal="center" vertical="center" wrapText="1"/>
    </xf>
    <xf numFmtId="0" fontId="14" fillId="12" borderId="13" xfId="1" applyFont="1" applyFill="1" applyBorder="1" applyAlignment="1">
      <alignment horizontal="center" vertical="center" wrapText="1"/>
    </xf>
    <xf numFmtId="0" fontId="14" fillId="12" borderId="0" xfId="0" applyFont="1" applyFill="1" applyAlignment="1">
      <alignment horizontal="center" vertical="center"/>
    </xf>
    <xf numFmtId="0" fontId="7" fillId="0" borderId="0" xfId="0" applyFont="1" applyAlignment="1">
      <alignment horizontal="left" vertical="center"/>
    </xf>
    <xf numFmtId="0" fontId="17" fillId="0" borderId="0" xfId="5" applyFont="1" applyAlignment="1">
      <alignment horizontal="left"/>
    </xf>
    <xf numFmtId="0" fontId="63" fillId="0" borderId="0" xfId="5" applyFont="1" applyAlignment="1">
      <alignment horizontal="left"/>
    </xf>
    <xf numFmtId="0" fontId="7" fillId="0" borderId="0" xfId="0" applyFont="1" applyAlignment="1">
      <alignment vertical="center"/>
    </xf>
    <xf numFmtId="0" fontId="7" fillId="6" borderId="28" xfId="0" applyFont="1" applyFill="1" applyBorder="1" applyAlignment="1">
      <alignment horizontal="center"/>
    </xf>
    <xf numFmtId="0" fontId="7" fillId="6" borderId="29" xfId="0" applyFont="1" applyFill="1" applyBorder="1" applyAlignment="1">
      <alignment horizontal="center"/>
    </xf>
    <xf numFmtId="0" fontId="7" fillId="6" borderId="30" xfId="0" applyFont="1" applyFill="1" applyBorder="1" applyAlignment="1">
      <alignment horizontal="center"/>
    </xf>
    <xf numFmtId="0" fontId="7" fillId="0" borderId="52" xfId="0" applyFont="1" applyBorder="1" applyAlignment="1">
      <alignment horizontal="left" vertical="center"/>
    </xf>
    <xf numFmtId="0" fontId="7" fillId="0" borderId="53" xfId="0" applyFont="1" applyBorder="1" applyAlignment="1">
      <alignment horizontal="left" vertical="center"/>
    </xf>
    <xf numFmtId="0" fontId="7" fillId="0" borderId="52" xfId="0" applyFont="1" applyBorder="1" applyAlignment="1">
      <alignment horizontal="left" vertical="center" wrapText="1"/>
    </xf>
    <xf numFmtId="0" fontId="7" fillId="0" borderId="0" xfId="0" applyFont="1" applyAlignment="1">
      <alignment horizontal="left" vertical="center" wrapText="1"/>
    </xf>
    <xf numFmtId="0" fontId="7" fillId="0" borderId="53" xfId="0" applyFont="1" applyBorder="1" applyAlignment="1">
      <alignment horizontal="left" vertical="center" wrapText="1"/>
    </xf>
    <xf numFmtId="0" fontId="14" fillId="12" borderId="31" xfId="0" applyFont="1" applyFill="1" applyBorder="1" applyAlignment="1">
      <alignment horizontal="center" vertical="center"/>
    </xf>
    <xf numFmtId="0" fontId="14" fillId="12" borderId="48" xfId="0" applyFont="1" applyFill="1" applyBorder="1" applyAlignment="1">
      <alignment horizontal="center" vertical="center"/>
    </xf>
    <xf numFmtId="0" fontId="7" fillId="0" borderId="49" xfId="0" applyFont="1" applyBorder="1" applyAlignment="1">
      <alignment horizontal="left" vertical="center"/>
    </xf>
    <xf numFmtId="0" fontId="7" fillId="0" borderId="50" xfId="0" applyFont="1" applyBorder="1" applyAlignment="1">
      <alignment horizontal="left" vertical="center"/>
    </xf>
    <xf numFmtId="0" fontId="7" fillId="0" borderId="51" xfId="0" applyFont="1" applyBorder="1" applyAlignment="1">
      <alignment horizontal="left" vertical="center"/>
    </xf>
    <xf numFmtId="0" fontId="23" fillId="0" borderId="54" xfId="0" applyFont="1" applyBorder="1" applyAlignment="1">
      <alignment horizontal="left" vertical="center" wrapText="1"/>
    </xf>
    <xf numFmtId="0" fontId="23" fillId="0" borderId="55" xfId="0" applyFont="1" applyBorder="1" applyAlignment="1">
      <alignment horizontal="left" vertical="center" wrapText="1"/>
    </xf>
    <xf numFmtId="0" fontId="7" fillId="0" borderId="0" xfId="0" applyFont="1" applyAlignment="1">
      <alignment horizontal="center"/>
    </xf>
    <xf numFmtId="0" fontId="7" fillId="0" borderId="0" xfId="0" applyFont="1" applyAlignment="1">
      <alignment horizontal="left" vertical="top"/>
    </xf>
    <xf numFmtId="0" fontId="17" fillId="0" borderId="0" xfId="5" applyFont="1" applyAlignment="1">
      <alignment horizontal="left" vertical="center"/>
    </xf>
    <xf numFmtId="0" fontId="63" fillId="0" borderId="0" xfId="5" applyFont="1" applyAlignment="1">
      <alignment horizontal="left" vertical="center"/>
    </xf>
    <xf numFmtId="0" fontId="9" fillId="0" borderId="0" xfId="5" applyAlignment="1">
      <alignment horizontal="left" vertical="center"/>
    </xf>
    <xf numFmtId="0" fontId="8" fillId="0" borderId="194" xfId="0" applyFont="1" applyBorder="1" applyAlignment="1">
      <alignment horizontal="center" vertical="center"/>
    </xf>
    <xf numFmtId="0" fontId="7" fillId="0" borderId="231" xfId="0" applyFont="1" applyBorder="1" applyAlignment="1">
      <alignment horizontal="center" vertical="center"/>
    </xf>
    <xf numFmtId="0" fontId="7" fillId="0" borderId="232" xfId="0" applyFont="1" applyBorder="1" applyAlignment="1">
      <alignment horizontal="center" vertical="center"/>
    </xf>
    <xf numFmtId="0" fontId="65" fillId="5" borderId="0" xfId="0" applyFont="1" applyFill="1" applyAlignment="1">
      <alignment horizontal="center" vertical="center"/>
    </xf>
    <xf numFmtId="0" fontId="65" fillId="5" borderId="0" xfId="0" applyFont="1" applyFill="1" applyAlignment="1">
      <alignment horizontal="center" vertical="top"/>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5" borderId="12" xfId="0" applyFont="1" applyFill="1" applyBorder="1" applyAlignment="1">
      <alignment horizontal="center" vertical="center"/>
    </xf>
    <xf numFmtId="0" fontId="14" fillId="12" borderId="290" xfId="0" applyFont="1" applyFill="1" applyBorder="1" applyAlignment="1">
      <alignment horizontal="center" vertical="center"/>
    </xf>
    <xf numFmtId="0" fontId="7" fillId="0" borderId="0" xfId="0" applyFont="1" applyAlignment="1">
      <alignment horizontal="center" vertical="center"/>
    </xf>
    <xf numFmtId="0" fontId="8" fillId="0" borderId="193" xfId="0" applyFont="1" applyBorder="1" applyAlignment="1">
      <alignment horizontal="center" vertical="center"/>
    </xf>
    <xf numFmtId="0" fontId="7" fillId="0" borderId="230" xfId="0" applyFont="1" applyBorder="1" applyAlignment="1">
      <alignment horizontal="center" vertical="center"/>
    </xf>
    <xf numFmtId="0" fontId="25" fillId="0" borderId="211" xfId="0" applyFont="1" applyBorder="1" applyAlignment="1">
      <alignment horizontal="center" vertical="center"/>
    </xf>
    <xf numFmtId="0" fontId="25" fillId="0" borderId="209" xfId="0" applyFont="1" applyBorder="1" applyAlignment="1">
      <alignment horizontal="center" vertical="center"/>
    </xf>
    <xf numFmtId="0" fontId="25" fillId="0" borderId="210" xfId="0" applyFont="1" applyBorder="1" applyAlignment="1">
      <alignment horizontal="center" vertical="center"/>
    </xf>
    <xf numFmtId="0" fontId="55" fillId="0" borderId="198" xfId="0" applyFont="1" applyBorder="1" applyAlignment="1">
      <alignment horizontal="center"/>
    </xf>
    <xf numFmtId="0" fontId="55" fillId="0" borderId="195" xfId="0" applyFont="1" applyBorder="1" applyAlignment="1">
      <alignment horizontal="center"/>
    </xf>
    <xf numFmtId="0" fontId="55" fillId="0" borderId="199" xfId="0" applyFont="1" applyBorder="1" applyAlignment="1">
      <alignment horizontal="center"/>
    </xf>
    <xf numFmtId="0" fontId="23" fillId="0" borderId="203" xfId="0" applyFont="1" applyBorder="1" applyAlignment="1">
      <alignment horizontal="center" vertical="center"/>
    </xf>
    <xf numFmtId="0" fontId="23" fillId="0" borderId="32" xfId="0" applyFont="1" applyBorder="1" applyAlignment="1">
      <alignment horizontal="center" vertical="center"/>
    </xf>
    <xf numFmtId="0" fontId="23" fillId="0" borderId="185" xfId="0" applyFont="1" applyBorder="1" applyAlignment="1">
      <alignment horizontal="center" vertical="center"/>
    </xf>
    <xf numFmtId="0" fontId="23" fillId="0" borderId="204" xfId="0" applyFont="1" applyBorder="1" applyAlignment="1">
      <alignment horizontal="center" vertical="center"/>
    </xf>
    <xf numFmtId="0" fontId="23" fillId="0" borderId="205" xfId="0" applyFont="1" applyBorder="1" applyAlignment="1">
      <alignment horizontal="center" vertical="center"/>
    </xf>
    <xf numFmtId="0" fontId="23" fillId="0" borderId="206" xfId="0" applyFont="1" applyBorder="1" applyAlignment="1">
      <alignment horizontal="center" vertical="center"/>
    </xf>
    <xf numFmtId="0" fontId="25" fillId="0" borderId="200" xfId="0" applyFont="1" applyBorder="1" applyAlignment="1">
      <alignment horizontal="center" vertical="center"/>
    </xf>
    <xf numFmtId="0" fontId="25" fillId="0" borderId="201" xfId="0" applyFont="1" applyBorder="1" applyAlignment="1">
      <alignment horizontal="center" vertical="center"/>
    </xf>
    <xf numFmtId="0" fontId="25" fillId="0" borderId="202" xfId="0" applyFont="1" applyBorder="1" applyAlignment="1">
      <alignment horizontal="center" vertical="center"/>
    </xf>
    <xf numFmtId="0" fontId="23" fillId="0" borderId="191" xfId="0" applyFont="1" applyBorder="1" applyAlignment="1">
      <alignment horizontal="center" vertical="center"/>
    </xf>
    <xf numFmtId="0" fontId="23" fillId="0" borderId="208" xfId="0" applyFont="1" applyBorder="1" applyAlignment="1">
      <alignment horizontal="center" vertical="center"/>
    </xf>
    <xf numFmtId="0" fontId="23" fillId="0" borderId="179" xfId="0" applyFont="1" applyBorder="1" applyAlignment="1">
      <alignment horizontal="center" vertical="center"/>
    </xf>
    <xf numFmtId="0" fontId="7" fillId="0" borderId="79" xfId="0" applyFont="1" applyBorder="1" applyAlignment="1">
      <alignment horizontal="center" vertical="center" wrapText="1"/>
    </xf>
    <xf numFmtId="0" fontId="14" fillId="12" borderId="0" xfId="0" applyFont="1" applyFill="1" applyAlignment="1">
      <alignment horizontal="center" vertical="center" wrapText="1"/>
    </xf>
    <xf numFmtId="0" fontId="18" fillId="0" borderId="0" xfId="0" applyFont="1" applyAlignment="1">
      <alignment horizontal="center"/>
    </xf>
    <xf numFmtId="0" fontId="7" fillId="0" borderId="79" xfId="0" applyFont="1" applyBorder="1" applyAlignment="1">
      <alignment horizontal="center" vertical="center"/>
    </xf>
    <xf numFmtId="0" fontId="23" fillId="0" borderId="27" xfId="0" applyFont="1" applyBorder="1" applyAlignment="1">
      <alignment horizontal="center" vertical="center"/>
    </xf>
    <xf numFmtId="0" fontId="23" fillId="0" borderId="25" xfId="0" applyFont="1" applyBorder="1" applyAlignment="1">
      <alignment horizontal="center" vertical="center"/>
    </xf>
    <xf numFmtId="0" fontId="23" fillId="0" borderId="26" xfId="0" applyFont="1" applyBorder="1" applyAlignment="1">
      <alignment horizontal="center" vertical="center"/>
    </xf>
    <xf numFmtId="0" fontId="14" fillId="12" borderId="44" xfId="0" applyFont="1" applyFill="1" applyBorder="1" applyAlignment="1">
      <alignment horizontal="center" vertical="center"/>
    </xf>
    <xf numFmtId="0" fontId="74" fillId="0" borderId="79" xfId="0" applyFont="1" applyBorder="1" applyAlignment="1">
      <alignment horizontal="center" vertical="center" wrapText="1"/>
    </xf>
    <xf numFmtId="172" fontId="7" fillId="0" borderId="29" xfId="0" applyNumberFormat="1" applyFont="1" applyBorder="1" applyAlignment="1">
      <alignment horizontal="center" vertical="center" wrapText="1"/>
    </xf>
    <xf numFmtId="172" fontId="7" fillId="0" borderId="30" xfId="0" applyNumberFormat="1" applyFont="1" applyBorder="1" applyAlignment="1">
      <alignment horizontal="center" vertical="center" wrapText="1"/>
    </xf>
    <xf numFmtId="0" fontId="2" fillId="0" borderId="79" xfId="0" applyFont="1" applyBorder="1" applyAlignment="1">
      <alignment horizontal="center" vertical="center"/>
    </xf>
    <xf numFmtId="0" fontId="2" fillId="0" borderId="79" xfId="0" applyFont="1" applyBorder="1" applyAlignment="1">
      <alignment horizontal="center" vertical="center" wrapText="1"/>
    </xf>
    <xf numFmtId="0" fontId="8" fillId="10" borderId="28"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0" xfId="0" quotePrefix="1" applyFont="1" applyAlignment="1">
      <alignment horizontal="left" vertical="center" wrapText="1"/>
    </xf>
    <xf numFmtId="0" fontId="7" fillId="0" borderId="0" xfId="0" quotePrefix="1" applyFont="1" applyAlignment="1">
      <alignment horizontal="left" vertical="center"/>
    </xf>
    <xf numFmtId="0" fontId="20" fillId="0" borderId="0" xfId="0" applyFont="1" applyAlignment="1">
      <alignment horizontal="left" vertical="center"/>
    </xf>
    <xf numFmtId="0" fontId="23" fillId="0" borderId="0" xfId="0" applyFont="1" applyAlignment="1">
      <alignment horizontal="left" vertical="center" wrapText="1"/>
    </xf>
    <xf numFmtId="0" fontId="23" fillId="0" borderId="0" xfId="0" applyFont="1" applyAlignment="1">
      <alignment horizontal="left" vertical="center"/>
    </xf>
    <xf numFmtId="0" fontId="7" fillId="0" borderId="64" xfId="0" applyFont="1" applyBorder="1" applyAlignment="1">
      <alignment horizontal="center" vertical="center" wrapText="1"/>
    </xf>
    <xf numFmtId="0" fontId="7" fillId="0" borderId="64" xfId="0" applyFont="1" applyBorder="1" applyAlignment="1">
      <alignment horizontal="center" vertical="center"/>
    </xf>
    <xf numFmtId="0" fontId="23" fillId="0" borderId="16" xfId="0" applyFont="1" applyBorder="1" applyAlignment="1">
      <alignment horizontal="left" vertical="center"/>
    </xf>
    <xf numFmtId="0" fontId="23" fillId="0" borderId="67"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6" xfId="0" applyFont="1" applyBorder="1" applyAlignment="1">
      <alignment horizontal="center" vertical="center" wrapText="1"/>
    </xf>
    <xf numFmtId="0" fontId="23" fillId="0" borderId="67"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68" xfId="0" applyFont="1" applyBorder="1" applyAlignment="1">
      <alignment horizontal="center" vertical="center"/>
    </xf>
    <xf numFmtId="0" fontId="7" fillId="0" borderId="69" xfId="0" applyFont="1" applyBorder="1" applyAlignment="1">
      <alignment horizontal="center" vertical="center"/>
    </xf>
    <xf numFmtId="0" fontId="7" fillId="0" borderId="70" xfId="0" applyFont="1" applyBorder="1" applyAlignment="1">
      <alignment horizontal="center" vertical="center"/>
    </xf>
    <xf numFmtId="0" fontId="23" fillId="0" borderId="27" xfId="0" applyFont="1" applyBorder="1" applyAlignment="1">
      <alignment horizontal="center" vertical="center" wrapText="1"/>
    </xf>
    <xf numFmtId="0" fontId="43" fillId="10" borderId="15" xfId="0" applyFont="1" applyFill="1" applyBorder="1" applyAlignment="1">
      <alignment horizontal="center" vertical="center"/>
    </xf>
    <xf numFmtId="0" fontId="43" fillId="10" borderId="18" xfId="0" applyFont="1" applyFill="1" applyBorder="1" applyAlignment="1">
      <alignment horizontal="center" vertical="center"/>
    </xf>
    <xf numFmtId="0" fontId="43" fillId="10" borderId="20" xfId="0" applyFont="1" applyFill="1" applyBorder="1" applyAlignment="1">
      <alignment horizontal="center" vertical="center"/>
    </xf>
    <xf numFmtId="0" fontId="23" fillId="0" borderId="32" xfId="0" applyFont="1" applyBorder="1" applyAlignment="1">
      <alignment horizontal="center" vertical="center" wrapText="1"/>
    </xf>
    <xf numFmtId="0" fontId="23" fillId="0" borderId="0" xfId="0" applyFont="1" applyAlignment="1">
      <alignment horizontal="left" vertical="top" wrapText="1"/>
    </xf>
    <xf numFmtId="0" fontId="7" fillId="0" borderId="0" xfId="0" applyFont="1" applyAlignment="1">
      <alignment horizontal="left" vertical="top" wrapText="1"/>
    </xf>
    <xf numFmtId="0" fontId="7" fillId="0" borderId="32" xfId="0" applyFont="1" applyBorder="1" applyAlignment="1">
      <alignment horizontal="center" vertical="center" wrapText="1"/>
    </xf>
    <xf numFmtId="0" fontId="23" fillId="0" borderId="74" xfId="0" applyFont="1" applyBorder="1" applyAlignment="1">
      <alignment horizontal="center" vertical="center" wrapText="1"/>
    </xf>
    <xf numFmtId="0" fontId="23" fillId="0" borderId="72" xfId="0" applyFont="1" applyBorder="1" applyAlignment="1">
      <alignment horizontal="center" vertical="center" wrapText="1"/>
    </xf>
    <xf numFmtId="0" fontId="23" fillId="0" borderId="73" xfId="0" applyFont="1" applyBorder="1" applyAlignment="1">
      <alignment horizontal="center" vertical="center" wrapText="1"/>
    </xf>
    <xf numFmtId="0" fontId="75" fillId="12" borderId="264" xfId="0" applyFont="1" applyFill="1" applyBorder="1" applyAlignment="1">
      <alignment horizontal="center" vertical="center" wrapText="1"/>
    </xf>
    <xf numFmtId="0" fontId="75" fillId="12" borderId="0" xfId="0" applyFont="1" applyFill="1" applyAlignment="1">
      <alignment horizontal="center" vertical="center" wrapText="1"/>
    </xf>
    <xf numFmtId="0" fontId="40" fillId="16" borderId="141" xfId="0" applyFont="1" applyFill="1" applyBorder="1" applyAlignment="1">
      <alignment horizontal="center" vertical="center"/>
    </xf>
    <xf numFmtId="0" fontId="7" fillId="0" borderId="32" xfId="0" applyFont="1" applyBorder="1" applyAlignment="1">
      <alignment horizontal="center" vertical="center"/>
    </xf>
    <xf numFmtId="0" fontId="9" fillId="0" borderId="32" xfId="5" applyBorder="1" applyAlignment="1">
      <alignment horizontal="center" vertical="center"/>
    </xf>
    <xf numFmtId="0" fontId="23" fillId="33" borderId="32" xfId="0" applyFont="1" applyFill="1" applyBorder="1" applyAlignment="1">
      <alignment horizontal="center" vertical="center" wrapText="1"/>
    </xf>
    <xf numFmtId="0" fontId="23" fillId="0" borderId="71" xfId="0" applyFont="1" applyBorder="1" applyAlignment="1">
      <alignment horizontal="center" vertical="center" wrapText="1"/>
    </xf>
    <xf numFmtId="0" fontId="25" fillId="0" borderId="32" xfId="0" applyFont="1" applyBorder="1" applyAlignment="1">
      <alignment wrapText="1"/>
    </xf>
    <xf numFmtId="0" fontId="35" fillId="13" borderId="76" xfId="0" applyFont="1" applyFill="1" applyBorder="1" applyAlignment="1">
      <alignment horizontal="center" vertical="center" wrapText="1" readingOrder="1"/>
    </xf>
    <xf numFmtId="0" fontId="35" fillId="13" borderId="77" xfId="0" applyFont="1" applyFill="1" applyBorder="1" applyAlignment="1">
      <alignment horizontal="center" vertical="center" wrapText="1" readingOrder="1"/>
    </xf>
    <xf numFmtId="0" fontId="35" fillId="13" borderId="75" xfId="0" applyFont="1" applyFill="1" applyBorder="1" applyAlignment="1">
      <alignment horizontal="center" vertical="center" wrapText="1" readingOrder="1"/>
    </xf>
    <xf numFmtId="0" fontId="47" fillId="0" borderId="0" xfId="0" applyFont="1" applyAlignment="1">
      <alignment horizontal="center" wrapText="1"/>
    </xf>
    <xf numFmtId="0" fontId="47" fillId="0" borderId="22" xfId="0" applyFont="1" applyBorder="1" applyAlignment="1">
      <alignment horizontal="center" wrapText="1"/>
    </xf>
    <xf numFmtId="0" fontId="40" fillId="16" borderId="0" xfId="0" applyFont="1" applyFill="1" applyAlignment="1">
      <alignment horizontal="center" vertical="center" wrapText="1"/>
    </xf>
    <xf numFmtId="0" fontId="8" fillId="6" borderId="0" xfId="0" applyFont="1" applyFill="1" applyAlignment="1">
      <alignment horizontal="center" vertical="center"/>
    </xf>
    <xf numFmtId="0" fontId="10" fillId="9" borderId="0" xfId="0" applyFont="1" applyFill="1" applyAlignment="1">
      <alignment horizontal="center"/>
    </xf>
    <xf numFmtId="0" fontId="10" fillId="4" borderId="0" xfId="0" applyFont="1" applyFill="1" applyAlignment="1">
      <alignment horizontal="center"/>
    </xf>
    <xf numFmtId="0" fontId="4" fillId="0" borderId="0" xfId="0" applyFont="1" applyAlignment="1">
      <alignment horizontal="center"/>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15" fillId="0" borderId="15" xfId="0" applyFont="1" applyBorder="1" applyAlignment="1">
      <alignment horizontal="center" vertical="center" wrapText="1"/>
    </xf>
    <xf numFmtId="0" fontId="15" fillId="0" borderId="18" xfId="0" applyFont="1" applyBorder="1" applyAlignment="1">
      <alignment horizontal="center" vertical="center" wrapText="1"/>
    </xf>
    <xf numFmtId="0" fontId="23" fillId="0" borderId="233" xfId="0" applyFont="1" applyBorder="1" applyAlignment="1">
      <alignment horizontal="center" vertical="center"/>
    </xf>
    <xf numFmtId="0" fontId="23" fillId="0" borderId="16" xfId="0" applyFont="1" applyBorder="1" applyAlignment="1">
      <alignment horizontal="center" vertical="center"/>
    </xf>
    <xf numFmtId="0" fontId="23" fillId="0" borderId="17" xfId="0" applyFont="1" applyBorder="1" applyAlignment="1">
      <alignment horizontal="center" vertical="center"/>
    </xf>
    <xf numFmtId="0" fontId="15" fillId="0" borderId="205" xfId="0" applyFont="1" applyBorder="1" applyAlignment="1">
      <alignment horizontal="center" vertical="center" wrapText="1"/>
    </xf>
    <xf numFmtId="0" fontId="15" fillId="0" borderId="234" xfId="0" applyFont="1" applyBorder="1" applyAlignment="1">
      <alignment horizontal="center" vertical="center" wrapText="1"/>
    </xf>
    <xf numFmtId="0" fontId="15" fillId="0" borderId="224" xfId="0" applyFont="1" applyBorder="1" applyAlignment="1">
      <alignment horizontal="center" vertical="center" wrapText="1"/>
    </xf>
    <xf numFmtId="0" fontId="11" fillId="12" borderId="236" xfId="0" applyFont="1" applyFill="1" applyBorder="1" applyAlignment="1">
      <alignment horizontal="center" vertical="center" wrapText="1"/>
    </xf>
    <xf numFmtId="0" fontId="11" fillId="12" borderId="237" xfId="0" applyFont="1" applyFill="1" applyBorder="1" applyAlignment="1">
      <alignment horizontal="center" vertical="center" wrapText="1"/>
    </xf>
    <xf numFmtId="0" fontId="11" fillId="12" borderId="238" xfId="0" applyFont="1" applyFill="1" applyBorder="1" applyAlignment="1">
      <alignment horizontal="center" vertical="center" wrapText="1"/>
    </xf>
    <xf numFmtId="0" fontId="14" fillId="12" borderId="21" xfId="0" applyFont="1" applyFill="1" applyBorder="1" applyAlignment="1">
      <alignment horizontal="center" vertical="center" wrapText="1"/>
    </xf>
    <xf numFmtId="0" fontId="14" fillId="12" borderId="22" xfId="0" applyFont="1" applyFill="1" applyBorder="1" applyAlignment="1">
      <alignment horizontal="center" vertical="center" wrapText="1"/>
    </xf>
    <xf numFmtId="0" fontId="25" fillId="25" borderId="278" xfId="14" applyFont="1" applyFill="1" applyBorder="1" applyAlignment="1">
      <alignment horizontal="center" vertical="center" wrapText="1"/>
    </xf>
    <xf numFmtId="0" fontId="25" fillId="25" borderId="279" xfId="14" applyFont="1" applyFill="1" applyBorder="1" applyAlignment="1">
      <alignment horizontal="center" vertical="center" wrapText="1"/>
    </xf>
    <xf numFmtId="0" fontId="25" fillId="25" borderId="2" xfId="14" applyFont="1" applyFill="1" applyBorder="1" applyAlignment="1">
      <alignment horizontal="center" vertical="center" wrapText="1"/>
    </xf>
    <xf numFmtId="0" fontId="23" fillId="0" borderId="206" xfId="0" applyFont="1" applyBorder="1" applyAlignment="1">
      <alignment horizontal="center" vertical="center" wrapText="1"/>
    </xf>
    <xf numFmtId="0" fontId="23" fillId="0" borderId="264" xfId="0" applyFont="1" applyBorder="1" applyAlignment="1">
      <alignment horizontal="center" vertical="center" wrapText="1"/>
    </xf>
    <xf numFmtId="0" fontId="23" fillId="0" borderId="289" xfId="0" applyFont="1" applyBorder="1" applyAlignment="1">
      <alignment horizontal="center" vertical="center" wrapText="1"/>
    </xf>
    <xf numFmtId="0" fontId="14" fillId="12" borderId="269" xfId="0" applyFont="1" applyFill="1" applyBorder="1" applyAlignment="1">
      <alignment horizontal="center" vertical="center" wrapText="1"/>
    </xf>
    <xf numFmtId="0" fontId="7" fillId="0" borderId="266" xfId="0" applyFont="1" applyBorder="1" applyAlignment="1">
      <alignment horizontal="center" vertical="center" wrapText="1"/>
    </xf>
    <xf numFmtId="43" fontId="25" fillId="0" borderId="3" xfId="6" applyFont="1" applyBorder="1" applyAlignment="1">
      <alignment horizontal="center" vertical="center"/>
    </xf>
    <xf numFmtId="43" fontId="23" fillId="0" borderId="277" xfId="6" applyFont="1" applyBorder="1" applyAlignment="1">
      <alignment horizontal="center" vertical="center" wrapText="1"/>
    </xf>
    <xf numFmtId="0" fontId="14" fillId="26" borderId="267" xfId="14" applyFont="1" applyFill="1" applyBorder="1" applyAlignment="1">
      <alignment horizontal="center" vertical="center" wrapText="1"/>
    </xf>
    <xf numFmtId="0" fontId="14" fillId="26" borderId="0" xfId="14" applyFont="1" applyFill="1" applyAlignment="1">
      <alignment horizontal="center" vertical="center" wrapText="1"/>
    </xf>
    <xf numFmtId="0" fontId="8" fillId="0" borderId="22" xfId="0" applyFont="1" applyBorder="1" applyAlignment="1">
      <alignment horizontal="center"/>
    </xf>
    <xf numFmtId="0" fontId="7" fillId="0" borderId="91" xfId="0" applyFont="1" applyBorder="1" applyAlignment="1">
      <alignment horizontal="center" vertical="center" wrapText="1"/>
    </xf>
    <xf numFmtId="0" fontId="7" fillId="0" borderId="87" xfId="0" applyFont="1" applyBorder="1" applyAlignment="1">
      <alignment horizontal="center" vertical="center" wrapText="1"/>
    </xf>
    <xf numFmtId="0" fontId="7" fillId="0" borderId="107" xfId="0" applyFont="1" applyBorder="1" applyAlignment="1">
      <alignment horizontal="center" vertical="center" wrapText="1"/>
    </xf>
    <xf numFmtId="0" fontId="14" fillId="12" borderId="19" xfId="0" applyFont="1" applyFill="1" applyBorder="1" applyAlignment="1">
      <alignment horizontal="center" vertical="center" wrapText="1"/>
    </xf>
    <xf numFmtId="0" fontId="8" fillId="10" borderId="79" xfId="0" applyFont="1" applyFill="1" applyBorder="1" applyAlignment="1">
      <alignment horizontal="center" vertical="center"/>
    </xf>
    <xf numFmtId="0" fontId="8" fillId="10" borderId="79" xfId="0" applyFont="1" applyFill="1" applyBorder="1" applyAlignment="1">
      <alignment horizontal="center" vertical="center" wrapText="1"/>
    </xf>
    <xf numFmtId="0" fontId="14" fillId="12" borderId="22" xfId="0" applyFont="1" applyFill="1" applyBorder="1" applyAlignment="1">
      <alignment horizontal="center" vertical="center"/>
    </xf>
    <xf numFmtId="0" fontId="7" fillId="11" borderId="2" xfId="0" applyFont="1" applyFill="1" applyBorder="1" applyAlignment="1">
      <alignment horizontal="left" vertical="center"/>
    </xf>
    <xf numFmtId="0" fontId="25" fillId="10" borderId="147" xfId="0" applyFont="1" applyFill="1" applyBorder="1" applyAlignment="1">
      <alignment horizontal="center" vertical="center" wrapText="1"/>
    </xf>
    <xf numFmtId="0" fontId="25" fillId="10" borderId="96"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0" xfId="0" applyFont="1" applyBorder="1" applyAlignment="1">
      <alignment horizontal="center" vertical="center" wrapText="1"/>
    </xf>
    <xf numFmtId="0" fontId="58" fillId="24" borderId="0" xfId="0" applyFont="1" applyFill="1" applyAlignment="1">
      <alignment horizontal="center" vertical="center"/>
    </xf>
    <xf numFmtId="0" fontId="0" fillId="0" borderId="0" xfId="0"/>
    <xf numFmtId="0" fontId="60" fillId="24" borderId="0" xfId="0" applyFont="1" applyFill="1" applyAlignment="1">
      <alignment horizontal="center" vertical="center"/>
    </xf>
    <xf numFmtId="0" fontId="15" fillId="0" borderId="0" xfId="0" applyFont="1"/>
    <xf numFmtId="0" fontId="15" fillId="0" borderId="32" xfId="0" applyFont="1" applyBorder="1" applyAlignment="1">
      <alignment horizontal="center" vertical="center" wrapText="1"/>
    </xf>
    <xf numFmtId="0" fontId="24" fillId="0" borderId="137" xfId="0" applyFont="1" applyBorder="1" applyAlignment="1">
      <alignment horizontal="center" vertical="center" wrapText="1"/>
    </xf>
    <xf numFmtId="0" fontId="24" fillId="0" borderId="139" xfId="0" applyFont="1" applyBorder="1" applyAlignment="1">
      <alignment horizontal="center" vertical="center" wrapText="1"/>
    </xf>
    <xf numFmtId="0" fontId="24" fillId="0" borderId="94" xfId="0" applyFont="1" applyBorder="1" applyAlignment="1">
      <alignment horizontal="center" vertical="center" wrapText="1"/>
    </xf>
    <xf numFmtId="0" fontId="24" fillId="0" borderId="87" xfId="0" applyFont="1" applyBorder="1" applyAlignment="1">
      <alignment horizontal="center" vertical="center" wrapText="1"/>
    </xf>
    <xf numFmtId="0" fontId="24" fillId="0" borderId="98" xfId="0" applyFont="1" applyBorder="1" applyAlignment="1">
      <alignment horizontal="center" vertical="center" wrapText="1"/>
    </xf>
    <xf numFmtId="0" fontId="24" fillId="0" borderId="88" xfId="0" applyFont="1" applyBorder="1" applyAlignment="1">
      <alignment horizontal="center" vertical="center" wrapText="1"/>
    </xf>
    <xf numFmtId="0" fontId="24" fillId="0" borderId="92" xfId="0" applyFont="1" applyBorder="1" applyAlignment="1">
      <alignment horizontal="center" vertical="center" wrapText="1"/>
    </xf>
    <xf numFmtId="0" fontId="24" fillId="0" borderId="81" xfId="0" applyFont="1" applyBorder="1" applyAlignment="1">
      <alignment horizontal="center" vertical="center" wrapText="1"/>
    </xf>
    <xf numFmtId="0" fontId="24" fillId="0" borderId="140" xfId="0" applyFont="1" applyBorder="1" applyAlignment="1">
      <alignment horizontal="center" vertical="center" wrapText="1"/>
    </xf>
    <xf numFmtId="0" fontId="24" fillId="0" borderId="83" xfId="0" applyFont="1" applyBorder="1" applyAlignment="1">
      <alignment horizontal="center" vertical="center" wrapText="1"/>
    </xf>
    <xf numFmtId="0" fontId="24" fillId="0" borderId="122" xfId="0" applyFont="1" applyBorder="1" applyAlignment="1">
      <alignment horizontal="center" vertical="center" wrapText="1"/>
    </xf>
    <xf numFmtId="0" fontId="24" fillId="0" borderId="84" xfId="0" applyFont="1" applyBorder="1" applyAlignment="1">
      <alignment horizontal="center" vertical="center" wrapText="1"/>
    </xf>
    <xf numFmtId="0" fontId="24" fillId="0" borderId="132" xfId="0" applyFont="1" applyBorder="1" applyAlignment="1">
      <alignment horizontal="center" vertical="center" wrapText="1"/>
    </xf>
    <xf numFmtId="0" fontId="24" fillId="0" borderId="82" xfId="0" applyFont="1" applyBorder="1" applyAlignment="1">
      <alignment horizontal="center" vertical="center" wrapText="1"/>
    </xf>
    <xf numFmtId="0" fontId="24" fillId="0" borderId="90" xfId="0" applyFont="1" applyBorder="1" applyAlignment="1">
      <alignment horizontal="center" vertical="center" wrapText="1"/>
    </xf>
    <xf numFmtId="0" fontId="24" fillId="0" borderId="126" xfId="0" applyFont="1" applyBorder="1" applyAlignment="1">
      <alignment horizontal="center" vertical="center" wrapText="1"/>
    </xf>
    <xf numFmtId="0" fontId="24" fillId="0" borderId="128" xfId="0" applyFont="1" applyBorder="1" applyAlignment="1">
      <alignment horizontal="center" vertical="center" wrapText="1"/>
    </xf>
    <xf numFmtId="0" fontId="24" fillId="0" borderId="136" xfId="0" applyFont="1" applyBorder="1" applyAlignment="1">
      <alignment horizontal="center" vertical="center" wrapText="1"/>
    </xf>
    <xf numFmtId="0" fontId="24" fillId="0" borderId="82" xfId="0" applyFont="1" applyBorder="1" applyAlignment="1">
      <alignment horizontal="center" vertical="center"/>
    </xf>
    <xf numFmtId="0" fontId="24" fillId="0" borderId="87" xfId="0" applyFont="1" applyBorder="1" applyAlignment="1">
      <alignment horizontal="center" vertical="center"/>
    </xf>
    <xf numFmtId="0" fontId="24" fillId="0" borderId="90" xfId="0" applyFont="1" applyBorder="1" applyAlignment="1">
      <alignment horizontal="center" vertical="center"/>
    </xf>
    <xf numFmtId="0" fontId="24" fillId="0" borderId="142" xfId="0" applyFont="1" applyBorder="1" applyAlignment="1">
      <alignment horizontal="center" vertical="center" wrapText="1"/>
    </xf>
    <xf numFmtId="0" fontId="24" fillId="0" borderId="250" xfId="0" applyFont="1" applyBorder="1" applyAlignment="1">
      <alignment horizontal="center" vertical="center"/>
    </xf>
    <xf numFmtId="0" fontId="24" fillId="0" borderId="172" xfId="0" applyFont="1" applyBorder="1" applyAlignment="1">
      <alignment horizontal="center" vertical="center"/>
    </xf>
    <xf numFmtId="0" fontId="24" fillId="0" borderId="168" xfId="0" applyFont="1" applyBorder="1" applyAlignment="1">
      <alignment horizontal="center" vertical="center" wrapText="1"/>
    </xf>
    <xf numFmtId="0" fontId="24" fillId="0" borderId="79" xfId="0" applyFont="1" applyBorder="1" applyAlignment="1">
      <alignment horizontal="center" vertical="center" wrapText="1"/>
    </xf>
    <xf numFmtId="0" fontId="24" fillId="0" borderId="171" xfId="0" applyFont="1" applyBorder="1" applyAlignment="1">
      <alignment horizontal="center" vertical="center" wrapText="1"/>
    </xf>
    <xf numFmtId="0" fontId="24" fillId="0" borderId="251" xfId="0" applyFont="1" applyBorder="1" applyAlignment="1">
      <alignment horizontal="center" vertical="center" wrapText="1"/>
    </xf>
    <xf numFmtId="0" fontId="24" fillId="0" borderId="254" xfId="0" applyFont="1" applyBorder="1" applyAlignment="1">
      <alignment horizontal="center" vertical="center" wrapText="1"/>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28" fillId="0" borderId="11" xfId="0" applyFont="1" applyBorder="1" applyAlignment="1">
      <alignment horizontal="center" vertical="center"/>
    </xf>
    <xf numFmtId="0" fontId="24" fillId="0" borderId="122" xfId="0" applyFont="1" applyBorder="1" applyAlignment="1">
      <alignment horizontal="center" vertical="center"/>
    </xf>
    <xf numFmtId="0" fontId="24" fillId="0" borderId="113" xfId="0" applyFont="1" applyBorder="1" applyAlignment="1">
      <alignment horizontal="center" vertical="center" wrapText="1"/>
    </xf>
    <xf numFmtId="0" fontId="24" fillId="0" borderId="115" xfId="0" applyFont="1" applyBorder="1" applyAlignment="1">
      <alignment horizontal="center" vertical="center" wrapText="1"/>
    </xf>
    <xf numFmtId="0" fontId="24" fillId="0" borderId="117" xfId="0" applyFont="1" applyBorder="1" applyAlignment="1">
      <alignment horizontal="center" vertical="center" wrapText="1"/>
    </xf>
    <xf numFmtId="0" fontId="24" fillId="0" borderId="119" xfId="0" applyFont="1" applyBorder="1" applyAlignment="1">
      <alignment horizontal="center" vertical="center" wrapText="1"/>
    </xf>
    <xf numFmtId="0" fontId="24" fillId="0" borderId="120" xfId="0" applyFont="1" applyBorder="1" applyAlignment="1">
      <alignment horizontal="center" vertical="center" wrapText="1"/>
    </xf>
    <xf numFmtId="0" fontId="24" fillId="0" borderId="123" xfId="0" applyFont="1" applyBorder="1" applyAlignment="1">
      <alignment horizontal="center" vertical="center" wrapText="1"/>
    </xf>
    <xf numFmtId="0" fontId="24" fillId="0" borderId="107" xfId="0" applyFont="1" applyBorder="1" applyAlignment="1">
      <alignment horizontal="center" vertical="center" wrapText="1"/>
    </xf>
    <xf numFmtId="0" fontId="24" fillId="0" borderId="91" xfId="0" applyFont="1" applyBorder="1" applyAlignment="1">
      <alignment horizontal="center" vertical="center" wrapText="1"/>
    </xf>
    <xf numFmtId="0" fontId="24" fillId="0" borderId="146" xfId="0" applyFont="1" applyBorder="1" applyAlignment="1">
      <alignment horizontal="center" vertical="center" wrapText="1"/>
    </xf>
    <xf numFmtId="0" fontId="24" fillId="0" borderId="114" xfId="0" applyFont="1" applyBorder="1" applyAlignment="1">
      <alignment horizontal="center" vertical="center" wrapText="1"/>
    </xf>
    <xf numFmtId="0" fontId="24" fillId="0" borderId="116" xfId="0" applyFont="1" applyBorder="1" applyAlignment="1">
      <alignment horizontal="center" vertical="center" wrapText="1"/>
    </xf>
    <xf numFmtId="0" fontId="24" fillId="0" borderId="118" xfId="0" applyFont="1" applyBorder="1" applyAlignment="1">
      <alignment horizontal="center" vertical="center" wrapText="1"/>
    </xf>
    <xf numFmtId="0" fontId="8" fillId="10" borderId="124" xfId="0" applyFont="1" applyFill="1" applyBorder="1" applyAlignment="1">
      <alignment horizontal="center" vertical="center"/>
    </xf>
    <xf numFmtId="0" fontId="8" fillId="10" borderId="0" xfId="0" applyFont="1" applyFill="1" applyAlignment="1">
      <alignment horizontal="center" vertical="center"/>
    </xf>
    <xf numFmtId="0" fontId="8" fillId="10" borderId="125" xfId="0" applyFont="1" applyFill="1" applyBorder="1" applyAlignment="1">
      <alignment horizontal="center" vertical="center"/>
    </xf>
    <xf numFmtId="0" fontId="24" fillId="0" borderId="86" xfId="0" applyFont="1" applyBorder="1" applyAlignment="1">
      <alignment horizontal="center" vertical="center" wrapText="1"/>
    </xf>
    <xf numFmtId="0" fontId="24" fillId="0" borderId="121" xfId="0" applyFont="1" applyBorder="1" applyAlignment="1">
      <alignment horizontal="center" vertical="center" wrapText="1"/>
    </xf>
    <xf numFmtId="0" fontId="24" fillId="0" borderId="103" xfId="0" applyFont="1" applyBorder="1" applyAlignment="1">
      <alignment horizontal="center" vertical="center" wrapText="1"/>
    </xf>
    <xf numFmtId="0" fontId="24" fillId="0" borderId="89" xfId="0" applyFont="1" applyBorder="1" applyAlignment="1">
      <alignment horizontal="center" vertical="center" wrapText="1"/>
    </xf>
    <xf numFmtId="0" fontId="24" fillId="0" borderId="102"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2" xfId="0" applyFont="1" applyBorder="1" applyAlignment="1">
      <alignment horizontal="center" vertical="center" wrapText="1"/>
    </xf>
    <xf numFmtId="0" fontId="27" fillId="0" borderId="38" xfId="0" applyFont="1" applyBorder="1" applyAlignment="1">
      <alignment horizontal="center" vertical="center" wrapText="1"/>
    </xf>
    <xf numFmtId="0" fontId="27" fillId="0" borderId="40" xfId="0" applyFont="1" applyBorder="1" applyAlignment="1">
      <alignment horizontal="center" vertical="center" wrapText="1"/>
    </xf>
    <xf numFmtId="0" fontId="27" fillId="0" borderId="41" xfId="0" applyFont="1" applyBorder="1" applyAlignment="1">
      <alignment horizontal="center" vertical="center" wrapText="1"/>
    </xf>
    <xf numFmtId="0" fontId="27" fillId="0" borderId="42" xfId="0" applyFont="1" applyBorder="1" applyAlignment="1">
      <alignment horizontal="center" vertical="center" wrapText="1"/>
    </xf>
    <xf numFmtId="0" fontId="24" fillId="0" borderId="34" xfId="0" applyFont="1" applyBorder="1" applyAlignment="1">
      <alignment horizontal="center" vertical="center" wrapText="1"/>
    </xf>
    <xf numFmtId="0" fontId="24" fillId="0" borderId="32"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37" xfId="0" applyFont="1" applyBorder="1" applyAlignment="1">
      <alignment horizontal="center" vertical="center" wrapText="1"/>
    </xf>
    <xf numFmtId="0" fontId="14" fillId="12" borderId="23" xfId="0" applyFont="1" applyFill="1" applyBorder="1" applyAlignment="1">
      <alignment horizontal="center" vertical="center" wrapText="1"/>
    </xf>
    <xf numFmtId="0" fontId="8" fillId="10" borderId="2" xfId="0" applyFont="1" applyFill="1" applyBorder="1" applyAlignment="1">
      <alignment horizontal="center" vertical="center"/>
    </xf>
    <xf numFmtId="0" fontId="8" fillId="10" borderId="15" xfId="0" applyFont="1" applyFill="1" applyBorder="1" applyAlignment="1">
      <alignment horizontal="center" vertical="center"/>
    </xf>
    <xf numFmtId="0" fontId="52" fillId="0" borderId="143" xfId="0" applyFont="1" applyBorder="1" applyAlignment="1">
      <alignment horizontal="center" vertical="center" wrapText="1"/>
    </xf>
    <xf numFmtId="0" fontId="52" fillId="0" borderId="128" xfId="0" applyFont="1" applyBorder="1" applyAlignment="1">
      <alignment horizontal="center" vertical="center" wrapText="1"/>
    </xf>
    <xf numFmtId="0" fontId="52" fillId="0" borderId="130" xfId="0" applyFont="1" applyBorder="1" applyAlignment="1">
      <alignment horizontal="center" vertical="center" wrapText="1"/>
    </xf>
    <xf numFmtId="0" fontId="20" fillId="10" borderId="3" xfId="0" applyFont="1" applyFill="1" applyBorder="1" applyAlignment="1">
      <alignment horizontal="center" vertical="center" wrapText="1"/>
    </xf>
    <xf numFmtId="0" fontId="20" fillId="10" borderId="13" xfId="0" applyFont="1" applyFill="1" applyBorder="1" applyAlignment="1">
      <alignment horizontal="center" vertical="center" wrapText="1"/>
    </xf>
    <xf numFmtId="0" fontId="20" fillId="10" borderId="14" xfId="0" applyFont="1" applyFill="1" applyBorder="1" applyAlignment="1">
      <alignment horizontal="center" vertical="center" wrapText="1"/>
    </xf>
    <xf numFmtId="0" fontId="8" fillId="10" borderId="80" xfId="0" applyFont="1" applyFill="1" applyBorder="1" applyAlignment="1">
      <alignment horizontal="center" vertical="center"/>
    </xf>
    <xf numFmtId="0" fontId="24" fillId="0" borderId="130" xfId="0" applyFont="1" applyBorder="1" applyAlignment="1">
      <alignment horizontal="center" vertical="center" wrapText="1"/>
    </xf>
    <xf numFmtId="0" fontId="24" fillId="0" borderId="167" xfId="0" applyFont="1" applyBorder="1" applyAlignment="1">
      <alignment horizontal="center" vertical="center" wrapText="1"/>
    </xf>
    <xf numFmtId="0" fontId="24" fillId="0" borderId="169" xfId="0" applyFont="1" applyBorder="1" applyAlignment="1">
      <alignment horizontal="center" vertical="center" wrapText="1"/>
    </xf>
    <xf numFmtId="0" fontId="24" fillId="0" borderId="170" xfId="0" applyFont="1" applyBorder="1" applyAlignment="1">
      <alignment horizontal="center" vertical="center" wrapText="1"/>
    </xf>
    <xf numFmtId="0" fontId="24" fillId="0" borderId="235" xfId="0" applyFont="1" applyBorder="1" applyAlignment="1">
      <alignment horizontal="center" vertical="center" wrapText="1"/>
    </xf>
    <xf numFmtId="0" fontId="24" fillId="0" borderId="83" xfId="0" applyFont="1" applyBorder="1" applyAlignment="1">
      <alignment horizontal="center" vertical="center"/>
    </xf>
    <xf numFmtId="0" fontId="24" fillId="0" borderId="79" xfId="0" applyFont="1" applyBorder="1" applyAlignment="1">
      <alignment horizontal="center" vertical="center"/>
    </xf>
    <xf numFmtId="0" fontId="24" fillId="0" borderId="129" xfId="0" applyFont="1" applyBorder="1" applyAlignment="1">
      <alignment horizontal="center" vertical="center"/>
    </xf>
    <xf numFmtId="0" fontId="24" fillId="0" borderId="133" xfId="0" applyFont="1" applyBorder="1" applyAlignment="1">
      <alignment horizontal="center" vertical="center" wrapText="1"/>
    </xf>
    <xf numFmtId="0" fontId="24" fillId="0" borderId="134" xfId="0" applyFont="1" applyBorder="1" applyAlignment="1">
      <alignment horizontal="center" vertical="center" wrapText="1"/>
    </xf>
    <xf numFmtId="0" fontId="24" fillId="0" borderId="135" xfId="0" applyFont="1" applyBorder="1" applyAlignment="1">
      <alignment horizontal="center" vertical="center" wrapText="1"/>
    </xf>
    <xf numFmtId="0" fontId="24" fillId="0" borderId="107" xfId="0" applyFont="1" applyBorder="1" applyAlignment="1">
      <alignment horizontal="center" vertical="center"/>
    </xf>
    <xf numFmtId="0" fontId="24" fillId="0" borderId="102" xfId="0" applyFont="1" applyBorder="1" applyAlignment="1">
      <alignment horizontal="center" vertical="center"/>
    </xf>
    <xf numFmtId="0" fontId="24" fillId="0" borderId="129" xfId="0" applyFont="1" applyBorder="1" applyAlignment="1">
      <alignment horizontal="center" vertical="center" wrapText="1"/>
    </xf>
    <xf numFmtId="0" fontId="53" fillId="0" borderId="149" xfId="0" applyFont="1" applyBorder="1" applyAlignment="1">
      <alignment horizontal="center" vertical="center" wrapText="1"/>
    </xf>
    <xf numFmtId="0" fontId="53" fillId="0" borderId="150" xfId="0" applyFont="1" applyBorder="1" applyAlignment="1">
      <alignment horizontal="center" vertical="center" wrapText="1"/>
    </xf>
    <xf numFmtId="0" fontId="53" fillId="0" borderId="151" xfId="0" applyFont="1" applyBorder="1" applyAlignment="1">
      <alignment horizontal="center" vertical="center" wrapText="1"/>
    </xf>
    <xf numFmtId="0" fontId="53" fillId="0" borderId="152" xfId="0" applyFont="1" applyBorder="1" applyAlignment="1">
      <alignment horizontal="center" vertical="center" wrapText="1"/>
    </xf>
    <xf numFmtId="0" fontId="53" fillId="0" borderId="153" xfId="0" applyFont="1" applyBorder="1" applyAlignment="1">
      <alignment horizontal="center" vertical="center" wrapText="1"/>
    </xf>
    <xf numFmtId="0" fontId="53" fillId="0" borderId="154" xfId="0" applyFont="1" applyBorder="1" applyAlignment="1">
      <alignment horizontal="center" vertical="center" wrapText="1"/>
    </xf>
    <xf numFmtId="0" fontId="53" fillId="0" borderId="155" xfId="0" applyFont="1" applyBorder="1" applyAlignment="1">
      <alignment horizontal="center" vertical="center" wrapText="1"/>
    </xf>
    <xf numFmtId="0" fontId="53" fillId="0" borderId="156" xfId="0" applyFont="1" applyBorder="1" applyAlignment="1">
      <alignment horizontal="center" vertical="center" wrapText="1"/>
    </xf>
    <xf numFmtId="0" fontId="53" fillId="0" borderId="157" xfId="0" applyFont="1" applyBorder="1" applyAlignment="1">
      <alignment horizontal="center" vertical="center" wrapText="1"/>
    </xf>
    <xf numFmtId="0" fontId="24" fillId="0" borderId="168" xfId="0" applyFont="1" applyBorder="1" applyAlignment="1">
      <alignment horizontal="center" vertical="center"/>
    </xf>
    <xf numFmtId="0" fontId="24" fillId="0" borderId="171" xfId="0" applyFont="1" applyBorder="1" applyAlignment="1">
      <alignment horizontal="center" vertical="center"/>
    </xf>
    <xf numFmtId="0" fontId="24" fillId="0" borderId="172" xfId="0" applyFont="1" applyBorder="1" applyAlignment="1">
      <alignment horizontal="center" vertical="center" wrapText="1"/>
    </xf>
    <xf numFmtId="0" fontId="25" fillId="10" borderId="124" xfId="0" applyFont="1" applyFill="1" applyBorder="1" applyAlignment="1">
      <alignment horizontal="center" vertical="center"/>
    </xf>
    <xf numFmtId="0" fontId="25" fillId="10" borderId="0" xfId="0" applyFont="1" applyFill="1" applyAlignment="1">
      <alignment horizontal="center" vertical="center"/>
    </xf>
    <xf numFmtId="0" fontId="25" fillId="10" borderId="125" xfId="0" applyFont="1" applyFill="1" applyBorder="1" applyAlignment="1">
      <alignment horizontal="center" vertical="center"/>
    </xf>
    <xf numFmtId="0" fontId="53" fillId="0" borderId="81" xfId="0" applyFont="1" applyBorder="1" applyAlignment="1">
      <alignment horizontal="center" vertical="center" wrapText="1"/>
    </xf>
    <xf numFmtId="0" fontId="53" fillId="0" borderId="86" xfId="0" applyFont="1" applyBorder="1" applyAlignment="1">
      <alignment horizontal="center" vertical="center" wrapText="1"/>
    </xf>
    <xf numFmtId="0" fontId="53" fillId="0" borderId="89" xfId="0" applyFont="1" applyBorder="1" applyAlignment="1">
      <alignment horizontal="center" vertical="center" wrapText="1"/>
    </xf>
    <xf numFmtId="0" fontId="53" fillId="0" borderId="121" xfId="0" applyFont="1" applyBorder="1" applyAlignment="1">
      <alignment horizontal="center" vertical="center" wrapText="1"/>
    </xf>
    <xf numFmtId="0" fontId="53" fillId="0" borderId="82" xfId="0" applyFont="1" applyBorder="1" applyAlignment="1">
      <alignment horizontal="center" vertical="center"/>
    </xf>
    <xf numFmtId="0" fontId="53" fillId="0" borderId="87" xfId="0" applyFont="1" applyBorder="1" applyAlignment="1">
      <alignment horizontal="center" vertical="center"/>
    </xf>
    <xf numFmtId="0" fontId="53" fillId="0" borderId="83" xfId="0" applyFont="1" applyBorder="1" applyAlignment="1">
      <alignment horizontal="center" vertical="center" wrapText="1"/>
    </xf>
    <xf numFmtId="0" fontId="53" fillId="0" borderId="79" xfId="0" applyFont="1" applyBorder="1" applyAlignment="1">
      <alignment horizontal="center" vertical="center" wrapText="1"/>
    </xf>
    <xf numFmtId="0" fontId="53" fillId="0" borderId="91" xfId="0" applyFont="1" applyBorder="1" applyAlignment="1">
      <alignment horizontal="center" vertical="center" wrapText="1"/>
    </xf>
    <xf numFmtId="0" fontId="53" fillId="0" borderId="122" xfId="0" applyFont="1" applyBorder="1" applyAlignment="1">
      <alignment horizontal="center" vertical="center"/>
    </xf>
    <xf numFmtId="0" fontId="53" fillId="0" borderId="167" xfId="0" applyFont="1" applyBorder="1" applyAlignment="1">
      <alignment horizontal="center" vertical="center" wrapText="1"/>
    </xf>
    <xf numFmtId="0" fontId="53" fillId="0" borderId="169" xfId="0" applyFont="1" applyBorder="1" applyAlignment="1">
      <alignment horizontal="center" vertical="center" wrapText="1"/>
    </xf>
    <xf numFmtId="0" fontId="53" fillId="0" borderId="170" xfId="0" applyFont="1" applyBorder="1" applyAlignment="1">
      <alignment horizontal="center" vertical="center" wrapText="1"/>
    </xf>
    <xf numFmtId="0" fontId="53" fillId="0" borderId="250" xfId="0" applyFont="1" applyBorder="1" applyAlignment="1">
      <alignment horizontal="center" vertical="center"/>
    </xf>
    <xf numFmtId="0" fontId="53" fillId="0" borderId="172" xfId="0" applyFont="1" applyBorder="1" applyAlignment="1">
      <alignment horizontal="center" vertical="center"/>
    </xf>
    <xf numFmtId="0" fontId="53" fillId="0" borderId="261" xfId="0" applyFont="1" applyBorder="1" applyAlignment="1">
      <alignment horizontal="center" vertical="center" wrapText="1"/>
    </xf>
    <xf numFmtId="0" fontId="53" fillId="0" borderId="115" xfId="0" applyFont="1" applyBorder="1" applyAlignment="1">
      <alignment horizontal="center" vertical="center" wrapText="1"/>
    </xf>
    <xf numFmtId="0" fontId="53" fillId="0" borderId="262" xfId="0" applyFont="1" applyBorder="1" applyAlignment="1">
      <alignment horizontal="center" vertical="center" wrapText="1"/>
    </xf>
    <xf numFmtId="0" fontId="53" fillId="0" borderId="251" xfId="0" applyFont="1" applyBorder="1" applyAlignment="1">
      <alignment horizontal="center" vertical="center" wrapText="1"/>
    </xf>
    <xf numFmtId="0" fontId="53" fillId="0" borderId="88" xfId="0" applyFont="1" applyBorder="1" applyAlignment="1">
      <alignment horizontal="center" vertical="center" wrapText="1"/>
    </xf>
    <xf numFmtId="0" fontId="53" fillId="0" borderId="254" xfId="0" applyFont="1" applyBorder="1" applyAlignment="1">
      <alignment horizontal="center" vertical="center" wrapText="1"/>
    </xf>
    <xf numFmtId="0" fontId="53" fillId="0" borderId="129" xfId="0" applyFont="1" applyBorder="1" applyAlignment="1">
      <alignment horizontal="center" vertical="center" wrapText="1"/>
    </xf>
    <xf numFmtId="0" fontId="53" fillId="0" borderId="235" xfId="0" applyFont="1" applyBorder="1" applyAlignment="1">
      <alignment horizontal="center" vertical="center" wrapText="1"/>
    </xf>
    <xf numFmtId="0" fontId="53" fillId="0" borderId="90" xfId="0" applyFont="1" applyBorder="1" applyAlignment="1">
      <alignment horizontal="center" vertical="center"/>
    </xf>
    <xf numFmtId="0" fontId="53" fillId="0" borderId="107" xfId="0" applyFont="1" applyBorder="1" applyAlignment="1">
      <alignment horizontal="center" vertical="center" wrapText="1"/>
    </xf>
    <xf numFmtId="0" fontId="53" fillId="0" borderId="102" xfId="0" applyFont="1" applyBorder="1" applyAlignment="1">
      <alignment horizontal="center" vertical="center" wrapText="1"/>
    </xf>
    <xf numFmtId="0" fontId="53" fillId="0" borderId="146" xfId="0" applyFont="1" applyBorder="1" applyAlignment="1">
      <alignment horizontal="center" vertical="center" wrapText="1"/>
    </xf>
    <xf numFmtId="0" fontId="53" fillId="0" borderId="92" xfId="0" applyFont="1" applyBorder="1" applyAlignment="1">
      <alignment horizontal="center" vertical="center" wrapText="1"/>
    </xf>
    <xf numFmtId="0" fontId="53" fillId="0" borderId="94" xfId="0" applyFont="1" applyBorder="1" applyAlignment="1">
      <alignment horizontal="center" vertical="center" wrapText="1"/>
    </xf>
    <xf numFmtId="0" fontId="53" fillId="0" borderId="84" xfId="0" applyFont="1" applyBorder="1" applyAlignment="1">
      <alignment horizontal="center" vertical="center" wrapText="1"/>
    </xf>
    <xf numFmtId="0" fontId="53" fillId="0" borderId="132" xfId="0" applyFont="1" applyBorder="1" applyAlignment="1">
      <alignment horizontal="center" vertical="center" wrapText="1"/>
    </xf>
    <xf numFmtId="0" fontId="53" fillId="0" borderId="259" xfId="0" applyFont="1" applyBorder="1" applyAlignment="1">
      <alignment horizontal="center" vertical="center" wrapText="1"/>
    </xf>
    <xf numFmtId="0" fontId="53" fillId="0" borderId="201" xfId="0" applyFont="1" applyBorder="1" applyAlignment="1">
      <alignment horizontal="center" vertical="center" wrapText="1"/>
    </xf>
    <xf numFmtId="0" fontId="53" fillId="0" borderId="32" xfId="0" applyFont="1" applyBorder="1" applyAlignment="1">
      <alignment horizontal="center" vertical="center" wrapText="1"/>
    </xf>
    <xf numFmtId="0" fontId="53" fillId="0" borderId="205" xfId="0" applyFont="1" applyBorder="1" applyAlignment="1">
      <alignment horizontal="center" vertical="center" wrapText="1"/>
    </xf>
    <xf numFmtId="0" fontId="7" fillId="0" borderId="191" xfId="0" applyFont="1" applyBorder="1" applyAlignment="1">
      <alignment horizontal="center" vertical="center"/>
    </xf>
    <xf numFmtId="0" fontId="7" fillId="0" borderId="192" xfId="0" applyFont="1" applyBorder="1" applyAlignment="1">
      <alignment horizontal="center" vertical="center"/>
    </xf>
    <xf numFmtId="0" fontId="23" fillId="0" borderId="193" xfId="0" applyFont="1" applyBorder="1" applyAlignment="1">
      <alignment horizontal="center" vertical="center"/>
    </xf>
    <xf numFmtId="0" fontId="23" fillId="0" borderId="194" xfId="0" applyFont="1" applyBorder="1" applyAlignment="1">
      <alignment horizontal="center" vertical="center"/>
    </xf>
    <xf numFmtId="0" fontId="40" fillId="16" borderId="0" xfId="0" applyFont="1" applyFill="1" applyAlignment="1">
      <alignment horizontal="center" vertical="center"/>
    </xf>
    <xf numFmtId="0" fontId="39" fillId="12" borderId="22" xfId="0" applyFont="1" applyFill="1" applyBorder="1" applyAlignment="1">
      <alignment horizontal="center" vertical="center" wrapText="1"/>
    </xf>
    <xf numFmtId="0" fontId="8" fillId="0" borderId="16" xfId="0" applyFont="1" applyBorder="1" applyAlignment="1">
      <alignment horizontal="center" vertical="center"/>
    </xf>
    <xf numFmtId="0" fontId="8" fillId="0" borderId="0" xfId="0" applyFont="1" applyAlignment="1">
      <alignment horizontal="center" vertical="center"/>
    </xf>
    <xf numFmtId="0" fontId="25" fillId="10" borderId="2" xfId="0" applyFont="1" applyFill="1" applyBorder="1" applyAlignment="1">
      <alignment horizontal="center" vertical="center"/>
    </xf>
    <xf numFmtId="0" fontId="25" fillId="10" borderId="15" xfId="0" applyFont="1" applyFill="1" applyBorder="1" applyAlignment="1">
      <alignment horizontal="center" vertical="center"/>
    </xf>
    <xf numFmtId="0" fontId="11" fillId="12" borderId="0" xfId="0" applyFont="1" applyFill="1" applyAlignment="1">
      <alignment horizontal="center" vertical="center" wrapText="1"/>
    </xf>
    <xf numFmtId="0" fontId="0" fillId="0" borderId="0" xfId="0" applyAlignment="1">
      <alignment horizontal="center"/>
    </xf>
  </cellXfs>
  <cellStyles count="15">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6" xfId="13" xr:uid="{B6938E22-E147-4611-9559-EF8DD2180335}"/>
    <cellStyle name="Normal 7" xfId="14" xr:uid="{6E188B1D-D48F-4B26-8F6A-4DBB427BEE96}"/>
    <cellStyle name="Normal_Prototype_Scorecard-LgOffice-2008-03-13" xfId="1" xr:uid="{F839F8A1-86E5-4008-9801-0F032E8A3317}"/>
    <cellStyle name="Percent" xfId="2" builtinId="5"/>
    <cellStyle name="Percent 2" xfId="8" xr:uid="{CB789C3E-741F-4464-8065-385A956411E6}"/>
  </cellStyles>
  <dxfs count="8">
    <dxf>
      <fill>
        <patternFill>
          <bgColor theme="9" tint="0.59996337778862885"/>
        </patternFill>
      </fill>
    </dxf>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7"/>
      <tableStyleElement type="headerRow" dxfId="6"/>
      <tableStyleElement type="totalRow" dxfId="5"/>
      <tableStyleElement type="firstColumn" dxfId="4"/>
      <tableStyleElement type="lastColumn" dxfId="3"/>
      <tableStyleElement type="pageFieldLabels" dxfId="2"/>
      <tableStyleElement type="pageFieldValues" dxfId="1"/>
    </tableStyle>
  </tableStyles>
  <colors>
    <mruColors>
      <color rgb="FF919191"/>
      <color rgb="FF9C9A9A"/>
      <color rgb="FFD697F7"/>
      <color rgb="FF002F8E"/>
      <color rgb="FFFF9900"/>
      <color rgb="FFCCCCFF"/>
      <color rgb="FF8238BA"/>
      <color rgb="FFFFEBCD"/>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Heating</a:t>
            </a:r>
            <a:r>
              <a:rPr lang="en-US" sz="1100"/>
              <a:t> Setpoints schedule- Medium office</a:t>
            </a:r>
          </a:p>
        </c:rich>
      </c:tx>
      <c:layout>
        <c:manualLayout>
          <c:xMode val="edge"/>
          <c:yMode val="edge"/>
          <c:x val="0.22284341946762432"/>
          <c:y val="6.25415096699679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Thermostat!$B$65</c:f>
              <c:strCache>
                <c:ptCount val="1"/>
                <c:pt idx="0">
                  <c:v>CEC-Weekday</c:v>
                </c:pt>
              </c:strCache>
            </c:strRef>
          </c:tx>
          <c:spPr>
            <a:ln w="28575" cap="rnd">
              <a:solidFill>
                <a:schemeClr val="accent1"/>
              </a:solidFill>
              <a:round/>
            </a:ln>
            <a:effectLst/>
          </c:spPr>
          <c:marker>
            <c:symbol val="none"/>
          </c:marker>
          <c:val>
            <c:numRef>
              <c:f>Thermostat!$B$66:$B$89</c:f>
            </c:numRef>
          </c:val>
          <c:smooth val="0"/>
          <c:extLst xmlns:c15="http://schemas.microsoft.com/office/drawing/2012/chart">
            <c:ext xmlns:c16="http://schemas.microsoft.com/office/drawing/2014/chart" uri="{C3380CC4-5D6E-409C-BE32-E72D297353CC}">
              <c16:uniqueId val="{00000000-7581-4C93-A663-D250B6DAD577}"/>
            </c:ext>
          </c:extLst>
        </c:ser>
        <c:ser>
          <c:idx val="1"/>
          <c:order val="1"/>
          <c:tx>
            <c:strRef>
              <c:f>Thermostat!$C$65</c:f>
              <c:strCache>
                <c:ptCount val="1"/>
                <c:pt idx="0">
                  <c:v>CEC-Saturday</c:v>
                </c:pt>
              </c:strCache>
            </c:strRef>
          </c:tx>
          <c:spPr>
            <a:ln w="28575" cap="rnd">
              <a:solidFill>
                <a:schemeClr val="accent2"/>
              </a:solidFill>
              <a:round/>
            </a:ln>
            <a:effectLst/>
          </c:spPr>
          <c:marker>
            <c:symbol val="none"/>
          </c:marker>
          <c:val>
            <c:numRef>
              <c:f>Thermostat!$C$66:$C$89</c:f>
            </c:numRef>
          </c:val>
          <c:smooth val="0"/>
          <c:extLst xmlns:c15="http://schemas.microsoft.com/office/drawing/2012/chart">
            <c:ext xmlns:c16="http://schemas.microsoft.com/office/drawing/2014/chart" uri="{C3380CC4-5D6E-409C-BE32-E72D297353CC}">
              <c16:uniqueId val="{00000001-7581-4C93-A663-D250B6DAD577}"/>
            </c:ext>
          </c:extLst>
        </c:ser>
        <c:ser>
          <c:idx val="2"/>
          <c:order val="2"/>
          <c:tx>
            <c:strRef>
              <c:f>Thermostat!$D$65</c:f>
              <c:strCache>
                <c:ptCount val="1"/>
                <c:pt idx="0">
                  <c:v>CEC-Sunday</c:v>
                </c:pt>
              </c:strCache>
            </c:strRef>
          </c:tx>
          <c:spPr>
            <a:ln w="28575" cap="rnd">
              <a:solidFill>
                <a:schemeClr val="accent3"/>
              </a:solidFill>
              <a:round/>
            </a:ln>
            <a:effectLst/>
          </c:spPr>
          <c:marker>
            <c:symbol val="none"/>
          </c:marker>
          <c:val>
            <c:numRef>
              <c:f>Thermostat!$D$66:$D$89</c:f>
            </c:numRef>
          </c:val>
          <c:smooth val="0"/>
          <c:extLst xmlns:c15="http://schemas.microsoft.com/office/drawing/2012/chart">
            <c:ext xmlns:c16="http://schemas.microsoft.com/office/drawing/2014/chart" uri="{C3380CC4-5D6E-409C-BE32-E72D297353CC}">
              <c16:uniqueId val="{00000002-7581-4C93-A663-D250B6DAD577}"/>
            </c:ext>
          </c:extLst>
        </c:ser>
        <c:ser>
          <c:idx val="6"/>
          <c:order val="3"/>
          <c:tx>
            <c:strRef>
              <c:f>Thermostat!$E$65</c:f>
              <c:strCache>
                <c:ptCount val="1"/>
              </c:strCache>
            </c:strRef>
          </c:tx>
          <c:spPr>
            <a:ln w="28575" cap="rnd">
              <a:solidFill>
                <a:schemeClr val="accent1">
                  <a:lumMod val="60000"/>
                </a:schemeClr>
              </a:solidFill>
              <a:round/>
            </a:ln>
            <a:effectLst/>
          </c:spPr>
          <c:marker>
            <c:symbol val="none"/>
          </c:marker>
          <c:val>
            <c:numRef>
              <c:f>Thermostat!$E$66:$E$89</c:f>
            </c:numRef>
          </c:val>
          <c:smooth val="0"/>
          <c:extLst xmlns:c15="http://schemas.microsoft.com/office/drawing/2012/chart">
            <c:ext xmlns:c16="http://schemas.microsoft.com/office/drawing/2014/chart" uri="{C3380CC4-5D6E-409C-BE32-E72D297353CC}">
              <c16:uniqueId val="{00000004-7581-4C93-A663-D250B6DAD577}"/>
            </c:ext>
          </c:extLst>
        </c:ser>
        <c:ser>
          <c:idx val="8"/>
          <c:order val="4"/>
          <c:tx>
            <c:strRef>
              <c:f>Thermostat!$F$65</c:f>
              <c:strCache>
                <c:ptCount val="1"/>
                <c:pt idx="0">
                  <c:v>PNNL-Weekday</c:v>
                </c:pt>
              </c:strCache>
            </c:strRef>
          </c:tx>
          <c:spPr>
            <a:ln w="28575" cap="rnd">
              <a:solidFill>
                <a:schemeClr val="accent3">
                  <a:lumMod val="60000"/>
                </a:schemeClr>
              </a:solidFill>
              <a:round/>
            </a:ln>
            <a:effectLst/>
          </c:spPr>
          <c:marker>
            <c:symbol val="none"/>
          </c:marker>
          <c:val>
            <c:numRef>
              <c:f>Thermostat!$F$66:$F$89</c:f>
            </c:numRef>
          </c:val>
          <c:smooth val="0"/>
          <c:extLst>
            <c:ext xmlns:c16="http://schemas.microsoft.com/office/drawing/2014/chart" uri="{C3380CC4-5D6E-409C-BE32-E72D297353CC}">
              <c16:uniqueId val="{00000005-7581-4C93-A663-D250B6DAD577}"/>
            </c:ext>
          </c:extLst>
        </c:ser>
        <c:ser>
          <c:idx val="3"/>
          <c:order val="5"/>
          <c:tx>
            <c:strRef>
              <c:f>Thermostat!$G$65</c:f>
              <c:strCache>
                <c:ptCount val="1"/>
                <c:pt idx="0">
                  <c:v>PNNL-Saturday</c:v>
                </c:pt>
              </c:strCache>
            </c:strRef>
          </c:tx>
          <c:spPr>
            <a:ln w="28575" cap="rnd">
              <a:solidFill>
                <a:schemeClr val="accent4"/>
              </a:solidFill>
              <a:round/>
            </a:ln>
            <a:effectLst/>
          </c:spPr>
          <c:marker>
            <c:symbol val="none"/>
          </c:marker>
          <c:val>
            <c:numRef>
              <c:f>Thermostat!$G$66:$G$89</c:f>
            </c:numRef>
          </c:val>
          <c:smooth val="0"/>
          <c:extLst>
            <c:ext xmlns:c16="http://schemas.microsoft.com/office/drawing/2014/chart" uri="{C3380CC4-5D6E-409C-BE32-E72D297353CC}">
              <c16:uniqueId val="{00000000-6FDC-4528-896C-18E8DEC9F380}"/>
            </c:ext>
          </c:extLst>
        </c:ser>
        <c:ser>
          <c:idx val="4"/>
          <c:order val="6"/>
          <c:tx>
            <c:strRef>
              <c:f>Thermostat!$H$65</c:f>
              <c:strCache>
                <c:ptCount val="1"/>
                <c:pt idx="0">
                  <c:v>PNNL-Sunday</c:v>
                </c:pt>
              </c:strCache>
            </c:strRef>
          </c:tx>
          <c:spPr>
            <a:ln w="28575" cap="rnd">
              <a:solidFill>
                <a:schemeClr val="accent5"/>
              </a:solidFill>
              <a:round/>
            </a:ln>
            <a:effectLst/>
          </c:spPr>
          <c:marker>
            <c:symbol val="none"/>
          </c:marker>
          <c:val>
            <c:numRef>
              <c:f>Thermostat!$H$66:$H$89</c:f>
            </c:numRef>
          </c:val>
          <c:smooth val="0"/>
          <c:extLst>
            <c:ext xmlns:c16="http://schemas.microsoft.com/office/drawing/2014/chart" uri="{C3380CC4-5D6E-409C-BE32-E72D297353CC}">
              <c16:uniqueId val="{00000001-6FDC-4528-896C-18E8DEC9F380}"/>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min val="5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layout>
        <c:manualLayout>
          <c:xMode val="edge"/>
          <c:yMode val="edge"/>
          <c:x val="0.1209075481240149"/>
          <c:y val="0.81824773596225608"/>
          <c:w val="0.80723098903354418"/>
          <c:h val="0.13747448227806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Cooling</a:t>
            </a:r>
            <a:r>
              <a:rPr lang="en-US" sz="1100"/>
              <a:t> Setpoints schedule- Medium office</a:t>
            </a:r>
          </a:p>
        </c:rich>
      </c:tx>
      <c:layout>
        <c:manualLayout>
          <c:xMode val="edge"/>
          <c:yMode val="edge"/>
          <c:x val="0.2192523364485981"/>
          <c:y val="3.72453920639617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947457502391642E-2"/>
          <c:y val="0.17480595004191446"/>
          <c:w val="0.86978462972502268"/>
          <c:h val="0.51956598357348382"/>
        </c:manualLayout>
      </c:layout>
      <c:lineChart>
        <c:grouping val="standard"/>
        <c:varyColors val="0"/>
        <c:ser>
          <c:idx val="0"/>
          <c:order val="0"/>
          <c:tx>
            <c:strRef>
              <c:f>Thermostat!$K$65</c:f>
              <c:strCache>
                <c:ptCount val="1"/>
                <c:pt idx="0">
                  <c:v>CEC-Weekday</c:v>
                </c:pt>
              </c:strCache>
            </c:strRef>
          </c:tx>
          <c:spPr>
            <a:ln w="28575" cap="rnd">
              <a:solidFill>
                <a:schemeClr val="accent1"/>
              </a:solidFill>
              <a:round/>
            </a:ln>
            <a:effectLst/>
          </c:spPr>
          <c:marker>
            <c:symbol val="none"/>
          </c:marker>
          <c:cat>
            <c:multiLvlStrRef>
              <c:f>Thermostat!$A$66:$A$89</c:f>
            </c:multiLvlStrRef>
          </c:cat>
          <c:val>
            <c:numRef>
              <c:f>Thermostat!$K$66:$K$89</c:f>
            </c:numRef>
          </c:val>
          <c:smooth val="0"/>
          <c:extLst xmlns:c15="http://schemas.microsoft.com/office/drawing/2012/chart">
            <c:ext xmlns:c16="http://schemas.microsoft.com/office/drawing/2014/chart" uri="{C3380CC4-5D6E-409C-BE32-E72D297353CC}">
              <c16:uniqueId val="{00000000-8A02-4C5F-B436-4C17AE1B17D0}"/>
            </c:ext>
          </c:extLst>
        </c:ser>
        <c:ser>
          <c:idx val="1"/>
          <c:order val="1"/>
          <c:tx>
            <c:strRef>
              <c:f>Thermostat!$L$65</c:f>
              <c:strCache>
                <c:ptCount val="1"/>
                <c:pt idx="0">
                  <c:v>CEC-Saturday</c:v>
                </c:pt>
              </c:strCache>
            </c:strRef>
          </c:tx>
          <c:spPr>
            <a:ln w="28575" cap="rnd">
              <a:solidFill>
                <a:schemeClr val="accent2"/>
              </a:solidFill>
              <a:round/>
            </a:ln>
            <a:effectLst/>
          </c:spPr>
          <c:marker>
            <c:symbol val="none"/>
          </c:marker>
          <c:cat>
            <c:multiLvlStrRef>
              <c:f>Thermostat!$A$66:$A$89</c:f>
            </c:multiLvlStrRef>
          </c:cat>
          <c:val>
            <c:numRef>
              <c:f>Thermostat!$L$66:$L$89</c:f>
            </c:numRef>
          </c:val>
          <c:smooth val="0"/>
          <c:extLst xmlns:c15="http://schemas.microsoft.com/office/drawing/2012/chart">
            <c:ext xmlns:c16="http://schemas.microsoft.com/office/drawing/2014/chart" uri="{C3380CC4-5D6E-409C-BE32-E72D297353CC}">
              <c16:uniqueId val="{00000001-8A02-4C5F-B436-4C17AE1B17D0}"/>
            </c:ext>
          </c:extLst>
        </c:ser>
        <c:ser>
          <c:idx val="2"/>
          <c:order val="2"/>
          <c:tx>
            <c:strRef>
              <c:f>Thermostat!$M$65</c:f>
              <c:strCache>
                <c:ptCount val="1"/>
                <c:pt idx="0">
                  <c:v>CEC-Sunday</c:v>
                </c:pt>
              </c:strCache>
            </c:strRef>
          </c:tx>
          <c:spPr>
            <a:ln w="28575" cap="rnd">
              <a:solidFill>
                <a:schemeClr val="accent3"/>
              </a:solidFill>
              <a:round/>
            </a:ln>
            <a:effectLst/>
          </c:spPr>
          <c:marker>
            <c:symbol val="none"/>
          </c:marker>
          <c:cat>
            <c:multiLvlStrRef>
              <c:f>Thermostat!$A$66:$A$89</c:f>
            </c:multiLvlStrRef>
          </c:cat>
          <c:val>
            <c:numRef>
              <c:f>Thermostat!$M$66:$M$89</c:f>
            </c:numRef>
          </c:val>
          <c:smooth val="0"/>
          <c:extLst xmlns:c15="http://schemas.microsoft.com/office/drawing/2012/chart">
            <c:ext xmlns:c16="http://schemas.microsoft.com/office/drawing/2014/chart" uri="{C3380CC4-5D6E-409C-BE32-E72D297353CC}">
              <c16:uniqueId val="{00000002-8A02-4C5F-B436-4C17AE1B17D0}"/>
            </c:ext>
          </c:extLst>
        </c:ser>
        <c:ser>
          <c:idx val="8"/>
          <c:order val="3"/>
          <c:tx>
            <c:strRef>
              <c:f>Thermostat!$O$65</c:f>
              <c:strCache>
                <c:ptCount val="1"/>
                <c:pt idx="0">
                  <c:v>PNNL-Weekday</c:v>
                </c:pt>
              </c:strCache>
            </c:strRef>
          </c:tx>
          <c:spPr>
            <a:ln w="28575" cap="rnd">
              <a:solidFill>
                <a:schemeClr val="accent3">
                  <a:lumMod val="60000"/>
                </a:schemeClr>
              </a:solidFill>
              <a:round/>
            </a:ln>
            <a:effectLst/>
          </c:spPr>
          <c:marker>
            <c:symbol val="none"/>
          </c:marker>
          <c:cat>
            <c:multiLvlStrRef>
              <c:f>Thermostat!$A$66:$A$89</c:f>
            </c:multiLvlStrRef>
          </c:cat>
          <c:val>
            <c:numRef>
              <c:f>Thermostat!$O$66:$O$89</c:f>
            </c:numRef>
          </c:val>
          <c:smooth val="0"/>
          <c:extLst>
            <c:ext xmlns:c16="http://schemas.microsoft.com/office/drawing/2014/chart" uri="{C3380CC4-5D6E-409C-BE32-E72D297353CC}">
              <c16:uniqueId val="{00000004-8A02-4C5F-B436-4C17AE1B17D0}"/>
            </c:ext>
          </c:extLst>
        </c:ser>
        <c:ser>
          <c:idx val="3"/>
          <c:order val="4"/>
          <c:tx>
            <c:strRef>
              <c:f>Thermostat!$P$65</c:f>
              <c:strCache>
                <c:ptCount val="1"/>
                <c:pt idx="0">
                  <c:v>PNNL-Saturday</c:v>
                </c:pt>
              </c:strCache>
            </c:strRef>
          </c:tx>
          <c:spPr>
            <a:ln w="28575" cap="rnd">
              <a:solidFill>
                <a:schemeClr val="accent4"/>
              </a:solidFill>
              <a:round/>
            </a:ln>
            <a:effectLst/>
          </c:spPr>
          <c:marker>
            <c:symbol val="none"/>
          </c:marker>
          <c:cat>
            <c:multiLvlStrRef>
              <c:f>Thermostat!$A$66:$A$89</c:f>
            </c:multiLvlStrRef>
          </c:cat>
          <c:val>
            <c:numRef>
              <c:f>Thermostat!$P$66:$P$89</c:f>
            </c:numRef>
          </c:val>
          <c:smooth val="0"/>
          <c:extLst>
            <c:ext xmlns:c16="http://schemas.microsoft.com/office/drawing/2014/chart" uri="{C3380CC4-5D6E-409C-BE32-E72D297353CC}">
              <c16:uniqueId val="{00000005-8A02-4C5F-B436-4C17AE1B17D0}"/>
            </c:ext>
          </c:extLst>
        </c:ser>
        <c:ser>
          <c:idx val="4"/>
          <c:order val="5"/>
          <c:tx>
            <c:strRef>
              <c:f>Thermostat!$Q$65</c:f>
              <c:strCache>
                <c:ptCount val="1"/>
                <c:pt idx="0">
                  <c:v>PNNL-Sunday</c:v>
                </c:pt>
              </c:strCache>
            </c:strRef>
          </c:tx>
          <c:spPr>
            <a:ln w="28575" cap="rnd">
              <a:solidFill>
                <a:schemeClr val="accent5"/>
              </a:solidFill>
              <a:round/>
            </a:ln>
            <a:effectLst/>
          </c:spPr>
          <c:marker>
            <c:symbol val="none"/>
          </c:marker>
          <c:cat>
            <c:multiLvlStrRef>
              <c:f>Thermostat!$A$66:$A$89</c:f>
            </c:multiLvlStrRef>
          </c:cat>
          <c:val>
            <c:numRef>
              <c:f>Thermostat!$Q$66:$Q$89</c:f>
            </c:numRef>
          </c:val>
          <c:smooth val="0"/>
          <c:extLst>
            <c:ext xmlns:c16="http://schemas.microsoft.com/office/drawing/2014/chart" uri="{C3380CC4-5D6E-409C-BE32-E72D297353CC}">
              <c16:uniqueId val="{00000000-E30C-42EA-898C-E8A8321FBB6C}"/>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min val="7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layout>
        <c:manualLayout>
          <c:xMode val="edge"/>
          <c:yMode val="edge"/>
          <c:x val="0.12158804915740673"/>
          <c:y val="0.82090502298295909"/>
          <c:w val="0.75682390168518654"/>
          <c:h val="0.14016318800773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13288828026932"/>
          <c:y val="0.29075021872265966"/>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Capacity </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Schedules!$E$112</c:f>
              <c:strCache>
                <c:ptCount val="1"/>
                <c:pt idx="0">
                  <c:v>Weekday</c:v>
                </c:pt>
              </c:strCache>
            </c:strRef>
          </c:tx>
          <c:spPr>
            <a:ln w="28575" cap="rnd">
              <a:solidFill>
                <a:schemeClr val="accent1"/>
              </a:solidFill>
              <a:round/>
            </a:ln>
            <a:effectLst/>
          </c:spPr>
          <c:marker>
            <c:symbol val="none"/>
          </c:marker>
          <c:val>
            <c:numRef>
              <c:f>Schedules!$F$112:$AC$112</c:f>
            </c:numRef>
          </c:val>
          <c:smooth val="0"/>
          <c:extLst>
            <c:ext xmlns:c16="http://schemas.microsoft.com/office/drawing/2014/chart" uri="{C3380CC4-5D6E-409C-BE32-E72D297353CC}">
              <c16:uniqueId val="{00000000-8C2E-4FDC-8DAB-7FCF7BC63644}"/>
            </c:ext>
          </c:extLst>
        </c:ser>
        <c:ser>
          <c:idx val="1"/>
          <c:order val="1"/>
          <c:tx>
            <c:strRef>
              <c:f>Schedules!$E$113</c:f>
              <c:strCache>
                <c:ptCount val="1"/>
                <c:pt idx="0">
                  <c:v>Saturday</c:v>
                </c:pt>
              </c:strCache>
            </c:strRef>
          </c:tx>
          <c:spPr>
            <a:ln w="28575" cap="rnd">
              <a:solidFill>
                <a:schemeClr val="accent2"/>
              </a:solidFill>
              <a:round/>
            </a:ln>
            <a:effectLst/>
          </c:spPr>
          <c:marker>
            <c:symbol val="none"/>
          </c:marker>
          <c:val>
            <c:numRef>
              <c:f>Schedules!$F$113:$AC$113</c:f>
            </c:numRef>
          </c:val>
          <c:smooth val="0"/>
          <c:extLst>
            <c:ext xmlns:c16="http://schemas.microsoft.com/office/drawing/2014/chart" uri="{C3380CC4-5D6E-409C-BE32-E72D297353CC}">
              <c16:uniqueId val="{00000001-8C2E-4FDC-8DAB-7FCF7BC6364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Schedules!$E$115</c:f>
              <c:strCache>
                <c:ptCount val="1"/>
                <c:pt idx="0">
                  <c:v>Weekday</c:v>
                </c:pt>
              </c:strCache>
            </c:strRef>
          </c:tx>
          <c:spPr>
            <a:ln w="28575" cap="rnd">
              <a:solidFill>
                <a:schemeClr val="accent1"/>
              </a:solidFill>
              <a:round/>
            </a:ln>
            <a:effectLst/>
          </c:spPr>
          <c:marker>
            <c:symbol val="none"/>
          </c:marker>
          <c:val>
            <c:numRef>
              <c:f>Schedules!$F$115:$AC$115</c:f>
            </c:numRef>
          </c:val>
          <c:smooth val="0"/>
          <c:extLst>
            <c:ext xmlns:c16="http://schemas.microsoft.com/office/drawing/2014/chart" uri="{C3380CC4-5D6E-409C-BE32-E72D297353CC}">
              <c16:uniqueId val="{00000000-08C4-4E32-A5AC-4CF15D51F2DA}"/>
            </c:ext>
          </c:extLst>
        </c:ser>
        <c:ser>
          <c:idx val="1"/>
          <c:order val="1"/>
          <c:tx>
            <c:strRef>
              <c:f>Schedules!$E$116</c:f>
              <c:strCache>
                <c:ptCount val="1"/>
                <c:pt idx="0">
                  <c:v>Saturday</c:v>
                </c:pt>
              </c:strCache>
            </c:strRef>
          </c:tx>
          <c:spPr>
            <a:ln w="28575" cap="rnd">
              <a:solidFill>
                <a:schemeClr val="accent2"/>
              </a:solidFill>
              <a:round/>
            </a:ln>
            <a:effectLst/>
          </c:spPr>
          <c:marker>
            <c:symbol val="none"/>
          </c:marker>
          <c:val>
            <c:numRef>
              <c:f>Schedules!$F$116:$AC$116</c:f>
            </c:numRef>
          </c:val>
          <c:smooth val="0"/>
          <c:extLst>
            <c:ext xmlns:c16="http://schemas.microsoft.com/office/drawing/2014/chart" uri="{C3380CC4-5D6E-409C-BE32-E72D297353CC}">
              <c16:uniqueId val="{00000001-08C4-4E32-A5AC-4CF15D51F2DA}"/>
            </c:ext>
          </c:extLst>
        </c:ser>
        <c:ser>
          <c:idx val="2"/>
          <c:order val="2"/>
          <c:tx>
            <c:strRef>
              <c:f>Schedules!$E$117</c:f>
              <c:strCache>
                <c:ptCount val="1"/>
                <c:pt idx="0">
                  <c:v>Otherday</c:v>
                </c:pt>
              </c:strCache>
            </c:strRef>
          </c:tx>
          <c:spPr>
            <a:ln w="28575" cap="rnd">
              <a:solidFill>
                <a:schemeClr val="accent3"/>
              </a:solidFill>
              <a:round/>
            </a:ln>
            <a:effectLst/>
          </c:spPr>
          <c:marker>
            <c:symbol val="none"/>
          </c:marker>
          <c:val>
            <c:numRef>
              <c:f>Schedules!$F$117:$AC$117</c:f>
            </c:numRef>
          </c:val>
          <c:smooth val="0"/>
          <c:extLst>
            <c:ext xmlns:c16="http://schemas.microsoft.com/office/drawing/2014/chart" uri="{C3380CC4-5D6E-409C-BE32-E72D297353CC}">
              <c16:uniqueId val="{00000002-08C4-4E32-A5AC-4CF15D51F2DA}"/>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Schedules!$F$13:$AD$13</c:f>
              <c:numCache>
                <c:formatCode>0.00</c:formatCode>
                <c:ptCount val="25"/>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E654-4477-959C-B56EC14C30E8}"/>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Schedules!$F$14:$AD$14</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654-4477-959C-B56EC14C30E8}"/>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Schedules!$F$15:$AD$15</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654-4477-959C-B56EC14C30E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E3D7-4EF7-813F-757439F528B9}"/>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E3D7-4EF7-813F-757439F528B9}"/>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E3D7-4EF7-813F-757439F528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058-4D71-ACA4-B3122FDFF171}"/>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B058-4D71-ACA4-B3122FDFF171}"/>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B058-4D71-ACA4-B3122FDFF17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7372894461716013"/>
          <c:y val="3.6261079321075841E-2"/>
          <c:w val="0.22325410797773537"/>
          <c:h val="0.48101414406532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13288828026932"/>
          <c:y val="0.29075021872265966"/>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AAAD-423E-83B9-F50157483995}"/>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AAAD-423E-83B9-F50157483995}"/>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AAAD-423E-83B9-F5015748399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Schedules!$F$13:$AD$13</c:f>
              <c:numCache>
                <c:formatCode>0.00</c:formatCode>
                <c:ptCount val="25"/>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9B90-4E7D-AB13-FB0F7656AD93}"/>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Schedules!$F$14:$AD$14</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9B90-4E7D-AB13-FB0F7656AD93}"/>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Schedules!$F$15:$AD$15</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9B90-4E7D-AB13-FB0F7656AD9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6051-4944-A08D-3F53E32C91EC}"/>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6051-4944-A08D-3F53E32C91EC}"/>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6051-4944-A08D-3F53E32C91E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870-405A-B2A0-097CE9A81C26}"/>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B870-405A-B2A0-097CE9A81C26}"/>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B870-405A-B2A0-097CE9A81C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7372894461716013"/>
          <c:y val="3.6261079321075841E-2"/>
          <c:w val="0.22325410797773537"/>
          <c:h val="0.48101414406532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EB9A-496D-8BA5-7DEAE68F96E4}"/>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B9A-496D-8BA5-7DEAE68F96E4}"/>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B9A-496D-8BA5-7DEAE68F96E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c:formatCode>
                <c:ptCount val="24"/>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numCache>
            </c:numRef>
          </c:val>
          <c:smooth val="0"/>
          <c:extLst>
            <c:ext xmlns:c16="http://schemas.microsoft.com/office/drawing/2014/chart" uri="{C3380CC4-5D6E-409C-BE32-E72D297353CC}">
              <c16:uniqueId val="{00000000-6FAD-4676-87A3-6A3C8F4F0045}"/>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c:formatCode>
                <c:ptCount val="24"/>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numCache>
            </c:numRef>
          </c:val>
          <c:smooth val="0"/>
          <c:extLst>
            <c:ext xmlns:c16="http://schemas.microsoft.com/office/drawing/2014/chart" uri="{C3380CC4-5D6E-409C-BE32-E72D297353CC}">
              <c16:uniqueId val="{00000001-6FAD-4676-87A3-6A3C8F4F0045}"/>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c:formatCode>
                <c:ptCount val="24"/>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numCache>
            </c:numRef>
          </c:val>
          <c:smooth val="0"/>
          <c:extLst>
            <c:ext xmlns:c16="http://schemas.microsoft.com/office/drawing/2014/chart" uri="{C3380CC4-5D6E-409C-BE32-E72D297353CC}">
              <c16:uniqueId val="{00000002-6FAD-4676-87A3-6A3C8F4F004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31F3-4996-8367-36CB726EFC88}"/>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31F3-4996-8367-36CB726EFC88}"/>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31F3-4996-8367-36CB726EFC8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0</c:v>
                </c:pt>
                <c:pt idx="1">
                  <c:v>0</c:v>
                </c:pt>
                <c:pt idx="2">
                  <c:v>0</c:v>
                </c:pt>
                <c:pt idx="3">
                  <c:v>0</c:v>
                </c:pt>
                <c:pt idx="4">
                  <c:v>0</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numCache>
            </c:numRef>
          </c:val>
          <c:smooth val="0"/>
          <c:extLst>
            <c:ext xmlns:c16="http://schemas.microsoft.com/office/drawing/2014/chart" uri="{C3380CC4-5D6E-409C-BE32-E72D297353CC}">
              <c16:uniqueId val="{00000000-9F2A-4710-87D8-2C5E35C863F7}"/>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9F2A-4710-87D8-2C5E35C863F7}"/>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9F2A-4710-87D8-2C5E35C863F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v>National Average</c:v>
          </c:tx>
          <c:spPr>
            <a:ln w="28575" cap="rnd">
              <a:solidFill>
                <a:srgbClr val="203764"/>
              </a:solidFill>
              <a:prstDash val="solid"/>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Usage'!$I$3:$I$18</c:f>
              <c:numCache>
                <c:formatCode>0.0</c:formatCode>
                <c:ptCount val="16"/>
                <c:pt idx="0">
                  <c:v>71.5</c:v>
                </c:pt>
                <c:pt idx="1">
                  <c:v>77.3</c:v>
                </c:pt>
                <c:pt idx="2">
                  <c:v>74</c:v>
                </c:pt>
                <c:pt idx="3">
                  <c:v>79.5</c:v>
                </c:pt>
                <c:pt idx="4">
                  <c:v>71.400000000000006</c:v>
                </c:pt>
                <c:pt idx="5">
                  <c:v>80.8</c:v>
                </c:pt>
                <c:pt idx="6">
                  <c:v>76.7</c:v>
                </c:pt>
                <c:pt idx="7">
                  <c:v>77.599999999999994</c:v>
                </c:pt>
                <c:pt idx="8">
                  <c:v>77.7</c:v>
                </c:pt>
                <c:pt idx="9">
                  <c:v>78.099999999999994</c:v>
                </c:pt>
                <c:pt idx="10">
                  <c:v>80.3</c:v>
                </c:pt>
                <c:pt idx="11">
                  <c:v>79.599999999999994</c:v>
                </c:pt>
                <c:pt idx="12">
                  <c:v>80</c:v>
                </c:pt>
                <c:pt idx="13">
                  <c:v>80.8</c:v>
                </c:pt>
                <c:pt idx="14">
                  <c:v>79.5</c:v>
                </c:pt>
                <c:pt idx="15">
                  <c:v>82.3</c:v>
                </c:pt>
              </c:numCache>
            </c:numRef>
          </c:val>
          <c:smooth val="0"/>
          <c:extLst>
            <c:ext xmlns:c16="http://schemas.microsoft.com/office/drawing/2014/chart" uri="{C3380CC4-5D6E-409C-BE32-E72D297353CC}">
              <c16:uniqueId val="{00000000-9306-4626-9728-574B970757C1}"/>
            </c:ext>
          </c:extLst>
        </c:ser>
        <c:ser>
          <c:idx val="0"/>
          <c:order val="1"/>
          <c:tx>
            <c:v>National Average - Higher</c:v>
          </c:tx>
          <c:spPr>
            <a:ln w="28575" cap="rnd">
              <a:solidFill>
                <a:schemeClr val="accent1"/>
              </a:solidFill>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Usage'!$J$3:$J$18</c:f>
              <c:numCache>
                <c:formatCode>0.0</c:formatCode>
                <c:ptCount val="16"/>
                <c:pt idx="0">
                  <c:v>89.375</c:v>
                </c:pt>
                <c:pt idx="1">
                  <c:v>96.625</c:v>
                </c:pt>
                <c:pt idx="2">
                  <c:v>92.5</c:v>
                </c:pt>
                <c:pt idx="3">
                  <c:v>99.375</c:v>
                </c:pt>
                <c:pt idx="4">
                  <c:v>89.25</c:v>
                </c:pt>
                <c:pt idx="5">
                  <c:v>101</c:v>
                </c:pt>
                <c:pt idx="6">
                  <c:v>95.875</c:v>
                </c:pt>
                <c:pt idx="7">
                  <c:v>97</c:v>
                </c:pt>
                <c:pt idx="8">
                  <c:v>97.125</c:v>
                </c:pt>
                <c:pt idx="9">
                  <c:v>97.625</c:v>
                </c:pt>
                <c:pt idx="10">
                  <c:v>100.375</c:v>
                </c:pt>
                <c:pt idx="11">
                  <c:v>99.5</c:v>
                </c:pt>
                <c:pt idx="12">
                  <c:v>100</c:v>
                </c:pt>
                <c:pt idx="13">
                  <c:v>101</c:v>
                </c:pt>
                <c:pt idx="14">
                  <c:v>99.375</c:v>
                </c:pt>
                <c:pt idx="15">
                  <c:v>102.875</c:v>
                </c:pt>
              </c:numCache>
            </c:numRef>
          </c:val>
          <c:smooth val="0"/>
          <c:extLst>
            <c:ext xmlns:c16="http://schemas.microsoft.com/office/drawing/2014/chart" uri="{C3380CC4-5D6E-409C-BE32-E72D297353CC}">
              <c16:uniqueId val="{00000001-9306-4626-9728-574B970757C1}"/>
            </c:ext>
          </c:extLst>
        </c:ser>
        <c:ser>
          <c:idx val="4"/>
          <c:order val="2"/>
          <c:tx>
            <c:v>National Average - Lower</c:v>
          </c:tx>
          <c:spPr>
            <a:ln w="28575" cap="rnd">
              <a:solidFill>
                <a:srgbClr val="B4C6E7"/>
              </a:solidFill>
              <a:prstDash val="solid"/>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Usage'!$K$3:$K$18</c:f>
              <c:numCache>
                <c:formatCode>0.00</c:formatCode>
                <c:ptCount val="16"/>
                <c:pt idx="0">
                  <c:v>53.625</c:v>
                </c:pt>
                <c:pt idx="1">
                  <c:v>57.974999999999994</c:v>
                </c:pt>
                <c:pt idx="2" formatCode="General">
                  <c:v>55.5</c:v>
                </c:pt>
                <c:pt idx="3" formatCode="General">
                  <c:v>59.625</c:v>
                </c:pt>
                <c:pt idx="4" formatCode="General">
                  <c:v>53.550000000000004</c:v>
                </c:pt>
                <c:pt idx="5" formatCode="General">
                  <c:v>60.599999999999994</c:v>
                </c:pt>
                <c:pt idx="6" formatCode="General">
                  <c:v>57.525000000000006</c:v>
                </c:pt>
                <c:pt idx="7" formatCode="General">
                  <c:v>58.199999999999996</c:v>
                </c:pt>
                <c:pt idx="8" formatCode="General">
                  <c:v>58.275000000000006</c:v>
                </c:pt>
                <c:pt idx="9" formatCode="General">
                  <c:v>58.574999999999996</c:v>
                </c:pt>
                <c:pt idx="10" formatCode="General">
                  <c:v>60.224999999999994</c:v>
                </c:pt>
                <c:pt idx="11" formatCode="General">
                  <c:v>59.699999999999996</c:v>
                </c:pt>
                <c:pt idx="12" formatCode="General">
                  <c:v>60</c:v>
                </c:pt>
                <c:pt idx="13" formatCode="General">
                  <c:v>60.599999999999994</c:v>
                </c:pt>
                <c:pt idx="14" formatCode="General">
                  <c:v>59.625</c:v>
                </c:pt>
                <c:pt idx="15" formatCode="General">
                  <c:v>61.724999999999994</c:v>
                </c:pt>
              </c:numCache>
            </c:numRef>
          </c:val>
          <c:smooth val="0"/>
          <c:extLst>
            <c:ext xmlns:c16="http://schemas.microsoft.com/office/drawing/2014/chart" uri="{C3380CC4-5D6E-409C-BE32-E72D297353CC}">
              <c16:uniqueId val="{00000004-9306-4626-9728-574B970757C1}"/>
            </c:ext>
          </c:extLst>
        </c:ser>
        <c:ser>
          <c:idx val="2"/>
          <c:order val="3"/>
          <c:tx>
            <c:v>CalBEM Total EUI</c:v>
          </c:tx>
          <c:spPr>
            <a:ln w="28575" cap="rnd">
              <a:solidFill>
                <a:schemeClr val="accent3"/>
              </a:solidFill>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Usage'!$E$3:$E$18</c:f>
              <c:numCache>
                <c:formatCode>General</c:formatCode>
                <c:ptCount val="16"/>
              </c:numCache>
            </c:numRef>
          </c:val>
          <c:smooth val="0"/>
          <c:extLst>
            <c:ext xmlns:c16="http://schemas.microsoft.com/office/drawing/2014/chart" uri="{C3380CC4-5D6E-409C-BE32-E72D297353CC}">
              <c16:uniqueId val="{00000002-9306-4626-9728-574B970757C1}"/>
            </c:ext>
          </c:extLst>
        </c:ser>
        <c:ser>
          <c:idx val="3"/>
          <c:order val="4"/>
          <c:tx>
            <c:v>New Construction Total EUI</c:v>
          </c:tx>
          <c:spPr>
            <a:ln w="28575" cap="rnd">
              <a:solidFill>
                <a:schemeClr val="accent4"/>
              </a:solidFill>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Usage'!$H$3:$H$18</c:f>
              <c:numCache>
                <c:formatCode>General</c:formatCode>
                <c:ptCount val="16"/>
              </c:numCache>
            </c:numRef>
          </c:val>
          <c:smooth val="0"/>
          <c:extLst>
            <c:ext xmlns:c16="http://schemas.microsoft.com/office/drawing/2014/chart" uri="{C3380CC4-5D6E-409C-BE32-E72D297353CC}">
              <c16:uniqueId val="{00000003-9306-4626-9728-574B970757C1}"/>
            </c:ext>
          </c:extLst>
        </c:ser>
        <c:dLbls>
          <c:showLegendKey val="0"/>
          <c:showVal val="0"/>
          <c:showCatName val="0"/>
          <c:showSerName val="0"/>
          <c:showPercent val="0"/>
          <c:showBubbleSize val="0"/>
        </c:dLbls>
        <c:smooth val="0"/>
        <c:axId val="871838728"/>
        <c:axId val="871840776"/>
      </c:lineChart>
      <c:catAx>
        <c:axId val="871838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40776"/>
        <c:crosses val="autoZero"/>
        <c:auto val="1"/>
        <c:lblAlgn val="ctr"/>
        <c:lblOffset val="100"/>
        <c:noMultiLvlLbl val="0"/>
      </c:catAx>
      <c:valAx>
        <c:axId val="871840776"/>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38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Large Office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w="25400">
              <a:noFill/>
            </a:ln>
            <a:effectLst/>
          </c:spPr>
          <c:invertIfNegative val="0"/>
          <c:val>
            <c:numRef>
              <c:f>'Energy Usage'!$K$3:$K$18</c:f>
              <c:numCache>
                <c:formatCode>0.00</c:formatCode>
                <c:ptCount val="16"/>
                <c:pt idx="0">
                  <c:v>53.625</c:v>
                </c:pt>
                <c:pt idx="1">
                  <c:v>57.974999999999994</c:v>
                </c:pt>
                <c:pt idx="2" formatCode="General">
                  <c:v>55.5</c:v>
                </c:pt>
                <c:pt idx="3" formatCode="General">
                  <c:v>59.625</c:v>
                </c:pt>
                <c:pt idx="4" formatCode="General">
                  <c:v>53.550000000000004</c:v>
                </c:pt>
                <c:pt idx="5" formatCode="General">
                  <c:v>60.599999999999994</c:v>
                </c:pt>
                <c:pt idx="6" formatCode="General">
                  <c:v>57.525000000000006</c:v>
                </c:pt>
                <c:pt idx="7" formatCode="General">
                  <c:v>58.199999999999996</c:v>
                </c:pt>
                <c:pt idx="8" formatCode="General">
                  <c:v>58.275000000000006</c:v>
                </c:pt>
                <c:pt idx="9" formatCode="General">
                  <c:v>58.574999999999996</c:v>
                </c:pt>
                <c:pt idx="10" formatCode="General">
                  <c:v>60.224999999999994</c:v>
                </c:pt>
                <c:pt idx="11" formatCode="General">
                  <c:v>59.699999999999996</c:v>
                </c:pt>
                <c:pt idx="12" formatCode="General">
                  <c:v>60</c:v>
                </c:pt>
                <c:pt idx="13" formatCode="General">
                  <c:v>60.599999999999994</c:v>
                </c:pt>
                <c:pt idx="14" formatCode="General">
                  <c:v>59.625</c:v>
                </c:pt>
                <c:pt idx="15" formatCode="General">
                  <c:v>61.724999999999994</c:v>
                </c:pt>
              </c:numCache>
            </c:numRef>
          </c:val>
          <c:extLst>
            <c:ext xmlns:c16="http://schemas.microsoft.com/office/drawing/2014/chart" uri="{C3380CC4-5D6E-409C-BE32-E72D297353CC}">
              <c16:uniqueId val="{00000000-F11B-4C1B-9BBB-3F02D3C5EB6E}"/>
            </c:ext>
          </c:extLst>
        </c:ser>
        <c:ser>
          <c:idx val="2"/>
          <c:order val="1"/>
          <c:tx>
            <c:strRef>
              <c:f>'Energy Usage'!$L$2</c:f>
              <c:strCache>
                <c:ptCount val="1"/>
                <c:pt idx="0">
                  <c:v>National Average Acceptable Range</c:v>
                </c:pt>
              </c:strCache>
            </c:strRef>
          </c:tx>
          <c:spPr>
            <a:solidFill>
              <a:srgbClr val="CCCCFF"/>
            </a:solidFill>
            <a:ln>
              <a:solidFill>
                <a:srgbClr val="CCCCFF"/>
              </a:solidFill>
              <a:prstDash val="solid"/>
            </a:ln>
            <a:effectLst/>
          </c:spPr>
          <c:invertIfNegative val="0"/>
          <c:val>
            <c:numRef>
              <c:f>'Energy Usage'!$L$3:$L$18</c:f>
              <c:numCache>
                <c:formatCode>0.00</c:formatCode>
                <c:ptCount val="16"/>
                <c:pt idx="0">
                  <c:v>35.75</c:v>
                </c:pt>
                <c:pt idx="1">
                  <c:v>38.650000000000006</c:v>
                </c:pt>
                <c:pt idx="2">
                  <c:v>37</c:v>
                </c:pt>
                <c:pt idx="3">
                  <c:v>39.75</c:v>
                </c:pt>
                <c:pt idx="4">
                  <c:v>35.699999999999996</c:v>
                </c:pt>
                <c:pt idx="5">
                  <c:v>40.400000000000006</c:v>
                </c:pt>
                <c:pt idx="6">
                  <c:v>38.349999999999994</c:v>
                </c:pt>
                <c:pt idx="7">
                  <c:v>38.800000000000004</c:v>
                </c:pt>
                <c:pt idx="8">
                  <c:v>38.849999999999994</c:v>
                </c:pt>
                <c:pt idx="9">
                  <c:v>39.050000000000004</c:v>
                </c:pt>
                <c:pt idx="10">
                  <c:v>40.150000000000006</c:v>
                </c:pt>
                <c:pt idx="11">
                  <c:v>39.800000000000004</c:v>
                </c:pt>
                <c:pt idx="12">
                  <c:v>40</c:v>
                </c:pt>
                <c:pt idx="13">
                  <c:v>40.400000000000006</c:v>
                </c:pt>
                <c:pt idx="14">
                  <c:v>39.75</c:v>
                </c:pt>
                <c:pt idx="15">
                  <c:v>41.150000000000006</c:v>
                </c:pt>
              </c:numCache>
            </c:numRef>
          </c:val>
          <c:extLst>
            <c:ext xmlns:c16="http://schemas.microsoft.com/office/drawing/2014/chart" uri="{C3380CC4-5D6E-409C-BE32-E72D297353CC}">
              <c16:uniqueId val="{00000001-F11B-4C1B-9BBB-3F02D3C5EB6E}"/>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F11B-4C1B-9BBB-3F02D3C5EB6E}"/>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11B-4C1B-9BBB-3F02D3C5EB6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10"/>
          <c:min val="4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Large Office CalBEM Prototype vs. CEUS</a:t>
            </a:r>
            <a:r>
              <a:rPr lang="en-US" baseline="0"/>
              <a:t> 2022</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a:noFill/>
            </a:ln>
            <a:effectLst/>
          </c:spPr>
          <c:invertIfNegative val="0"/>
          <c:val>
            <c:numRef>
              <c:f>'Energy Usage'!$U$3:$U$18</c:f>
              <c:numCache>
                <c:formatCode>0.00</c:formatCode>
                <c:ptCount val="16"/>
                <c:pt idx="0">
                  <c:v>55.555890000000005</c:v>
                </c:pt>
                <c:pt idx="1">
                  <c:v>54.864959999999996</c:v>
                </c:pt>
                <c:pt idx="2">
                  <c:v>48.953670000000002</c:v>
                </c:pt>
                <c:pt idx="3">
                  <c:v>49.030439999999999</c:v>
                </c:pt>
                <c:pt idx="4">
                  <c:v>45.857280000000003</c:v>
                </c:pt>
                <c:pt idx="5">
                  <c:v>40.381019999999999</c:v>
                </c:pt>
                <c:pt idx="6">
                  <c:v>61.82544</c:v>
                </c:pt>
                <c:pt idx="7">
                  <c:v>37.463760000000001</c:v>
                </c:pt>
                <c:pt idx="8">
                  <c:v>39.101520000000008</c:v>
                </c:pt>
                <c:pt idx="9">
                  <c:v>48.902489999999993</c:v>
                </c:pt>
                <c:pt idx="10">
                  <c:v>40.150710000000004</c:v>
                </c:pt>
                <c:pt idx="11">
                  <c:v>52.510680000000001</c:v>
                </c:pt>
                <c:pt idx="12">
                  <c:v>50.181989999999999</c:v>
                </c:pt>
                <c:pt idx="13">
                  <c:v>36.337800000000001</c:v>
                </c:pt>
                <c:pt idx="14">
                  <c:v>37.975560000000002</c:v>
                </c:pt>
                <c:pt idx="15">
                  <c:v>40.995179999999998</c:v>
                </c:pt>
              </c:numCache>
            </c:numRef>
          </c:val>
          <c:extLst>
            <c:ext xmlns:c16="http://schemas.microsoft.com/office/drawing/2014/chart" uri="{C3380CC4-5D6E-409C-BE32-E72D297353CC}">
              <c16:uniqueId val="{00000000-51FD-428C-B4E5-3D8C9450C48D}"/>
            </c:ext>
          </c:extLst>
        </c:ser>
        <c:ser>
          <c:idx val="2"/>
          <c:order val="1"/>
          <c:tx>
            <c:strRef>
              <c:f>'Energy Usage'!$V$2</c:f>
              <c:strCache>
                <c:ptCount val="1"/>
                <c:pt idx="0">
                  <c:v>CEUS 2022 Acceptable Range</c:v>
                </c:pt>
              </c:strCache>
            </c:strRef>
          </c:tx>
          <c:spPr>
            <a:solidFill>
              <a:srgbClr val="FFE699"/>
            </a:solidFill>
            <a:ln>
              <a:solidFill>
                <a:srgbClr val="FFE699"/>
              </a:solidFill>
              <a:prstDash val="solid"/>
            </a:ln>
            <a:effectLst/>
          </c:spPr>
          <c:invertIfNegative val="0"/>
          <c:val>
            <c:numRef>
              <c:f>'Energy Usage'!$V$3:$V$18</c:f>
              <c:numCache>
                <c:formatCode>0.00</c:formatCode>
                <c:ptCount val="16"/>
                <c:pt idx="0">
                  <c:v>37.037260000000003</c:v>
                </c:pt>
                <c:pt idx="1">
                  <c:v>36.576639999999998</c:v>
                </c:pt>
                <c:pt idx="2">
                  <c:v>32.635780000000011</c:v>
                </c:pt>
                <c:pt idx="3">
                  <c:v>32.686959999999999</c:v>
                </c:pt>
                <c:pt idx="4">
                  <c:v>30.571520000000007</c:v>
                </c:pt>
                <c:pt idx="5">
                  <c:v>26.920679999999997</c:v>
                </c:pt>
                <c:pt idx="6">
                  <c:v>41.21696</c:v>
                </c:pt>
                <c:pt idx="7">
                  <c:v>24.975840000000005</c:v>
                </c:pt>
                <c:pt idx="8">
                  <c:v>26.067679999999996</c:v>
                </c:pt>
                <c:pt idx="9">
                  <c:v>32.601659999999988</c:v>
                </c:pt>
                <c:pt idx="10">
                  <c:v>26.767139999999998</c:v>
                </c:pt>
                <c:pt idx="11">
                  <c:v>35.007119999999993</c:v>
                </c:pt>
                <c:pt idx="12">
                  <c:v>33.45465999999999</c:v>
                </c:pt>
                <c:pt idx="13">
                  <c:v>24.225200000000001</c:v>
                </c:pt>
                <c:pt idx="14">
                  <c:v>25.317039999999992</c:v>
                </c:pt>
                <c:pt idx="15">
                  <c:v>27.330120000000001</c:v>
                </c:pt>
              </c:numCache>
            </c:numRef>
          </c:val>
          <c:extLst>
            <c:ext xmlns:c16="http://schemas.microsoft.com/office/drawing/2014/chart" uri="{C3380CC4-5D6E-409C-BE32-E72D297353CC}">
              <c16:uniqueId val="{00000001-51FD-428C-B4E5-3D8C9450C48D}"/>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51FD-428C-B4E5-3D8C9450C48D}"/>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51FD-428C-B4E5-3D8C9450C48D}"/>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10"/>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885825</xdr:colOff>
      <xdr:row>32</xdr:row>
      <xdr:rowOff>47625</xdr:rowOff>
    </xdr:from>
    <xdr:to>
      <xdr:col>4</xdr:col>
      <xdr:colOff>663512</xdr:colOff>
      <xdr:row>42</xdr:row>
      <xdr:rowOff>136735</xdr:rowOff>
    </xdr:to>
    <xdr:pic>
      <xdr:nvPicPr>
        <xdr:cNvPr id="3" name="Picture 2">
          <a:extLst>
            <a:ext uri="{FF2B5EF4-FFF2-40B4-BE49-F238E27FC236}">
              <a16:creationId xmlns:a16="http://schemas.microsoft.com/office/drawing/2014/main" id="{B19B08FF-C98D-AD34-B6A6-9159E65AC2D9}"/>
            </a:ext>
          </a:extLst>
        </xdr:cNvPr>
        <xdr:cNvPicPr>
          <a:picLocks noChangeAspect="1"/>
        </xdr:cNvPicPr>
      </xdr:nvPicPr>
      <xdr:blipFill>
        <a:blip xmlns:r="http://schemas.openxmlformats.org/officeDocument/2006/relationships" r:embed="rId1"/>
        <a:stretch>
          <a:fillRect/>
        </a:stretch>
      </xdr:blipFill>
      <xdr:spPr>
        <a:xfrm>
          <a:off x="885825" y="6734175"/>
          <a:ext cx="7715822" cy="1799800"/>
        </a:xfrm>
        <a:prstGeom prst="rect">
          <a:avLst/>
        </a:prstGeom>
      </xdr:spPr>
    </xdr:pic>
    <xdr:clientData/>
  </xdr:twoCellAnchor>
  <xdr:twoCellAnchor editAs="oneCell">
    <xdr:from>
      <xdr:col>1</xdr:col>
      <xdr:colOff>0</xdr:colOff>
      <xdr:row>62</xdr:row>
      <xdr:rowOff>7620</xdr:rowOff>
    </xdr:from>
    <xdr:to>
      <xdr:col>4</xdr:col>
      <xdr:colOff>630747</xdr:colOff>
      <xdr:row>74</xdr:row>
      <xdr:rowOff>133350</xdr:rowOff>
    </xdr:to>
    <xdr:pic>
      <xdr:nvPicPr>
        <xdr:cNvPr id="8" name="Picture 7">
          <a:extLst>
            <a:ext uri="{FF2B5EF4-FFF2-40B4-BE49-F238E27FC236}">
              <a16:creationId xmlns:a16="http://schemas.microsoft.com/office/drawing/2014/main" id="{62D63AF8-E097-0A32-C7B9-D3225DF9F5A9}"/>
            </a:ext>
          </a:extLst>
        </xdr:cNvPr>
        <xdr:cNvPicPr>
          <a:picLocks noChangeAspect="1"/>
        </xdr:cNvPicPr>
      </xdr:nvPicPr>
      <xdr:blipFill>
        <a:blip xmlns:r="http://schemas.openxmlformats.org/officeDocument/2006/relationships" r:embed="rId2"/>
        <a:stretch>
          <a:fillRect/>
        </a:stretch>
      </xdr:blipFill>
      <xdr:spPr>
        <a:xfrm>
          <a:off x="1009650" y="14314170"/>
          <a:ext cx="7564947" cy="2171700"/>
        </a:xfrm>
        <a:prstGeom prst="rect">
          <a:avLst/>
        </a:prstGeom>
        <a:ln w="6350">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xdr:col>
      <xdr:colOff>614</xdr:colOff>
      <xdr:row>7</xdr:row>
      <xdr:rowOff>191590</xdr:rowOff>
    </xdr:to>
    <xdr:pic>
      <xdr:nvPicPr>
        <xdr:cNvPr id="2" name="Picture 1" descr="Screen Clipping">
          <a:extLst>
            <a:ext uri="{FF2B5EF4-FFF2-40B4-BE49-F238E27FC236}">
              <a16:creationId xmlns:a16="http://schemas.microsoft.com/office/drawing/2014/main" id="{92496945-B017-459A-8549-AEF9CE8CFA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0" y="1577340"/>
          <a:ext cx="614" cy="191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594361</xdr:colOff>
      <xdr:row>7</xdr:row>
      <xdr:rowOff>129540</xdr:rowOff>
    </xdr:from>
    <xdr:to>
      <xdr:col>1</xdr:col>
      <xdr:colOff>3002281</xdr:colOff>
      <xdr:row>7</xdr:row>
      <xdr:rowOff>1752600</xdr:rowOff>
    </xdr:to>
    <xdr:pic>
      <xdr:nvPicPr>
        <xdr:cNvPr id="3" name="Picture 2">
          <a:extLst>
            <a:ext uri="{FF2B5EF4-FFF2-40B4-BE49-F238E27FC236}">
              <a16:creationId xmlns:a16="http://schemas.microsoft.com/office/drawing/2014/main" id="{F8CC5CAE-9274-3F43-392B-4F839FD463BC}"/>
            </a:ext>
          </a:extLst>
        </xdr:cNvPr>
        <xdr:cNvPicPr>
          <a:picLocks noChangeAspect="1"/>
        </xdr:cNvPicPr>
      </xdr:nvPicPr>
      <xdr:blipFill rotWithShape="1">
        <a:blip xmlns:r="http://schemas.openxmlformats.org/officeDocument/2006/relationships" r:embed="rId2"/>
        <a:srcRect t="4826" b="4290"/>
        <a:stretch>
          <a:fillRect/>
        </a:stretch>
      </xdr:blipFill>
      <xdr:spPr>
        <a:xfrm>
          <a:off x="2308861" y="2758440"/>
          <a:ext cx="2407920" cy="16230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217713</xdr:colOff>
      <xdr:row>5</xdr:row>
      <xdr:rowOff>84365</xdr:rowOff>
    </xdr:from>
    <xdr:to>
      <xdr:col>20</xdr:col>
      <xdr:colOff>343171</xdr:colOff>
      <xdr:row>12</xdr:row>
      <xdr:rowOff>6904</xdr:rowOff>
    </xdr:to>
    <xdr:pic>
      <xdr:nvPicPr>
        <xdr:cNvPr id="34" name="Picture 8">
          <a:extLst>
            <a:ext uri="{FF2B5EF4-FFF2-40B4-BE49-F238E27FC236}">
              <a16:creationId xmlns:a16="http://schemas.microsoft.com/office/drawing/2014/main" id="{0D6A9F8D-E671-170B-D51D-7FC6284F34C7}"/>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25298399" y="1597479"/>
          <a:ext cx="5492115" cy="3811461"/>
        </a:xfrm>
        <a:prstGeom prst="rect">
          <a:avLst/>
        </a:prstGeom>
      </xdr:spPr>
    </xdr:pic>
    <xdr:clientData/>
  </xdr:twoCellAnchor>
  <xdr:twoCellAnchor editAs="oneCell">
    <xdr:from>
      <xdr:col>20</xdr:col>
      <xdr:colOff>834118</xdr:colOff>
      <xdr:row>5</xdr:row>
      <xdr:rowOff>107496</xdr:rowOff>
    </xdr:from>
    <xdr:to>
      <xdr:col>24</xdr:col>
      <xdr:colOff>761727</xdr:colOff>
      <xdr:row>12</xdr:row>
      <xdr:rowOff>117739</xdr:rowOff>
    </xdr:to>
    <xdr:pic>
      <xdr:nvPicPr>
        <xdr:cNvPr id="25" name="Picture 9">
          <a:extLst>
            <a:ext uri="{FF2B5EF4-FFF2-40B4-BE49-F238E27FC236}">
              <a16:creationId xmlns:a16="http://schemas.microsoft.com/office/drawing/2014/main" id="{0E2B3F82-0017-58DB-C60B-FA178CCC0FD4}"/>
            </a:ext>
            <a:ext uri="{147F2762-F138-4A5C-976F-8EAC2B608ADB}">
              <a16:predDERef xmlns:a16="http://schemas.microsoft.com/office/drawing/2014/main" pred="{0D6A9F8D-E671-170B-D51D-7FC6284F34C7}"/>
            </a:ext>
          </a:extLst>
        </xdr:cNvPr>
        <xdr:cNvPicPr>
          <a:picLocks noChangeAspect="1"/>
        </xdr:cNvPicPr>
      </xdr:nvPicPr>
      <xdr:blipFill>
        <a:blip xmlns:r="http://schemas.openxmlformats.org/officeDocument/2006/relationships" r:embed="rId2"/>
        <a:stretch>
          <a:fillRect/>
        </a:stretch>
      </xdr:blipFill>
      <xdr:spPr>
        <a:xfrm>
          <a:off x="31281461" y="1620610"/>
          <a:ext cx="5631724" cy="3899165"/>
        </a:xfrm>
        <a:prstGeom prst="rect">
          <a:avLst/>
        </a:prstGeom>
      </xdr:spPr>
    </xdr:pic>
    <xdr:clientData/>
  </xdr:twoCellAnchor>
  <xdr:twoCellAnchor editAs="oneCell">
    <xdr:from>
      <xdr:col>24</xdr:col>
      <xdr:colOff>1092654</xdr:colOff>
      <xdr:row>5</xdr:row>
      <xdr:rowOff>19050</xdr:rowOff>
    </xdr:from>
    <xdr:to>
      <xdr:col>29</xdr:col>
      <xdr:colOff>2994</xdr:colOff>
      <xdr:row>12</xdr:row>
      <xdr:rowOff>93519</xdr:rowOff>
    </xdr:to>
    <xdr:pic>
      <xdr:nvPicPr>
        <xdr:cNvPr id="22" name="Picture 13">
          <a:extLst>
            <a:ext uri="{FF2B5EF4-FFF2-40B4-BE49-F238E27FC236}">
              <a16:creationId xmlns:a16="http://schemas.microsoft.com/office/drawing/2014/main" id="{2F67732D-AB25-8847-9893-A40FA3430DDA}"/>
            </a:ext>
            <a:ext uri="{147F2762-F138-4A5C-976F-8EAC2B608ADB}">
              <a16:predDERef xmlns:a16="http://schemas.microsoft.com/office/drawing/2014/main" pred="{9884142F-2406-706B-0D5F-9376D767E6F9}"/>
            </a:ext>
          </a:extLst>
        </xdr:cNvPr>
        <xdr:cNvPicPr>
          <a:picLocks noChangeAspect="1"/>
        </xdr:cNvPicPr>
      </xdr:nvPicPr>
      <xdr:blipFill>
        <a:blip xmlns:r="http://schemas.openxmlformats.org/officeDocument/2006/relationships" r:embed="rId3"/>
        <a:stretch>
          <a:fillRect/>
        </a:stretch>
      </xdr:blipFill>
      <xdr:spPr>
        <a:xfrm>
          <a:off x="37244111" y="1532164"/>
          <a:ext cx="5791200" cy="3969106"/>
        </a:xfrm>
        <a:prstGeom prst="rect">
          <a:avLst/>
        </a:prstGeom>
      </xdr:spPr>
    </xdr:pic>
    <xdr:clientData/>
  </xdr:twoCellAnchor>
  <xdr:twoCellAnchor>
    <xdr:from>
      <xdr:col>20</xdr:col>
      <xdr:colOff>1282561</xdr:colOff>
      <xdr:row>0</xdr:row>
      <xdr:rowOff>35035</xdr:rowOff>
    </xdr:from>
    <xdr:to>
      <xdr:col>20</xdr:col>
      <xdr:colOff>1282561</xdr:colOff>
      <xdr:row>0</xdr:row>
      <xdr:rowOff>321779</xdr:rowOff>
    </xdr:to>
    <xdr:cxnSp macro="">
      <xdr:nvCxnSpPr>
        <xdr:cNvPr id="2" name="Straight Arrow Connector 3">
          <a:extLst>
            <a:ext uri="{FF2B5EF4-FFF2-40B4-BE49-F238E27FC236}">
              <a16:creationId xmlns:a16="http://schemas.microsoft.com/office/drawing/2014/main" id="{2029FF83-1480-4F16-B4C9-CD9550CC9815}"/>
            </a:ext>
            <a:ext uri="{147F2762-F138-4A5C-976F-8EAC2B608ADB}">
              <a16:predDERef xmlns:a16="http://schemas.microsoft.com/office/drawing/2014/main" pred="{2F67732D-AB25-8847-9893-A40FA3430DDA}"/>
            </a:ext>
          </a:extLst>
        </xdr:cNvPr>
        <xdr:cNvCxnSpPr/>
      </xdr:nvCxnSpPr>
      <xdr:spPr>
        <a:xfrm flipV="1">
          <a:off x="2664763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1325218</xdr:colOff>
      <xdr:row>0</xdr:row>
      <xdr:rowOff>67505</xdr:rowOff>
    </xdr:from>
    <xdr:to>
      <xdr:col>20</xdr:col>
      <xdr:colOff>1565412</xdr:colOff>
      <xdr:row>1</xdr:row>
      <xdr:rowOff>103203</xdr:rowOff>
    </xdr:to>
    <xdr:sp macro="" textlink="">
      <xdr:nvSpPr>
        <xdr:cNvPr id="3" name="TextBox 7">
          <a:extLst>
            <a:ext uri="{FF2B5EF4-FFF2-40B4-BE49-F238E27FC236}">
              <a16:creationId xmlns:a16="http://schemas.microsoft.com/office/drawing/2014/main" id="{1C2ACC53-EFE8-4DB1-973B-A6E47613BF48}"/>
            </a:ext>
            <a:ext uri="{147F2762-F138-4A5C-976F-8EAC2B608ADB}">
              <a16:predDERef xmlns:a16="http://schemas.microsoft.com/office/drawing/2014/main" pred="{2029FF83-1480-4F16-B4C9-CD9550CC9815}"/>
            </a:ext>
          </a:extLst>
        </xdr:cNvPr>
        <xdr:cNvSpPr txBox="1"/>
      </xdr:nvSpPr>
      <xdr:spPr>
        <a:xfrm>
          <a:off x="26690293"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111</xdr:row>
      <xdr:rowOff>99127</xdr:rowOff>
    </xdr:from>
    <xdr:to>
      <xdr:col>3</xdr:col>
      <xdr:colOff>990600</xdr:colOff>
      <xdr:row>125</xdr:row>
      <xdr:rowOff>145144</xdr:rowOff>
    </xdr:to>
    <xdr:pic>
      <xdr:nvPicPr>
        <xdr:cNvPr id="3" name="Picture 1">
          <a:extLst>
            <a:ext uri="{FF2B5EF4-FFF2-40B4-BE49-F238E27FC236}">
              <a16:creationId xmlns:a16="http://schemas.microsoft.com/office/drawing/2014/main" id="{34A82311-6E13-10D2-1F49-82447D7A92A9}"/>
            </a:ext>
          </a:extLst>
        </xdr:cNvPr>
        <xdr:cNvPicPr>
          <a:picLocks noChangeAspect="1"/>
        </xdr:cNvPicPr>
      </xdr:nvPicPr>
      <xdr:blipFill>
        <a:blip xmlns:r="http://schemas.openxmlformats.org/officeDocument/2006/relationships" r:embed="rId1"/>
        <a:stretch>
          <a:fillRect/>
        </a:stretch>
      </xdr:blipFill>
      <xdr:spPr>
        <a:xfrm>
          <a:off x="0" y="28651715"/>
          <a:ext cx="6335806" cy="2242370"/>
        </a:xfrm>
        <a:prstGeom prst="rect">
          <a:avLst/>
        </a:prstGeom>
      </xdr:spPr>
    </xdr:pic>
    <xdr:clientData/>
  </xdr:twoCellAnchor>
  <xdr:twoCellAnchor editAs="oneCell">
    <xdr:from>
      <xdr:col>7</xdr:col>
      <xdr:colOff>2247900</xdr:colOff>
      <xdr:row>2</xdr:row>
      <xdr:rowOff>47625</xdr:rowOff>
    </xdr:from>
    <xdr:to>
      <xdr:col>12</xdr:col>
      <xdr:colOff>685799</xdr:colOff>
      <xdr:row>7</xdr:row>
      <xdr:rowOff>626969</xdr:rowOff>
    </xdr:to>
    <xdr:pic>
      <xdr:nvPicPr>
        <xdr:cNvPr id="4" name="Picture 3">
          <a:extLst>
            <a:ext uri="{FF2B5EF4-FFF2-40B4-BE49-F238E27FC236}">
              <a16:creationId xmlns:a16="http://schemas.microsoft.com/office/drawing/2014/main" id="{D3867141-0F16-00E3-70FB-022097D059E3}"/>
            </a:ext>
            <a:ext uri="{147F2762-F138-4A5C-976F-8EAC2B608ADB}">
              <a16:predDERef xmlns:a16="http://schemas.microsoft.com/office/drawing/2014/main" pred="{00022A3A-0BFC-4446-C03B-A097B979CBA9}"/>
            </a:ext>
          </a:extLst>
        </xdr:cNvPr>
        <xdr:cNvPicPr>
          <a:picLocks noChangeAspect="1"/>
        </xdr:cNvPicPr>
      </xdr:nvPicPr>
      <xdr:blipFill>
        <a:blip xmlns:r="http://schemas.openxmlformats.org/officeDocument/2006/relationships" r:embed="rId2"/>
        <a:stretch>
          <a:fillRect/>
        </a:stretch>
      </xdr:blipFill>
      <xdr:spPr>
        <a:xfrm>
          <a:off x="17621250" y="628650"/>
          <a:ext cx="4638675" cy="3190875"/>
        </a:xfrm>
        <a:prstGeom prst="rect">
          <a:avLst/>
        </a:prstGeom>
      </xdr:spPr>
    </xdr:pic>
    <xdr:clientData/>
  </xdr:twoCellAnchor>
  <xdr:twoCellAnchor editAs="oneCell">
    <xdr:from>
      <xdr:col>12</xdr:col>
      <xdr:colOff>1009650</xdr:colOff>
      <xdr:row>2</xdr:row>
      <xdr:rowOff>9525</xdr:rowOff>
    </xdr:from>
    <xdr:to>
      <xdr:col>17</xdr:col>
      <xdr:colOff>476251</xdr:colOff>
      <xdr:row>7</xdr:row>
      <xdr:rowOff>630779</xdr:rowOff>
    </xdr:to>
    <xdr:pic>
      <xdr:nvPicPr>
        <xdr:cNvPr id="6" name="Picture 5">
          <a:extLst>
            <a:ext uri="{FF2B5EF4-FFF2-40B4-BE49-F238E27FC236}">
              <a16:creationId xmlns:a16="http://schemas.microsoft.com/office/drawing/2014/main" id="{6026F35C-B149-4C4D-A0DF-888B43BA4E9B}"/>
            </a:ext>
            <a:ext uri="{147F2762-F138-4A5C-976F-8EAC2B608ADB}">
              <a16:predDERef xmlns:a16="http://schemas.microsoft.com/office/drawing/2014/main" pred="{D3867141-0F16-00E3-70FB-022097D059E3}"/>
            </a:ext>
          </a:extLst>
        </xdr:cNvPr>
        <xdr:cNvPicPr>
          <a:picLocks noChangeAspect="1"/>
        </xdr:cNvPicPr>
      </xdr:nvPicPr>
      <xdr:blipFill>
        <a:blip xmlns:r="http://schemas.openxmlformats.org/officeDocument/2006/relationships" r:embed="rId3"/>
        <a:stretch>
          <a:fillRect/>
        </a:stretch>
      </xdr:blipFill>
      <xdr:spPr>
        <a:xfrm>
          <a:off x="22583775" y="590550"/>
          <a:ext cx="4572000" cy="3219450"/>
        </a:xfrm>
        <a:prstGeom prst="rect">
          <a:avLst/>
        </a:prstGeom>
      </xdr:spPr>
    </xdr:pic>
    <xdr:clientData/>
  </xdr:twoCellAnchor>
  <xdr:twoCellAnchor editAs="oneCell">
    <xdr:from>
      <xdr:col>17</xdr:col>
      <xdr:colOff>739140</xdr:colOff>
      <xdr:row>1</xdr:row>
      <xdr:rowOff>217170</xdr:rowOff>
    </xdr:from>
    <xdr:to>
      <xdr:col>22</xdr:col>
      <xdr:colOff>779145</xdr:colOff>
      <xdr:row>7</xdr:row>
      <xdr:rowOff>630779</xdr:rowOff>
    </xdr:to>
    <xdr:pic>
      <xdr:nvPicPr>
        <xdr:cNvPr id="7" name="Picture 6">
          <a:extLst>
            <a:ext uri="{FF2B5EF4-FFF2-40B4-BE49-F238E27FC236}">
              <a16:creationId xmlns:a16="http://schemas.microsoft.com/office/drawing/2014/main" id="{BA6DE3D2-E3F4-8592-164B-4BC617E222E7}"/>
            </a:ext>
            <a:ext uri="{147F2762-F138-4A5C-976F-8EAC2B608ADB}">
              <a16:predDERef xmlns:a16="http://schemas.microsoft.com/office/drawing/2014/main" pred="{6026F35C-B149-4C4D-A0DF-888B43BA4E9B}"/>
            </a:ext>
          </a:extLst>
        </xdr:cNvPr>
        <xdr:cNvPicPr>
          <a:picLocks noChangeAspect="1"/>
        </xdr:cNvPicPr>
      </xdr:nvPicPr>
      <xdr:blipFill>
        <a:blip xmlns:r="http://schemas.openxmlformats.org/officeDocument/2006/relationships" r:embed="rId4"/>
        <a:stretch>
          <a:fillRect/>
        </a:stretch>
      </xdr:blipFill>
      <xdr:spPr>
        <a:xfrm>
          <a:off x="30468346" y="564552"/>
          <a:ext cx="4996815" cy="3312123"/>
        </a:xfrm>
        <a:prstGeom prst="rect">
          <a:avLst/>
        </a:prstGeom>
      </xdr:spPr>
    </xdr:pic>
    <xdr:clientData/>
  </xdr:twoCellAnchor>
  <xdr:oneCellAnchor>
    <xdr:from>
      <xdr:col>0</xdr:col>
      <xdr:colOff>148533</xdr:colOff>
      <xdr:row>103</xdr:row>
      <xdr:rowOff>146895</xdr:rowOff>
    </xdr:from>
    <xdr:ext cx="2486193" cy="36567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97E052-0587-4A6E-962A-DF62D1131293}"/>
                </a:ext>
              </a:extLst>
            </xdr:cNvPr>
            <xdr:cNvSpPr txBox="1">
              <a:spLocks/>
            </xdr:cNvSpPr>
          </xdr:nvSpPr>
          <xdr:spPr>
            <a:xfrm>
              <a:off x="148533" y="27444424"/>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2" name="TextBox 1">
              <a:extLst>
                <a:ext uri="{FF2B5EF4-FFF2-40B4-BE49-F238E27FC236}">
                  <a16:creationId xmlns:a16="http://schemas.microsoft.com/office/drawing/2014/main" id="{6F97E052-0587-4A6E-962A-DF62D1131293}"/>
                </a:ext>
              </a:extLst>
            </xdr:cNvPr>
            <xdr:cNvSpPr txBox="1">
              <a:spLocks/>
            </xdr:cNvSpPr>
          </xdr:nvSpPr>
          <xdr:spPr>
            <a:xfrm>
              <a:off x="148533" y="27444424"/>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175988</xdr:colOff>
      <xdr:row>92</xdr:row>
      <xdr:rowOff>156323</xdr:rowOff>
    </xdr:from>
    <xdr:ext cx="1369028" cy="372025"/>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8C348CF-51C4-47CB-A932-F9098CB810BD}"/>
                </a:ext>
              </a:extLst>
            </xdr:cNvPr>
            <xdr:cNvSpPr txBox="1">
              <a:spLocks/>
            </xdr:cNvSpPr>
          </xdr:nvSpPr>
          <xdr:spPr>
            <a:xfrm>
              <a:off x="175988" y="25728147"/>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5" name="TextBox 4">
              <a:extLst>
                <a:ext uri="{FF2B5EF4-FFF2-40B4-BE49-F238E27FC236}">
                  <a16:creationId xmlns:a16="http://schemas.microsoft.com/office/drawing/2014/main" id="{18C348CF-51C4-47CB-A932-F9098CB810BD}"/>
                </a:ext>
              </a:extLst>
            </xdr:cNvPr>
            <xdr:cNvSpPr txBox="1">
              <a:spLocks/>
            </xdr:cNvSpPr>
          </xdr:nvSpPr>
          <xdr:spPr>
            <a:xfrm>
              <a:off x="175988" y="25728147"/>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140749</xdr:colOff>
      <xdr:row>96</xdr:row>
      <xdr:rowOff>49587</xdr:rowOff>
    </xdr:from>
    <xdr:ext cx="2027222" cy="35105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E28C43E-C0A2-4121-B19C-BF9045283867}"/>
                </a:ext>
              </a:extLst>
            </xdr:cNvPr>
            <xdr:cNvSpPr txBox="1">
              <a:spLocks/>
            </xdr:cNvSpPr>
          </xdr:nvSpPr>
          <xdr:spPr>
            <a:xfrm>
              <a:off x="140749" y="26248940"/>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8" name="TextBox 7">
              <a:extLst>
                <a:ext uri="{FF2B5EF4-FFF2-40B4-BE49-F238E27FC236}">
                  <a16:creationId xmlns:a16="http://schemas.microsoft.com/office/drawing/2014/main" id="{0E28C43E-C0A2-4121-B19C-BF9045283867}"/>
                </a:ext>
              </a:extLst>
            </xdr:cNvPr>
            <xdr:cNvSpPr txBox="1">
              <a:spLocks/>
            </xdr:cNvSpPr>
          </xdr:nvSpPr>
          <xdr:spPr>
            <a:xfrm>
              <a:off x="140749" y="26248940"/>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134470</xdr:colOff>
      <xdr:row>100</xdr:row>
      <xdr:rowOff>53803</xdr:rowOff>
    </xdr:from>
    <xdr:ext cx="2360967" cy="32823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25DD515-7B99-47DD-AB76-23A5E01EE9E6}"/>
                </a:ext>
              </a:extLst>
            </xdr:cNvPr>
            <xdr:cNvSpPr txBox="1">
              <a:spLocks/>
            </xdr:cNvSpPr>
          </xdr:nvSpPr>
          <xdr:spPr>
            <a:xfrm>
              <a:off x="134470" y="26880685"/>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9" name="TextBox 8">
              <a:extLst>
                <a:ext uri="{FF2B5EF4-FFF2-40B4-BE49-F238E27FC236}">
                  <a16:creationId xmlns:a16="http://schemas.microsoft.com/office/drawing/2014/main" id="{125DD515-7B99-47DD-AB76-23A5E01EE9E6}"/>
                </a:ext>
              </a:extLst>
            </xdr:cNvPr>
            <xdr:cNvSpPr txBox="1">
              <a:spLocks/>
            </xdr:cNvSpPr>
          </xdr:nvSpPr>
          <xdr:spPr>
            <a:xfrm>
              <a:off x="134470" y="26880685"/>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twoCellAnchor>
    <xdr:from>
      <xdr:col>14</xdr:col>
      <xdr:colOff>1282561</xdr:colOff>
      <xdr:row>0</xdr:row>
      <xdr:rowOff>35035</xdr:rowOff>
    </xdr:from>
    <xdr:to>
      <xdr:col>14</xdr:col>
      <xdr:colOff>1282561</xdr:colOff>
      <xdr:row>0</xdr:row>
      <xdr:rowOff>321779</xdr:rowOff>
    </xdr:to>
    <xdr:cxnSp macro="">
      <xdr:nvCxnSpPr>
        <xdr:cNvPr id="10" name="Straight Arrow Connector 3">
          <a:extLst>
            <a:ext uri="{FF2B5EF4-FFF2-40B4-BE49-F238E27FC236}">
              <a16:creationId xmlns:a16="http://schemas.microsoft.com/office/drawing/2014/main" id="{9821D7A3-7C06-467E-AF52-2A687AFF42FB}"/>
            </a:ext>
            <a:ext uri="{147F2762-F138-4A5C-976F-8EAC2B608ADB}">
              <a16:predDERef xmlns:a16="http://schemas.microsoft.com/office/drawing/2014/main" pred="{125DD515-7B99-47DD-AB76-23A5E01EE9E6}"/>
            </a:ext>
          </a:extLst>
        </xdr:cNvPr>
        <xdr:cNvCxnSpPr/>
      </xdr:nvCxnSpPr>
      <xdr:spPr>
        <a:xfrm flipV="1">
          <a:off x="3184828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1009650</xdr:colOff>
      <xdr:row>0</xdr:row>
      <xdr:rowOff>57150</xdr:rowOff>
    </xdr:from>
    <xdr:to>
      <xdr:col>15</xdr:col>
      <xdr:colOff>219075</xdr:colOff>
      <xdr:row>1</xdr:row>
      <xdr:rowOff>95250</xdr:rowOff>
    </xdr:to>
    <xdr:sp macro="" textlink="">
      <xdr:nvSpPr>
        <xdr:cNvPr id="11" name="TextBox 7">
          <a:extLst>
            <a:ext uri="{FF2B5EF4-FFF2-40B4-BE49-F238E27FC236}">
              <a16:creationId xmlns:a16="http://schemas.microsoft.com/office/drawing/2014/main" id="{A33F754D-0CB5-450D-A3CC-2FF4F14FA68E}"/>
            </a:ext>
            <a:ext uri="{147F2762-F138-4A5C-976F-8EAC2B608ADB}">
              <a16:predDERef xmlns:a16="http://schemas.microsoft.com/office/drawing/2014/main" pred="{9821D7A3-7C06-467E-AF52-2A687AFF42FB}"/>
            </a:ext>
          </a:extLst>
        </xdr:cNvPr>
        <xdr:cNvSpPr txBox="1"/>
      </xdr:nvSpPr>
      <xdr:spPr>
        <a:xfrm>
          <a:off x="26841450" y="57150"/>
          <a:ext cx="228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190198</xdr:colOff>
      <xdr:row>42</xdr:row>
      <xdr:rowOff>160020</xdr:rowOff>
    </xdr:from>
    <xdr:to>
      <xdr:col>7</xdr:col>
      <xdr:colOff>601980</xdr:colOff>
      <xdr:row>60</xdr:row>
      <xdr:rowOff>58937</xdr:rowOff>
    </xdr:to>
    <xdr:graphicFrame macro="">
      <xdr:nvGraphicFramePr>
        <xdr:cNvPr id="2" name="Chart 1">
          <a:extLst>
            <a:ext uri="{FF2B5EF4-FFF2-40B4-BE49-F238E27FC236}">
              <a16:creationId xmlns:a16="http://schemas.microsoft.com/office/drawing/2014/main" id="{46F9D3B4-FBD4-4DCD-B159-3B3B9C73E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43</xdr:row>
      <xdr:rowOff>68580</xdr:rowOff>
    </xdr:from>
    <xdr:to>
      <xdr:col>16</xdr:col>
      <xdr:colOff>419100</xdr:colOff>
      <xdr:row>60</xdr:row>
      <xdr:rowOff>74176</xdr:rowOff>
    </xdr:to>
    <xdr:graphicFrame macro="">
      <xdr:nvGraphicFramePr>
        <xdr:cNvPr id="3" name="Chart 2">
          <a:extLst>
            <a:ext uri="{FF2B5EF4-FFF2-40B4-BE49-F238E27FC236}">
              <a16:creationId xmlns:a16="http://schemas.microsoft.com/office/drawing/2014/main" id="{F965F2B2-4F67-4D19-B93E-691B522DF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76201</xdr:rowOff>
    </xdr:from>
    <xdr:to>
      <xdr:col>6</xdr:col>
      <xdr:colOff>295275</xdr:colOff>
      <xdr:row>39</xdr:row>
      <xdr:rowOff>57151</xdr:rowOff>
    </xdr:to>
    <xdr:pic>
      <xdr:nvPicPr>
        <xdr:cNvPr id="5" name="Picture 4">
          <a:extLst>
            <a:ext uri="{FF2B5EF4-FFF2-40B4-BE49-F238E27FC236}">
              <a16:creationId xmlns:a16="http://schemas.microsoft.com/office/drawing/2014/main" id="{B654508F-3A47-416C-B7DC-8E6D2D09F61C}"/>
            </a:ext>
          </a:extLst>
        </xdr:cNvPr>
        <xdr:cNvPicPr>
          <a:picLocks noChangeAspect="1"/>
        </xdr:cNvPicPr>
      </xdr:nvPicPr>
      <xdr:blipFill>
        <a:blip xmlns:r="http://schemas.openxmlformats.org/officeDocument/2006/relationships" r:embed="rId3"/>
        <a:stretch>
          <a:fillRect/>
        </a:stretch>
      </xdr:blipFill>
      <xdr:spPr>
        <a:xfrm>
          <a:off x="0" y="4629151"/>
          <a:ext cx="5924550" cy="2695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326572</xdr:colOff>
      <xdr:row>107</xdr:row>
      <xdr:rowOff>54429</xdr:rowOff>
    </xdr:from>
    <xdr:to>
      <xdr:col>36</xdr:col>
      <xdr:colOff>37012</xdr:colOff>
      <xdr:row>110</xdr:row>
      <xdr:rowOff>119744</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289560</xdr:colOff>
      <xdr:row>110</xdr:row>
      <xdr:rowOff>337457</xdr:rowOff>
    </xdr:from>
    <xdr:to>
      <xdr:col>36</xdr:col>
      <xdr:colOff>0</xdr:colOff>
      <xdr:row>114</xdr:row>
      <xdr:rowOff>0</xdr:rowOff>
    </xdr:to>
    <xdr:graphicFrame macro="">
      <xdr:nvGraphicFramePr>
        <xdr:cNvPr id="21" name="Chart 5">
          <a:extLst>
            <a:ext uri="{FF2B5EF4-FFF2-40B4-BE49-F238E27FC236}">
              <a16:creationId xmlns:a16="http://schemas.microsoft.com/office/drawing/2014/main" id="{2E6CA2C7-E4AB-4DC1-A50A-FEBB0B9CA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12</xdr:row>
      <xdr:rowOff>0</xdr:rowOff>
    </xdr:from>
    <xdr:to>
      <xdr:col>36</xdr:col>
      <xdr:colOff>26126</xdr:colOff>
      <xdr:row>15</xdr:row>
      <xdr:rowOff>0</xdr:rowOff>
    </xdr:to>
    <xdr:graphicFrame macro="">
      <xdr:nvGraphicFramePr>
        <xdr:cNvPr id="2" name="Chart 5">
          <a:extLst>
            <a:ext uri="{FF2B5EF4-FFF2-40B4-BE49-F238E27FC236}">
              <a16:creationId xmlns:a16="http://schemas.microsoft.com/office/drawing/2014/main" id="{97E67914-D1CB-4363-9072-51C258AEB30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15</xdr:row>
      <xdr:rowOff>0</xdr:rowOff>
    </xdr:from>
    <xdr:to>
      <xdr:col>36</xdr:col>
      <xdr:colOff>26126</xdr:colOff>
      <xdr:row>18</xdr:row>
      <xdr:rowOff>0</xdr:rowOff>
    </xdr:to>
    <xdr:graphicFrame macro="">
      <xdr:nvGraphicFramePr>
        <xdr:cNvPr id="3" name="Chart 5">
          <a:extLst>
            <a:ext uri="{FF2B5EF4-FFF2-40B4-BE49-F238E27FC236}">
              <a16:creationId xmlns:a16="http://schemas.microsoft.com/office/drawing/2014/main" id="{E05898F8-B3D7-4E49-8CE4-80334890D32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371C284F-4F51-4190-B528-8BCA12836F5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289560</xdr:colOff>
      <xdr:row>31</xdr:row>
      <xdr:rowOff>0</xdr:rowOff>
    </xdr:from>
    <xdr:to>
      <xdr:col>36</xdr:col>
      <xdr:colOff>0</xdr:colOff>
      <xdr:row>33</xdr:row>
      <xdr:rowOff>391886</xdr:rowOff>
    </xdr:to>
    <xdr:graphicFrame macro="">
      <xdr:nvGraphicFramePr>
        <xdr:cNvPr id="7" name="Chart 5">
          <a:extLst>
            <a:ext uri="{FF2B5EF4-FFF2-40B4-BE49-F238E27FC236}">
              <a16:creationId xmlns:a16="http://schemas.microsoft.com/office/drawing/2014/main" id="{32B0BFFC-AC1F-4D36-BEED-825D50F5B3B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315686</xdr:colOff>
      <xdr:row>34</xdr:row>
      <xdr:rowOff>0</xdr:rowOff>
    </xdr:from>
    <xdr:to>
      <xdr:col>36</xdr:col>
      <xdr:colOff>26126</xdr:colOff>
      <xdr:row>37</xdr:row>
      <xdr:rowOff>0</xdr:rowOff>
    </xdr:to>
    <xdr:graphicFrame macro="">
      <xdr:nvGraphicFramePr>
        <xdr:cNvPr id="11" name="Chart 5">
          <a:extLst>
            <a:ext uri="{FF2B5EF4-FFF2-40B4-BE49-F238E27FC236}">
              <a16:creationId xmlns:a16="http://schemas.microsoft.com/office/drawing/2014/main" id="{B39F69D7-1333-494B-89D0-F314682AC2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315686</xdr:colOff>
      <xdr:row>37</xdr:row>
      <xdr:rowOff>0</xdr:rowOff>
    </xdr:from>
    <xdr:to>
      <xdr:col>36</xdr:col>
      <xdr:colOff>26126</xdr:colOff>
      <xdr:row>40</xdr:row>
      <xdr:rowOff>0</xdr:rowOff>
    </xdr:to>
    <xdr:graphicFrame macro="">
      <xdr:nvGraphicFramePr>
        <xdr:cNvPr id="12" name="Chart 5">
          <a:extLst>
            <a:ext uri="{FF2B5EF4-FFF2-40B4-BE49-F238E27FC236}">
              <a16:creationId xmlns:a16="http://schemas.microsoft.com/office/drawing/2014/main" id="{0C0CCC32-2A40-4A01-80A5-5E834C21237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315686</xdr:colOff>
      <xdr:row>40</xdr:row>
      <xdr:rowOff>0</xdr:rowOff>
    </xdr:from>
    <xdr:to>
      <xdr:col>36</xdr:col>
      <xdr:colOff>26126</xdr:colOff>
      <xdr:row>43</xdr:row>
      <xdr:rowOff>0</xdr:rowOff>
    </xdr:to>
    <xdr:graphicFrame macro="">
      <xdr:nvGraphicFramePr>
        <xdr:cNvPr id="13" name="Chart 5">
          <a:extLst>
            <a:ext uri="{FF2B5EF4-FFF2-40B4-BE49-F238E27FC236}">
              <a16:creationId xmlns:a16="http://schemas.microsoft.com/office/drawing/2014/main" id="{547C7F49-FC6A-463D-93B0-690857C7D10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299357</xdr:colOff>
      <xdr:row>27</xdr:row>
      <xdr:rowOff>204107</xdr:rowOff>
    </xdr:from>
    <xdr:to>
      <xdr:col>36</xdr:col>
      <xdr:colOff>15512</xdr:colOff>
      <xdr:row>30</xdr:row>
      <xdr:rowOff>374989</xdr:rowOff>
    </xdr:to>
    <xdr:graphicFrame macro="">
      <xdr:nvGraphicFramePr>
        <xdr:cNvPr id="17" name="Chart 5">
          <a:extLst>
            <a:ext uri="{FF2B5EF4-FFF2-40B4-BE49-F238E27FC236}">
              <a16:creationId xmlns:a16="http://schemas.microsoft.com/office/drawing/2014/main" id="{069CE89C-D6F0-422A-9B65-ADF631CBAD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353786</xdr:colOff>
      <xdr:row>43</xdr:row>
      <xdr:rowOff>122464</xdr:rowOff>
    </xdr:from>
    <xdr:to>
      <xdr:col>36</xdr:col>
      <xdr:colOff>58511</xdr:colOff>
      <xdr:row>46</xdr:row>
      <xdr:rowOff>0</xdr:rowOff>
    </xdr:to>
    <xdr:graphicFrame macro="">
      <xdr:nvGraphicFramePr>
        <xdr:cNvPr id="22" name="Chart 5">
          <a:extLst>
            <a:ext uri="{FF2B5EF4-FFF2-40B4-BE49-F238E27FC236}">
              <a16:creationId xmlns:a16="http://schemas.microsoft.com/office/drawing/2014/main" id="{FFDEE309-BE3F-48E1-8AA0-E2F3460F1B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285750</xdr:colOff>
      <xdr:row>21</xdr:row>
      <xdr:rowOff>40821</xdr:rowOff>
    </xdr:from>
    <xdr:to>
      <xdr:col>35</xdr:col>
      <xdr:colOff>622391</xdr:colOff>
      <xdr:row>24</xdr:row>
      <xdr:rowOff>40822</xdr:rowOff>
    </xdr:to>
    <xdr:graphicFrame macro="">
      <xdr:nvGraphicFramePr>
        <xdr:cNvPr id="23" name="Chart 5">
          <a:extLst>
            <a:ext uri="{FF2B5EF4-FFF2-40B4-BE49-F238E27FC236}">
              <a16:creationId xmlns:a16="http://schemas.microsoft.com/office/drawing/2014/main" id="{7ADD1A5E-61F4-405B-81DD-26F8025309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335552</xdr:colOff>
      <xdr:row>24</xdr:row>
      <xdr:rowOff>105047</xdr:rowOff>
    </xdr:from>
    <xdr:to>
      <xdr:col>36</xdr:col>
      <xdr:colOff>34562</xdr:colOff>
      <xdr:row>27</xdr:row>
      <xdr:rowOff>105047</xdr:rowOff>
    </xdr:to>
    <xdr:graphicFrame macro="">
      <xdr:nvGraphicFramePr>
        <xdr:cNvPr id="24" name="Chart 5">
          <a:extLst>
            <a:ext uri="{FF2B5EF4-FFF2-40B4-BE49-F238E27FC236}">
              <a16:creationId xmlns:a16="http://schemas.microsoft.com/office/drawing/2014/main" id="{9ED5344D-5907-4A2A-BB68-71796F79B55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47</xdr:col>
      <xdr:colOff>333375</xdr:colOff>
      <xdr:row>1</xdr:row>
      <xdr:rowOff>304800</xdr:rowOff>
    </xdr:from>
    <xdr:to>
      <xdr:col>62</xdr:col>
      <xdr:colOff>190500</xdr:colOff>
      <xdr:row>16</xdr:row>
      <xdr:rowOff>190500</xdr:rowOff>
    </xdr:to>
    <xdr:graphicFrame macro="">
      <xdr:nvGraphicFramePr>
        <xdr:cNvPr id="2" name="Chart 1">
          <a:extLst>
            <a:ext uri="{FF2B5EF4-FFF2-40B4-BE49-F238E27FC236}">
              <a16:creationId xmlns:a16="http://schemas.microsoft.com/office/drawing/2014/main" id="{DFA35EE0-E9E7-4CCD-A912-0D18609C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390525</xdr:colOff>
      <xdr:row>0</xdr:row>
      <xdr:rowOff>47625</xdr:rowOff>
    </xdr:from>
    <xdr:to>
      <xdr:col>41</xdr:col>
      <xdr:colOff>118336</xdr:colOff>
      <xdr:row>19</xdr:row>
      <xdr:rowOff>53228</xdr:rowOff>
    </xdr:to>
    <xdr:graphicFrame macro="">
      <xdr:nvGraphicFramePr>
        <xdr:cNvPr id="6" name="Chart 2">
          <a:extLst>
            <a:ext uri="{FF2B5EF4-FFF2-40B4-BE49-F238E27FC236}">
              <a16:creationId xmlns:a16="http://schemas.microsoft.com/office/drawing/2014/main" id="{1C4B321F-B912-4DA3-9131-4711F8F61767}"/>
            </a:ext>
            <a:ext uri="{147F2762-F138-4A5C-976F-8EAC2B608ADB}">
              <a16:predDERef xmlns:a16="http://schemas.microsoft.com/office/drawing/2014/main" pred="{DFA35EE0-E9E7-4CCD-A912-0D18609C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409575</xdr:colOff>
      <xdr:row>23</xdr:row>
      <xdr:rowOff>0</xdr:rowOff>
    </xdr:from>
    <xdr:to>
      <xdr:col>41</xdr:col>
      <xdr:colOff>137386</xdr:colOff>
      <xdr:row>55</xdr:row>
      <xdr:rowOff>91328</xdr:rowOff>
    </xdr:to>
    <xdr:graphicFrame macro="">
      <xdr:nvGraphicFramePr>
        <xdr:cNvPr id="42" name="Chart 2">
          <a:extLst>
            <a:ext uri="{FF2B5EF4-FFF2-40B4-BE49-F238E27FC236}">
              <a16:creationId xmlns:a16="http://schemas.microsoft.com/office/drawing/2014/main" id="{0491DC35-93BE-45C9-B1B3-4498335A37C1}"/>
            </a:ext>
            <a:ext uri="{147F2762-F138-4A5C-976F-8EAC2B608ADB}">
              <a16:predDERef xmlns:a16="http://schemas.microsoft.com/office/drawing/2014/main" pred="{1C4B321F-B912-4DA3-9131-4711F8F61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nnl.gov/main/publications/external/technical_reports/PNNL-20405.pdf" TargetMode="External"/><Relationship Id="rId13" Type="http://schemas.openxmlformats.org/officeDocument/2006/relationships/hyperlink" Target="https://www.govinfo.gov/content/pkg/CFR-2024-title10-vol3/pdf/CFR-2024-title10-vol3-part431-subpartF.pdf" TargetMode="External"/><Relationship Id="rId18" Type="http://schemas.openxmlformats.org/officeDocument/2006/relationships/hyperlink" Target="https://www.thefreelibrary.com/Determining+Vintage+Bins+for+Prototype+Development%3a+An+Analysis+of...-a0879271125" TargetMode="External"/><Relationship Id="rId3" Type="http://schemas.openxmlformats.org/officeDocument/2006/relationships/hyperlink" Target="https://github.com/sound-data/DEER-Prototypes-EnergyPlus" TargetMode="External"/><Relationship Id="rId21" Type="http://schemas.openxmlformats.org/officeDocument/2006/relationships/hyperlink" Target="https://www.grainger.com/category/plumbing/water-heaters/electric-tank-water-heaters" TargetMode="External"/><Relationship Id="rId7" Type="http://schemas.openxmlformats.org/officeDocument/2006/relationships/hyperlink" Target="https://title24stakeholders.com/wp-content/uploads/2016/10/T24-2019-CASE-Study-Results-Report-Outdoor-Sources_Final_with-Attachments.pdf" TargetMode="External"/><Relationship Id="rId12" Type="http://schemas.openxmlformats.org/officeDocument/2006/relationships/hyperlink" Target="https://publications.ibpsa.org/conference/paper/?id=simbuild2026_1372" TargetMode="External"/><Relationship Id="rId17" Type="http://schemas.openxmlformats.org/officeDocument/2006/relationships/hyperlink" Target="https://govt.westlaw.com/calregs/Document/I270DCA634B4011EFA8F7F119BAF97AD6?viewType=FullText&amp;originationContext=documenttoc&amp;transitionType=CategoryPageItem&amp;contextData=(sc.Default)" TargetMode="External"/><Relationship Id="rId25" Type="http://schemas.openxmlformats.org/officeDocument/2006/relationships/drawing" Target="../drawings/drawing1.xml"/><Relationship Id="rId2" Type="http://schemas.openxmlformats.org/officeDocument/2006/relationships/hyperlink" Target="https://www.energycodes.gov/prototype-building-models" TargetMode="External"/><Relationship Id="rId16" Type="http://schemas.openxmlformats.org/officeDocument/2006/relationships/hyperlink" Target="https://www.energy.ca.gov/publications/2023/2022-california-commercial-end-use-survey-ceus-final-report" TargetMode="External"/><Relationship Id="rId20" Type="http://schemas.openxmlformats.org/officeDocument/2006/relationships/hyperlink" Target="https://www.grainger.com/category/plumbing/water-heaters/gas-tank-water-heaters" TargetMode="External"/><Relationship Id="rId1" Type="http://schemas.openxmlformats.org/officeDocument/2006/relationships/hyperlink" Target="https://bees.noresco.com/software2022.html" TargetMode="External"/><Relationship Id="rId6" Type="http://schemas.openxmlformats.org/officeDocument/2006/relationships/hyperlink" Target="https://publications.ibpsa.org/proceedings/simbuild/2020/papers/simbuild2020_C064.pdf" TargetMode="External"/><Relationship Id="rId11" Type="http://schemas.openxmlformats.org/officeDocument/2006/relationships/hyperlink" Target="https://title24stakeholders.com/wp-content/uploads/2016/10/T24-2019-CASE-Study-Results-Report-Outdoor-Sources_Final_with-Attachments.pdf" TargetMode="External"/><Relationship Id="rId24"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5" Type="http://schemas.openxmlformats.org/officeDocument/2006/relationships/hyperlink" Target="https://www.sciencedirect.com/science/article/abs/pii/S0306261920312186" TargetMode="External"/><Relationship Id="rId15" Type="http://schemas.openxmlformats.org/officeDocument/2006/relationships/hyperlink" Target="https://www.eia.gov/consumption/commercial/data/2018/" TargetMode="External"/><Relationship Id="rId23" Type="http://schemas.openxmlformats.org/officeDocument/2006/relationships/hyperlink" Target="https://www.energy.ca.gov/publications/2025/2025-building-energy-efficiency-standards-residential-and-nonresidential" TargetMode="External"/><Relationship Id="rId10" Type="http://schemas.openxmlformats.org/officeDocument/2006/relationships/hyperlink" Target="https://efiling.energy.ca.gov/GetDocument.aspx?tn=265693&amp;DocumentContentId=102545" TargetMode="External"/><Relationship Id="rId19" Type="http://schemas.openxmlformats.org/officeDocument/2006/relationships/hyperlink" Target="https://www.energystar.gov/productfinder/product/certified-commercial-water-heaters/results?fuel_filter=Gas&amp;markets_filter=United+States" TargetMode="External"/><Relationship Id="rId4" Type="http://schemas.openxmlformats.org/officeDocument/2006/relationships/hyperlink" Target="https://www.mass.gov/doc/large-office-prototype-basis-of-design-report/download" TargetMode="External"/><Relationship Id="rId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4" Type="http://schemas.openxmlformats.org/officeDocument/2006/relationships/hyperlink" Target="https://www.govinfo.gov/content/pkg/FR-2009-03-23/pdf/FR-2009-03-23.pdf" TargetMode="External"/><Relationship Id="rId22" Type="http://schemas.openxmlformats.org/officeDocument/2006/relationships/hyperlink" Target="https://codes.iccsafe.org/codes/united-states/california"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91"/>
  <sheetViews>
    <sheetView zoomScaleNormal="100" workbookViewId="0">
      <selection sqref="A1:E1"/>
    </sheetView>
  </sheetViews>
  <sheetFormatPr defaultColWidth="9.33203125" defaultRowHeight="13.2" x14ac:dyDescent="0.25"/>
  <cols>
    <col min="1" max="1" width="14.6640625" style="5" customWidth="1"/>
    <col min="2" max="2" width="82.44140625" style="5" customWidth="1"/>
    <col min="3" max="3" width="9.33203125" style="5" customWidth="1"/>
    <col min="4" max="4" width="9.33203125" style="5"/>
    <col min="5" max="5" width="13.33203125" style="5" customWidth="1"/>
    <col min="6" max="6" width="9.6640625" style="5" customWidth="1"/>
    <col min="7" max="7" width="23" style="5" customWidth="1"/>
    <col min="8" max="8" width="10.6640625" style="5" customWidth="1"/>
    <col min="9" max="9" width="9.6640625" style="5" customWidth="1"/>
    <col min="10" max="11" width="10.44140625" style="5" bestFit="1" customWidth="1"/>
    <col min="12" max="16384" width="9.33203125" style="5"/>
  </cols>
  <sheetData>
    <row r="1" spans="1:10" ht="20.399999999999999" customHeight="1" x14ac:dyDescent="0.25">
      <c r="A1" s="743" t="s">
        <v>0</v>
      </c>
      <c r="B1" s="743"/>
      <c r="C1" s="743"/>
      <c r="D1" s="743"/>
      <c r="E1" s="743"/>
    </row>
    <row r="2" spans="1:10" x14ac:dyDescent="0.25">
      <c r="A2" s="747" t="s">
        <v>1</v>
      </c>
      <c r="B2" s="5" t="s">
        <v>2</v>
      </c>
      <c r="C2" s="745"/>
      <c r="D2" s="745"/>
      <c r="E2" s="745"/>
      <c r="F2" s="5" t="s">
        <v>3</v>
      </c>
    </row>
    <row r="3" spans="1:10" x14ac:dyDescent="0.25">
      <c r="A3" s="747"/>
      <c r="B3" s="5" t="s">
        <v>4</v>
      </c>
      <c r="C3" s="746" t="s">
        <v>5</v>
      </c>
      <c r="D3" s="746"/>
      <c r="E3" s="746"/>
      <c r="F3" s="5" t="s">
        <v>3</v>
      </c>
    </row>
    <row r="4" spans="1:10" x14ac:dyDescent="0.25">
      <c r="A4" s="747"/>
      <c r="B4" s="5" t="s">
        <v>6</v>
      </c>
      <c r="C4" s="746" t="s">
        <v>7</v>
      </c>
      <c r="D4" s="746"/>
      <c r="E4" s="746"/>
      <c r="F4" s="5" t="s">
        <v>3</v>
      </c>
    </row>
    <row r="5" spans="1:10" x14ac:dyDescent="0.25">
      <c r="A5" s="747"/>
      <c r="B5" s="5" t="s">
        <v>8</v>
      </c>
      <c r="C5" s="746" t="s">
        <v>9</v>
      </c>
      <c r="D5" s="746"/>
      <c r="E5" s="746"/>
      <c r="F5" s="5" t="s">
        <v>3</v>
      </c>
    </row>
    <row r="6" spans="1:10" x14ac:dyDescent="0.25">
      <c r="A6" s="747" t="s">
        <v>10</v>
      </c>
      <c r="B6" s="5" t="s">
        <v>11</v>
      </c>
      <c r="C6" s="745" t="s">
        <v>12</v>
      </c>
      <c r="D6" s="745"/>
      <c r="E6" s="745"/>
      <c r="F6" s="5" t="s">
        <v>3</v>
      </c>
    </row>
    <row r="7" spans="1:10" x14ac:dyDescent="0.25">
      <c r="A7" s="747"/>
      <c r="B7" s="5" t="s">
        <v>13</v>
      </c>
      <c r="C7" s="745" t="s">
        <v>14</v>
      </c>
      <c r="D7" s="745"/>
      <c r="E7" s="745"/>
      <c r="F7" s="5" t="s">
        <v>3</v>
      </c>
    </row>
    <row r="8" spans="1:10" x14ac:dyDescent="0.25">
      <c r="A8" s="747"/>
      <c r="B8" s="5" t="s">
        <v>15</v>
      </c>
      <c r="C8" s="745" t="s">
        <v>16</v>
      </c>
      <c r="D8" s="745"/>
      <c r="E8" s="745"/>
      <c r="F8" s="5" t="s">
        <v>3</v>
      </c>
    </row>
    <row r="9" spans="1:10" x14ac:dyDescent="0.25">
      <c r="A9" s="747"/>
      <c r="B9" s="744" t="s">
        <v>17</v>
      </c>
      <c r="C9" s="745" t="s">
        <v>18</v>
      </c>
      <c r="D9" s="745"/>
      <c r="E9" s="745"/>
      <c r="F9" s="5" t="s">
        <v>3</v>
      </c>
    </row>
    <row r="10" spans="1:10" x14ac:dyDescent="0.25">
      <c r="A10" s="747"/>
      <c r="B10" s="744"/>
      <c r="C10" s="745" t="s">
        <v>19</v>
      </c>
      <c r="D10" s="745"/>
      <c r="E10" s="745"/>
      <c r="F10" s="5" t="s">
        <v>3</v>
      </c>
      <c r="I10" s="508"/>
      <c r="J10" s="508"/>
    </row>
    <row r="11" spans="1:10" x14ac:dyDescent="0.25">
      <c r="A11" s="747"/>
      <c r="B11" s="116" t="s">
        <v>20</v>
      </c>
      <c r="C11" s="745" t="s">
        <v>21</v>
      </c>
      <c r="D11" s="745"/>
      <c r="E11" s="745"/>
      <c r="F11" s="5" t="s">
        <v>3</v>
      </c>
      <c r="I11" s="508"/>
      <c r="J11" s="508"/>
    </row>
    <row r="12" spans="1:10" x14ac:dyDescent="0.25">
      <c r="A12" s="744" t="s">
        <v>22</v>
      </c>
      <c r="B12" s="764" t="s">
        <v>23</v>
      </c>
      <c r="C12" s="765" t="s">
        <v>24</v>
      </c>
      <c r="D12" s="765"/>
      <c r="E12" s="765"/>
      <c r="F12" s="410">
        <v>2025</v>
      </c>
    </row>
    <row r="13" spans="1:10" x14ac:dyDescent="0.25">
      <c r="A13" s="744"/>
      <c r="B13" s="764"/>
      <c r="C13" s="765" t="s">
        <v>25</v>
      </c>
      <c r="D13" s="765"/>
      <c r="E13" s="765"/>
      <c r="F13" s="5" t="s">
        <v>26</v>
      </c>
    </row>
    <row r="14" spans="1:10" x14ac:dyDescent="0.25">
      <c r="A14" s="744"/>
      <c r="B14" s="5" t="s">
        <v>27</v>
      </c>
      <c r="C14" s="746" t="s">
        <v>28</v>
      </c>
      <c r="D14" s="746"/>
      <c r="E14" s="746"/>
      <c r="F14" s="5" t="s">
        <v>3</v>
      </c>
    </row>
    <row r="15" spans="1:10" x14ac:dyDescent="0.25">
      <c r="A15" s="744"/>
      <c r="B15" s="5" t="s">
        <v>29</v>
      </c>
      <c r="C15" s="745" t="s">
        <v>30</v>
      </c>
      <c r="D15" s="745"/>
      <c r="E15" s="745"/>
      <c r="F15" s="5" t="s">
        <v>3</v>
      </c>
    </row>
    <row r="16" spans="1:10" x14ac:dyDescent="0.25">
      <c r="A16" s="744"/>
      <c r="B16" s="5" t="s">
        <v>31</v>
      </c>
      <c r="C16" s="745" t="s">
        <v>32</v>
      </c>
      <c r="D16" s="745"/>
      <c r="E16" s="745"/>
      <c r="F16" s="5" t="s">
        <v>3</v>
      </c>
    </row>
    <row r="17" spans="1:6" x14ac:dyDescent="0.25">
      <c r="A17" s="744"/>
      <c r="B17" s="531" t="s">
        <v>33</v>
      </c>
      <c r="C17" s="746" t="s">
        <v>34</v>
      </c>
      <c r="D17" s="746"/>
      <c r="E17" s="746"/>
      <c r="F17" s="5" t="s">
        <v>3</v>
      </c>
    </row>
    <row r="18" spans="1:6" ht="14.4" customHeight="1" x14ac:dyDescent="0.25">
      <c r="A18" s="744" t="s">
        <v>35</v>
      </c>
      <c r="B18" s="5" t="s">
        <v>36</v>
      </c>
      <c r="C18" s="745" t="s">
        <v>37</v>
      </c>
      <c r="D18" s="745"/>
      <c r="E18" s="745"/>
      <c r="F18" s="5" t="s">
        <v>3</v>
      </c>
    </row>
    <row r="19" spans="1:6" ht="14.4" customHeight="1" x14ac:dyDescent="0.25">
      <c r="A19" s="744"/>
      <c r="B19" s="531" t="s">
        <v>38</v>
      </c>
      <c r="C19" s="746" t="s">
        <v>39</v>
      </c>
      <c r="D19" s="746"/>
      <c r="E19" s="746"/>
      <c r="F19" s="5" t="s">
        <v>3</v>
      </c>
    </row>
    <row r="20" spans="1:6" ht="14.4" customHeight="1" x14ac:dyDescent="0.25">
      <c r="A20" s="744"/>
      <c r="B20" s="5" t="s">
        <v>40</v>
      </c>
      <c r="C20" s="745" t="s">
        <v>37</v>
      </c>
      <c r="D20" s="745"/>
      <c r="E20" s="745"/>
      <c r="F20" s="5" t="s">
        <v>3</v>
      </c>
    </row>
    <row r="21" spans="1:6" x14ac:dyDescent="0.25">
      <c r="A21" s="744"/>
      <c r="B21" s="116" t="s">
        <v>41</v>
      </c>
      <c r="C21" s="745" t="s">
        <v>42</v>
      </c>
      <c r="D21" s="745"/>
      <c r="E21" s="745"/>
      <c r="F21" s="5" t="s">
        <v>3</v>
      </c>
    </row>
    <row r="22" spans="1:6" x14ac:dyDescent="0.25">
      <c r="A22" s="744"/>
      <c r="B22" s="5" t="s">
        <v>43</v>
      </c>
      <c r="C22" s="745" t="s">
        <v>44</v>
      </c>
      <c r="D22" s="745"/>
      <c r="E22" s="745"/>
      <c r="F22" s="5" t="s">
        <v>3</v>
      </c>
    </row>
    <row r="23" spans="1:6" x14ac:dyDescent="0.25">
      <c r="A23" s="744"/>
      <c r="B23" s="5" t="s">
        <v>45</v>
      </c>
      <c r="C23" s="745" t="s">
        <v>46</v>
      </c>
      <c r="D23" s="745"/>
      <c r="E23" s="745"/>
      <c r="F23" s="5" t="s">
        <v>3</v>
      </c>
    </row>
    <row r="24" spans="1:6" x14ac:dyDescent="0.25">
      <c r="A24" s="744"/>
      <c r="B24" s="5" t="s">
        <v>47</v>
      </c>
      <c r="C24" s="745" t="s">
        <v>48</v>
      </c>
      <c r="D24" s="745"/>
      <c r="E24" s="745"/>
      <c r="F24" s="5" t="s">
        <v>3</v>
      </c>
    </row>
    <row r="25" spans="1:6" ht="26.4" x14ac:dyDescent="0.25">
      <c r="A25" s="744"/>
      <c r="B25" s="99" t="s">
        <v>49</v>
      </c>
      <c r="C25" s="767" t="s">
        <v>50</v>
      </c>
      <c r="D25" s="766"/>
      <c r="E25" s="766"/>
    </row>
    <row r="26" spans="1:6" ht="39.6" x14ac:dyDescent="0.25">
      <c r="A26" s="744"/>
      <c r="B26" s="116" t="s">
        <v>51</v>
      </c>
      <c r="C26" s="765" t="s">
        <v>52</v>
      </c>
      <c r="D26" s="765"/>
      <c r="E26" s="765"/>
      <c r="F26" s="5" t="s">
        <v>3</v>
      </c>
    </row>
    <row r="27" spans="1:6" ht="26.4" x14ac:dyDescent="0.25">
      <c r="A27" s="744"/>
      <c r="B27" s="532" t="s">
        <v>53</v>
      </c>
      <c r="C27" s="766" t="s">
        <v>54</v>
      </c>
      <c r="D27" s="766"/>
      <c r="E27" s="766"/>
      <c r="F27" s="416"/>
    </row>
    <row r="28" spans="1:6" x14ac:dyDescent="0.25">
      <c r="A28" s="744"/>
      <c r="B28" s="531" t="s">
        <v>55</v>
      </c>
      <c r="C28" s="746" t="s">
        <v>56</v>
      </c>
      <c r="D28" s="746"/>
      <c r="E28" s="746"/>
      <c r="F28" s="5" t="s">
        <v>3</v>
      </c>
    </row>
    <row r="29" spans="1:6" x14ac:dyDescent="0.25">
      <c r="A29" s="744"/>
      <c r="B29" s="531" t="s">
        <v>57</v>
      </c>
      <c r="C29" s="746" t="s">
        <v>58</v>
      </c>
      <c r="D29" s="746"/>
      <c r="E29" s="746"/>
      <c r="F29" s="5" t="s">
        <v>3</v>
      </c>
    </row>
    <row r="30" spans="1:6" x14ac:dyDescent="0.25">
      <c r="A30" s="744"/>
      <c r="B30" s="531" t="s">
        <v>59</v>
      </c>
      <c r="C30" s="746" t="s">
        <v>60</v>
      </c>
      <c r="D30" s="746"/>
      <c r="E30" s="746"/>
      <c r="F30" s="5" t="s">
        <v>3</v>
      </c>
    </row>
    <row r="31" spans="1:6" x14ac:dyDescent="0.25">
      <c r="C31" s="763"/>
      <c r="D31" s="763"/>
      <c r="E31" s="763"/>
      <c r="F31" s="5" t="s">
        <v>3</v>
      </c>
    </row>
    <row r="32" spans="1:6" ht="18.600000000000001" customHeight="1" x14ac:dyDescent="0.25">
      <c r="A32" s="743" t="s">
        <v>61</v>
      </c>
      <c r="B32" s="743"/>
      <c r="C32" s="743"/>
      <c r="D32" s="743"/>
      <c r="E32" s="743"/>
    </row>
    <row r="33" spans="1:11" x14ac:dyDescent="0.25">
      <c r="C33" s="510"/>
      <c r="D33" s="510"/>
      <c r="E33" s="510"/>
    </row>
    <row r="34" spans="1:11" x14ac:dyDescent="0.25">
      <c r="C34" s="510"/>
      <c r="D34" s="510"/>
      <c r="E34" s="510"/>
      <c r="H34" s="748" t="s">
        <v>62</v>
      </c>
      <c r="I34" s="749"/>
      <c r="J34" s="749"/>
      <c r="K34" s="750"/>
    </row>
    <row r="35" spans="1:11" x14ac:dyDescent="0.25">
      <c r="C35" s="510"/>
      <c r="D35" s="510"/>
      <c r="E35" s="510"/>
      <c r="G35" s="103" t="s">
        <v>63</v>
      </c>
      <c r="H35" s="70" t="s">
        <v>64</v>
      </c>
      <c r="I35" s="70" t="s">
        <v>65</v>
      </c>
      <c r="J35" s="70" t="s">
        <v>66</v>
      </c>
      <c r="K35" s="70" t="s">
        <v>67</v>
      </c>
    </row>
    <row r="36" spans="1:11" x14ac:dyDescent="0.25">
      <c r="C36" s="510"/>
      <c r="D36" s="510"/>
      <c r="E36" s="510"/>
      <c r="G36" s="103" t="s">
        <v>68</v>
      </c>
      <c r="H36" s="69">
        <v>248465.9</v>
      </c>
      <c r="I36" s="69">
        <v>93016.2</v>
      </c>
      <c r="J36" s="69">
        <v>62305.700000000012</v>
      </c>
      <c r="K36" s="69">
        <v>27851.1</v>
      </c>
    </row>
    <row r="37" spans="1:11" x14ac:dyDescent="0.25">
      <c r="C37" s="510"/>
      <c r="D37" s="510"/>
      <c r="E37" s="510"/>
    </row>
    <row r="38" spans="1:11" x14ac:dyDescent="0.25">
      <c r="C38" s="510"/>
      <c r="D38" s="510"/>
      <c r="E38" s="510"/>
    </row>
    <row r="39" spans="1:11" x14ac:dyDescent="0.25">
      <c r="C39" s="510"/>
      <c r="D39" s="510"/>
      <c r="E39" s="510"/>
    </row>
    <row r="40" spans="1:11" x14ac:dyDescent="0.25">
      <c r="C40" s="510"/>
      <c r="D40" s="510"/>
      <c r="E40" s="510"/>
    </row>
    <row r="41" spans="1:11" x14ac:dyDescent="0.25">
      <c r="C41" s="510"/>
      <c r="D41" s="510"/>
      <c r="E41" s="510"/>
    </row>
    <row r="42" spans="1:11" x14ac:dyDescent="0.25">
      <c r="C42" s="510"/>
      <c r="D42" s="510"/>
      <c r="E42" s="510"/>
    </row>
    <row r="43" spans="1:11" x14ac:dyDescent="0.25">
      <c r="C43" s="510"/>
      <c r="D43" s="510"/>
      <c r="E43" s="510"/>
    </row>
    <row r="44" spans="1:11" x14ac:dyDescent="0.25">
      <c r="B44" s="72" t="s">
        <v>69</v>
      </c>
      <c r="C44" s="510"/>
      <c r="D44" s="510"/>
      <c r="E44" s="510"/>
    </row>
    <row r="45" spans="1:11" ht="19.2" customHeight="1" x14ac:dyDescent="0.25">
      <c r="A45" s="756" t="s">
        <v>70</v>
      </c>
      <c r="B45" s="757"/>
      <c r="C45" s="757"/>
      <c r="D45" s="757"/>
      <c r="E45" s="757"/>
    </row>
    <row r="46" spans="1:11" ht="119.4" customHeight="1" x14ac:dyDescent="0.25">
      <c r="A46" s="513" t="s">
        <v>71</v>
      </c>
      <c r="B46" s="761" t="s">
        <v>72</v>
      </c>
      <c r="C46" s="761"/>
      <c r="D46" s="761"/>
      <c r="E46" s="762"/>
    </row>
    <row r="47" spans="1:11" ht="28.95" customHeight="1" x14ac:dyDescent="0.25">
      <c r="A47" s="758" t="s">
        <v>73</v>
      </c>
      <c r="B47" s="759"/>
      <c r="C47" s="759"/>
      <c r="D47" s="759"/>
      <c r="E47" s="760"/>
      <c r="G47" s="7"/>
      <c r="H47" s="173"/>
      <c r="I47" s="173"/>
      <c r="J47" s="173"/>
    </row>
    <row r="48" spans="1:11" ht="23.4" customHeight="1" x14ac:dyDescent="0.25">
      <c r="A48" s="751" t="s">
        <v>74</v>
      </c>
      <c r="B48" s="744"/>
      <c r="C48" s="744"/>
      <c r="D48" s="744"/>
      <c r="E48" s="752"/>
      <c r="G48" s="7"/>
      <c r="H48" s="173"/>
      <c r="I48" s="173"/>
      <c r="J48" s="173"/>
    </row>
    <row r="49" spans="1:10" ht="25.2" customHeight="1" x14ac:dyDescent="0.25">
      <c r="A49" s="751" t="s">
        <v>75</v>
      </c>
      <c r="B49" s="744"/>
      <c r="C49" s="744"/>
      <c r="D49" s="744"/>
      <c r="E49" s="752"/>
      <c r="G49" s="7"/>
      <c r="H49" s="173"/>
      <c r="I49" s="173"/>
      <c r="J49" s="173"/>
    </row>
    <row r="50" spans="1:10" ht="85.95" customHeight="1" x14ac:dyDescent="0.25">
      <c r="A50" s="753" t="s">
        <v>76</v>
      </c>
      <c r="B50" s="754"/>
      <c r="C50" s="754"/>
      <c r="D50" s="754"/>
      <c r="E50" s="755"/>
      <c r="G50" s="7"/>
      <c r="H50" s="173"/>
      <c r="I50" s="173"/>
      <c r="J50" s="173"/>
    </row>
    <row r="51" spans="1:10" ht="14.7" customHeight="1" x14ac:dyDescent="0.25">
      <c r="A51" s="74"/>
      <c r="B51" s="73"/>
      <c r="C51" s="73"/>
      <c r="D51" s="73"/>
      <c r="E51" s="75"/>
      <c r="G51" s="7"/>
      <c r="H51" s="173"/>
      <c r="I51" s="173"/>
      <c r="J51" s="173"/>
    </row>
    <row r="52" spans="1:10" ht="14.7" customHeight="1" x14ac:dyDescent="0.25">
      <c r="A52" s="74"/>
      <c r="B52" s="73"/>
      <c r="C52" s="73"/>
      <c r="D52" s="73"/>
      <c r="E52" s="75"/>
      <c r="G52" s="7"/>
      <c r="H52" s="173"/>
      <c r="I52" s="173"/>
      <c r="J52" s="173"/>
    </row>
    <row r="53" spans="1:10" ht="24" x14ac:dyDescent="0.25">
      <c r="A53" s="76"/>
      <c r="B53" s="148" t="s">
        <v>77</v>
      </c>
      <c r="C53" s="148" t="s">
        <v>78</v>
      </c>
      <c r="D53" s="148" t="s">
        <v>79</v>
      </c>
      <c r="E53" s="421" t="s">
        <v>80</v>
      </c>
      <c r="G53" s="7"/>
      <c r="H53" s="26"/>
      <c r="I53" s="26"/>
      <c r="J53" s="26"/>
    </row>
    <row r="54" spans="1:10" x14ac:dyDescent="0.25">
      <c r="A54" s="76"/>
      <c r="B54" s="79" t="s">
        <v>81</v>
      </c>
      <c r="C54" s="79">
        <v>6</v>
      </c>
      <c r="D54" s="112">
        <v>40000</v>
      </c>
      <c r="E54" s="422">
        <v>250000</v>
      </c>
    </row>
    <row r="55" spans="1:10" x14ac:dyDescent="0.25">
      <c r="A55" s="76"/>
      <c r="B55" s="79" t="s">
        <v>82</v>
      </c>
      <c r="C55" s="79">
        <v>9</v>
      </c>
      <c r="D55" s="112">
        <v>35555</v>
      </c>
      <c r="E55" s="422">
        <v>320000</v>
      </c>
    </row>
    <row r="56" spans="1:10" x14ac:dyDescent="0.25">
      <c r="A56" s="74"/>
      <c r="B56" s="420" t="s">
        <v>83</v>
      </c>
      <c r="C56" s="73"/>
      <c r="D56" s="73"/>
      <c r="E56" s="75"/>
    </row>
    <row r="57" spans="1:10" x14ac:dyDescent="0.25">
      <c r="A57" s="74"/>
      <c r="B57" s="73"/>
      <c r="C57" s="73"/>
      <c r="D57" s="73"/>
      <c r="E57" s="75"/>
    </row>
    <row r="58" spans="1:10" ht="24" x14ac:dyDescent="0.25">
      <c r="A58" s="74"/>
      <c r="B58" s="148" t="s">
        <v>84</v>
      </c>
      <c r="C58" s="148" t="s">
        <v>78</v>
      </c>
      <c r="D58" s="148" t="s">
        <v>85</v>
      </c>
      <c r="E58" s="421" t="s">
        <v>80</v>
      </c>
    </row>
    <row r="59" spans="1:10" x14ac:dyDescent="0.25">
      <c r="A59" s="74"/>
      <c r="B59" s="419" t="s">
        <v>86</v>
      </c>
      <c r="C59" s="419">
        <v>13</v>
      </c>
      <c r="D59" s="419">
        <v>38400</v>
      </c>
      <c r="E59" s="423">
        <v>498000</v>
      </c>
    </row>
    <row r="60" spans="1:10" x14ac:dyDescent="0.25">
      <c r="A60" s="74"/>
      <c r="B60" s="419" t="s">
        <v>87</v>
      </c>
      <c r="C60" s="419">
        <v>13</v>
      </c>
      <c r="D60" s="419">
        <v>38400</v>
      </c>
      <c r="E60" s="423">
        <v>498000</v>
      </c>
    </row>
    <row r="61" spans="1:10" x14ac:dyDescent="0.25">
      <c r="A61" s="74"/>
      <c r="B61" s="419" t="s">
        <v>88</v>
      </c>
      <c r="C61" s="113">
        <v>10</v>
      </c>
      <c r="D61" s="113">
        <v>17500</v>
      </c>
      <c r="E61" s="424">
        <v>175000</v>
      </c>
    </row>
    <row r="62" spans="1:10" ht="14.4" x14ac:dyDescent="0.3">
      <c r="A62" s="74"/>
      <c r="B62" s="73"/>
      <c r="C62" s="73"/>
      <c r="D62" s="73"/>
      <c r="E62" s="75"/>
      <c r="H62"/>
    </row>
    <row r="63" spans="1:10" x14ac:dyDescent="0.25">
      <c r="A63" s="73"/>
      <c r="B63" s="73"/>
      <c r="C63" s="73"/>
      <c r="D63" s="73"/>
      <c r="E63" s="75"/>
    </row>
    <row r="64" spans="1:10" x14ac:dyDescent="0.25">
      <c r="A64" s="73"/>
      <c r="B64" s="73"/>
      <c r="C64" s="73"/>
      <c r="D64" s="73"/>
      <c r="E64" s="75"/>
    </row>
    <row r="65" spans="1:9" x14ac:dyDescent="0.25">
      <c r="A65" s="73"/>
      <c r="B65" s="73"/>
      <c r="C65" s="73"/>
      <c r="D65" s="73"/>
      <c r="E65" s="75"/>
    </row>
    <row r="66" spans="1:9" x14ac:dyDescent="0.25">
      <c r="A66" s="73"/>
      <c r="B66" s="73"/>
      <c r="C66" s="73"/>
      <c r="D66" s="73"/>
      <c r="E66" s="75"/>
    </row>
    <row r="67" spans="1:9" x14ac:dyDescent="0.25">
      <c r="A67" s="73"/>
      <c r="B67" s="73"/>
      <c r="C67" s="73"/>
      <c r="D67" s="73"/>
      <c r="E67" s="75"/>
    </row>
    <row r="68" spans="1:9" x14ac:dyDescent="0.25">
      <c r="A68" s="73"/>
      <c r="B68" s="73"/>
      <c r="C68" s="73"/>
      <c r="D68" s="73"/>
      <c r="E68" s="75"/>
    </row>
    <row r="69" spans="1:9" x14ac:dyDescent="0.25">
      <c r="A69" s="73"/>
      <c r="B69" s="73"/>
      <c r="C69" s="73"/>
      <c r="D69" s="73"/>
      <c r="E69" s="75"/>
    </row>
    <row r="70" spans="1:9" x14ac:dyDescent="0.25">
      <c r="A70" s="73"/>
      <c r="B70" s="73"/>
      <c r="C70" s="73"/>
      <c r="D70" s="73"/>
      <c r="E70" s="75"/>
    </row>
    <row r="71" spans="1:9" x14ac:dyDescent="0.25">
      <c r="A71" s="73"/>
      <c r="B71" s="73"/>
      <c r="C71" s="73"/>
      <c r="D71" s="73"/>
      <c r="E71" s="75"/>
    </row>
    <row r="72" spans="1:9" x14ac:dyDescent="0.25">
      <c r="A72" s="73"/>
      <c r="B72" s="73"/>
      <c r="C72" s="73"/>
      <c r="D72" s="73"/>
      <c r="E72" s="75"/>
      <c r="I72" s="32"/>
    </row>
    <row r="73" spans="1:9" x14ac:dyDescent="0.25">
      <c r="A73" s="73"/>
      <c r="B73" s="73"/>
      <c r="C73" s="73"/>
      <c r="D73" s="73"/>
      <c r="E73" s="75"/>
    </row>
    <row r="74" spans="1:9" x14ac:dyDescent="0.25">
      <c r="A74" s="73"/>
      <c r="B74" s="73"/>
      <c r="C74" s="73"/>
      <c r="D74" s="73"/>
      <c r="E74" s="75"/>
    </row>
    <row r="75" spans="1:9" x14ac:dyDescent="0.25">
      <c r="A75" s="73"/>
      <c r="B75" s="73"/>
      <c r="C75" s="73"/>
      <c r="D75" s="73"/>
      <c r="E75" s="75"/>
    </row>
    <row r="76" spans="1:9" x14ac:dyDescent="0.25">
      <c r="A76" s="73"/>
      <c r="B76" s="420" t="s">
        <v>83</v>
      </c>
      <c r="C76" s="73"/>
      <c r="D76" s="73"/>
      <c r="E76" s="75"/>
    </row>
    <row r="77" spans="1:9" x14ac:dyDescent="0.25">
      <c r="A77" s="77"/>
      <c r="B77" s="77"/>
      <c r="C77" s="77"/>
      <c r="D77" s="77"/>
      <c r="E77" s="78"/>
    </row>
    <row r="79" spans="1:9" x14ac:dyDescent="0.25">
      <c r="B79" s="173"/>
      <c r="C79" s="6"/>
      <c r="D79" s="6"/>
      <c r="E79" s="6"/>
    </row>
    <row r="80" spans="1:9" x14ac:dyDescent="0.25">
      <c r="B80" s="507"/>
      <c r="C80" s="173"/>
      <c r="D80" s="173"/>
      <c r="E80" s="173"/>
    </row>
    <row r="81" spans="2:5" x14ac:dyDescent="0.25">
      <c r="B81" s="507"/>
      <c r="C81" s="415"/>
      <c r="D81" s="417"/>
      <c r="E81" s="173"/>
    </row>
    <row r="82" spans="2:5" x14ac:dyDescent="0.25">
      <c r="B82" s="507"/>
      <c r="C82" s="415"/>
      <c r="D82" s="417"/>
      <c r="E82" s="173"/>
    </row>
    <row r="83" spans="2:5" x14ac:dyDescent="0.25">
      <c r="B83" s="507"/>
      <c r="C83" s="415"/>
      <c r="D83" s="417"/>
      <c r="E83" s="173"/>
    </row>
    <row r="84" spans="2:5" x14ac:dyDescent="0.25">
      <c r="B84" s="507"/>
      <c r="C84" s="415"/>
      <c r="D84" s="415"/>
      <c r="E84" s="173"/>
    </row>
    <row r="85" spans="2:5" x14ac:dyDescent="0.25">
      <c r="B85" s="507"/>
      <c r="C85" s="415"/>
      <c r="D85" s="417"/>
      <c r="E85" s="173"/>
    </row>
    <row r="86" spans="2:5" x14ac:dyDescent="0.25">
      <c r="B86" s="507"/>
      <c r="C86" s="415"/>
      <c r="D86" s="417"/>
      <c r="E86" s="173"/>
    </row>
    <row r="87" spans="2:5" x14ac:dyDescent="0.25">
      <c r="B87" s="507"/>
      <c r="C87" s="415"/>
      <c r="D87" s="415"/>
      <c r="E87" s="173"/>
    </row>
    <row r="88" spans="2:5" x14ac:dyDescent="0.25">
      <c r="B88" s="507"/>
      <c r="C88" s="415"/>
      <c r="D88" s="415"/>
      <c r="E88" s="173"/>
    </row>
    <row r="89" spans="2:5" x14ac:dyDescent="0.25">
      <c r="B89" s="507"/>
      <c r="C89" s="415"/>
      <c r="D89" s="415"/>
      <c r="E89" s="173"/>
    </row>
    <row r="90" spans="2:5" x14ac:dyDescent="0.25">
      <c r="B90" s="507"/>
      <c r="C90" s="415"/>
      <c r="D90" s="417"/>
      <c r="E90" s="173"/>
    </row>
    <row r="91" spans="2:5" x14ac:dyDescent="0.25">
      <c r="B91" s="507"/>
      <c r="C91" s="418"/>
      <c r="D91" s="417"/>
      <c r="E91" s="173"/>
    </row>
  </sheetData>
  <mergeCells count="45">
    <mergeCell ref="A12:A17"/>
    <mergeCell ref="C17:E17"/>
    <mergeCell ref="C26:E26"/>
    <mergeCell ref="C24:E24"/>
    <mergeCell ref="C25:E25"/>
    <mergeCell ref="C15:E15"/>
    <mergeCell ref="C12:E12"/>
    <mergeCell ref="C31:E31"/>
    <mergeCell ref="B12:B13"/>
    <mergeCell ref="C13:E13"/>
    <mergeCell ref="C20:E20"/>
    <mergeCell ref="C27:E27"/>
    <mergeCell ref="C14:E14"/>
    <mergeCell ref="C29:E29"/>
    <mergeCell ref="C18:E18"/>
    <mergeCell ref="C16:E16"/>
    <mergeCell ref="C19:E19"/>
    <mergeCell ref="C23:E23"/>
    <mergeCell ref="C22:E22"/>
    <mergeCell ref="C21:E21"/>
    <mergeCell ref="C28:E28"/>
    <mergeCell ref="C30:E30"/>
    <mergeCell ref="H34:K34"/>
    <mergeCell ref="A49:E49"/>
    <mergeCell ref="A50:E50"/>
    <mergeCell ref="A45:E45"/>
    <mergeCell ref="A47:E47"/>
    <mergeCell ref="A48:E48"/>
    <mergeCell ref="B46:E46"/>
    <mergeCell ref="A32:E32"/>
    <mergeCell ref="A18:A30"/>
    <mergeCell ref="A1:E1"/>
    <mergeCell ref="C2:E2"/>
    <mergeCell ref="C3:E3"/>
    <mergeCell ref="C4:E4"/>
    <mergeCell ref="B9:B10"/>
    <mergeCell ref="A6:A11"/>
    <mergeCell ref="C5:E5"/>
    <mergeCell ref="C6:E6"/>
    <mergeCell ref="C8:E8"/>
    <mergeCell ref="C7:E7"/>
    <mergeCell ref="C9:E9"/>
    <mergeCell ref="C10:E10"/>
    <mergeCell ref="A2:A5"/>
    <mergeCell ref="C11:E11"/>
  </mergeCells>
  <hyperlinks>
    <hyperlink ref="C6" r:id="rId1" xr:uid="{BE11EEF8-3AF7-48F0-A38B-7309CE5A9491}"/>
    <hyperlink ref="C7" r:id="rId2" location="Commercial" xr:uid="{626A4776-C2FA-489E-88C0-BC9C7C8EA36F}"/>
    <hyperlink ref="C8" r:id="rId3" xr:uid="{0DEB00BB-3A26-4527-9ED4-40D17F93A579}"/>
    <hyperlink ref="C11" r:id="rId4" xr:uid="{D14B6EC5-BCC7-426A-80E2-ABDCDB2AD5D2}"/>
    <hyperlink ref="C9" r:id="rId5" xr:uid="{AE8EA408-D823-4137-A50D-85E211D1C33C}"/>
    <hyperlink ref="C10" r:id="rId6" xr:uid="{C4B1DFF1-F8B2-480D-9A3C-3D28656FF0E4}"/>
    <hyperlink ref="C22" r:id="rId7" xr:uid="{D11E5EA6-B8EC-4C52-AF72-2ACC992F0B5F}"/>
    <hyperlink ref="C23" r:id="rId8" xr:uid="{7EF3A75A-F2A2-48EA-B4F3-37539DD12601}"/>
    <hyperlink ref="C24" r:id="rId9" xr:uid="{0D1D6F5B-69A6-4D10-9E60-03D39B2BA78B}"/>
    <hyperlink ref="C26" r:id="rId10" xr:uid="{3D1AC788-C575-461B-8B26-F2FBC3DF6AE4}"/>
    <hyperlink ref="C21" r:id="rId11" display="https://title24stakeholders.com/wp-content/uploads/2016/10/T24-2019-CASE-Study-Results-Report-Outdoor-Sources_Final_with-Attachments.pdf" xr:uid="{C956E120-405C-4658-80C6-3430A78199E1}"/>
    <hyperlink ref="C27" r:id="rId12" xr:uid="{EF19DACB-936B-4698-A384-899264127E3D}"/>
    <hyperlink ref="C16" r:id="rId13" xr:uid="{426024EC-595F-40BA-B91B-82E42C9C246A}"/>
    <hyperlink ref="C15" r:id="rId14" xr:uid="{58675969-CACB-42A0-87D6-903148673AEC}"/>
    <hyperlink ref="C4" r:id="rId15" xr:uid="{F5062290-821A-4740-BC5A-EF751F4DE859}"/>
    <hyperlink ref="C3" r:id="rId16" xr:uid="{CC10B209-6149-44C0-B19D-0FFF4F653A59}"/>
    <hyperlink ref="C17" r:id="rId17" xr:uid="{88819272-BD54-4E53-9DEA-22717078A7D1}"/>
    <hyperlink ref="C25" r:id="rId18" xr:uid="{6224FF9D-60B3-4F42-AF98-E8C128D3B78E}"/>
    <hyperlink ref="C28" r:id="rId19" xr:uid="{884E6B0A-7DD1-420B-836D-3AA532625C72}"/>
    <hyperlink ref="C29" r:id="rId20" xr:uid="{48223C5F-CB79-4222-AF3D-6C5C3CB9CC3D}"/>
    <hyperlink ref="C30" r:id="rId21" xr:uid="{ABAA9C58-E0C9-4252-A863-645CE4624543}"/>
    <hyperlink ref="C13" r:id="rId22" xr:uid="{3E360F68-FD37-4308-98BD-CBFDB7C8E5DD}"/>
    <hyperlink ref="C12" r:id="rId23" xr:uid="{F2BDAF6D-70E1-45CA-9E14-639E5271386B}"/>
    <hyperlink ref="C20" r:id="rId24" display="Infiltration_rate_report_14May2025-Short-Version.docx" xr:uid="{C0715FFF-EF4D-46EE-A3CA-0A6CB05B0C28}"/>
  </hyperlinks>
  <pageMargins left="0.7" right="0.7" top="0.75" bottom="0.75" header="0.3" footer="0.3"/>
  <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3"/>
  <sheetViews>
    <sheetView tabSelected="1" zoomScaleNormal="100" workbookViewId="0">
      <selection sqref="A1:C1"/>
    </sheetView>
  </sheetViews>
  <sheetFormatPr defaultColWidth="9.33203125" defaultRowHeight="13.8" x14ac:dyDescent="0.25"/>
  <cols>
    <col min="1" max="1" width="25" style="3" customWidth="1"/>
    <col min="2" max="2" width="51.33203125" style="3" customWidth="1"/>
    <col min="3" max="3" width="51.44140625" style="3" customWidth="1"/>
    <col min="4" max="5" width="50.5546875" style="3" customWidth="1"/>
    <col min="6" max="9" width="8.6640625" style="3" customWidth="1"/>
    <col min="10" max="16384" width="9.33203125" style="3"/>
  </cols>
  <sheetData>
    <row r="1" spans="1:9" ht="17.399999999999999" x14ac:dyDescent="0.25">
      <c r="A1" s="740" t="s">
        <v>89</v>
      </c>
      <c r="B1" s="740"/>
      <c r="C1" s="740"/>
      <c r="D1" s="9"/>
      <c r="E1" s="9"/>
      <c r="F1" s="9"/>
    </row>
    <row r="2" spans="1:9" ht="25.2" customHeight="1" x14ac:dyDescent="0.25">
      <c r="A2" s="741" t="s">
        <v>90</v>
      </c>
      <c r="B2" s="742"/>
      <c r="C2" s="742"/>
      <c r="D2" s="9"/>
      <c r="E2" s="9"/>
      <c r="F2" s="9"/>
    </row>
    <row r="3" spans="1:9" ht="20.399999999999999" customHeight="1" x14ac:dyDescent="0.25">
      <c r="A3" s="16" t="s">
        <v>91</v>
      </c>
      <c r="B3" s="524" t="s">
        <v>92</v>
      </c>
      <c r="C3" s="17" t="s">
        <v>0</v>
      </c>
    </row>
    <row r="4" spans="1:9" ht="16.2" customHeight="1" x14ac:dyDescent="0.25">
      <c r="A4" s="14" t="s">
        <v>93</v>
      </c>
      <c r="B4" s="174" t="s">
        <v>94</v>
      </c>
      <c r="C4" s="14"/>
    </row>
    <row r="5" spans="1:9" ht="16.2" customHeight="1" x14ac:dyDescent="0.25">
      <c r="A5" s="14" t="s">
        <v>95</v>
      </c>
      <c r="B5" s="174" t="s">
        <v>96</v>
      </c>
      <c r="C5" s="14"/>
    </row>
    <row r="6" spans="1:9" ht="16.2" customHeight="1" x14ac:dyDescent="0.25">
      <c r="A6" s="533" t="s">
        <v>97</v>
      </c>
      <c r="B6" s="534" t="s">
        <v>98</v>
      </c>
      <c r="C6" s="14"/>
    </row>
    <row r="7" spans="1:9" ht="95.4" customHeight="1" x14ac:dyDescent="0.25">
      <c r="A7" s="14" t="s">
        <v>99</v>
      </c>
      <c r="B7" s="175" t="s">
        <v>100</v>
      </c>
      <c r="C7" s="15" t="s">
        <v>101</v>
      </c>
      <c r="D7" s="509"/>
    </row>
    <row r="8" spans="1:9" ht="144.6" customHeight="1" x14ac:dyDescent="0.25">
      <c r="A8" s="14" t="s">
        <v>102</v>
      </c>
      <c r="B8" s="174"/>
      <c r="C8" s="15" t="s">
        <v>103</v>
      </c>
      <c r="D8" s="431"/>
      <c r="E8" s="63" t="s">
        <v>3</v>
      </c>
      <c r="F8" s="63"/>
      <c r="G8" s="63"/>
      <c r="I8" s="4"/>
    </row>
    <row r="9" spans="1:9" ht="23.4" customHeight="1" x14ac:dyDescent="0.25">
      <c r="A9" s="10" t="s">
        <v>104</v>
      </c>
      <c r="B9" s="11" t="s">
        <v>105</v>
      </c>
      <c r="C9" s="15" t="s">
        <v>106</v>
      </c>
    </row>
    <row r="10" spans="1:9" ht="30" customHeight="1" x14ac:dyDescent="0.25">
      <c r="A10" s="10" t="s">
        <v>107</v>
      </c>
      <c r="B10" s="62">
        <v>1.5</v>
      </c>
      <c r="C10" s="25" t="s">
        <v>108</v>
      </c>
    </row>
    <row r="11" spans="1:9" ht="27.6" customHeight="1" x14ac:dyDescent="0.25">
      <c r="A11" s="12" t="s">
        <v>109</v>
      </c>
      <c r="B11" s="174" t="s">
        <v>110</v>
      </c>
      <c r="C11" s="25" t="s">
        <v>111</v>
      </c>
    </row>
    <row r="12" spans="1:9" ht="24" customHeight="1" x14ac:dyDescent="0.25">
      <c r="A12" s="12" t="s">
        <v>112</v>
      </c>
      <c r="B12" s="174" t="s">
        <v>113</v>
      </c>
      <c r="C12" s="395" t="s">
        <v>114</v>
      </c>
    </row>
    <row r="13" spans="1:9" x14ac:dyDescent="0.25">
      <c r="A13" s="12" t="s">
        <v>115</v>
      </c>
      <c r="B13" s="175" t="s">
        <v>116</v>
      </c>
      <c r="C13" s="15"/>
    </row>
    <row r="14" spans="1:9" x14ac:dyDescent="0.25">
      <c r="A14" s="10" t="s">
        <v>117</v>
      </c>
      <c r="B14" s="174" t="s">
        <v>118</v>
      </c>
      <c r="C14" s="14"/>
    </row>
    <row r="15" spans="1:9" ht="14.7" customHeight="1" x14ac:dyDescent="0.25">
      <c r="A15" s="10" t="s">
        <v>119</v>
      </c>
      <c r="B15" s="13" t="s">
        <v>120</v>
      </c>
      <c r="C15" s="14"/>
    </row>
    <row r="16" spans="1:9" ht="27.6" customHeight="1" x14ac:dyDescent="0.25">
      <c r="A16" s="10" t="s">
        <v>121</v>
      </c>
      <c r="B16" s="174">
        <v>13</v>
      </c>
      <c r="C16" s="15" t="s">
        <v>122</v>
      </c>
    </row>
    <row r="17" spans="1:5" ht="25.95" customHeight="1" x14ac:dyDescent="0.25">
      <c r="A17" s="10" t="s">
        <v>123</v>
      </c>
      <c r="B17" s="174">
        <v>9</v>
      </c>
      <c r="C17" s="15" t="s">
        <v>108</v>
      </c>
    </row>
    <row r="18" spans="1:5" ht="21.75" customHeight="1" x14ac:dyDescent="0.25">
      <c r="A18" s="10" t="s">
        <v>124</v>
      </c>
      <c r="B18" s="175">
        <v>3</v>
      </c>
      <c r="C18" s="15" t="s">
        <v>108</v>
      </c>
    </row>
    <row r="20" spans="1:5" ht="14.4" x14ac:dyDescent="0.25">
      <c r="A20" s="371"/>
      <c r="B20" s="371"/>
      <c r="C20" s="371"/>
      <c r="D20" s="371"/>
      <c r="E20" s="371"/>
    </row>
    <row r="21" spans="1:5" ht="14.4" x14ac:dyDescent="0.25">
      <c r="A21" s="372"/>
      <c r="B21" s="372"/>
      <c r="C21" s="372"/>
      <c r="D21" s="372"/>
      <c r="E21" s="372"/>
    </row>
    <row r="22" spans="1:5" ht="12.75" customHeight="1" x14ac:dyDescent="0.25">
      <c r="A22" s="371"/>
      <c r="B22" s="371"/>
      <c r="C22" s="371"/>
      <c r="D22" s="371"/>
      <c r="E22" s="371"/>
    </row>
    <row r="23" spans="1:5" ht="12.75" customHeight="1" x14ac:dyDescent="0.25">
      <c r="A23" s="371"/>
      <c r="B23" s="371"/>
      <c r="C23" s="371"/>
      <c r="D23" s="371"/>
      <c r="E23" s="371"/>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O97"/>
  <sheetViews>
    <sheetView zoomScale="70" zoomScaleNormal="70" workbookViewId="0">
      <selection sqref="A1:M1"/>
    </sheetView>
  </sheetViews>
  <sheetFormatPr defaultColWidth="8.6640625" defaultRowHeight="12.75" customHeight="1" x14ac:dyDescent="0.3"/>
  <cols>
    <col min="1" max="1" width="17" style="6" customWidth="1"/>
    <col min="2" max="2" width="44.33203125" style="173" customWidth="1"/>
    <col min="3" max="3" width="53.5546875" style="6" customWidth="1"/>
    <col min="4" max="5" width="37.88671875" style="6" customWidth="1"/>
    <col min="6" max="6" width="19.6640625" style="6" customWidth="1"/>
    <col min="7" max="7" width="32.44140625" style="6" customWidth="1"/>
    <col min="8" max="8" width="14.33203125" style="6" customWidth="1"/>
    <col min="9" max="9" width="11.6640625" style="6" customWidth="1"/>
    <col min="10" max="10" width="12.6640625" style="6" customWidth="1"/>
    <col min="11" max="11" width="12" style="6" customWidth="1"/>
    <col min="12" max="12" width="11.33203125" style="6" customWidth="1"/>
    <col min="13" max="13" width="31.6640625" style="6" customWidth="1"/>
    <col min="14" max="14" width="42.109375" style="6" customWidth="1"/>
    <col min="15" max="15" width="6.109375" style="6" customWidth="1"/>
    <col min="16" max="16" width="12.6640625" style="6" customWidth="1"/>
    <col min="17" max="17" width="25.33203125" style="6" customWidth="1"/>
    <col min="18" max="18" width="22.33203125" style="6" customWidth="1"/>
    <col min="19" max="19" width="18.33203125" style="6" customWidth="1"/>
    <col min="20" max="20" width="12.109375" style="6" customWidth="1"/>
    <col min="21" max="21" width="25.6640625" style="6" customWidth="1"/>
    <col min="22" max="22" width="22.6640625" style="6" customWidth="1"/>
    <col min="23" max="23" width="16.33203125" style="6" customWidth="1"/>
    <col min="24" max="24" width="18.33203125" style="6" customWidth="1"/>
    <col min="25" max="25" width="17.33203125" style="6" customWidth="1"/>
    <col min="26" max="26" width="22" style="6" customWidth="1"/>
    <col min="27" max="27" width="26.6640625" style="6" customWidth="1"/>
    <col min="28" max="29" width="17.33203125" style="6" customWidth="1"/>
    <col min="30" max="30" width="15.109375" style="6" customWidth="1"/>
    <col min="31" max="32" width="8.6640625" style="6"/>
    <col min="33" max="33" width="12.5546875" style="6" bestFit="1" customWidth="1"/>
    <col min="34" max="16384" width="8.6640625" style="6"/>
  </cols>
  <sheetData>
    <row r="1" spans="1:32" ht="25.95" customHeight="1" x14ac:dyDescent="0.3">
      <c r="A1" s="743" t="str">
        <f>"Proposed Layout - "&amp;Prototype!A2</f>
        <v>Proposed Layout - OfficeLarge</v>
      </c>
      <c r="B1" s="743"/>
      <c r="C1" s="743"/>
      <c r="D1" s="743"/>
      <c r="E1" s="743"/>
      <c r="F1" s="743"/>
      <c r="G1" s="743"/>
      <c r="H1" s="743"/>
      <c r="I1" s="743"/>
      <c r="J1" s="743"/>
      <c r="K1" s="743"/>
      <c r="L1" s="743"/>
      <c r="M1" s="776"/>
      <c r="N1" s="344"/>
    </row>
    <row r="2" spans="1:32" ht="42.6" customHeight="1" x14ac:dyDescent="0.3">
      <c r="A2" s="535" t="s">
        <v>125</v>
      </c>
      <c r="B2" s="187" t="s">
        <v>126</v>
      </c>
      <c r="C2" s="187" t="s">
        <v>127</v>
      </c>
      <c r="D2" s="187" t="s">
        <v>128</v>
      </c>
      <c r="E2" s="187" t="s">
        <v>129</v>
      </c>
      <c r="F2" s="187" t="s">
        <v>130</v>
      </c>
      <c r="G2" s="187" t="s">
        <v>131</v>
      </c>
      <c r="H2" s="188" t="s">
        <v>132</v>
      </c>
      <c r="I2" s="189" t="s">
        <v>133</v>
      </c>
      <c r="J2" s="187" t="s">
        <v>134</v>
      </c>
      <c r="K2" s="187" t="s">
        <v>135</v>
      </c>
      <c r="L2" s="190" t="s">
        <v>136</v>
      </c>
      <c r="M2" s="348" t="s">
        <v>137</v>
      </c>
      <c r="N2" s="345" t="s">
        <v>70</v>
      </c>
      <c r="O2" s="6" t="s">
        <v>138</v>
      </c>
      <c r="Q2" s="439" t="s">
        <v>139</v>
      </c>
      <c r="R2" s="94"/>
      <c r="S2" s="94"/>
      <c r="T2" s="94"/>
      <c r="U2" s="94"/>
      <c r="V2" s="94"/>
      <c r="W2" s="94"/>
      <c r="X2" s="94"/>
      <c r="Y2" s="94"/>
      <c r="Z2" s="94"/>
      <c r="AA2" s="94"/>
      <c r="AB2" s="94"/>
      <c r="AC2" s="94"/>
      <c r="AD2" s="94"/>
      <c r="AE2" s="35"/>
      <c r="AF2" s="35"/>
    </row>
    <row r="3" spans="1:32" ht="17.7" customHeight="1" x14ac:dyDescent="0.3">
      <c r="A3" s="536" t="s">
        <v>90</v>
      </c>
      <c r="B3" s="463" t="s">
        <v>140</v>
      </c>
      <c r="C3" s="159" t="s">
        <v>141</v>
      </c>
      <c r="D3" s="159" t="s">
        <v>142</v>
      </c>
      <c r="E3" s="537" t="s">
        <v>143</v>
      </c>
      <c r="F3" s="159" t="s">
        <v>144</v>
      </c>
      <c r="G3" s="18" t="s">
        <v>145</v>
      </c>
      <c r="H3" s="124">
        <f t="shared" ref="H3:H34" si="0">I3/$I$82</f>
        <v>1.6882199261042001E-2</v>
      </c>
      <c r="I3" s="104">
        <v>8416.86</v>
      </c>
      <c r="J3" s="18">
        <f>I3*Prototype!$B$17</f>
        <v>75751.740000000005</v>
      </c>
      <c r="K3" s="18">
        <v>1</v>
      </c>
      <c r="L3" s="18">
        <f>IFERROR(M3*I3/1000,"")</f>
        <v>42.084300000000006</v>
      </c>
      <c r="M3" s="349">
        <v>5</v>
      </c>
      <c r="N3" s="346"/>
      <c r="O3" s="34">
        <f>K3*H3</f>
        <v>1.6882199261042001E-2</v>
      </c>
      <c r="P3" s="87"/>
      <c r="Q3" s="538"/>
      <c r="R3" s="539"/>
      <c r="S3" s="539"/>
      <c r="T3" s="539"/>
      <c r="U3" s="539"/>
      <c r="V3" s="539"/>
      <c r="W3" s="539"/>
      <c r="X3" s="539"/>
      <c r="Y3" s="539"/>
      <c r="Z3" s="539"/>
      <c r="AA3" s="539"/>
      <c r="AB3" s="539"/>
      <c r="AC3" s="539"/>
      <c r="AD3" s="539"/>
      <c r="AE3" s="434"/>
      <c r="AF3" s="435"/>
    </row>
    <row r="4" spans="1:32" ht="17.7" customHeight="1" x14ac:dyDescent="0.3">
      <c r="A4" s="536" t="s">
        <v>90</v>
      </c>
      <c r="B4" s="463" t="s">
        <v>146</v>
      </c>
      <c r="C4" s="159" t="s">
        <v>141</v>
      </c>
      <c r="D4" s="159" t="s">
        <v>142</v>
      </c>
      <c r="E4" s="537" t="s">
        <v>143</v>
      </c>
      <c r="F4" s="159" t="s">
        <v>144</v>
      </c>
      <c r="G4" s="18" t="s">
        <v>145</v>
      </c>
      <c r="H4" s="124">
        <f t="shared" si="0"/>
        <v>7.3454533507510862E-3</v>
      </c>
      <c r="I4" s="104">
        <v>3662.18</v>
      </c>
      <c r="J4" s="18">
        <f>I4*Prototype!$B$17</f>
        <v>32959.619999999995</v>
      </c>
      <c r="K4" s="18">
        <v>1</v>
      </c>
      <c r="L4" s="18">
        <f t="shared" ref="L4:L58" si="1">IFERROR(M4*I4/1000,"")</f>
        <v>18.310899999999997</v>
      </c>
      <c r="M4" s="349">
        <f>M3</f>
        <v>5</v>
      </c>
      <c r="N4" s="346"/>
      <c r="O4" s="34">
        <f t="shared" ref="O4:O67" si="2">K4*H4</f>
        <v>7.3454533507510862E-3</v>
      </c>
      <c r="Q4" s="440"/>
      <c r="R4" s="441" t="s">
        <v>147</v>
      </c>
      <c r="S4" s="441"/>
      <c r="T4" s="540"/>
      <c r="U4" s="541"/>
      <c r="V4" s="771" t="s">
        <v>148</v>
      </c>
      <c r="W4" s="771"/>
      <c r="X4" s="771"/>
      <c r="Y4" s="541"/>
      <c r="Z4" s="772" t="s">
        <v>149</v>
      </c>
      <c r="AA4" s="772"/>
      <c r="AB4" s="772"/>
      <c r="AC4" s="772"/>
      <c r="AD4" s="542"/>
      <c r="AE4" s="87"/>
      <c r="AF4" s="436"/>
    </row>
    <row r="5" spans="1:32" ht="16.5" customHeight="1" x14ac:dyDescent="0.3">
      <c r="A5" s="536" t="s">
        <v>90</v>
      </c>
      <c r="B5" s="463" t="s">
        <v>150</v>
      </c>
      <c r="C5" s="159" t="s">
        <v>141</v>
      </c>
      <c r="D5" s="159" t="s">
        <v>142</v>
      </c>
      <c r="E5" s="537" t="s">
        <v>143</v>
      </c>
      <c r="F5" s="159" t="s">
        <v>144</v>
      </c>
      <c r="G5" s="18" t="s">
        <v>145</v>
      </c>
      <c r="H5" s="124">
        <f t="shared" si="0"/>
        <v>7.428692381616901E-3</v>
      </c>
      <c r="I5" s="104">
        <v>3703.68</v>
      </c>
      <c r="J5" s="18">
        <f>I5*Prototype!$B$17</f>
        <v>33333.119999999995</v>
      </c>
      <c r="K5" s="18">
        <v>1</v>
      </c>
      <c r="L5" s="18">
        <f t="shared" si="1"/>
        <v>18.518399999999996</v>
      </c>
      <c r="M5" s="349">
        <f>M3</f>
        <v>5</v>
      </c>
      <c r="N5" s="346"/>
      <c r="O5" s="34">
        <f t="shared" si="2"/>
        <v>7.428692381616901E-3</v>
      </c>
      <c r="P5" s="87"/>
      <c r="Q5" s="543"/>
      <c r="R5" s="540"/>
      <c r="S5" s="540"/>
      <c r="T5" s="540"/>
      <c r="U5" s="540"/>
      <c r="V5" s="540"/>
      <c r="W5" s="540"/>
      <c r="X5" s="540"/>
      <c r="Y5" s="540"/>
      <c r="Z5" s="772"/>
      <c r="AA5" s="772"/>
      <c r="AB5" s="772"/>
      <c r="AC5" s="772"/>
      <c r="AD5" s="540"/>
      <c r="AE5" s="87"/>
      <c r="AF5" s="436"/>
    </row>
    <row r="6" spans="1:32" ht="17.7" customHeight="1" x14ac:dyDescent="0.3">
      <c r="A6" s="536" t="s">
        <v>90</v>
      </c>
      <c r="B6" s="463" t="s">
        <v>151</v>
      </c>
      <c r="C6" s="160" t="s">
        <v>152</v>
      </c>
      <c r="D6" s="159" t="s">
        <v>153</v>
      </c>
      <c r="E6" s="537" t="s">
        <v>154</v>
      </c>
      <c r="F6" s="159" t="s">
        <v>155</v>
      </c>
      <c r="G6" s="18" t="s">
        <v>145</v>
      </c>
      <c r="H6" s="124">
        <f t="shared" si="0"/>
        <v>1.6503391469010247E-2</v>
      </c>
      <c r="I6" s="104">
        <v>8228</v>
      </c>
      <c r="J6" s="18">
        <f>I6*Prototype!$B$17</f>
        <v>74052</v>
      </c>
      <c r="K6" s="18">
        <v>1</v>
      </c>
      <c r="L6" s="18">
        <f t="shared" si="1"/>
        <v>41.14</v>
      </c>
      <c r="M6" s="544">
        <v>5</v>
      </c>
      <c r="N6" s="545" t="s">
        <v>156</v>
      </c>
      <c r="O6" s="34">
        <f t="shared" si="2"/>
        <v>1.6503391469010247E-2</v>
      </c>
      <c r="P6" s="87"/>
      <c r="Q6" s="543"/>
      <c r="R6" s="540"/>
      <c r="S6" s="540"/>
      <c r="T6" s="540"/>
      <c r="U6" s="540"/>
      <c r="V6" s="540"/>
      <c r="W6" s="540"/>
      <c r="X6" s="540"/>
      <c r="Y6" s="540"/>
      <c r="Z6" s="540"/>
      <c r="AA6" s="540"/>
      <c r="AB6" s="540"/>
      <c r="AC6" s="540"/>
      <c r="AD6" s="540"/>
      <c r="AE6" s="87"/>
      <c r="AF6" s="436"/>
    </row>
    <row r="7" spans="1:32" ht="16.2" customHeight="1" x14ac:dyDescent="0.3">
      <c r="A7" s="536" t="s">
        <v>90</v>
      </c>
      <c r="B7" s="463" t="s">
        <v>157</v>
      </c>
      <c r="C7" s="159" t="s">
        <v>158</v>
      </c>
      <c r="D7" s="159" t="s">
        <v>142</v>
      </c>
      <c r="E7" s="537" t="s">
        <v>143</v>
      </c>
      <c r="F7" s="537" t="s">
        <v>159</v>
      </c>
      <c r="G7" s="18" t="s">
        <v>145</v>
      </c>
      <c r="H7" s="124">
        <f t="shared" si="0"/>
        <v>1.5961836328437472E-2</v>
      </c>
      <c r="I7" s="104">
        <v>7958</v>
      </c>
      <c r="J7" s="18">
        <f>I7*Prototype!$B$17</f>
        <v>71622</v>
      </c>
      <c r="K7" s="18">
        <v>1</v>
      </c>
      <c r="L7" s="18">
        <f t="shared" si="1"/>
        <v>0</v>
      </c>
      <c r="M7" s="350">
        <v>0</v>
      </c>
      <c r="N7" s="346"/>
      <c r="O7" s="34">
        <f t="shared" si="2"/>
        <v>1.5961836328437472E-2</v>
      </c>
      <c r="P7" s="87"/>
      <c r="Q7" s="543"/>
      <c r="R7" s="540"/>
      <c r="S7" s="540"/>
      <c r="T7" s="540"/>
      <c r="U7" s="540"/>
      <c r="V7" s="540"/>
      <c r="W7" s="540"/>
      <c r="X7" s="540"/>
      <c r="Y7" s="540"/>
      <c r="Z7" s="540"/>
      <c r="AA7" s="540"/>
      <c r="AB7" s="540"/>
      <c r="AC7" s="540"/>
      <c r="AD7" s="540"/>
      <c r="AE7" s="87"/>
      <c r="AF7" s="436"/>
    </row>
    <row r="8" spans="1:32" ht="16.5" customHeight="1" x14ac:dyDescent="0.3">
      <c r="A8" s="536" t="s">
        <v>90</v>
      </c>
      <c r="B8" s="463" t="s">
        <v>160</v>
      </c>
      <c r="C8" s="160" t="s">
        <v>161</v>
      </c>
      <c r="D8" s="159" t="s">
        <v>142</v>
      </c>
      <c r="E8" s="537" t="s">
        <v>143</v>
      </c>
      <c r="F8" s="160" t="s">
        <v>144</v>
      </c>
      <c r="G8" s="18" t="s">
        <v>145</v>
      </c>
      <c r="H8" s="124">
        <f t="shared" si="0"/>
        <v>1.16273894440754E-3</v>
      </c>
      <c r="I8" s="184">
        <v>579.70000000000005</v>
      </c>
      <c r="J8" s="18">
        <f>I8*Prototype!$B$17</f>
        <v>5217.3</v>
      </c>
      <c r="K8" s="18">
        <v>1</v>
      </c>
      <c r="L8" s="18">
        <f t="shared" si="1"/>
        <v>19.130100000000002</v>
      </c>
      <c r="M8" s="351">
        <v>33</v>
      </c>
      <c r="N8" s="346"/>
      <c r="O8" s="34">
        <f t="shared" si="2"/>
        <v>1.16273894440754E-3</v>
      </c>
      <c r="P8" s="87"/>
      <c r="Q8" s="543"/>
      <c r="R8" s="540"/>
      <c r="S8" s="540"/>
      <c r="T8" s="540"/>
      <c r="U8" s="540"/>
      <c r="V8" s="540"/>
      <c r="W8" s="540"/>
      <c r="X8" s="540"/>
      <c r="Y8" s="540"/>
      <c r="Z8" s="540"/>
      <c r="AA8" s="540"/>
      <c r="AB8" s="540"/>
      <c r="AC8" s="540"/>
      <c r="AD8" s="540"/>
      <c r="AE8" s="87"/>
      <c r="AF8" s="436"/>
    </row>
    <row r="9" spans="1:32" ht="92.25" customHeight="1" x14ac:dyDescent="0.3">
      <c r="A9" s="536" t="s">
        <v>90</v>
      </c>
      <c r="B9" s="463" t="s">
        <v>162</v>
      </c>
      <c r="C9" s="160" t="s">
        <v>163</v>
      </c>
      <c r="D9" s="159" t="s">
        <v>142</v>
      </c>
      <c r="E9" s="537" t="s">
        <v>143</v>
      </c>
      <c r="F9" s="160" t="s">
        <v>144</v>
      </c>
      <c r="G9" s="18" t="s">
        <v>145</v>
      </c>
      <c r="H9" s="124">
        <f t="shared" si="0"/>
        <v>1.9516042658418776E-3</v>
      </c>
      <c r="I9" s="104">
        <v>973</v>
      </c>
      <c r="J9" s="18">
        <f>I9*Prototype!$B$17</f>
        <v>8757</v>
      </c>
      <c r="K9" s="18">
        <v>1</v>
      </c>
      <c r="L9" s="18">
        <f t="shared" si="1"/>
        <v>32.109000000000002</v>
      </c>
      <c r="M9" s="544">
        <v>33</v>
      </c>
      <c r="N9" s="375"/>
      <c r="O9" s="34">
        <f t="shared" si="2"/>
        <v>1.9516042658418776E-3</v>
      </c>
      <c r="P9" s="87"/>
      <c r="Q9" s="543"/>
      <c r="R9" s="540"/>
      <c r="S9" s="540"/>
      <c r="T9" s="540"/>
      <c r="U9" s="540"/>
      <c r="V9" s="540"/>
      <c r="W9" s="540"/>
      <c r="X9" s="540"/>
      <c r="Y9" s="540"/>
      <c r="Z9" s="540"/>
      <c r="AA9" s="540"/>
      <c r="AB9" s="540"/>
      <c r="AC9" s="540"/>
      <c r="AD9" s="540"/>
      <c r="AE9" s="87"/>
      <c r="AF9" s="436"/>
    </row>
    <row r="10" spans="1:32" ht="29.25" customHeight="1" x14ac:dyDescent="0.3">
      <c r="A10" s="536" t="s">
        <v>90</v>
      </c>
      <c r="B10" s="463" t="s">
        <v>164</v>
      </c>
      <c r="C10" s="159" t="s">
        <v>165</v>
      </c>
      <c r="D10" s="537" t="s">
        <v>142</v>
      </c>
      <c r="E10" s="537" t="s">
        <v>143</v>
      </c>
      <c r="F10" s="537" t="s">
        <v>159</v>
      </c>
      <c r="G10" s="425" t="s">
        <v>145</v>
      </c>
      <c r="H10" s="124">
        <f t="shared" si="0"/>
        <v>2.4690902890558593E-3</v>
      </c>
      <c r="I10" s="104">
        <v>1231</v>
      </c>
      <c r="J10" s="18">
        <f>I10*Prototype!$B$17</f>
        <v>11079</v>
      </c>
      <c r="K10" s="18">
        <v>1</v>
      </c>
      <c r="L10" s="18">
        <f t="shared" si="1"/>
        <v>0</v>
      </c>
      <c r="M10" s="350">
        <v>0</v>
      </c>
      <c r="N10" s="354" t="s">
        <v>166</v>
      </c>
      <c r="O10" s="168">
        <f t="shared" si="2"/>
        <v>2.4690902890558593E-3</v>
      </c>
      <c r="P10" s="87"/>
      <c r="Q10" s="543"/>
      <c r="R10" s="540"/>
      <c r="S10" s="540"/>
      <c r="T10" s="540"/>
      <c r="U10" s="540"/>
      <c r="V10" s="540"/>
      <c r="W10" s="540"/>
      <c r="X10" s="540"/>
      <c r="Y10" s="540"/>
      <c r="Z10" s="540"/>
      <c r="AA10" s="540"/>
      <c r="AB10" s="540"/>
      <c r="AC10" s="540"/>
      <c r="AD10" s="540"/>
      <c r="AE10" s="87"/>
      <c r="AF10" s="436"/>
    </row>
    <row r="11" spans="1:32" ht="17.7" customHeight="1" x14ac:dyDescent="0.3">
      <c r="A11" s="536" t="s">
        <v>90</v>
      </c>
      <c r="B11" s="463" t="s">
        <v>167</v>
      </c>
      <c r="C11" s="159" t="s">
        <v>168</v>
      </c>
      <c r="D11" s="537" t="s">
        <v>142</v>
      </c>
      <c r="E11" s="537" t="s">
        <v>143</v>
      </c>
      <c r="F11" s="159" t="s">
        <v>144</v>
      </c>
      <c r="G11" s="546" t="s">
        <v>145</v>
      </c>
      <c r="H11" s="124">
        <f t="shared" si="0"/>
        <v>1.9776791429805666E-3</v>
      </c>
      <c r="I11" s="104">
        <v>986</v>
      </c>
      <c r="J11" s="18">
        <f>I11*Prototype!$B$17</f>
        <v>8874</v>
      </c>
      <c r="K11" s="18">
        <v>1</v>
      </c>
      <c r="L11" s="18">
        <f t="shared" si="1"/>
        <v>0</v>
      </c>
      <c r="M11" s="350">
        <v>0</v>
      </c>
      <c r="N11" s="346"/>
      <c r="O11" s="34">
        <f t="shared" si="2"/>
        <v>1.9776791429805666E-3</v>
      </c>
      <c r="P11" s="87"/>
      <c r="Q11" s="543"/>
      <c r="R11" s="540"/>
      <c r="S11" s="540"/>
      <c r="T11" s="540"/>
      <c r="U11" s="540"/>
      <c r="V11" s="540"/>
      <c r="W11" s="540"/>
      <c r="X11" s="540"/>
      <c r="Y11" s="540"/>
      <c r="Z11" s="540"/>
      <c r="AA11" s="540"/>
      <c r="AB11" s="540"/>
      <c r="AC11" s="540"/>
      <c r="AD11" s="540"/>
      <c r="AE11" s="87"/>
      <c r="AF11" s="436"/>
    </row>
    <row r="12" spans="1:32" ht="118.2" customHeight="1" x14ac:dyDescent="0.3">
      <c r="A12" s="536" t="s">
        <v>90</v>
      </c>
      <c r="B12" s="547" t="s">
        <v>169</v>
      </c>
      <c r="C12" s="537" t="s">
        <v>163</v>
      </c>
      <c r="D12" s="159" t="s">
        <v>142</v>
      </c>
      <c r="E12" s="537" t="s">
        <v>143</v>
      </c>
      <c r="F12" s="159" t="s">
        <v>144</v>
      </c>
      <c r="G12" s="18" t="s">
        <v>145</v>
      </c>
      <c r="H12" s="124">
        <f t="shared" si="0"/>
        <v>1.4180721643887023E-3</v>
      </c>
      <c r="I12" s="104">
        <v>707</v>
      </c>
      <c r="J12" s="18">
        <f>I12*Prototype!$B$17</f>
        <v>6363</v>
      </c>
      <c r="K12" s="18">
        <v>1</v>
      </c>
      <c r="L12" s="18">
        <f t="shared" si="1"/>
        <v>10.605</v>
      </c>
      <c r="M12" s="548">
        <v>15</v>
      </c>
      <c r="N12" s="549" t="s">
        <v>170</v>
      </c>
      <c r="O12" s="34">
        <f t="shared" si="2"/>
        <v>1.4180721643887023E-3</v>
      </c>
      <c r="P12" s="87"/>
      <c r="Q12" s="543"/>
      <c r="R12" s="540"/>
      <c r="S12" s="540"/>
      <c r="T12" s="540"/>
      <c r="U12" s="540"/>
      <c r="V12" s="540"/>
      <c r="W12" s="540"/>
      <c r="X12" s="540"/>
      <c r="Y12" s="540"/>
      <c r="Z12" s="540"/>
      <c r="AA12" s="540"/>
      <c r="AB12" s="540"/>
      <c r="AC12" s="540"/>
      <c r="AD12" s="540"/>
      <c r="AE12" s="87"/>
      <c r="AF12" s="436"/>
    </row>
    <row r="13" spans="1:32" ht="17.7" customHeight="1" x14ac:dyDescent="0.3">
      <c r="A13" s="536" t="s">
        <v>90</v>
      </c>
      <c r="B13" s="463" t="s">
        <v>171</v>
      </c>
      <c r="C13" s="183" t="s">
        <v>172</v>
      </c>
      <c r="D13" s="537" t="s">
        <v>142</v>
      </c>
      <c r="E13" s="537" t="s">
        <v>143</v>
      </c>
      <c r="F13" s="537" t="s">
        <v>159</v>
      </c>
      <c r="G13" s="425" t="s">
        <v>145</v>
      </c>
      <c r="H13" s="124">
        <f t="shared" si="0"/>
        <v>1.8874199528851046E-3</v>
      </c>
      <c r="I13" s="104">
        <v>941</v>
      </c>
      <c r="J13" s="18">
        <f>I13*Prototype!$B$17</f>
        <v>8469</v>
      </c>
      <c r="K13" s="18">
        <v>1</v>
      </c>
      <c r="L13" s="18">
        <f t="shared" si="1"/>
        <v>0</v>
      </c>
      <c r="M13" s="350">
        <v>0</v>
      </c>
      <c r="N13" s="346"/>
      <c r="O13" s="34">
        <f t="shared" si="2"/>
        <v>1.8874199528851046E-3</v>
      </c>
      <c r="P13" s="127"/>
      <c r="Q13" s="550"/>
      <c r="R13" s="541"/>
      <c r="S13" s="541"/>
      <c r="T13" s="541"/>
      <c r="U13" s="541"/>
      <c r="V13" s="541"/>
      <c r="W13" s="541"/>
      <c r="X13" s="541"/>
      <c r="Y13" s="541"/>
      <c r="Z13" s="541"/>
      <c r="AA13" s="541"/>
      <c r="AB13" s="541"/>
      <c r="AC13" s="541"/>
      <c r="AD13" s="541"/>
      <c r="AE13" s="87"/>
      <c r="AF13" s="436"/>
    </row>
    <row r="14" spans="1:32" ht="17.7" customHeight="1" x14ac:dyDescent="0.3">
      <c r="A14" s="536" t="s">
        <v>90</v>
      </c>
      <c r="B14" s="463" t="s">
        <v>173</v>
      </c>
      <c r="C14" s="159" t="s">
        <v>174</v>
      </c>
      <c r="D14" s="159" t="s">
        <v>142</v>
      </c>
      <c r="E14" s="537" t="s">
        <v>143</v>
      </c>
      <c r="F14" s="159" t="s">
        <v>144</v>
      </c>
      <c r="G14" s="18" t="s">
        <v>145</v>
      </c>
      <c r="H14" s="124">
        <f t="shared" si="0"/>
        <v>1.4100491252691057E-3</v>
      </c>
      <c r="I14" s="184">
        <v>703</v>
      </c>
      <c r="J14" s="18">
        <f>I14*Prototype!$B$17</f>
        <v>6327</v>
      </c>
      <c r="K14" s="18">
        <v>1</v>
      </c>
      <c r="L14" s="18">
        <f t="shared" si="1"/>
        <v>3.5150000000000001</v>
      </c>
      <c r="M14" s="349">
        <v>5</v>
      </c>
      <c r="N14" s="346"/>
      <c r="O14" s="34">
        <f t="shared" si="2"/>
        <v>1.4100491252691057E-3</v>
      </c>
      <c r="P14" s="127"/>
      <c r="Q14" s="550"/>
      <c r="R14" s="541"/>
      <c r="S14" s="541"/>
      <c r="T14" s="541"/>
      <c r="U14" s="541"/>
      <c r="V14" s="541"/>
      <c r="W14" s="541"/>
      <c r="X14" s="541"/>
      <c r="Y14" s="541"/>
      <c r="Z14" s="541"/>
      <c r="AA14" s="541"/>
      <c r="AB14" s="541"/>
      <c r="AC14" s="541"/>
      <c r="AD14" s="541"/>
      <c r="AE14" s="87"/>
      <c r="AF14" s="436"/>
    </row>
    <row r="15" spans="1:32" ht="17.7" customHeight="1" x14ac:dyDescent="0.3">
      <c r="A15" s="536" t="s">
        <v>90</v>
      </c>
      <c r="B15" s="463" t="s">
        <v>175</v>
      </c>
      <c r="C15" s="159" t="s">
        <v>174</v>
      </c>
      <c r="D15" s="159" t="s">
        <v>142</v>
      </c>
      <c r="E15" s="537" t="s">
        <v>143</v>
      </c>
      <c r="F15" s="159" t="s">
        <v>144</v>
      </c>
      <c r="G15" s="18" t="s">
        <v>145</v>
      </c>
      <c r="H15" s="124">
        <f t="shared" si="0"/>
        <v>5.2731424613548772E-4</v>
      </c>
      <c r="I15" s="184">
        <v>262.89999999999998</v>
      </c>
      <c r="J15" s="18">
        <f>I15*Prototype!$B$17</f>
        <v>2366.1</v>
      </c>
      <c r="K15" s="18">
        <v>1</v>
      </c>
      <c r="L15" s="18">
        <f t="shared" si="1"/>
        <v>1.3145</v>
      </c>
      <c r="M15" s="349">
        <v>5</v>
      </c>
      <c r="N15" s="346"/>
      <c r="O15" s="34">
        <f t="shared" si="2"/>
        <v>5.2731424613548772E-4</v>
      </c>
      <c r="P15" s="87"/>
      <c r="Q15" s="543"/>
      <c r="R15" s="540"/>
      <c r="S15" s="540"/>
      <c r="T15" s="540"/>
      <c r="U15" s="540"/>
      <c r="V15" s="540"/>
      <c r="W15" s="540"/>
      <c r="X15" s="540"/>
      <c r="Y15" s="540"/>
      <c r="Z15" s="540"/>
      <c r="AA15" s="540"/>
      <c r="AB15" s="540"/>
      <c r="AC15" s="540"/>
      <c r="AD15" s="540"/>
      <c r="AE15" s="87"/>
      <c r="AF15" s="436"/>
    </row>
    <row r="16" spans="1:32" ht="17.7" customHeight="1" x14ac:dyDescent="0.3">
      <c r="A16" s="551" t="s">
        <v>90</v>
      </c>
      <c r="B16" s="464" t="s">
        <v>176</v>
      </c>
      <c r="C16" s="161" t="s">
        <v>141</v>
      </c>
      <c r="D16" s="161" t="s">
        <v>177</v>
      </c>
      <c r="E16" s="552" t="s">
        <v>178</v>
      </c>
      <c r="F16" s="161" t="s">
        <v>144</v>
      </c>
      <c r="G16" s="105" t="s">
        <v>145</v>
      </c>
      <c r="H16" s="126">
        <f t="shared" si="0"/>
        <v>1.4303654660797043E-2</v>
      </c>
      <c r="I16" s="553">
        <v>7131.29</v>
      </c>
      <c r="J16" s="105">
        <f>I16*Prototype!$B$17</f>
        <v>64181.61</v>
      </c>
      <c r="K16" s="105">
        <v>1</v>
      </c>
      <c r="L16" s="105">
        <f t="shared" ref="L16:L31" si="3">IFERROR(M16*I16/1000,"")</f>
        <v>35.65645</v>
      </c>
      <c r="M16" s="352">
        <f>$M$3</f>
        <v>5</v>
      </c>
      <c r="N16" s="346"/>
      <c r="O16" s="34">
        <f t="shared" si="2"/>
        <v>1.4303654660797043E-2</v>
      </c>
      <c r="P16" s="87"/>
      <c r="Q16" s="543"/>
      <c r="R16" s="540"/>
      <c r="S16" s="540"/>
      <c r="T16" s="540"/>
      <c r="U16" s="540"/>
      <c r="V16" s="540"/>
      <c r="W16" s="540"/>
      <c r="X16" s="540"/>
      <c r="Y16" s="540"/>
      <c r="Z16" s="540"/>
      <c r="AA16" s="540"/>
      <c r="AB16" s="540"/>
      <c r="AC16" s="540"/>
      <c r="AD16" s="540"/>
      <c r="AE16" s="87"/>
      <c r="AF16" s="436"/>
    </row>
    <row r="17" spans="1:41" ht="17.7" customHeight="1" x14ac:dyDescent="0.3">
      <c r="A17" s="551" t="s">
        <v>90</v>
      </c>
      <c r="B17" s="464" t="s">
        <v>179</v>
      </c>
      <c r="C17" s="161" t="s">
        <v>141</v>
      </c>
      <c r="D17" s="161" t="s">
        <v>177</v>
      </c>
      <c r="E17" s="552" t="s">
        <v>178</v>
      </c>
      <c r="F17" s="161" t="s">
        <v>144</v>
      </c>
      <c r="G17" s="105" t="s">
        <v>145</v>
      </c>
      <c r="H17" s="126">
        <f t="shared" si="0"/>
        <v>1.1624922359546125E-2</v>
      </c>
      <c r="I17" s="106">
        <v>5795.77</v>
      </c>
      <c r="J17" s="105">
        <f>I17*Prototype!$B$17</f>
        <v>52161.930000000008</v>
      </c>
      <c r="K17" s="105">
        <v>1</v>
      </c>
      <c r="L17" s="105">
        <f t="shared" si="3"/>
        <v>28.978850000000001</v>
      </c>
      <c r="M17" s="352">
        <f t="shared" ref="M17:M21" si="4">$M$3</f>
        <v>5</v>
      </c>
      <c r="N17" s="346"/>
      <c r="O17" s="34">
        <f t="shared" si="2"/>
        <v>1.1624922359546125E-2</v>
      </c>
      <c r="P17" s="87"/>
      <c r="Q17" s="543"/>
      <c r="R17" s="540"/>
      <c r="S17" s="540"/>
      <c r="T17" s="540"/>
      <c r="U17" s="540"/>
      <c r="V17" s="540"/>
      <c r="W17" s="540"/>
      <c r="X17" s="540"/>
      <c r="Y17" s="540"/>
      <c r="Z17" s="540"/>
      <c r="AA17" s="540"/>
      <c r="AB17" s="540"/>
      <c r="AC17" s="540"/>
      <c r="AD17" s="540"/>
      <c r="AE17" s="87"/>
      <c r="AF17" s="436"/>
    </row>
    <row r="18" spans="1:41" ht="17.7" customHeight="1" x14ac:dyDescent="0.3">
      <c r="A18" s="551" t="s">
        <v>90</v>
      </c>
      <c r="B18" s="464" t="s">
        <v>180</v>
      </c>
      <c r="C18" s="161" t="s">
        <v>141</v>
      </c>
      <c r="D18" s="161" t="s">
        <v>177</v>
      </c>
      <c r="E18" s="552" t="s">
        <v>178</v>
      </c>
      <c r="F18" s="161" t="s">
        <v>144</v>
      </c>
      <c r="G18" s="105" t="s">
        <v>145</v>
      </c>
      <c r="H18" s="126">
        <f t="shared" si="0"/>
        <v>1.1784821529199683E-2</v>
      </c>
      <c r="I18" s="106">
        <v>5875.49</v>
      </c>
      <c r="J18" s="105">
        <f>I18*Prototype!$B$17</f>
        <v>52879.409999999996</v>
      </c>
      <c r="K18" s="105">
        <v>1</v>
      </c>
      <c r="L18" s="105">
        <f t="shared" si="3"/>
        <v>29.377449999999996</v>
      </c>
      <c r="M18" s="352">
        <f t="shared" si="4"/>
        <v>5</v>
      </c>
      <c r="N18" s="346"/>
      <c r="O18" s="34">
        <f t="shared" si="2"/>
        <v>1.1784821529199683E-2</v>
      </c>
      <c r="P18" s="35"/>
      <c r="Q18" s="543"/>
      <c r="R18" s="540"/>
      <c r="S18" s="540"/>
      <c r="T18" s="540"/>
      <c r="U18" s="540"/>
      <c r="V18" s="540"/>
      <c r="W18" s="540"/>
      <c r="X18" s="540"/>
      <c r="Y18" s="540"/>
      <c r="Z18" s="540"/>
      <c r="AA18" s="540"/>
      <c r="AB18" s="540"/>
      <c r="AC18" s="540"/>
      <c r="AD18" s="540"/>
      <c r="AE18" s="87"/>
      <c r="AF18" s="436"/>
    </row>
    <row r="19" spans="1:41" ht="15.6" customHeight="1" thickBot="1" x14ac:dyDescent="0.35">
      <c r="A19" s="551" t="s">
        <v>90</v>
      </c>
      <c r="B19" s="464" t="s">
        <v>181</v>
      </c>
      <c r="C19" s="161" t="s">
        <v>141</v>
      </c>
      <c r="D19" s="161" t="s">
        <v>177</v>
      </c>
      <c r="E19" s="552" t="s">
        <v>178</v>
      </c>
      <c r="F19" s="161" t="s">
        <v>144</v>
      </c>
      <c r="G19" s="105" t="s">
        <v>145</v>
      </c>
      <c r="H19" s="126">
        <f t="shared" si="0"/>
        <v>1.8400439068838865E-3</v>
      </c>
      <c r="I19" s="106">
        <v>917.38</v>
      </c>
      <c r="J19" s="105">
        <f>I19*Prototype!$B$17</f>
        <v>8256.42</v>
      </c>
      <c r="K19" s="105">
        <v>1</v>
      </c>
      <c r="L19" s="105">
        <f t="shared" si="3"/>
        <v>4.5869</v>
      </c>
      <c r="M19" s="352">
        <f t="shared" si="4"/>
        <v>5</v>
      </c>
      <c r="N19" s="346"/>
      <c r="O19" s="34">
        <f t="shared" si="2"/>
        <v>1.8400439068838865E-3</v>
      </c>
      <c r="P19" s="87"/>
      <c r="Q19" s="437"/>
      <c r="R19" s="127"/>
      <c r="S19" s="127"/>
      <c r="T19" s="128"/>
      <c r="U19" s="128"/>
      <c r="V19" s="127"/>
      <c r="W19" s="127"/>
      <c r="X19" s="127"/>
      <c r="Y19" s="128"/>
      <c r="Z19" s="128"/>
      <c r="AA19" s="127"/>
      <c r="AB19" s="127"/>
      <c r="AC19" s="127"/>
      <c r="AD19" s="128"/>
      <c r="AE19" s="128"/>
      <c r="AF19" s="438"/>
    </row>
    <row r="20" spans="1:41" ht="18" customHeight="1" thickBot="1" x14ac:dyDescent="0.35">
      <c r="A20" s="551" t="s">
        <v>90</v>
      </c>
      <c r="B20" s="464" t="s">
        <v>182</v>
      </c>
      <c r="C20" s="161" t="s">
        <v>141</v>
      </c>
      <c r="D20" s="161" t="s">
        <v>177</v>
      </c>
      <c r="E20" s="552" t="s">
        <v>178</v>
      </c>
      <c r="F20" s="161" t="s">
        <v>144</v>
      </c>
      <c r="G20" s="105" t="s">
        <v>145</v>
      </c>
      <c r="H20" s="126">
        <f t="shared" si="0"/>
        <v>2.2689355206197228E-3</v>
      </c>
      <c r="I20" s="106">
        <v>1131.21</v>
      </c>
      <c r="J20" s="105">
        <f>I20*Prototype!$B$17</f>
        <v>10180.89</v>
      </c>
      <c r="K20" s="105">
        <v>1</v>
      </c>
      <c r="L20" s="105">
        <f t="shared" si="3"/>
        <v>5.6560500000000005</v>
      </c>
      <c r="M20" s="352">
        <f t="shared" si="4"/>
        <v>5</v>
      </c>
      <c r="N20" s="346"/>
      <c r="O20" s="34">
        <f t="shared" si="2"/>
        <v>2.2689355206197228E-3</v>
      </c>
      <c r="Q20" s="773" t="s">
        <v>147</v>
      </c>
      <c r="R20" s="774"/>
      <c r="S20" s="775"/>
      <c r="T20" s="35"/>
      <c r="U20" s="35"/>
      <c r="V20" s="773" t="s">
        <v>148</v>
      </c>
      <c r="W20" s="774"/>
      <c r="X20" s="775"/>
      <c r="Y20" s="35"/>
      <c r="Z20" s="304"/>
      <c r="AA20" s="773" t="s">
        <v>149</v>
      </c>
      <c r="AB20" s="774"/>
      <c r="AC20" s="775"/>
      <c r="AE20" s="35"/>
      <c r="AF20" s="35"/>
    </row>
    <row r="21" spans="1:41" ht="17.7" customHeight="1" thickBot="1" x14ac:dyDescent="0.35">
      <c r="A21" s="551" t="s">
        <v>90</v>
      </c>
      <c r="B21" s="464" t="s">
        <v>183</v>
      </c>
      <c r="C21" s="161" t="s">
        <v>141</v>
      </c>
      <c r="D21" s="161" t="s">
        <v>177</v>
      </c>
      <c r="E21" s="552" t="s">
        <v>178</v>
      </c>
      <c r="F21" s="161" t="s">
        <v>144</v>
      </c>
      <c r="G21" s="105" t="s">
        <v>145</v>
      </c>
      <c r="H21" s="126">
        <f t="shared" si="0"/>
        <v>6.6436380037643728E-3</v>
      </c>
      <c r="I21" s="106">
        <v>3312.28</v>
      </c>
      <c r="J21" s="105">
        <f>I21*Prototype!$B$17</f>
        <v>29810.52</v>
      </c>
      <c r="K21" s="105">
        <v>1</v>
      </c>
      <c r="L21" s="105">
        <f t="shared" si="3"/>
        <v>16.561400000000003</v>
      </c>
      <c r="M21" s="352">
        <f t="shared" si="4"/>
        <v>5</v>
      </c>
      <c r="N21" s="346"/>
      <c r="O21" s="34">
        <f t="shared" si="2"/>
        <v>6.6436380037643728E-3</v>
      </c>
      <c r="P21" s="35"/>
      <c r="Q21" s="768" t="s">
        <v>184</v>
      </c>
      <c r="R21" s="769"/>
      <c r="S21" s="770"/>
      <c r="T21" s="35"/>
      <c r="U21" s="35"/>
      <c r="V21" s="768" t="s">
        <v>184</v>
      </c>
      <c r="W21" s="769"/>
      <c r="X21" s="770"/>
      <c r="Y21" s="35"/>
      <c r="Z21" s="304"/>
      <c r="AA21" s="778" t="s">
        <v>184</v>
      </c>
      <c r="AB21" s="777"/>
      <c r="AC21" s="779"/>
      <c r="AE21" s="35"/>
      <c r="AF21" s="35"/>
      <c r="AG21" s="777"/>
      <c r="AH21" s="777"/>
      <c r="AJ21" s="777"/>
      <c r="AK21" s="777"/>
      <c r="AM21" s="777"/>
      <c r="AN21" s="777"/>
    </row>
    <row r="22" spans="1:41" ht="28.2" customHeight="1" thickBot="1" x14ac:dyDescent="0.35">
      <c r="A22" s="551" t="s">
        <v>90</v>
      </c>
      <c r="B22" s="464" t="s">
        <v>185</v>
      </c>
      <c r="C22" s="161" t="s">
        <v>186</v>
      </c>
      <c r="D22" s="161" t="s">
        <v>187</v>
      </c>
      <c r="E22" s="552" t="s">
        <v>188</v>
      </c>
      <c r="F22" s="161" t="s">
        <v>155</v>
      </c>
      <c r="G22" s="105" t="s">
        <v>145</v>
      </c>
      <c r="H22" s="126">
        <f t="shared" si="0"/>
        <v>8.3658234659813842E-4</v>
      </c>
      <c r="I22" s="106">
        <v>417.09</v>
      </c>
      <c r="J22" s="105">
        <f>I22*Prototype!$B$17</f>
        <v>3753.81</v>
      </c>
      <c r="K22" s="105">
        <v>1</v>
      </c>
      <c r="L22" s="105">
        <f t="shared" si="3"/>
        <v>0.62563499999999994</v>
      </c>
      <c r="M22" s="554">
        <v>1.5</v>
      </c>
      <c r="N22" s="545" t="s">
        <v>156</v>
      </c>
      <c r="O22" s="34">
        <f t="shared" si="2"/>
        <v>8.3658234659813842E-4</v>
      </c>
      <c r="P22" s="35"/>
      <c r="Q22" s="361" t="s">
        <v>189</v>
      </c>
      <c r="R22" s="362" t="s">
        <v>190</v>
      </c>
      <c r="S22" s="363" t="s">
        <v>191</v>
      </c>
      <c r="T22" s="35"/>
      <c r="U22" s="35"/>
      <c r="V22" s="361" t="s">
        <v>189</v>
      </c>
      <c r="W22" s="362" t="s">
        <v>190</v>
      </c>
      <c r="X22" s="363" t="s">
        <v>191</v>
      </c>
      <c r="Y22" s="35"/>
      <c r="Z22" s="304"/>
      <c r="AA22" s="365" t="s">
        <v>189</v>
      </c>
      <c r="AB22" s="366" t="s">
        <v>190</v>
      </c>
      <c r="AC22" s="367" t="s">
        <v>191</v>
      </c>
      <c r="AE22" s="35"/>
      <c r="AF22" s="35"/>
      <c r="AG22" s="777"/>
      <c r="AH22" s="777"/>
      <c r="AJ22" s="777"/>
      <c r="AK22" s="777"/>
      <c r="AM22" s="777"/>
      <c r="AN22" s="777"/>
    </row>
    <row r="23" spans="1:41" ht="17.7" customHeight="1" x14ac:dyDescent="0.3">
      <c r="A23" s="551" t="s">
        <v>90</v>
      </c>
      <c r="B23" s="464" t="s">
        <v>192</v>
      </c>
      <c r="C23" s="161" t="s">
        <v>158</v>
      </c>
      <c r="D23" s="161" t="s">
        <v>177</v>
      </c>
      <c r="E23" s="552" t="s">
        <v>178</v>
      </c>
      <c r="F23" s="552" t="s">
        <v>159</v>
      </c>
      <c r="G23" s="426" t="s">
        <v>145</v>
      </c>
      <c r="H23" s="126">
        <f t="shared" si="0"/>
        <v>1.7028098227431865E-3</v>
      </c>
      <c r="I23" s="106">
        <v>848.96</v>
      </c>
      <c r="J23" s="105">
        <f>I23*Prototype!$B$17</f>
        <v>7640.64</v>
      </c>
      <c r="K23" s="105">
        <v>1</v>
      </c>
      <c r="L23" s="105">
        <f t="shared" si="3"/>
        <v>0</v>
      </c>
      <c r="M23" s="353">
        <v>0</v>
      </c>
      <c r="N23" s="346"/>
      <c r="O23" s="34">
        <f t="shared" si="2"/>
        <v>1.7028098227431865E-3</v>
      </c>
      <c r="P23" s="35"/>
      <c r="Q23" s="555" t="s">
        <v>193</v>
      </c>
      <c r="R23" s="556">
        <f>I3+I4</f>
        <v>12079.04</v>
      </c>
      <c r="S23" s="557">
        <f>R23/$R$36</f>
        <v>0.31494381143587208</v>
      </c>
      <c r="U23" s="558"/>
      <c r="V23" s="555" t="s">
        <v>193</v>
      </c>
      <c r="W23" s="556">
        <f>I17+I18+I16</f>
        <v>18802.55</v>
      </c>
      <c r="X23" s="559">
        <f>W23/$R$36</f>
        <v>0.49024978489296794</v>
      </c>
      <c r="Y23" s="173"/>
      <c r="Z23" s="164"/>
      <c r="AA23" s="560" t="s">
        <v>193</v>
      </c>
      <c r="AB23" s="561">
        <f>I36+I37+I38+I39</f>
        <v>21287.86</v>
      </c>
      <c r="AC23" s="562">
        <f>AB23/$R$36</f>
        <v>0.55505071311240317</v>
      </c>
      <c r="AD23" s="173"/>
      <c r="AE23" s="304"/>
      <c r="AF23" s="35"/>
      <c r="AH23" s="168"/>
      <c r="AK23" s="168"/>
      <c r="AL23" s="186"/>
      <c r="AN23" s="168"/>
      <c r="AO23" s="168"/>
    </row>
    <row r="24" spans="1:41" ht="17.7" customHeight="1" x14ac:dyDescent="0.3">
      <c r="A24" s="551" t="s">
        <v>90</v>
      </c>
      <c r="B24" s="464" t="s">
        <v>194</v>
      </c>
      <c r="C24" s="161" t="s">
        <v>161</v>
      </c>
      <c r="D24" s="161" t="s">
        <v>177</v>
      </c>
      <c r="E24" s="552" t="s">
        <v>178</v>
      </c>
      <c r="F24" s="161" t="s">
        <v>144</v>
      </c>
      <c r="G24" s="105" t="s">
        <v>145</v>
      </c>
      <c r="H24" s="126">
        <f t="shared" si="0"/>
        <v>1.5841691317621512E-3</v>
      </c>
      <c r="I24" s="106">
        <v>789.81</v>
      </c>
      <c r="J24" s="105">
        <f>I24*Prototype!$B$17</f>
        <v>7108.2899999999991</v>
      </c>
      <c r="K24" s="105">
        <v>1</v>
      </c>
      <c r="L24" s="105">
        <f t="shared" si="3"/>
        <v>26.06373</v>
      </c>
      <c r="M24" s="352">
        <v>33</v>
      </c>
      <c r="N24" s="346"/>
      <c r="O24" s="34">
        <f t="shared" si="2"/>
        <v>1.5841691317621512E-3</v>
      </c>
      <c r="P24" s="35"/>
      <c r="Q24" s="563" t="s">
        <v>195</v>
      </c>
      <c r="R24" s="564">
        <f>I5</f>
        <v>3703.68</v>
      </c>
      <c r="S24" s="565">
        <f t="shared" ref="S24:S34" si="5">R24/$R$36</f>
        <v>9.656819544755299E-2</v>
      </c>
      <c r="U24" s="558"/>
      <c r="V24" s="563" t="s">
        <v>195</v>
      </c>
      <c r="W24" s="564">
        <f>I21</f>
        <v>3312.28</v>
      </c>
      <c r="X24" s="566">
        <f t="shared" ref="X24:X35" si="6">W24/$R$36</f>
        <v>8.6362996375772438E-2</v>
      </c>
      <c r="Y24" s="173"/>
      <c r="Z24" s="164"/>
      <c r="AA24" s="567" t="s">
        <v>195</v>
      </c>
      <c r="AB24" s="568">
        <f>I44</f>
        <v>3233</v>
      </c>
      <c r="AC24" s="569">
        <f t="shared" ref="AC24:AC34" si="7">AB24/$R$36</f>
        <v>8.4295882981774567E-2</v>
      </c>
      <c r="AD24" s="173"/>
      <c r="AE24" s="35"/>
      <c r="AF24" s="179"/>
      <c r="AH24" s="168"/>
      <c r="AK24" s="168"/>
      <c r="AL24" s="186"/>
      <c r="AN24" s="168"/>
      <c r="AO24" s="168"/>
    </row>
    <row r="25" spans="1:41" ht="26.25" customHeight="1" x14ac:dyDescent="0.3">
      <c r="A25" s="551" t="s">
        <v>90</v>
      </c>
      <c r="B25" s="464" t="s">
        <v>196</v>
      </c>
      <c r="C25" s="161" t="s">
        <v>163</v>
      </c>
      <c r="D25" s="161" t="s">
        <v>177</v>
      </c>
      <c r="E25" s="552" t="s">
        <v>178</v>
      </c>
      <c r="F25" s="161" t="s">
        <v>144</v>
      </c>
      <c r="G25" s="105" t="s">
        <v>145</v>
      </c>
      <c r="H25" s="126">
        <f t="shared" si="0"/>
        <v>1.2400208687270544E-3</v>
      </c>
      <c r="I25" s="106">
        <v>618.23</v>
      </c>
      <c r="J25" s="105">
        <f>I25*Prototype!$B$17</f>
        <v>5564.07</v>
      </c>
      <c r="K25" s="105">
        <v>1</v>
      </c>
      <c r="L25" s="105">
        <f t="shared" si="3"/>
        <v>20.401589999999999</v>
      </c>
      <c r="M25" s="352">
        <v>33</v>
      </c>
      <c r="N25" s="346"/>
      <c r="O25" s="34">
        <f t="shared" si="2"/>
        <v>1.2400208687270544E-3</v>
      </c>
      <c r="P25" s="35"/>
      <c r="Q25" s="563" t="s">
        <v>197</v>
      </c>
      <c r="R25" s="564" t="s">
        <v>198</v>
      </c>
      <c r="S25" s="565" t="s">
        <v>198</v>
      </c>
      <c r="U25" s="558"/>
      <c r="V25" s="563" t="s">
        <v>197</v>
      </c>
      <c r="W25" s="564">
        <f>I20+I19</f>
        <v>2048.59</v>
      </c>
      <c r="X25" s="566">
        <f t="shared" si="6"/>
        <v>5.3414074518290618E-2</v>
      </c>
      <c r="Y25" s="173"/>
      <c r="Z25" s="165"/>
      <c r="AA25" s="567" t="s">
        <v>197</v>
      </c>
      <c r="AB25" s="568">
        <f>I40+I41+I42+I43</f>
        <v>4092.56</v>
      </c>
      <c r="AC25" s="569">
        <f t="shared" si="7"/>
        <v>0.10670768909863634</v>
      </c>
      <c r="AD25" s="173"/>
      <c r="AE25" s="35"/>
      <c r="AF25" s="180"/>
      <c r="AH25" s="168"/>
      <c r="AK25" s="168"/>
      <c r="AL25" s="186"/>
      <c r="AN25" s="168"/>
      <c r="AO25" s="168"/>
    </row>
    <row r="26" spans="1:41" ht="17.399999999999999" customHeight="1" x14ac:dyDescent="0.3">
      <c r="A26" s="551" t="s">
        <v>90</v>
      </c>
      <c r="B26" s="464" t="s">
        <v>199</v>
      </c>
      <c r="C26" s="161" t="s">
        <v>200</v>
      </c>
      <c r="D26" s="161" t="s">
        <v>177</v>
      </c>
      <c r="E26" s="552" t="s">
        <v>178</v>
      </c>
      <c r="F26" s="161" t="s">
        <v>144</v>
      </c>
      <c r="G26" s="105" t="s">
        <v>145</v>
      </c>
      <c r="H26" s="126">
        <f t="shared" si="0"/>
        <v>1.8792765681787142E-3</v>
      </c>
      <c r="I26" s="106">
        <v>936.94</v>
      </c>
      <c r="J26" s="105">
        <f>I26*Prototype!$B$17</f>
        <v>8432.4600000000009</v>
      </c>
      <c r="K26" s="105">
        <v>1</v>
      </c>
      <c r="L26" s="105">
        <f t="shared" si="3"/>
        <v>2.8108200000000001</v>
      </c>
      <c r="M26" s="352">
        <v>3</v>
      </c>
      <c r="N26" s="346"/>
      <c r="O26" s="34">
        <f t="shared" si="2"/>
        <v>1.8792765681787142E-3</v>
      </c>
      <c r="P26" s="35"/>
      <c r="Q26" s="563" t="s">
        <v>201</v>
      </c>
      <c r="R26" s="564">
        <f>I8</f>
        <v>579.70000000000005</v>
      </c>
      <c r="S26" s="565">
        <f t="shared" si="5"/>
        <v>1.5114854118321905E-2</v>
      </c>
      <c r="U26" s="558"/>
      <c r="V26" s="563" t="s">
        <v>201</v>
      </c>
      <c r="W26" s="564">
        <f>I24</f>
        <v>789.81</v>
      </c>
      <c r="X26" s="566">
        <f t="shared" si="6"/>
        <v>2.0593173936849788E-2</v>
      </c>
      <c r="Y26" s="173"/>
      <c r="AA26" s="567" t="s">
        <v>201</v>
      </c>
      <c r="AB26" s="568">
        <f>I47+I48+I49+I50</f>
        <v>2323.2399999999998</v>
      </c>
      <c r="AC26" s="569">
        <f t="shared" si="7"/>
        <v>6.057518316689698E-2</v>
      </c>
      <c r="AD26" s="173"/>
      <c r="AE26" s="35"/>
      <c r="AF26" s="35"/>
      <c r="AH26" s="168"/>
      <c r="AK26" s="168"/>
      <c r="AL26" s="186"/>
      <c r="AN26" s="168"/>
      <c r="AO26" s="168"/>
    </row>
    <row r="27" spans="1:41" ht="28.5" customHeight="1" x14ac:dyDescent="0.3">
      <c r="A27" s="551" t="s">
        <v>90</v>
      </c>
      <c r="B27" s="464" t="s">
        <v>202</v>
      </c>
      <c r="C27" s="161" t="s">
        <v>165</v>
      </c>
      <c r="D27" s="552" t="s">
        <v>177</v>
      </c>
      <c r="E27" s="552" t="s">
        <v>178</v>
      </c>
      <c r="F27" s="552" t="s">
        <v>159</v>
      </c>
      <c r="G27" s="426" t="s">
        <v>145</v>
      </c>
      <c r="H27" s="126">
        <f t="shared" si="0"/>
        <v>1.9235838017166863E-3</v>
      </c>
      <c r="I27" s="106">
        <v>959.03</v>
      </c>
      <c r="J27" s="105">
        <f>I27*Prototype!$B$17</f>
        <v>8631.27</v>
      </c>
      <c r="K27" s="105">
        <v>1</v>
      </c>
      <c r="L27" s="105">
        <f t="shared" si="3"/>
        <v>0</v>
      </c>
      <c r="M27" s="353">
        <v>0</v>
      </c>
      <c r="N27" s="355" t="s">
        <v>166</v>
      </c>
      <c r="O27" s="34">
        <f t="shared" si="2"/>
        <v>1.9235838017166863E-3</v>
      </c>
      <c r="P27" s="35"/>
      <c r="Q27" s="563" t="s">
        <v>203</v>
      </c>
      <c r="R27" s="564">
        <f>I9</f>
        <v>973</v>
      </c>
      <c r="S27" s="565">
        <f t="shared" si="5"/>
        <v>2.5369592991421792E-2</v>
      </c>
      <c r="U27" s="558"/>
      <c r="V27" s="563" t="s">
        <v>203</v>
      </c>
      <c r="W27" s="564">
        <f>I26+I25</f>
        <v>1555.17</v>
      </c>
      <c r="X27" s="566">
        <f t="shared" si="6"/>
        <v>4.0548848851458819E-2</v>
      </c>
      <c r="Y27" s="173"/>
      <c r="Z27" s="304"/>
      <c r="AA27" s="567" t="s">
        <v>203</v>
      </c>
      <c r="AB27" s="568">
        <f>I51</f>
        <v>910</v>
      </c>
      <c r="AC27" s="569">
        <f t="shared" si="7"/>
        <v>2.3726957473991603E-2</v>
      </c>
      <c r="AD27" s="173"/>
      <c r="AE27" s="35"/>
      <c r="AF27" s="35"/>
      <c r="AH27" s="168"/>
      <c r="AK27" s="168"/>
      <c r="AL27" s="186"/>
      <c r="AN27" s="168"/>
      <c r="AO27" s="168"/>
    </row>
    <row r="28" spans="1:41" ht="17.7" customHeight="1" x14ac:dyDescent="0.3">
      <c r="A28" s="551" t="s">
        <v>90</v>
      </c>
      <c r="B28" s="464" t="s">
        <v>204</v>
      </c>
      <c r="C28" s="161" t="s">
        <v>205</v>
      </c>
      <c r="D28" s="161" t="s">
        <v>177</v>
      </c>
      <c r="E28" s="552" t="s">
        <v>178</v>
      </c>
      <c r="F28" s="161" t="s">
        <v>144</v>
      </c>
      <c r="G28" s="105" t="s">
        <v>145</v>
      </c>
      <c r="H28" s="126">
        <f t="shared" si="0"/>
        <v>3.5406273362713851E-3</v>
      </c>
      <c r="I28" s="106">
        <v>1765.23</v>
      </c>
      <c r="J28" s="105">
        <f>I28*Prototype!$B$17</f>
        <v>15887.07</v>
      </c>
      <c r="K28" s="105">
        <v>1</v>
      </c>
      <c r="L28" s="105">
        <f t="shared" si="3"/>
        <v>17.6523</v>
      </c>
      <c r="M28" s="353">
        <v>10</v>
      </c>
      <c r="N28" s="346" t="s">
        <v>206</v>
      </c>
      <c r="O28" s="34">
        <f t="shared" si="2"/>
        <v>3.5406273362713851E-3</v>
      </c>
      <c r="P28" s="35"/>
      <c r="Q28" s="563" t="s">
        <v>207</v>
      </c>
      <c r="R28" s="564">
        <f>I10</f>
        <v>1231</v>
      </c>
      <c r="S28" s="570">
        <f t="shared" si="5"/>
        <v>3.2096576538993039E-2</v>
      </c>
      <c r="U28" s="558"/>
      <c r="V28" s="563" t="s">
        <v>208</v>
      </c>
      <c r="W28" s="564">
        <f>I28+I27</f>
        <v>2724.26</v>
      </c>
      <c r="X28" s="566">
        <f t="shared" si="6"/>
        <v>7.103121007483118E-2</v>
      </c>
      <c r="Y28" s="173"/>
      <c r="Z28" s="166"/>
      <c r="AA28" s="567" t="s">
        <v>207</v>
      </c>
      <c r="AB28" s="568">
        <f>I52</f>
        <v>738</v>
      </c>
      <c r="AC28" s="569">
        <f t="shared" si="7"/>
        <v>1.9242301775610773E-2</v>
      </c>
      <c r="AD28" s="173"/>
      <c r="AE28" s="35"/>
      <c r="AF28" s="35"/>
      <c r="AH28" s="168"/>
      <c r="AK28" s="168"/>
      <c r="AL28" s="186"/>
      <c r="AN28" s="168"/>
      <c r="AO28" s="168"/>
    </row>
    <row r="29" spans="1:41" ht="36.75" customHeight="1" x14ac:dyDescent="0.3">
      <c r="A29" s="551" t="s">
        <v>90</v>
      </c>
      <c r="B29" s="464" t="s">
        <v>209</v>
      </c>
      <c r="C29" s="161" t="s">
        <v>210</v>
      </c>
      <c r="D29" s="161" t="s">
        <v>177</v>
      </c>
      <c r="E29" s="552" t="s">
        <v>178</v>
      </c>
      <c r="F29" s="161" t="s">
        <v>144</v>
      </c>
      <c r="G29" s="105" t="s">
        <v>145</v>
      </c>
      <c r="H29" s="126">
        <f t="shared" si="0"/>
        <v>6.7406164891224965E-3</v>
      </c>
      <c r="I29" s="106">
        <v>3360.63</v>
      </c>
      <c r="J29" s="105">
        <f>I29*Prototype!$B$17</f>
        <v>30245.670000000002</v>
      </c>
      <c r="K29" s="105">
        <v>1</v>
      </c>
      <c r="L29" s="105">
        <f t="shared" si="3"/>
        <v>33.606300000000005</v>
      </c>
      <c r="M29" s="374">
        <v>10</v>
      </c>
      <c r="N29" s="354" t="s">
        <v>211</v>
      </c>
      <c r="O29" s="34">
        <f t="shared" si="2"/>
        <v>6.7406164891224965E-3</v>
      </c>
      <c r="P29" s="35"/>
      <c r="Q29" s="563" t="s">
        <v>212</v>
      </c>
      <c r="R29" s="564">
        <f>I7</f>
        <v>7958</v>
      </c>
      <c r="S29" s="570">
        <f>R29/$R$36</f>
        <v>0.20749354678903867</v>
      </c>
      <c r="U29" s="558"/>
      <c r="V29" s="563" t="s">
        <v>212</v>
      </c>
      <c r="W29" s="564">
        <f>I23</f>
        <v>848.96</v>
      </c>
      <c r="X29" s="566">
        <f t="shared" si="6"/>
        <v>2.2135426172659244E-2</v>
      </c>
      <c r="Y29" s="173"/>
      <c r="Z29" s="35"/>
      <c r="AA29" s="567" t="s">
        <v>212</v>
      </c>
      <c r="AB29" s="568">
        <f>I46</f>
        <v>1070</v>
      </c>
      <c r="AC29" s="569">
        <f t="shared" si="7"/>
        <v>2.7898730216671448E-2</v>
      </c>
      <c r="AD29" s="173"/>
      <c r="AE29" s="35"/>
      <c r="AF29" s="35"/>
      <c r="AH29" s="168"/>
      <c r="AK29" s="168"/>
      <c r="AL29" s="186"/>
      <c r="AN29" s="168"/>
      <c r="AO29" s="168"/>
    </row>
    <row r="30" spans="1:41" ht="89.25" customHeight="1" x14ac:dyDescent="0.3">
      <c r="A30" s="551" t="s">
        <v>90</v>
      </c>
      <c r="B30" s="464" t="s">
        <v>213</v>
      </c>
      <c r="C30" s="552" t="s">
        <v>163</v>
      </c>
      <c r="D30" s="161" t="s">
        <v>177</v>
      </c>
      <c r="E30" s="552" t="s">
        <v>178</v>
      </c>
      <c r="F30" s="161" t="s">
        <v>144</v>
      </c>
      <c r="G30" s="105" t="s">
        <v>145</v>
      </c>
      <c r="H30" s="126">
        <f t="shared" si="0"/>
        <v>1.3717391134730318E-3</v>
      </c>
      <c r="I30" s="106">
        <v>683.9</v>
      </c>
      <c r="J30" s="105">
        <f>I30*Prototype!$B$17</f>
        <v>6155.0999999999995</v>
      </c>
      <c r="K30" s="105">
        <v>1</v>
      </c>
      <c r="L30" s="105">
        <f>IFERROR(M30*I30/1000,"")</f>
        <v>10.2585</v>
      </c>
      <c r="M30" s="571">
        <f>M12</f>
        <v>15</v>
      </c>
      <c r="N30" s="572" t="s">
        <v>214</v>
      </c>
      <c r="O30" s="34">
        <f t="shared" si="2"/>
        <v>1.3717391134730318E-3</v>
      </c>
      <c r="P30" s="35"/>
      <c r="Q30" s="563" t="s">
        <v>215</v>
      </c>
      <c r="R30" s="564">
        <f>I6</f>
        <v>8228</v>
      </c>
      <c r="S30" s="570">
        <f>R30/$R$36</f>
        <v>0.2145334132923109</v>
      </c>
      <c r="U30" s="558"/>
      <c r="V30" s="563" t="s">
        <v>215</v>
      </c>
      <c r="W30" s="564">
        <f>I22</f>
        <v>417.09</v>
      </c>
      <c r="X30" s="566">
        <f t="shared" si="6"/>
        <v>1.0875029332777097E-2</v>
      </c>
      <c r="Y30" s="173"/>
      <c r="Z30" s="35"/>
      <c r="AA30" s="567" t="s">
        <v>215</v>
      </c>
      <c r="AB30" s="568">
        <f>I45</f>
        <v>418</v>
      </c>
      <c r="AC30" s="569">
        <f t="shared" si="7"/>
        <v>1.0898756290251088E-2</v>
      </c>
      <c r="AD30" s="173"/>
      <c r="AE30" s="35"/>
      <c r="AF30" s="35"/>
      <c r="AH30" s="168"/>
      <c r="AK30" s="168"/>
      <c r="AL30" s="186"/>
      <c r="AN30" s="168"/>
      <c r="AO30" s="168"/>
    </row>
    <row r="31" spans="1:41" ht="17.7" customHeight="1" x14ac:dyDescent="0.3">
      <c r="A31" s="551" t="s">
        <v>90</v>
      </c>
      <c r="B31" s="464" t="s">
        <v>216</v>
      </c>
      <c r="C31" s="161" t="s">
        <v>168</v>
      </c>
      <c r="D31" s="552" t="s">
        <v>177</v>
      </c>
      <c r="E31" s="552" t="s">
        <v>178</v>
      </c>
      <c r="F31" s="161" t="s">
        <v>144</v>
      </c>
      <c r="G31" s="573" t="s">
        <v>145</v>
      </c>
      <c r="H31" s="126">
        <f t="shared" si="0"/>
        <v>2.3188388239436136E-3</v>
      </c>
      <c r="I31" s="106">
        <v>1156.0899999999999</v>
      </c>
      <c r="J31" s="105">
        <f>I31*Prototype!$B$17</f>
        <v>10404.81</v>
      </c>
      <c r="K31" s="105">
        <v>1</v>
      </c>
      <c r="L31" s="105">
        <f t="shared" si="3"/>
        <v>0</v>
      </c>
      <c r="M31" s="353">
        <v>0</v>
      </c>
      <c r="N31" s="346"/>
      <c r="O31" s="34">
        <f t="shared" si="2"/>
        <v>2.3188388239436136E-3</v>
      </c>
      <c r="P31" s="35"/>
      <c r="Q31" s="563" t="s">
        <v>217</v>
      </c>
      <c r="R31" s="564">
        <f>I14+I15</f>
        <v>965.9</v>
      </c>
      <c r="S31" s="570">
        <f t="shared" si="5"/>
        <v>2.5184470575965373E-2</v>
      </c>
      <c r="U31" s="558"/>
      <c r="V31" s="563" t="s">
        <v>217</v>
      </c>
      <c r="W31" s="564">
        <f>I34+I33</f>
        <v>1804.63</v>
      </c>
      <c r="X31" s="566">
        <f t="shared" si="6"/>
        <v>4.7053164028889531E-2</v>
      </c>
      <c r="Y31" s="173"/>
      <c r="AA31" s="567" t="s">
        <v>217</v>
      </c>
      <c r="AB31" s="568">
        <f>I56+I57</f>
        <v>1591.24</v>
      </c>
      <c r="AC31" s="569">
        <f t="shared" si="7"/>
        <v>4.1489322869136702E-2</v>
      </c>
      <c r="AD31" s="173"/>
      <c r="AE31" s="35"/>
      <c r="AF31" s="35"/>
      <c r="AH31" s="168"/>
      <c r="AK31" s="168"/>
      <c r="AL31" s="186"/>
      <c r="AN31" s="168"/>
      <c r="AO31" s="168"/>
    </row>
    <row r="32" spans="1:41" ht="17.7" customHeight="1" x14ac:dyDescent="0.3">
      <c r="A32" s="551" t="s">
        <v>90</v>
      </c>
      <c r="B32" s="464" t="s">
        <v>218</v>
      </c>
      <c r="C32" s="161" t="s">
        <v>172</v>
      </c>
      <c r="D32" s="552" t="s">
        <v>177</v>
      </c>
      <c r="E32" s="552" t="s">
        <v>178</v>
      </c>
      <c r="F32" s="552" t="s">
        <v>159</v>
      </c>
      <c r="G32" s="426" t="s">
        <v>145</v>
      </c>
      <c r="H32" s="126">
        <f t="shared" si="0"/>
        <v>1.7009043509522823E-3</v>
      </c>
      <c r="I32" s="106">
        <v>848.01</v>
      </c>
      <c r="J32" s="105">
        <f>I32*Prototype!$B$17</f>
        <v>7632.09</v>
      </c>
      <c r="K32" s="105">
        <v>1</v>
      </c>
      <c r="L32" s="105">
        <f t="shared" si="1"/>
        <v>0</v>
      </c>
      <c r="M32" s="353">
        <v>0</v>
      </c>
      <c r="N32" s="346"/>
      <c r="O32" s="34">
        <f t="shared" si="2"/>
        <v>1.7009043509522823E-3</v>
      </c>
      <c r="P32" s="35"/>
      <c r="Q32" s="563" t="s">
        <v>219</v>
      </c>
      <c r="R32" s="564">
        <f>I11</f>
        <v>986</v>
      </c>
      <c r="S32" s="565">
        <f t="shared" si="5"/>
        <v>2.5708549526764529E-2</v>
      </c>
      <c r="U32" s="558"/>
      <c r="V32" s="563" t="s">
        <v>219</v>
      </c>
      <c r="W32" s="564">
        <f>I31</f>
        <v>1156.0899999999999</v>
      </c>
      <c r="X32" s="566">
        <f t="shared" si="6"/>
        <v>3.0143404688029618E-2</v>
      </c>
      <c r="Y32" s="173"/>
      <c r="Z32" s="35"/>
      <c r="AA32" s="567" t="s">
        <v>219</v>
      </c>
      <c r="AB32" s="568">
        <f>I54</f>
        <v>1155</v>
      </c>
      <c r="AC32" s="569">
        <f t="shared" si="7"/>
        <v>3.0114984486220114E-2</v>
      </c>
      <c r="AD32" s="173"/>
      <c r="AE32" s="35"/>
      <c r="AF32" s="35"/>
      <c r="AH32" s="168"/>
      <c r="AK32" s="168"/>
      <c r="AL32" s="186"/>
      <c r="AN32" s="168"/>
      <c r="AO32" s="168"/>
    </row>
    <row r="33" spans="1:41" ht="17.7" customHeight="1" x14ac:dyDescent="0.25">
      <c r="A33" s="551" t="s">
        <v>90</v>
      </c>
      <c r="B33" s="464" t="s">
        <v>220</v>
      </c>
      <c r="C33" s="161" t="s">
        <v>174</v>
      </c>
      <c r="D33" s="161" t="s">
        <v>177</v>
      </c>
      <c r="E33" s="552" t="s">
        <v>178</v>
      </c>
      <c r="F33" s="161" t="s">
        <v>144</v>
      </c>
      <c r="G33" s="105" t="s">
        <v>145</v>
      </c>
      <c r="H33" s="126">
        <f t="shared" si="0"/>
        <v>2.0175335898071629E-3</v>
      </c>
      <c r="I33" s="106">
        <v>1005.87</v>
      </c>
      <c r="J33" s="105">
        <f>I33*Prototype!$B$17</f>
        <v>9052.83</v>
      </c>
      <c r="K33" s="105">
        <v>1</v>
      </c>
      <c r="L33" s="105">
        <f t="shared" si="1"/>
        <v>5.02935</v>
      </c>
      <c r="M33" s="352">
        <v>5</v>
      </c>
      <c r="N33" s="346"/>
      <c r="O33" s="34">
        <f t="shared" si="2"/>
        <v>2.0175335898071629E-3</v>
      </c>
      <c r="P33" s="35"/>
      <c r="Q33" s="563" t="s">
        <v>221</v>
      </c>
      <c r="R33" s="564">
        <f>I12</f>
        <v>707</v>
      </c>
      <c r="S33" s="565">
        <f t="shared" si="5"/>
        <v>1.8434020806716554E-2</v>
      </c>
      <c r="U33" s="558"/>
      <c r="V33" s="563" t="s">
        <v>221</v>
      </c>
      <c r="W33" s="564">
        <f>I30+I29</f>
        <v>4044.53</v>
      </c>
      <c r="X33" s="566">
        <f t="shared" si="6"/>
        <v>0.10545537506844316</v>
      </c>
      <c r="Y33" s="173"/>
      <c r="Z33" s="531"/>
      <c r="AA33" s="567" t="s">
        <v>221</v>
      </c>
      <c r="AB33" s="568">
        <f>I53</f>
        <v>684</v>
      </c>
      <c r="AC33" s="569">
        <f t="shared" si="7"/>
        <v>1.7834328474956328E-2</v>
      </c>
      <c r="AD33" s="173"/>
      <c r="AE33" s="35"/>
      <c r="AF33" s="35"/>
      <c r="AH33" s="168"/>
      <c r="AK33" s="168"/>
      <c r="AL33" s="186"/>
      <c r="AN33" s="168"/>
      <c r="AO33" s="168"/>
    </row>
    <row r="34" spans="1:41" ht="17.7" customHeight="1" x14ac:dyDescent="0.3">
      <c r="A34" s="551" t="s">
        <v>90</v>
      </c>
      <c r="B34" s="464" t="s">
        <v>222</v>
      </c>
      <c r="C34" s="161" t="s">
        <v>174</v>
      </c>
      <c r="D34" s="161" t="s">
        <v>177</v>
      </c>
      <c r="E34" s="552" t="s">
        <v>178</v>
      </c>
      <c r="F34" s="161" t="s">
        <v>144</v>
      </c>
      <c r="G34" s="105" t="s">
        <v>145</v>
      </c>
      <c r="H34" s="126">
        <f t="shared" si="0"/>
        <v>1.6021206817922488E-3</v>
      </c>
      <c r="I34" s="106">
        <v>798.76</v>
      </c>
      <c r="J34" s="105">
        <f>I34*Prototype!$B$17</f>
        <v>7188.84</v>
      </c>
      <c r="K34" s="105">
        <v>1</v>
      </c>
      <c r="L34" s="105">
        <f t="shared" ref="L34" si="8">IFERROR(M34*I34/1000,"")</f>
        <v>3.9938000000000002</v>
      </c>
      <c r="M34" s="352">
        <v>5</v>
      </c>
      <c r="N34" s="346"/>
      <c r="O34" s="34">
        <f t="shared" si="2"/>
        <v>1.6021206817922488E-3</v>
      </c>
      <c r="P34" s="35"/>
      <c r="Q34" s="563" t="s">
        <v>223</v>
      </c>
      <c r="R34" s="564">
        <f>I13</f>
        <v>941</v>
      </c>
      <c r="S34" s="565">
        <f t="shared" si="5"/>
        <v>2.4535238442885823E-2</v>
      </c>
      <c r="U34" s="558"/>
      <c r="V34" s="563" t="s">
        <v>223</v>
      </c>
      <c r="W34" s="564">
        <f>I32</f>
        <v>848.01</v>
      </c>
      <c r="X34" s="566">
        <f t="shared" si="6"/>
        <v>2.2110656271999582E-2</v>
      </c>
      <c r="Y34" s="173"/>
      <c r="Z34" s="35"/>
      <c r="AA34" s="567" t="s">
        <v>223</v>
      </c>
      <c r="AB34" s="568">
        <f>I55</f>
        <v>848</v>
      </c>
      <c r="AC34" s="569">
        <f t="shared" si="7"/>
        <v>2.2110395536203167E-2</v>
      </c>
      <c r="AD34" s="173"/>
      <c r="AE34" s="35"/>
      <c r="AF34" s="35"/>
      <c r="AH34" s="168"/>
      <c r="AK34" s="168"/>
      <c r="AL34" s="186"/>
      <c r="AN34" s="168"/>
      <c r="AO34" s="168"/>
    </row>
    <row r="35" spans="1:41" ht="17.7" customHeight="1" thickBot="1" x14ac:dyDescent="0.35">
      <c r="A35" s="551" t="s">
        <v>90</v>
      </c>
      <c r="B35" s="464" t="s">
        <v>224</v>
      </c>
      <c r="C35" s="161" t="s">
        <v>225</v>
      </c>
      <c r="D35" s="161" t="s">
        <v>198</v>
      </c>
      <c r="E35" s="552" t="s">
        <v>226</v>
      </c>
      <c r="F35" s="161"/>
      <c r="G35" s="105" t="s">
        <v>227</v>
      </c>
      <c r="H35" s="126"/>
      <c r="I35" s="106">
        <f>38352.97</f>
        <v>38352.97</v>
      </c>
      <c r="J35" s="105">
        <f>I35*(Prototype!$B$16-Prototype!$B$17)</f>
        <v>153411.88</v>
      </c>
      <c r="K35" s="105">
        <v>1</v>
      </c>
      <c r="L35" s="105">
        <f t="shared" si="1"/>
        <v>0</v>
      </c>
      <c r="M35" s="353">
        <v>0</v>
      </c>
      <c r="N35" s="346"/>
      <c r="O35" s="34">
        <f t="shared" si="2"/>
        <v>0</v>
      </c>
      <c r="P35" s="35"/>
      <c r="Q35" s="574" t="s">
        <v>228</v>
      </c>
      <c r="R35" s="575">
        <f>I35</f>
        <v>38352.97</v>
      </c>
      <c r="S35" s="576">
        <f>SUM(S23:S34)</f>
        <v>0.99998226996584361</v>
      </c>
      <c r="T35" s="35"/>
      <c r="U35" s="35"/>
      <c r="V35" s="563" t="s">
        <v>228</v>
      </c>
      <c r="W35" s="564">
        <f>I35</f>
        <v>38352.97</v>
      </c>
      <c r="X35" s="566">
        <f t="shared" si="6"/>
        <v>0.99999921779261081</v>
      </c>
      <c r="AA35" s="577" t="s">
        <v>228</v>
      </c>
      <c r="AB35" s="578" t="s">
        <v>229</v>
      </c>
      <c r="AC35" s="579">
        <v>1</v>
      </c>
      <c r="AD35" s="35"/>
      <c r="AE35" s="35"/>
      <c r="AF35" s="35"/>
      <c r="AH35" s="125"/>
    </row>
    <row r="36" spans="1:41" ht="17.7" customHeight="1" thickBot="1" x14ac:dyDescent="0.35">
      <c r="A36" s="536" t="s">
        <v>90</v>
      </c>
      <c r="B36" s="463" t="s">
        <v>230</v>
      </c>
      <c r="C36" s="159" t="s">
        <v>141</v>
      </c>
      <c r="D36" s="160" t="s">
        <v>231</v>
      </c>
      <c r="E36" s="580" t="s">
        <v>232</v>
      </c>
      <c r="F36" s="159" t="s">
        <v>144</v>
      </c>
      <c r="G36" s="18" t="s">
        <v>145</v>
      </c>
      <c r="H36" s="124">
        <f t="shared" ref="H36:H57" si="9">I36/$I$82</f>
        <v>1.4303654660797043E-2</v>
      </c>
      <c r="I36" s="184">
        <v>7131.29</v>
      </c>
      <c r="J36" s="18">
        <f>I36*Prototype!$B$17</f>
        <v>64181.61</v>
      </c>
      <c r="K36" s="18">
        <v>10</v>
      </c>
      <c r="L36" s="18">
        <f t="shared" si="1"/>
        <v>35.65645</v>
      </c>
      <c r="M36" s="349">
        <v>5</v>
      </c>
      <c r="N36" s="346"/>
      <c r="O36" s="34">
        <f t="shared" si="2"/>
        <v>0.14303654660797044</v>
      </c>
      <c r="P36" s="35"/>
      <c r="Q36" s="412" t="s">
        <v>233</v>
      </c>
      <c r="R36" s="360">
        <v>38353</v>
      </c>
      <c r="S36" s="364">
        <f>SUM(S23:S34)</f>
        <v>0.99998226996584361</v>
      </c>
      <c r="T36" s="163"/>
      <c r="V36" s="412" t="s">
        <v>234</v>
      </c>
      <c r="W36" s="360"/>
      <c r="X36" s="364">
        <f>SUM(X23:X34)</f>
        <v>0.9999731442129689</v>
      </c>
      <c r="Y36" s="163"/>
      <c r="Z36" s="35"/>
      <c r="AA36" s="412" t="s">
        <v>234</v>
      </c>
      <c r="AB36" s="360"/>
      <c r="AC36" s="364">
        <f>SUM(AC23:AC34)</f>
        <v>0.99994524548275232</v>
      </c>
      <c r="AD36" s="35"/>
      <c r="AE36" s="35"/>
      <c r="AF36" s="35"/>
    </row>
    <row r="37" spans="1:41" ht="17.7" customHeight="1" x14ac:dyDescent="0.3">
      <c r="A37" s="536" t="s">
        <v>90</v>
      </c>
      <c r="B37" s="463" t="s">
        <v>235</v>
      </c>
      <c r="C37" s="159" t="s">
        <v>141</v>
      </c>
      <c r="D37" s="160" t="s">
        <v>231</v>
      </c>
      <c r="E37" s="580" t="s">
        <v>232</v>
      </c>
      <c r="F37" s="159" t="s">
        <v>144</v>
      </c>
      <c r="G37" s="18" t="s">
        <v>145</v>
      </c>
      <c r="H37" s="124">
        <f t="shared" si="9"/>
        <v>1.0504906098450435E-2</v>
      </c>
      <c r="I37" s="184">
        <v>5237.37</v>
      </c>
      <c r="J37" s="18">
        <f>I37*Prototype!$B$17</f>
        <v>47136.33</v>
      </c>
      <c r="K37" s="18">
        <v>10</v>
      </c>
      <c r="L37" s="18">
        <f t="shared" si="1"/>
        <v>26.18685</v>
      </c>
      <c r="M37" s="349">
        <f>M3</f>
        <v>5</v>
      </c>
      <c r="N37" s="346"/>
      <c r="O37" s="34">
        <f t="shared" si="2"/>
        <v>0.10504906098450435</v>
      </c>
      <c r="P37" s="35"/>
      <c r="Q37" s="35"/>
      <c r="R37" s="35"/>
      <c r="S37" s="35"/>
      <c r="T37" s="35"/>
      <c r="U37" s="35"/>
      <c r="V37" s="35"/>
      <c r="W37" s="35"/>
      <c r="X37" s="35"/>
      <c r="Y37" s="35"/>
      <c r="Z37" s="35"/>
      <c r="AA37" s="35"/>
      <c r="AB37" s="35"/>
      <c r="AC37" s="35"/>
      <c r="AD37" s="35"/>
      <c r="AE37" s="35"/>
      <c r="AF37" s="35"/>
    </row>
    <row r="38" spans="1:41" ht="17.7" customHeight="1" thickBot="1" x14ac:dyDescent="0.35">
      <c r="A38" s="536" t="s">
        <v>90</v>
      </c>
      <c r="B38" s="463" t="s">
        <v>236</v>
      </c>
      <c r="C38" s="159" t="s">
        <v>141</v>
      </c>
      <c r="D38" s="160" t="s">
        <v>231</v>
      </c>
      <c r="E38" s="580" t="s">
        <v>232</v>
      </c>
      <c r="F38" s="159" t="s">
        <v>144</v>
      </c>
      <c r="G38" s="18" t="s">
        <v>145</v>
      </c>
      <c r="H38" s="124">
        <f t="shared" si="9"/>
        <v>8.9666287504523764E-3</v>
      </c>
      <c r="I38" s="185">
        <v>4470.4399999999996</v>
      </c>
      <c r="J38" s="18">
        <f>I38*Prototype!$B$17</f>
        <v>40233.96</v>
      </c>
      <c r="K38" s="18">
        <f>K37</f>
        <v>10</v>
      </c>
      <c r="L38" s="18">
        <f t="shared" si="1"/>
        <v>22.352199999999996</v>
      </c>
      <c r="M38" s="349">
        <f>M3</f>
        <v>5</v>
      </c>
      <c r="N38" s="346"/>
      <c r="O38" s="34">
        <f t="shared" si="2"/>
        <v>8.9666287504523767E-2</v>
      </c>
      <c r="P38" s="35"/>
      <c r="Q38" s="169"/>
      <c r="R38" s="170"/>
      <c r="S38" s="170"/>
      <c r="V38" s="169"/>
      <c r="W38" s="170"/>
      <c r="X38" s="170"/>
      <c r="Y38" s="35"/>
      <c r="Z38" s="304"/>
      <c r="AA38" s="35"/>
      <c r="AB38" s="35"/>
      <c r="AC38" s="35"/>
      <c r="AD38" s="35"/>
      <c r="AE38" s="35"/>
      <c r="AF38" s="35"/>
    </row>
    <row r="39" spans="1:41" ht="17.7" customHeight="1" thickBot="1" x14ac:dyDescent="0.35">
      <c r="A39" s="536" t="s">
        <v>90</v>
      </c>
      <c r="B39" s="463" t="s">
        <v>237</v>
      </c>
      <c r="C39" s="159" t="s">
        <v>141</v>
      </c>
      <c r="D39" s="160" t="s">
        <v>231</v>
      </c>
      <c r="E39" s="580" t="s">
        <v>232</v>
      </c>
      <c r="F39" s="159" t="s">
        <v>144</v>
      </c>
      <c r="G39" s="18" t="s">
        <v>145</v>
      </c>
      <c r="H39" s="124">
        <f t="shared" si="9"/>
        <v>8.9231438784241647E-3</v>
      </c>
      <c r="I39" s="184">
        <v>4448.76</v>
      </c>
      <c r="J39" s="18">
        <f>I39*Prototype!$B$17</f>
        <v>40038.840000000004</v>
      </c>
      <c r="K39" s="18">
        <f t="shared" ref="K39:K56" si="10">K38</f>
        <v>10</v>
      </c>
      <c r="L39" s="18">
        <f t="shared" si="1"/>
        <v>22.243800000000004</v>
      </c>
      <c r="M39" s="349">
        <f>M3</f>
        <v>5</v>
      </c>
      <c r="N39" s="346"/>
      <c r="O39" s="34">
        <f t="shared" si="2"/>
        <v>8.923143878424164E-2</v>
      </c>
      <c r="P39" s="35"/>
      <c r="Q39" s="783" t="s">
        <v>184</v>
      </c>
      <c r="R39" s="784"/>
      <c r="S39" s="784"/>
      <c r="T39" s="785"/>
      <c r="U39" s="356"/>
      <c r="V39" s="356"/>
      <c r="W39" s="581"/>
      <c r="X39" s="582"/>
      <c r="Y39" s="163"/>
      <c r="Z39" s="164"/>
      <c r="AA39" s="35"/>
      <c r="AB39" s="35"/>
      <c r="AC39" s="35"/>
      <c r="AD39" s="35"/>
      <c r="AE39" s="35"/>
      <c r="AF39" s="35"/>
    </row>
    <row r="40" spans="1:41" ht="17.7" customHeight="1" x14ac:dyDescent="0.3">
      <c r="A40" s="536" t="s">
        <v>90</v>
      </c>
      <c r="B40" s="463" t="s">
        <v>238</v>
      </c>
      <c r="C40" s="159" t="s">
        <v>141</v>
      </c>
      <c r="D40" s="160" t="s">
        <v>231</v>
      </c>
      <c r="E40" s="580" t="s">
        <v>232</v>
      </c>
      <c r="F40" s="159" t="s">
        <v>144</v>
      </c>
      <c r="G40" s="18" t="s">
        <v>145</v>
      </c>
      <c r="H40" s="124">
        <f t="shared" si="9"/>
        <v>1.8400439068838865E-3</v>
      </c>
      <c r="I40" s="104">
        <v>917.38</v>
      </c>
      <c r="J40" s="18">
        <f>I40*Prototype!$B$17</f>
        <v>8256.42</v>
      </c>
      <c r="K40" s="18">
        <f t="shared" si="10"/>
        <v>10</v>
      </c>
      <c r="L40" s="18">
        <f t="shared" si="1"/>
        <v>4.5869</v>
      </c>
      <c r="M40" s="349">
        <f>M3</f>
        <v>5</v>
      </c>
      <c r="N40" s="346"/>
      <c r="O40" s="34">
        <f t="shared" si="2"/>
        <v>1.8400439068838866E-2</v>
      </c>
      <c r="P40" s="35"/>
      <c r="Q40" s="792" t="s">
        <v>189</v>
      </c>
      <c r="R40" s="793"/>
      <c r="S40" s="794"/>
      <c r="T40" s="583" t="s">
        <v>239</v>
      </c>
      <c r="U40" s="35"/>
      <c r="V40" s="35"/>
      <c r="W40" s="581"/>
      <c r="X40" s="582"/>
      <c r="Y40" s="163"/>
      <c r="Z40" s="164"/>
      <c r="AA40" s="35"/>
      <c r="AB40" s="35"/>
      <c r="AC40" s="35"/>
      <c r="AD40" s="35"/>
      <c r="AE40" s="35"/>
      <c r="AF40" s="35"/>
    </row>
    <row r="41" spans="1:41" ht="17.7" customHeight="1" x14ac:dyDescent="0.3">
      <c r="A41" s="536" t="s">
        <v>90</v>
      </c>
      <c r="B41" s="463" t="s">
        <v>240</v>
      </c>
      <c r="C41" s="159" t="s">
        <v>141</v>
      </c>
      <c r="D41" s="160" t="s">
        <v>231</v>
      </c>
      <c r="E41" s="580" t="s">
        <v>232</v>
      </c>
      <c r="F41" s="159" t="s">
        <v>144</v>
      </c>
      <c r="G41" s="18" t="s">
        <v>145</v>
      </c>
      <c r="H41" s="124">
        <f t="shared" si="9"/>
        <v>2.2689355206197228E-3</v>
      </c>
      <c r="I41" s="104">
        <v>1131.21</v>
      </c>
      <c r="J41" s="18">
        <f>I41*Prototype!$B$17</f>
        <v>10180.89</v>
      </c>
      <c r="K41" s="18">
        <f t="shared" si="10"/>
        <v>10</v>
      </c>
      <c r="L41" s="18">
        <f t="shared" si="1"/>
        <v>5.6560500000000005</v>
      </c>
      <c r="M41" s="349">
        <f>M3</f>
        <v>5</v>
      </c>
      <c r="N41" s="346"/>
      <c r="O41" s="34">
        <f t="shared" si="2"/>
        <v>2.2689355206197227E-2</v>
      </c>
      <c r="P41" s="35"/>
      <c r="Q41" s="795" t="s">
        <v>141</v>
      </c>
      <c r="R41" s="796"/>
      <c r="S41" s="797"/>
      <c r="T41" s="584">
        <f>SUM(H3:H5)+SUM(H16:H21)+SUMPRODUCT(H36:H44,K36:K44)+SUM(H59:H67)</f>
        <v>0.71143047798920367</v>
      </c>
      <c r="W41" s="581"/>
      <c r="X41" s="582"/>
      <c r="Y41" s="163"/>
      <c r="Z41" s="165"/>
      <c r="AA41" s="35"/>
      <c r="AB41" s="35"/>
      <c r="AC41" s="35"/>
      <c r="AD41" s="35"/>
      <c r="AE41" s="35"/>
      <c r="AF41" s="35"/>
    </row>
    <row r="42" spans="1:41" ht="17.7" customHeight="1" x14ac:dyDescent="0.3">
      <c r="A42" s="536" t="s">
        <v>90</v>
      </c>
      <c r="B42" s="463" t="s">
        <v>241</v>
      </c>
      <c r="C42" s="159" t="s">
        <v>141</v>
      </c>
      <c r="D42" s="160" t="s">
        <v>231</v>
      </c>
      <c r="E42" s="580" t="s">
        <v>232</v>
      </c>
      <c r="F42" s="159" t="s">
        <v>144</v>
      </c>
      <c r="G42" s="18" t="s">
        <v>145</v>
      </c>
      <c r="H42" s="124">
        <f t="shared" si="9"/>
        <v>2.0268001999902969E-3</v>
      </c>
      <c r="I42" s="104">
        <v>1010.49</v>
      </c>
      <c r="J42" s="18">
        <f>I42*Prototype!$B$17</f>
        <v>9094.41</v>
      </c>
      <c r="K42" s="18">
        <f t="shared" si="10"/>
        <v>10</v>
      </c>
      <c r="L42" s="18">
        <f t="shared" si="1"/>
        <v>5.0524499999999994</v>
      </c>
      <c r="M42" s="349">
        <f>M3</f>
        <v>5</v>
      </c>
      <c r="N42" s="346"/>
      <c r="O42" s="34">
        <f t="shared" si="2"/>
        <v>2.026800199990297E-2</v>
      </c>
      <c r="P42" s="35"/>
      <c r="Q42" s="786" t="s">
        <v>161</v>
      </c>
      <c r="R42" s="787"/>
      <c r="S42" s="788"/>
      <c r="T42" s="584">
        <f>H8+H24+SUMPRODUCT(H47:H50, K47:K50)+SUM(H70:H73)</f>
        <v>5.4005382937751728E-2</v>
      </c>
      <c r="W42" s="581"/>
      <c r="X42" s="582"/>
      <c r="Y42" s="35"/>
      <c r="AA42" s="35"/>
      <c r="AB42" s="35"/>
      <c r="AC42" s="35"/>
      <c r="AD42" s="35"/>
      <c r="AE42" s="35"/>
      <c r="AF42" s="35"/>
    </row>
    <row r="43" spans="1:41" ht="17.7" customHeight="1" x14ac:dyDescent="0.3">
      <c r="A43" s="536" t="s">
        <v>90</v>
      </c>
      <c r="B43" s="463" t="s">
        <v>242</v>
      </c>
      <c r="C43" s="159" t="s">
        <v>141</v>
      </c>
      <c r="D43" s="160" t="s">
        <v>231</v>
      </c>
      <c r="E43" s="580" t="s">
        <v>232</v>
      </c>
      <c r="F43" s="159" t="s">
        <v>144</v>
      </c>
      <c r="G43" s="18" t="s">
        <v>145</v>
      </c>
      <c r="H43" s="124">
        <f t="shared" si="9"/>
        <v>2.0729126173301784E-3</v>
      </c>
      <c r="I43" s="104">
        <v>1033.48</v>
      </c>
      <c r="J43" s="18">
        <f>I43*Prototype!$B$17</f>
        <v>9301.32</v>
      </c>
      <c r="K43" s="18">
        <f t="shared" si="10"/>
        <v>10</v>
      </c>
      <c r="L43" s="18">
        <f t="shared" si="1"/>
        <v>5.1673999999999998</v>
      </c>
      <c r="M43" s="349">
        <f>M3</f>
        <v>5</v>
      </c>
      <c r="N43" s="346"/>
      <c r="O43" s="34">
        <f t="shared" si="2"/>
        <v>2.0729126173301783E-2</v>
      </c>
      <c r="P43" s="35"/>
      <c r="Q43" s="786" t="s">
        <v>210</v>
      </c>
      <c r="R43" s="787"/>
      <c r="S43" s="788"/>
      <c r="T43" s="584">
        <f>H12+H30+H29+(H53*10)+H76</f>
        <v>2.4621764350945471E-2</v>
      </c>
      <c r="W43" s="581"/>
      <c r="X43" s="582"/>
      <c r="Y43" s="35"/>
      <c r="Z43" s="304"/>
      <c r="AA43" s="35"/>
      <c r="AB43" s="35"/>
      <c r="AC43" s="35"/>
      <c r="AD43" s="35"/>
      <c r="AE43" s="35"/>
      <c r="AF43" s="35"/>
    </row>
    <row r="44" spans="1:41" ht="17.7" customHeight="1" x14ac:dyDescent="0.3">
      <c r="A44" s="536" t="s">
        <v>90</v>
      </c>
      <c r="B44" s="463" t="s">
        <v>243</v>
      </c>
      <c r="C44" s="159" t="s">
        <v>141</v>
      </c>
      <c r="D44" s="160" t="s">
        <v>231</v>
      </c>
      <c r="E44" s="580" t="s">
        <v>232</v>
      </c>
      <c r="F44" s="160" t="s">
        <v>144</v>
      </c>
      <c r="G44" s="18" t="s">
        <v>145</v>
      </c>
      <c r="H44" s="124">
        <f t="shared" si="9"/>
        <v>6.4846213684139672E-3</v>
      </c>
      <c r="I44" s="104">
        <v>3233</v>
      </c>
      <c r="J44" s="18">
        <f>I44*Prototype!$B$17</f>
        <v>29097</v>
      </c>
      <c r="K44" s="18">
        <f t="shared" si="10"/>
        <v>10</v>
      </c>
      <c r="L44" s="18">
        <f t="shared" si="1"/>
        <v>16.164999999999999</v>
      </c>
      <c r="M44" s="349">
        <f>M3</f>
        <v>5</v>
      </c>
      <c r="N44" s="346"/>
      <c r="O44" s="34">
        <f t="shared" si="2"/>
        <v>6.4846213684139675E-2</v>
      </c>
      <c r="P44" s="35"/>
      <c r="Q44" s="786" t="s">
        <v>165</v>
      </c>
      <c r="R44" s="787"/>
      <c r="S44" s="788"/>
      <c r="T44" s="584">
        <f>H10+H27+(H52*10)+H75</f>
        <v>2.0675431983993884E-2</v>
      </c>
      <c r="W44" s="581"/>
      <c r="X44" s="582"/>
      <c r="Y44" s="163"/>
      <c r="Z44" s="166"/>
      <c r="AA44" s="35"/>
      <c r="AB44" s="35"/>
      <c r="AC44" s="35"/>
      <c r="AD44" s="35"/>
      <c r="AE44" s="35"/>
      <c r="AF44" s="35"/>
    </row>
    <row r="45" spans="1:41" ht="17.7" customHeight="1" x14ac:dyDescent="0.3">
      <c r="A45" s="536" t="s">
        <v>90</v>
      </c>
      <c r="B45" s="463" t="s">
        <v>244</v>
      </c>
      <c r="C45" s="160" t="s">
        <v>186</v>
      </c>
      <c r="D45" s="160" t="s">
        <v>245</v>
      </c>
      <c r="E45" s="580" t="s">
        <v>246</v>
      </c>
      <c r="F45" s="159" t="s">
        <v>155</v>
      </c>
      <c r="G45" s="18" t="s">
        <v>145</v>
      </c>
      <c r="H45" s="124">
        <f t="shared" si="9"/>
        <v>8.384075879978467E-4</v>
      </c>
      <c r="I45" s="104">
        <v>418</v>
      </c>
      <c r="J45" s="18">
        <f>I45*Prototype!$B$17</f>
        <v>3762</v>
      </c>
      <c r="K45" s="18">
        <f t="shared" si="10"/>
        <v>10</v>
      </c>
      <c r="L45" s="18">
        <f t="shared" si="1"/>
        <v>0.627</v>
      </c>
      <c r="M45" s="585">
        <v>1.5</v>
      </c>
      <c r="N45" s="545" t="s">
        <v>156</v>
      </c>
      <c r="O45" s="34">
        <f t="shared" si="2"/>
        <v>8.3840758799784663E-3</v>
      </c>
      <c r="P45" s="35"/>
      <c r="Q45" s="786" t="s">
        <v>158</v>
      </c>
      <c r="R45" s="787"/>
      <c r="S45" s="788"/>
      <c r="T45" s="584">
        <f>H7+H23+(H46*K46)+H69</f>
        <v>4.1272438760593715E-2</v>
      </c>
      <c r="W45" s="581"/>
      <c r="X45" s="582"/>
      <c r="Y45" s="181"/>
      <c r="Z45" s="35"/>
      <c r="AA45" s="35"/>
      <c r="AB45" s="35"/>
      <c r="AC45" s="35"/>
      <c r="AD45" s="35"/>
      <c r="AE45" s="35"/>
      <c r="AF45" s="35"/>
    </row>
    <row r="46" spans="1:41" ht="17.7" customHeight="1" x14ac:dyDescent="0.3">
      <c r="A46" s="536" t="s">
        <v>90</v>
      </c>
      <c r="B46" s="463" t="s">
        <v>247</v>
      </c>
      <c r="C46" s="159" t="s">
        <v>158</v>
      </c>
      <c r="D46" s="159" t="s">
        <v>231</v>
      </c>
      <c r="E46" s="580" t="s">
        <v>232</v>
      </c>
      <c r="F46" s="537" t="s">
        <v>159</v>
      </c>
      <c r="G46" s="425" t="s">
        <v>145</v>
      </c>
      <c r="H46" s="124">
        <f t="shared" si="9"/>
        <v>2.1461629644920956E-3</v>
      </c>
      <c r="I46" s="104">
        <v>1070</v>
      </c>
      <c r="J46" s="18">
        <f>I46*Prototype!$B$17</f>
        <v>9630</v>
      </c>
      <c r="K46" s="18">
        <f t="shared" si="10"/>
        <v>10</v>
      </c>
      <c r="L46" s="18">
        <f t="shared" si="1"/>
        <v>0</v>
      </c>
      <c r="M46" s="350">
        <v>0</v>
      </c>
      <c r="N46" s="346"/>
      <c r="O46" s="34">
        <f t="shared" si="2"/>
        <v>2.1461629644920956E-2</v>
      </c>
      <c r="P46" s="35"/>
      <c r="Q46" s="786" t="s">
        <v>186</v>
      </c>
      <c r="R46" s="787"/>
      <c r="S46" s="788"/>
      <c r="T46" s="584">
        <f>H6+H22+H68+(H45*K45)</f>
        <v>2.6562457283584699E-2</v>
      </c>
      <c r="W46" s="581"/>
      <c r="X46" s="582"/>
      <c r="Y46" s="35"/>
      <c r="Z46" s="35"/>
      <c r="AA46" s="35"/>
      <c r="AB46" s="35"/>
      <c r="AC46" s="35"/>
      <c r="AD46" s="35"/>
      <c r="AE46" s="35"/>
      <c r="AF46" s="35"/>
    </row>
    <row r="47" spans="1:41" ht="17.7" customHeight="1" x14ac:dyDescent="0.3">
      <c r="A47" s="536" t="s">
        <v>90</v>
      </c>
      <c r="B47" s="463" t="s">
        <v>248</v>
      </c>
      <c r="C47" s="159" t="s">
        <v>161</v>
      </c>
      <c r="D47" s="160" t="s">
        <v>231</v>
      </c>
      <c r="E47" s="580" t="s">
        <v>232</v>
      </c>
      <c r="F47" s="159" t="s">
        <v>144</v>
      </c>
      <c r="G47" s="18" t="s">
        <v>145</v>
      </c>
      <c r="H47" s="124">
        <f t="shared" si="9"/>
        <v>1.5841490741643524E-3</v>
      </c>
      <c r="I47" s="104">
        <v>789.8</v>
      </c>
      <c r="J47" s="18">
        <f>I47*Prototype!$B$17</f>
        <v>7108.2</v>
      </c>
      <c r="K47" s="18">
        <f t="shared" si="10"/>
        <v>10</v>
      </c>
      <c r="L47" s="18">
        <f t="shared" si="1"/>
        <v>26.063399999999998</v>
      </c>
      <c r="M47" s="349">
        <v>33</v>
      </c>
      <c r="N47" s="346"/>
      <c r="O47" s="34">
        <f t="shared" si="2"/>
        <v>1.5841490741643524E-2</v>
      </c>
      <c r="P47" s="35"/>
      <c r="Q47" s="786" t="s">
        <v>168</v>
      </c>
      <c r="R47" s="787"/>
      <c r="S47" s="788"/>
      <c r="T47" s="584">
        <f>H11+H31+(H54*K54)+H77</f>
        <v>2.977969597054294E-2</v>
      </c>
      <c r="W47" s="581"/>
      <c r="X47" s="582"/>
      <c r="Y47" s="163"/>
      <c r="Z47" s="35"/>
      <c r="AA47" s="35"/>
      <c r="AB47" s="35"/>
      <c r="AC47" s="35"/>
      <c r="AD47" s="35"/>
      <c r="AE47" s="35"/>
      <c r="AF47" s="35"/>
    </row>
    <row r="48" spans="1:41" ht="17.7" customHeight="1" x14ac:dyDescent="0.3">
      <c r="A48" s="536" t="s">
        <v>90</v>
      </c>
      <c r="B48" s="463" t="s">
        <v>249</v>
      </c>
      <c r="C48" s="159" t="s">
        <v>161</v>
      </c>
      <c r="D48" s="160" t="s">
        <v>231</v>
      </c>
      <c r="E48" s="580" t="s">
        <v>232</v>
      </c>
      <c r="F48" s="159" t="s">
        <v>144</v>
      </c>
      <c r="G48" s="18" t="s">
        <v>145</v>
      </c>
      <c r="H48" s="124">
        <f t="shared" si="9"/>
        <v>6.7481782034927156E-4</v>
      </c>
      <c r="I48" s="104">
        <v>336.44</v>
      </c>
      <c r="J48" s="18">
        <f>I48*Prototype!$B$17</f>
        <v>3027.96</v>
      </c>
      <c r="K48" s="18">
        <f t="shared" si="10"/>
        <v>10</v>
      </c>
      <c r="L48" s="18">
        <f t="shared" si="1"/>
        <v>11.10252</v>
      </c>
      <c r="M48" s="349">
        <v>33</v>
      </c>
      <c r="N48" s="346"/>
      <c r="O48" s="34">
        <f t="shared" si="2"/>
        <v>6.7481782034927154E-3</v>
      </c>
      <c r="P48" s="35"/>
      <c r="Q48" s="786" t="s">
        <v>163</v>
      </c>
      <c r="R48" s="787"/>
      <c r="S48" s="788"/>
      <c r="T48" s="584">
        <f>H9+H25+(H51*K51)+H74</f>
        <v>2.326928053135947E-2</v>
      </c>
      <c r="W48" s="581"/>
      <c r="X48" s="582"/>
      <c r="Y48" s="163"/>
      <c r="Z48" s="35"/>
      <c r="AA48" s="35"/>
      <c r="AB48" s="35"/>
      <c r="AC48" s="35"/>
      <c r="AD48" s="35"/>
      <c r="AE48" s="35"/>
      <c r="AF48" s="35"/>
    </row>
    <row r="49" spans="1:32" ht="17.7" customHeight="1" x14ac:dyDescent="0.25">
      <c r="A49" s="536" t="s">
        <v>90</v>
      </c>
      <c r="B49" s="463" t="s">
        <v>250</v>
      </c>
      <c r="C49" s="159" t="s">
        <v>161</v>
      </c>
      <c r="D49" s="160" t="s">
        <v>231</v>
      </c>
      <c r="E49" s="580" t="s">
        <v>232</v>
      </c>
      <c r="F49" s="159" t="s">
        <v>144</v>
      </c>
      <c r="G49" s="18" t="s">
        <v>145</v>
      </c>
      <c r="H49" s="124">
        <f t="shared" si="9"/>
        <v>1.5319993198869744E-3</v>
      </c>
      <c r="I49" s="104">
        <v>763.8</v>
      </c>
      <c r="J49" s="18">
        <f>I49*Prototype!$B$17</f>
        <v>6874.2</v>
      </c>
      <c r="K49" s="18">
        <f t="shared" si="10"/>
        <v>10</v>
      </c>
      <c r="L49" s="18">
        <f t="shared" si="1"/>
        <v>25.205399999999997</v>
      </c>
      <c r="M49" s="349">
        <v>33</v>
      </c>
      <c r="N49" s="346"/>
      <c r="O49" s="34">
        <f t="shared" si="2"/>
        <v>1.5319993198869744E-2</v>
      </c>
      <c r="P49" s="35"/>
      <c r="Q49" s="789" t="s">
        <v>172</v>
      </c>
      <c r="R49" s="790"/>
      <c r="S49" s="791"/>
      <c r="T49" s="586">
        <f>H13+H32+(H55*K55)+H77</f>
        <v>2.2913819783165743E-2</v>
      </c>
      <c r="W49" s="581"/>
      <c r="X49" s="582"/>
      <c r="Y49" s="163"/>
      <c r="Z49" s="531"/>
      <c r="AA49" s="35"/>
      <c r="AB49" s="35"/>
      <c r="AC49" s="35"/>
      <c r="AD49" s="35"/>
      <c r="AE49" s="35"/>
      <c r="AF49" s="35"/>
    </row>
    <row r="50" spans="1:32" ht="17.7" customHeight="1" x14ac:dyDescent="0.3">
      <c r="A50" s="536" t="s">
        <v>90</v>
      </c>
      <c r="B50" s="463" t="s">
        <v>251</v>
      </c>
      <c r="C50" s="159" t="s">
        <v>161</v>
      </c>
      <c r="D50" s="160" t="s">
        <v>231</v>
      </c>
      <c r="E50" s="580" t="s">
        <v>232</v>
      </c>
      <c r="F50" s="159" t="s">
        <v>144</v>
      </c>
      <c r="G50" s="18" t="s">
        <v>145</v>
      </c>
      <c r="H50" s="124">
        <f t="shared" si="9"/>
        <v>8.6889513665231377E-4</v>
      </c>
      <c r="I50" s="104">
        <v>433.2</v>
      </c>
      <c r="J50" s="18">
        <f>I50*Prototype!$B$17</f>
        <v>3898.7999999999997</v>
      </c>
      <c r="K50" s="18">
        <f t="shared" si="10"/>
        <v>10</v>
      </c>
      <c r="L50" s="18">
        <f t="shared" si="1"/>
        <v>14.2956</v>
      </c>
      <c r="M50" s="349">
        <v>33</v>
      </c>
      <c r="N50" s="346"/>
      <c r="O50" s="34">
        <f t="shared" si="2"/>
        <v>8.6889513665231385E-3</v>
      </c>
      <c r="P50" s="35"/>
      <c r="Q50" s="786" t="s">
        <v>174</v>
      </c>
      <c r="R50" s="787"/>
      <c r="S50" s="787"/>
      <c r="T50" s="584">
        <f>H14+H15+H33+H34+SUMPRODUCT(H56:H57,K56:K57)+H79+H80</f>
        <v>4.0665114756838053E-2</v>
      </c>
      <c r="W50" s="581"/>
      <c r="X50" s="582"/>
      <c r="Y50" s="35"/>
      <c r="Z50" s="35"/>
      <c r="AA50" s="35"/>
      <c r="AB50" s="35"/>
      <c r="AC50" s="35"/>
      <c r="AD50" s="35"/>
      <c r="AE50" s="35"/>
      <c r="AF50" s="35"/>
    </row>
    <row r="51" spans="1:32" ht="33" customHeight="1" x14ac:dyDescent="0.3">
      <c r="A51" s="536" t="s">
        <v>90</v>
      </c>
      <c r="B51" s="463" t="s">
        <v>252</v>
      </c>
      <c r="C51" s="159" t="s">
        <v>163</v>
      </c>
      <c r="D51" s="160" t="s">
        <v>231</v>
      </c>
      <c r="E51" s="580" t="s">
        <v>232</v>
      </c>
      <c r="F51" s="159" t="s">
        <v>144</v>
      </c>
      <c r="G51" s="18" t="s">
        <v>145</v>
      </c>
      <c r="H51" s="124">
        <f t="shared" si="9"/>
        <v>1.8252413997082307E-3</v>
      </c>
      <c r="I51" s="104">
        <v>910</v>
      </c>
      <c r="J51" s="18">
        <f>I51*Prototype!$B$17</f>
        <v>8190</v>
      </c>
      <c r="K51" s="18">
        <f t="shared" si="10"/>
        <v>10</v>
      </c>
      <c r="L51" s="18">
        <f t="shared" si="1"/>
        <v>30.03</v>
      </c>
      <c r="M51" s="548">
        <v>33</v>
      </c>
      <c r="N51" s="587"/>
      <c r="O51" s="34">
        <f t="shared" si="2"/>
        <v>1.8252413997082308E-2</v>
      </c>
      <c r="P51" s="35"/>
      <c r="Q51" s="786" t="s">
        <v>205</v>
      </c>
      <c r="R51" s="787"/>
      <c r="S51" s="787"/>
      <c r="T51" s="584">
        <f>H28</f>
        <v>3.5406273362713851E-3</v>
      </c>
      <c r="W51" s="581"/>
      <c r="X51" s="582"/>
      <c r="Y51" s="35"/>
      <c r="Z51" s="35"/>
      <c r="AA51" s="35"/>
      <c r="AB51" s="35"/>
      <c r="AC51" s="35"/>
      <c r="AD51" s="35"/>
      <c r="AE51" s="35"/>
      <c r="AF51" s="35"/>
    </row>
    <row r="52" spans="1:32" ht="27.75" customHeight="1" x14ac:dyDescent="0.3">
      <c r="A52" s="536" t="s">
        <v>90</v>
      </c>
      <c r="B52" s="463" t="s">
        <v>253</v>
      </c>
      <c r="C52" s="159" t="s">
        <v>165</v>
      </c>
      <c r="D52" s="580" t="s">
        <v>231</v>
      </c>
      <c r="E52" s="580" t="s">
        <v>232</v>
      </c>
      <c r="F52" s="537" t="s">
        <v>159</v>
      </c>
      <c r="G52" s="425" t="s">
        <v>145</v>
      </c>
      <c r="H52" s="124">
        <f t="shared" si="9"/>
        <v>1.4802507175655762E-3</v>
      </c>
      <c r="I52" s="104">
        <v>738</v>
      </c>
      <c r="J52" s="18">
        <f>I52*Prototype!$B$17</f>
        <v>6642</v>
      </c>
      <c r="K52" s="18">
        <f t="shared" si="10"/>
        <v>10</v>
      </c>
      <c r="L52" s="18">
        <f t="shared" si="1"/>
        <v>0</v>
      </c>
      <c r="M52" s="350">
        <v>0</v>
      </c>
      <c r="N52" s="354" t="s">
        <v>166</v>
      </c>
      <c r="O52" s="34">
        <f t="shared" si="2"/>
        <v>1.4802507175655762E-2</v>
      </c>
      <c r="P52" s="35"/>
      <c r="Q52" s="786" t="s">
        <v>200</v>
      </c>
      <c r="R52" s="787"/>
      <c r="S52" s="787"/>
      <c r="T52" s="586">
        <f>H26</f>
        <v>1.8792765681787142E-3</v>
      </c>
      <c r="U52" s="35"/>
      <c r="V52" s="35"/>
      <c r="W52" s="35"/>
      <c r="X52" s="35"/>
      <c r="Y52" s="35"/>
      <c r="Z52" s="35"/>
      <c r="AA52" s="35"/>
      <c r="AB52" s="35"/>
      <c r="AC52" s="35"/>
      <c r="AD52" s="35"/>
      <c r="AE52" s="35"/>
      <c r="AF52" s="35"/>
    </row>
    <row r="53" spans="1:32" ht="60.75" customHeight="1" thickBot="1" x14ac:dyDescent="0.35">
      <c r="A53" s="536" t="s">
        <v>90</v>
      </c>
      <c r="B53" s="463" t="s">
        <v>254</v>
      </c>
      <c r="C53" s="537" t="s">
        <v>163</v>
      </c>
      <c r="D53" s="160" t="s">
        <v>231</v>
      </c>
      <c r="E53" s="580" t="s">
        <v>232</v>
      </c>
      <c r="F53" s="159" t="s">
        <v>144</v>
      </c>
      <c r="G53" s="18" t="s">
        <v>145</v>
      </c>
      <c r="H53" s="124">
        <f t="shared" si="9"/>
        <v>1.3719396894510219E-3</v>
      </c>
      <c r="I53" s="104">
        <v>684</v>
      </c>
      <c r="J53" s="18">
        <f>I53*Prototype!$B$17</f>
        <v>6156</v>
      </c>
      <c r="K53" s="18">
        <f t="shared" si="10"/>
        <v>10</v>
      </c>
      <c r="L53" s="18">
        <f t="shared" si="1"/>
        <v>10.26</v>
      </c>
      <c r="M53" s="548">
        <f>M12</f>
        <v>15</v>
      </c>
      <c r="N53" s="588" t="s">
        <v>255</v>
      </c>
      <c r="O53" s="34">
        <f t="shared" si="2"/>
        <v>1.3719396894510218E-2</v>
      </c>
      <c r="P53" s="35"/>
      <c r="Q53" s="780" t="s">
        <v>234</v>
      </c>
      <c r="R53" s="781"/>
      <c r="S53" s="782"/>
      <c r="T53" s="589"/>
      <c r="U53" s="35"/>
      <c r="V53" s="35"/>
      <c r="W53" s="35"/>
      <c r="X53" s="35"/>
      <c r="Y53" s="35"/>
      <c r="Z53" s="35"/>
      <c r="AA53" s="35"/>
      <c r="AB53" s="35"/>
      <c r="AC53" s="35"/>
      <c r="AD53" s="35"/>
      <c r="AE53" s="35"/>
      <c r="AF53" s="35"/>
    </row>
    <row r="54" spans="1:32" ht="17.7" customHeight="1" x14ac:dyDescent="0.3">
      <c r="A54" s="536" t="s">
        <v>90</v>
      </c>
      <c r="B54" s="463" t="s">
        <v>256</v>
      </c>
      <c r="C54" s="160" t="s">
        <v>168</v>
      </c>
      <c r="D54" s="580" t="s">
        <v>231</v>
      </c>
      <c r="E54" s="580" t="s">
        <v>232</v>
      </c>
      <c r="F54" s="160" t="s">
        <v>144</v>
      </c>
      <c r="G54" s="546" t="s">
        <v>145</v>
      </c>
      <c r="H54" s="124">
        <f t="shared" si="9"/>
        <v>2.3166525457835236E-3</v>
      </c>
      <c r="I54" s="104">
        <v>1155</v>
      </c>
      <c r="J54" s="18">
        <f>I54*Prototype!$B$17</f>
        <v>10395</v>
      </c>
      <c r="K54" s="18">
        <f t="shared" si="10"/>
        <v>10</v>
      </c>
      <c r="L54" s="18">
        <f t="shared" si="1"/>
        <v>0</v>
      </c>
      <c r="M54" s="350">
        <v>0</v>
      </c>
      <c r="N54" s="346"/>
      <c r="O54" s="34">
        <f t="shared" si="2"/>
        <v>2.3166525457835235E-2</v>
      </c>
      <c r="P54" s="35"/>
      <c r="Q54" s="35"/>
      <c r="R54" s="35"/>
      <c r="S54" s="35"/>
      <c r="T54" s="35"/>
      <c r="U54" s="35"/>
      <c r="V54" s="35"/>
      <c r="W54" s="35"/>
      <c r="X54" s="35"/>
      <c r="Y54" s="171"/>
      <c r="Z54" s="304"/>
      <c r="AA54" s="35"/>
      <c r="AB54" s="35"/>
      <c r="AC54" s="35"/>
      <c r="AD54" s="35"/>
      <c r="AE54" s="35"/>
      <c r="AF54" s="35"/>
    </row>
    <row r="55" spans="1:32" ht="17.7" customHeight="1" x14ac:dyDescent="0.3">
      <c r="A55" s="536" t="s">
        <v>90</v>
      </c>
      <c r="B55" s="463" t="s">
        <v>257</v>
      </c>
      <c r="C55" s="160" t="s">
        <v>172</v>
      </c>
      <c r="D55" s="580" t="s">
        <v>231</v>
      </c>
      <c r="E55" s="580" t="s">
        <v>232</v>
      </c>
      <c r="F55" s="537" t="s">
        <v>159</v>
      </c>
      <c r="G55" s="425" t="s">
        <v>145</v>
      </c>
      <c r="H55" s="124">
        <f t="shared" si="9"/>
        <v>1.7008842933544832E-3</v>
      </c>
      <c r="I55" s="104">
        <v>848</v>
      </c>
      <c r="J55" s="18">
        <f>I55*Prototype!$B$17</f>
        <v>7632</v>
      </c>
      <c r="K55" s="18">
        <f t="shared" si="10"/>
        <v>10</v>
      </c>
      <c r="L55" s="18">
        <f t="shared" si="1"/>
        <v>0</v>
      </c>
      <c r="M55" s="350">
        <v>0</v>
      </c>
      <c r="N55" s="346"/>
      <c r="O55" s="34">
        <f t="shared" si="2"/>
        <v>1.7008842933544831E-2</v>
      </c>
      <c r="P55" s="35"/>
      <c r="Q55" s="35"/>
      <c r="R55" s="35"/>
      <c r="S55" s="35"/>
      <c r="T55" s="35"/>
      <c r="U55" s="35"/>
      <c r="V55" s="35"/>
      <c r="W55" s="35"/>
      <c r="X55" s="35"/>
      <c r="Y55" s="172"/>
      <c r="Z55" s="35"/>
      <c r="AA55" s="35"/>
      <c r="AB55" s="35"/>
      <c r="AC55" s="35"/>
      <c r="AD55" s="35"/>
      <c r="AE55" s="35"/>
      <c r="AF55" s="35"/>
    </row>
    <row r="56" spans="1:32" ht="17.7" customHeight="1" x14ac:dyDescent="0.3">
      <c r="A56" s="536" t="s">
        <v>90</v>
      </c>
      <c r="B56" s="463" t="s">
        <v>258</v>
      </c>
      <c r="C56" s="160" t="s">
        <v>174</v>
      </c>
      <c r="D56" s="160" t="s">
        <v>231</v>
      </c>
      <c r="E56" s="580" t="s">
        <v>232</v>
      </c>
      <c r="F56" s="160" t="s">
        <v>144</v>
      </c>
      <c r="G56" s="18" t="s">
        <v>145</v>
      </c>
      <c r="H56" s="124">
        <f t="shared" si="9"/>
        <v>2.0175536474049617E-3</v>
      </c>
      <c r="I56" s="104">
        <v>1005.88</v>
      </c>
      <c r="J56" s="18">
        <f>I56*Prototype!$B$17</f>
        <v>9052.92</v>
      </c>
      <c r="K56" s="18">
        <f t="shared" si="10"/>
        <v>10</v>
      </c>
      <c r="L56" s="18">
        <f t="shared" si="1"/>
        <v>5.0293999999999999</v>
      </c>
      <c r="M56" s="349">
        <v>5</v>
      </c>
      <c r="N56" s="346"/>
      <c r="O56" s="34">
        <f t="shared" si="2"/>
        <v>2.0175536474049616E-2</v>
      </c>
      <c r="P56" s="35"/>
      <c r="Q56" s="35"/>
      <c r="R56" s="35"/>
      <c r="S56" s="35"/>
      <c r="T56" s="35"/>
      <c r="U56" s="35"/>
      <c r="V56" s="35"/>
      <c r="W56" s="35"/>
      <c r="X56" s="35"/>
      <c r="Y56" s="172"/>
      <c r="Z56" s="35"/>
      <c r="AA56" s="35"/>
      <c r="AB56" s="35"/>
      <c r="AC56" s="35"/>
      <c r="AD56" s="35"/>
      <c r="AE56" s="35"/>
      <c r="AF56" s="35"/>
    </row>
    <row r="57" spans="1:32" ht="17.7" customHeight="1" x14ac:dyDescent="0.3">
      <c r="A57" s="536" t="s">
        <v>90</v>
      </c>
      <c r="B57" s="463" t="s">
        <v>259</v>
      </c>
      <c r="C57" s="160" t="s">
        <v>174</v>
      </c>
      <c r="D57" s="160" t="s">
        <v>231</v>
      </c>
      <c r="E57" s="580" t="s">
        <v>232</v>
      </c>
      <c r="F57" s="160" t="s">
        <v>144</v>
      </c>
      <c r="G57" s="18" t="s">
        <v>145</v>
      </c>
      <c r="H57" s="124">
        <f t="shared" si="9"/>
        <v>1.1740915447617693E-3</v>
      </c>
      <c r="I57" s="104">
        <v>585.36</v>
      </c>
      <c r="J57" s="18">
        <f>I57*Prototype!$B$17</f>
        <v>5268.24</v>
      </c>
      <c r="K57" s="18">
        <v>10</v>
      </c>
      <c r="L57" s="18">
        <f t="shared" si="1"/>
        <v>2.9268000000000001</v>
      </c>
      <c r="M57" s="349">
        <v>5</v>
      </c>
      <c r="N57" s="346"/>
      <c r="O57" s="34">
        <f t="shared" si="2"/>
        <v>1.1740915447617692E-2</v>
      </c>
      <c r="P57" s="35"/>
      <c r="Q57" s="35"/>
      <c r="R57" s="35"/>
      <c r="S57" s="35"/>
      <c r="T57" s="35"/>
      <c r="U57" s="35"/>
      <c r="V57" s="35"/>
      <c r="W57" s="35"/>
      <c r="X57" s="35"/>
      <c r="Y57" s="172"/>
      <c r="Z57" s="35"/>
      <c r="AA57" s="35"/>
      <c r="AB57" s="35"/>
      <c r="AC57" s="35"/>
      <c r="AD57" s="35"/>
      <c r="AE57" s="35"/>
      <c r="AF57" s="35"/>
    </row>
    <row r="58" spans="1:32" ht="17.7" customHeight="1" x14ac:dyDescent="0.3">
      <c r="A58" s="536" t="s">
        <v>90</v>
      </c>
      <c r="B58" s="463" t="s">
        <v>260</v>
      </c>
      <c r="C58" s="159" t="s">
        <v>225</v>
      </c>
      <c r="D58" s="160" t="s">
        <v>198</v>
      </c>
      <c r="E58" s="580" t="s">
        <v>226</v>
      </c>
      <c r="F58" s="159"/>
      <c r="G58" s="18" t="s">
        <v>227</v>
      </c>
      <c r="H58" s="124"/>
      <c r="I58" s="104">
        <f>38352.97</f>
        <v>38352.97</v>
      </c>
      <c r="J58" s="18">
        <f>I58*(Prototype!$B$16-Prototype!$B$17)</f>
        <v>153411.88</v>
      </c>
      <c r="K58" s="18">
        <v>10</v>
      </c>
      <c r="L58" s="18">
        <f t="shared" si="1"/>
        <v>0</v>
      </c>
      <c r="M58" s="350">
        <v>0</v>
      </c>
      <c r="N58" s="346"/>
      <c r="O58" s="34">
        <f t="shared" si="2"/>
        <v>0</v>
      </c>
      <c r="P58" s="35"/>
      <c r="Q58" s="35"/>
      <c r="R58" s="35"/>
      <c r="S58" s="35"/>
      <c r="T58" s="35"/>
      <c r="U58" s="35"/>
      <c r="V58" s="35"/>
      <c r="W58" s="35"/>
      <c r="X58" s="35"/>
      <c r="Y58" s="172"/>
      <c r="Z58" s="35"/>
      <c r="AA58" s="35"/>
      <c r="AB58" s="35"/>
      <c r="AC58" s="35"/>
      <c r="AD58" s="35"/>
      <c r="AE58" s="35"/>
      <c r="AF58" s="35"/>
    </row>
    <row r="59" spans="1:32" ht="17.7" customHeight="1" x14ac:dyDescent="0.3">
      <c r="A59" s="551" t="s">
        <v>90</v>
      </c>
      <c r="B59" s="464" t="s">
        <v>261</v>
      </c>
      <c r="C59" s="161" t="s">
        <v>141</v>
      </c>
      <c r="D59" s="161" t="s">
        <v>262</v>
      </c>
      <c r="E59" s="552" t="s">
        <v>263</v>
      </c>
      <c r="F59" s="161" t="s">
        <v>144</v>
      </c>
      <c r="G59" s="105" t="s">
        <v>145</v>
      </c>
      <c r="H59" s="126">
        <f t="shared" ref="H59:H79" si="11">I59/$I$82</f>
        <v>1.4303654660797043E-2</v>
      </c>
      <c r="I59" s="106">
        <v>7131.29</v>
      </c>
      <c r="J59" s="105">
        <f>I59*Prototype!$B$17</f>
        <v>64181.61</v>
      </c>
      <c r="K59" s="105">
        <v>1</v>
      </c>
      <c r="L59" s="105">
        <f t="shared" ref="L59:L81" si="12">IFERROR(M59*I59/1000,"")</f>
        <v>35.65645</v>
      </c>
      <c r="M59" s="352">
        <v>5</v>
      </c>
      <c r="N59" s="346"/>
      <c r="O59" s="34">
        <f t="shared" si="2"/>
        <v>1.4303654660797043E-2</v>
      </c>
      <c r="P59" s="35"/>
      <c r="Q59" s="35"/>
      <c r="R59" s="35"/>
      <c r="S59" s="35"/>
      <c r="T59" s="35"/>
      <c r="U59" s="35"/>
      <c r="V59" s="35"/>
      <c r="W59" s="35"/>
      <c r="X59" s="35"/>
      <c r="Y59" s="171"/>
      <c r="Z59" s="35"/>
      <c r="AA59" s="35"/>
      <c r="AB59" s="35"/>
      <c r="AC59" s="35"/>
      <c r="AD59" s="35"/>
      <c r="AE59" s="35"/>
      <c r="AF59" s="35"/>
    </row>
    <row r="60" spans="1:32" ht="15.6" customHeight="1" x14ac:dyDescent="0.3">
      <c r="A60" s="551" t="s">
        <v>90</v>
      </c>
      <c r="B60" s="464" t="s">
        <v>264</v>
      </c>
      <c r="C60" s="161" t="s">
        <v>141</v>
      </c>
      <c r="D60" s="161" t="s">
        <v>262</v>
      </c>
      <c r="E60" s="552" t="s">
        <v>263</v>
      </c>
      <c r="F60" s="161" t="s">
        <v>144</v>
      </c>
      <c r="G60" s="105" t="s">
        <v>145</v>
      </c>
      <c r="H60" s="126">
        <f t="shared" si="11"/>
        <v>1.0504906098450435E-2</v>
      </c>
      <c r="I60" s="106">
        <v>5237.37</v>
      </c>
      <c r="J60" s="105">
        <f>I60*Prototype!$B$17</f>
        <v>47136.33</v>
      </c>
      <c r="K60" s="105">
        <v>1</v>
      </c>
      <c r="L60" s="105">
        <f t="shared" si="12"/>
        <v>26.18685</v>
      </c>
      <c r="M60" s="352">
        <f>M3</f>
        <v>5</v>
      </c>
      <c r="N60" s="346"/>
      <c r="O60" s="34">
        <f t="shared" si="2"/>
        <v>1.0504906098450435E-2</v>
      </c>
      <c r="P60" s="35"/>
      <c r="Q60" s="35"/>
      <c r="R60" s="35"/>
      <c r="S60" s="35"/>
      <c r="T60" s="35"/>
      <c r="U60" s="35"/>
      <c r="V60" s="35"/>
      <c r="W60" s="35"/>
      <c r="X60" s="35"/>
      <c r="Y60" s="172"/>
      <c r="Z60" s="35"/>
      <c r="AA60" s="35"/>
      <c r="AB60" s="35"/>
      <c r="AC60" s="35"/>
      <c r="AD60" s="35"/>
      <c r="AE60" s="35"/>
      <c r="AF60" s="35"/>
    </row>
    <row r="61" spans="1:32" ht="17.399999999999999" customHeight="1" x14ac:dyDescent="0.3">
      <c r="A61" s="551" t="s">
        <v>90</v>
      </c>
      <c r="B61" s="464" t="s">
        <v>265</v>
      </c>
      <c r="C61" s="161" t="s">
        <v>141</v>
      </c>
      <c r="D61" s="161" t="s">
        <v>262</v>
      </c>
      <c r="E61" s="552" t="s">
        <v>263</v>
      </c>
      <c r="F61" s="161" t="s">
        <v>144</v>
      </c>
      <c r="G61" s="105" t="s">
        <v>145</v>
      </c>
      <c r="H61" s="126">
        <f t="shared" si="11"/>
        <v>8.9666287504523764E-3</v>
      </c>
      <c r="I61" s="305">
        <v>4470.4399999999996</v>
      </c>
      <c r="J61" s="105">
        <f>I61*Prototype!$B$17</f>
        <v>40233.96</v>
      </c>
      <c r="K61" s="105">
        <v>1</v>
      </c>
      <c r="L61" s="105">
        <f t="shared" si="12"/>
        <v>22.352199999999996</v>
      </c>
      <c r="M61" s="352">
        <f>M3</f>
        <v>5</v>
      </c>
      <c r="N61" s="346"/>
      <c r="O61" s="34">
        <f t="shared" si="2"/>
        <v>8.9666287504523764E-3</v>
      </c>
      <c r="P61" s="35"/>
      <c r="Q61" s="35"/>
      <c r="R61" s="35"/>
      <c r="S61" s="35"/>
      <c r="T61" s="35"/>
      <c r="U61" s="35"/>
      <c r="V61" s="35"/>
      <c r="W61" s="35"/>
      <c r="X61" s="35"/>
      <c r="Y61" s="172"/>
      <c r="Z61" s="35"/>
      <c r="AA61" s="35"/>
      <c r="AB61" s="35"/>
      <c r="AC61" s="35"/>
      <c r="AD61" s="35"/>
      <c r="AE61" s="35"/>
      <c r="AF61" s="35"/>
    </row>
    <row r="62" spans="1:32" ht="17.7" customHeight="1" x14ac:dyDescent="0.3">
      <c r="A62" s="551" t="s">
        <v>90</v>
      </c>
      <c r="B62" s="464" t="s">
        <v>266</v>
      </c>
      <c r="C62" s="161" t="s">
        <v>141</v>
      </c>
      <c r="D62" s="161" t="s">
        <v>262</v>
      </c>
      <c r="E62" s="552" t="s">
        <v>263</v>
      </c>
      <c r="F62" s="161" t="s">
        <v>144</v>
      </c>
      <c r="G62" s="105" t="s">
        <v>145</v>
      </c>
      <c r="H62" s="126">
        <f t="shared" si="11"/>
        <v>8.9231438784241647E-3</v>
      </c>
      <c r="I62" s="106">
        <v>4448.76</v>
      </c>
      <c r="J62" s="105">
        <f>I62*Prototype!$B$17</f>
        <v>40038.840000000004</v>
      </c>
      <c r="K62" s="105">
        <v>1</v>
      </c>
      <c r="L62" s="105">
        <f t="shared" si="12"/>
        <v>22.243800000000004</v>
      </c>
      <c r="M62" s="352">
        <f>M3</f>
        <v>5</v>
      </c>
      <c r="N62" s="346"/>
      <c r="O62" s="34">
        <f t="shared" si="2"/>
        <v>8.9231438784241647E-3</v>
      </c>
      <c r="P62" s="35"/>
      <c r="Q62" s="35"/>
      <c r="R62" s="35"/>
      <c r="S62" s="35"/>
      <c r="T62" s="35"/>
      <c r="U62" s="35"/>
      <c r="V62" s="35"/>
      <c r="W62" s="35"/>
      <c r="X62" s="35"/>
      <c r="Y62" s="172"/>
      <c r="Z62" s="35"/>
      <c r="AA62" s="35"/>
      <c r="AB62" s="35"/>
      <c r="AC62" s="35"/>
      <c r="AD62" s="35"/>
      <c r="AE62" s="35"/>
      <c r="AF62" s="35"/>
    </row>
    <row r="63" spans="1:32" ht="17.7" customHeight="1" x14ac:dyDescent="0.3">
      <c r="A63" s="551" t="s">
        <v>90</v>
      </c>
      <c r="B63" s="464" t="s">
        <v>267</v>
      </c>
      <c r="C63" s="161" t="s">
        <v>141</v>
      </c>
      <c r="D63" s="161" t="s">
        <v>262</v>
      </c>
      <c r="E63" s="552" t="s">
        <v>263</v>
      </c>
      <c r="F63" s="161" t="s">
        <v>144</v>
      </c>
      <c r="G63" s="105" t="s">
        <v>145</v>
      </c>
      <c r="H63" s="126">
        <f t="shared" si="11"/>
        <v>1.8400439068838865E-3</v>
      </c>
      <c r="I63" s="106">
        <v>917.38</v>
      </c>
      <c r="J63" s="105">
        <f>I63*Prototype!$B$17</f>
        <v>8256.42</v>
      </c>
      <c r="K63" s="105">
        <v>1</v>
      </c>
      <c r="L63" s="105">
        <f t="shared" si="12"/>
        <v>4.5869</v>
      </c>
      <c r="M63" s="352">
        <f>M3</f>
        <v>5</v>
      </c>
      <c r="N63" s="346"/>
      <c r="O63" s="34">
        <f t="shared" si="2"/>
        <v>1.8400439068838865E-3</v>
      </c>
      <c r="P63" s="35"/>
      <c r="Q63" s="35"/>
      <c r="R63" s="35"/>
      <c r="S63" s="35"/>
      <c r="T63" s="35"/>
      <c r="U63" s="35"/>
      <c r="V63" s="35"/>
      <c r="W63" s="35"/>
      <c r="X63" s="35"/>
      <c r="Y63" s="171"/>
      <c r="Z63" s="35"/>
      <c r="AA63" s="35"/>
      <c r="AB63" s="35"/>
      <c r="AC63" s="35"/>
      <c r="AD63" s="35"/>
      <c r="AE63" s="35"/>
      <c r="AF63" s="35"/>
    </row>
    <row r="64" spans="1:32" ht="17.7" customHeight="1" x14ac:dyDescent="0.3">
      <c r="A64" s="551" t="s">
        <v>90</v>
      </c>
      <c r="B64" s="464" t="s">
        <v>268</v>
      </c>
      <c r="C64" s="161" t="s">
        <v>141</v>
      </c>
      <c r="D64" s="161" t="s">
        <v>262</v>
      </c>
      <c r="E64" s="552" t="s">
        <v>263</v>
      </c>
      <c r="F64" s="161" t="s">
        <v>144</v>
      </c>
      <c r="G64" s="105" t="s">
        <v>145</v>
      </c>
      <c r="H64" s="126">
        <f t="shared" si="11"/>
        <v>2.2689355206197228E-3</v>
      </c>
      <c r="I64" s="106">
        <v>1131.21</v>
      </c>
      <c r="J64" s="105">
        <f>I64*Prototype!$B$17</f>
        <v>10180.89</v>
      </c>
      <c r="K64" s="105">
        <v>1</v>
      </c>
      <c r="L64" s="105">
        <f t="shared" si="12"/>
        <v>5.6560500000000005</v>
      </c>
      <c r="M64" s="352">
        <f>M3</f>
        <v>5</v>
      </c>
      <c r="N64" s="346"/>
      <c r="O64" s="34">
        <f t="shared" si="2"/>
        <v>2.2689355206197228E-3</v>
      </c>
      <c r="P64" s="35"/>
      <c r="Q64" s="35"/>
      <c r="R64" s="35"/>
      <c r="S64" s="35"/>
      <c r="T64" s="35"/>
      <c r="U64" s="35"/>
      <c r="V64" s="35"/>
      <c r="W64" s="35"/>
      <c r="X64" s="35"/>
      <c r="Y64" s="171"/>
      <c r="Z64" s="35"/>
      <c r="AA64" s="35"/>
      <c r="AB64" s="35"/>
      <c r="AC64" s="35"/>
      <c r="AD64" s="35"/>
      <c r="AE64" s="35"/>
      <c r="AF64" s="35"/>
    </row>
    <row r="65" spans="1:32" ht="17.7" customHeight="1" x14ac:dyDescent="0.3">
      <c r="A65" s="551" t="s">
        <v>90</v>
      </c>
      <c r="B65" s="464" t="s">
        <v>269</v>
      </c>
      <c r="C65" s="161" t="s">
        <v>141</v>
      </c>
      <c r="D65" s="161" t="s">
        <v>262</v>
      </c>
      <c r="E65" s="552" t="s">
        <v>263</v>
      </c>
      <c r="F65" s="161" t="s">
        <v>144</v>
      </c>
      <c r="G65" s="105" t="s">
        <v>145</v>
      </c>
      <c r="H65" s="126">
        <f t="shared" si="11"/>
        <v>2.0268001999902969E-3</v>
      </c>
      <c r="I65" s="106">
        <v>1010.49</v>
      </c>
      <c r="J65" s="105">
        <f>I65*Prototype!$B$17</f>
        <v>9094.41</v>
      </c>
      <c r="K65" s="105">
        <v>1</v>
      </c>
      <c r="L65" s="105">
        <f t="shared" si="12"/>
        <v>5.0524499999999994</v>
      </c>
      <c r="M65" s="352">
        <f>M3</f>
        <v>5</v>
      </c>
      <c r="N65" s="346"/>
      <c r="O65" s="34">
        <f t="shared" si="2"/>
        <v>2.0268001999902969E-3</v>
      </c>
      <c r="P65" s="35"/>
      <c r="Q65" s="35"/>
      <c r="R65" s="35"/>
      <c r="S65" s="35"/>
      <c r="T65" s="35"/>
      <c r="U65" s="35"/>
      <c r="V65" s="35"/>
      <c r="W65" s="35"/>
      <c r="X65" s="35"/>
      <c r="Y65" s="172"/>
      <c r="Z65" s="35"/>
      <c r="AA65" s="35"/>
      <c r="AB65" s="35"/>
      <c r="AC65" s="35"/>
      <c r="AD65" s="35"/>
      <c r="AE65" s="35"/>
      <c r="AF65" s="35"/>
    </row>
    <row r="66" spans="1:32" ht="17.7" customHeight="1" x14ac:dyDescent="0.3">
      <c r="A66" s="551" t="s">
        <v>90</v>
      </c>
      <c r="B66" s="464" t="s">
        <v>270</v>
      </c>
      <c r="C66" s="161" t="s">
        <v>141</v>
      </c>
      <c r="D66" s="161" t="s">
        <v>262</v>
      </c>
      <c r="E66" s="552" t="s">
        <v>263</v>
      </c>
      <c r="F66" s="161" t="s">
        <v>144</v>
      </c>
      <c r="G66" s="105" t="s">
        <v>145</v>
      </c>
      <c r="H66" s="126">
        <f t="shared" si="11"/>
        <v>2.0729126173301784E-3</v>
      </c>
      <c r="I66" s="106">
        <v>1033.48</v>
      </c>
      <c r="J66" s="105">
        <f>I66*Prototype!$B$17</f>
        <v>9301.32</v>
      </c>
      <c r="K66" s="105">
        <v>1</v>
      </c>
      <c r="L66" s="105">
        <f t="shared" si="12"/>
        <v>5.1673999999999998</v>
      </c>
      <c r="M66" s="352">
        <f>M3</f>
        <v>5</v>
      </c>
      <c r="N66" s="346"/>
      <c r="O66" s="34">
        <f t="shared" si="2"/>
        <v>2.0729126173301784E-3</v>
      </c>
      <c r="P66" s="35"/>
      <c r="Q66" s="35"/>
      <c r="R66" s="35"/>
      <c r="S66" s="35"/>
      <c r="T66" s="35"/>
      <c r="U66" s="35"/>
      <c r="V66" s="35"/>
      <c r="W66" s="35"/>
      <c r="X66" s="35"/>
      <c r="Y66" s="35"/>
      <c r="Z66" s="35"/>
      <c r="AA66" s="35"/>
      <c r="AB66" s="35"/>
      <c r="AC66" s="35"/>
      <c r="AD66" s="35"/>
      <c r="AE66" s="35"/>
      <c r="AF66" s="35"/>
    </row>
    <row r="67" spans="1:32" ht="17.7" customHeight="1" x14ac:dyDescent="0.3">
      <c r="A67" s="551" t="s">
        <v>90</v>
      </c>
      <c r="B67" s="464" t="s">
        <v>271</v>
      </c>
      <c r="C67" s="161" t="s">
        <v>141</v>
      </c>
      <c r="D67" s="161" t="s">
        <v>262</v>
      </c>
      <c r="E67" s="552" t="s">
        <v>263</v>
      </c>
      <c r="F67" s="161" t="s">
        <v>144</v>
      </c>
      <c r="G67" s="105" t="s">
        <v>145</v>
      </c>
      <c r="H67" s="126">
        <f t="shared" si="11"/>
        <v>6.4846213684139672E-3</v>
      </c>
      <c r="I67" s="106">
        <v>3233</v>
      </c>
      <c r="J67" s="105">
        <f>I67*Prototype!$B$17</f>
        <v>29097</v>
      </c>
      <c r="K67" s="105">
        <v>1</v>
      </c>
      <c r="L67" s="105">
        <f t="shared" si="12"/>
        <v>16.164999999999999</v>
      </c>
      <c r="M67" s="352">
        <f>M3</f>
        <v>5</v>
      </c>
      <c r="N67" s="346"/>
      <c r="O67" s="34">
        <f t="shared" si="2"/>
        <v>6.4846213684139672E-3</v>
      </c>
      <c r="P67" s="35"/>
      <c r="Q67" s="35"/>
      <c r="R67" s="35"/>
      <c r="S67" s="35"/>
      <c r="T67" s="35"/>
      <c r="U67" s="35"/>
      <c r="V67" s="35"/>
      <c r="W67" s="35"/>
      <c r="X67" s="35"/>
      <c r="Y67" s="35"/>
      <c r="Z67" s="35"/>
      <c r="AA67" s="35"/>
      <c r="AB67" s="35"/>
      <c r="AC67" s="35"/>
      <c r="AD67" s="35"/>
      <c r="AE67" s="35"/>
      <c r="AF67" s="35"/>
    </row>
    <row r="68" spans="1:32" ht="17.399999999999999" customHeight="1" x14ac:dyDescent="0.3">
      <c r="A68" s="551" t="s">
        <v>90</v>
      </c>
      <c r="B68" s="464" t="s">
        <v>272</v>
      </c>
      <c r="C68" s="161" t="s">
        <v>186</v>
      </c>
      <c r="D68" s="552" t="s">
        <v>273</v>
      </c>
      <c r="E68" s="552" t="s">
        <v>274</v>
      </c>
      <c r="F68" s="161" t="s">
        <v>155</v>
      </c>
      <c r="G68" s="105" t="s">
        <v>145</v>
      </c>
      <c r="H68" s="126">
        <f t="shared" si="11"/>
        <v>8.384075879978467E-4</v>
      </c>
      <c r="I68" s="106">
        <v>418</v>
      </c>
      <c r="J68" s="105">
        <f>I68*Prototype!$B$17</f>
        <v>3762</v>
      </c>
      <c r="K68" s="105">
        <v>1</v>
      </c>
      <c r="L68" s="105">
        <f t="shared" si="12"/>
        <v>0.627</v>
      </c>
      <c r="M68" s="554">
        <v>1.5</v>
      </c>
      <c r="N68" s="545" t="s">
        <v>156</v>
      </c>
      <c r="O68" s="34">
        <f t="shared" ref="O68:O82" si="13">K68*H68</f>
        <v>8.384075879978467E-4</v>
      </c>
      <c r="P68" s="35"/>
      <c r="Q68" s="35"/>
      <c r="R68" s="35"/>
      <c r="S68" s="35"/>
      <c r="T68" s="35"/>
      <c r="U68" s="35"/>
      <c r="V68" s="169"/>
      <c r="W68" s="170"/>
      <c r="X68" s="170"/>
      <c r="AA68" s="35"/>
      <c r="AB68" s="35"/>
      <c r="AC68" s="35"/>
      <c r="AD68" s="35"/>
      <c r="AE68" s="35"/>
      <c r="AF68" s="35"/>
    </row>
    <row r="69" spans="1:32" ht="17.7" customHeight="1" x14ac:dyDescent="0.3">
      <c r="A69" s="551" t="s">
        <v>90</v>
      </c>
      <c r="B69" s="464" t="s">
        <v>275</v>
      </c>
      <c r="C69" s="161" t="s">
        <v>158</v>
      </c>
      <c r="D69" s="161" t="s">
        <v>262</v>
      </c>
      <c r="E69" s="552" t="s">
        <v>263</v>
      </c>
      <c r="F69" s="552" t="s">
        <v>159</v>
      </c>
      <c r="G69" s="426" t="s">
        <v>145</v>
      </c>
      <c r="H69" s="126">
        <f t="shared" si="11"/>
        <v>2.1461629644920956E-3</v>
      </c>
      <c r="I69" s="106">
        <v>1070</v>
      </c>
      <c r="J69" s="105">
        <f>I69*Prototype!$B$17</f>
        <v>9630</v>
      </c>
      <c r="K69" s="105">
        <v>1</v>
      </c>
      <c r="L69" s="105">
        <f t="shared" si="12"/>
        <v>0</v>
      </c>
      <c r="M69" s="353">
        <v>0</v>
      </c>
      <c r="N69" s="346"/>
      <c r="O69" s="34">
        <f t="shared" si="13"/>
        <v>2.1461629644920956E-3</v>
      </c>
      <c r="P69" s="35"/>
      <c r="Q69" s="35"/>
      <c r="R69" s="35"/>
      <c r="S69" s="35"/>
      <c r="T69" s="35"/>
      <c r="U69" s="35"/>
      <c r="V69" s="513"/>
      <c r="W69" s="581"/>
      <c r="X69" s="582"/>
      <c r="AA69" s="167"/>
      <c r="AB69" s="35"/>
      <c r="AC69" s="35"/>
      <c r="AD69" s="35"/>
      <c r="AE69" s="35"/>
      <c r="AF69" s="35"/>
    </row>
    <row r="70" spans="1:32" ht="17.7" customHeight="1" x14ac:dyDescent="0.3">
      <c r="A70" s="551" t="s">
        <v>90</v>
      </c>
      <c r="B70" s="464" t="s">
        <v>276</v>
      </c>
      <c r="C70" s="161" t="s">
        <v>161</v>
      </c>
      <c r="D70" s="161" t="s">
        <v>262</v>
      </c>
      <c r="E70" s="552" t="s">
        <v>263</v>
      </c>
      <c r="F70" s="161" t="s">
        <v>144</v>
      </c>
      <c r="G70" s="105" t="s">
        <v>145</v>
      </c>
      <c r="H70" s="126">
        <f t="shared" si="11"/>
        <v>1.5841490741643524E-3</v>
      </c>
      <c r="I70" s="106">
        <v>789.8</v>
      </c>
      <c r="J70" s="105">
        <f>I70*Prototype!$B$17</f>
        <v>7108.2</v>
      </c>
      <c r="K70" s="105">
        <v>1</v>
      </c>
      <c r="L70" s="105">
        <f t="shared" si="12"/>
        <v>26.063399999999998</v>
      </c>
      <c r="M70" s="352">
        <v>33</v>
      </c>
      <c r="N70" s="346"/>
      <c r="O70" s="34">
        <f t="shared" si="13"/>
        <v>1.5841490741643524E-3</v>
      </c>
      <c r="P70" s="35"/>
      <c r="Q70" s="35"/>
      <c r="R70" s="35"/>
      <c r="S70" s="35"/>
      <c r="T70" s="35"/>
      <c r="U70" s="35"/>
      <c r="V70" s="513"/>
      <c r="W70" s="581"/>
      <c r="X70" s="582"/>
      <c r="AA70" s="167"/>
      <c r="AB70" s="35"/>
      <c r="AC70" s="35"/>
      <c r="AD70" s="35"/>
      <c r="AE70" s="35"/>
      <c r="AF70" s="35"/>
    </row>
    <row r="71" spans="1:32" ht="17.7" customHeight="1" x14ac:dyDescent="0.3">
      <c r="A71" s="551" t="s">
        <v>90</v>
      </c>
      <c r="B71" s="464" t="s">
        <v>277</v>
      </c>
      <c r="C71" s="161" t="s">
        <v>161</v>
      </c>
      <c r="D71" s="161" t="s">
        <v>262</v>
      </c>
      <c r="E71" s="552" t="s">
        <v>263</v>
      </c>
      <c r="F71" s="161" t="s">
        <v>144</v>
      </c>
      <c r="G71" s="105" t="s">
        <v>145</v>
      </c>
      <c r="H71" s="126">
        <f t="shared" si="11"/>
        <v>6.7481782034927156E-4</v>
      </c>
      <c r="I71" s="106">
        <v>336.44</v>
      </c>
      <c r="J71" s="105">
        <f>I71*Prototype!$B$17</f>
        <v>3027.96</v>
      </c>
      <c r="K71" s="105">
        <v>1</v>
      </c>
      <c r="L71" s="105">
        <f t="shared" si="12"/>
        <v>11.10252</v>
      </c>
      <c r="M71" s="352">
        <v>33</v>
      </c>
      <c r="N71" s="346"/>
      <c r="O71" s="34">
        <f t="shared" si="13"/>
        <v>6.7481782034927156E-4</v>
      </c>
      <c r="P71" s="35"/>
      <c r="Q71" s="35"/>
      <c r="R71" s="35"/>
      <c r="S71" s="35"/>
      <c r="T71" s="35"/>
      <c r="U71" s="35"/>
      <c r="V71" s="513"/>
      <c r="W71" s="581"/>
      <c r="X71" s="582"/>
      <c r="AA71" s="167"/>
      <c r="AB71" s="35"/>
      <c r="AC71" s="35"/>
      <c r="AD71" s="35"/>
      <c r="AE71" s="35"/>
      <c r="AF71" s="35"/>
    </row>
    <row r="72" spans="1:32" ht="17.7" customHeight="1" x14ac:dyDescent="0.3">
      <c r="A72" s="551" t="s">
        <v>90</v>
      </c>
      <c r="B72" s="464" t="s">
        <v>278</v>
      </c>
      <c r="C72" s="161" t="s">
        <v>161</v>
      </c>
      <c r="D72" s="161" t="s">
        <v>262</v>
      </c>
      <c r="E72" s="552" t="s">
        <v>263</v>
      </c>
      <c r="F72" s="161" t="s">
        <v>144</v>
      </c>
      <c r="G72" s="105" t="s">
        <v>145</v>
      </c>
      <c r="H72" s="126">
        <f t="shared" si="11"/>
        <v>1.5319993198869744E-3</v>
      </c>
      <c r="I72" s="106">
        <v>763.8</v>
      </c>
      <c r="J72" s="105">
        <f>I72*Prototype!$B$17</f>
        <v>6874.2</v>
      </c>
      <c r="K72" s="105">
        <v>1</v>
      </c>
      <c r="L72" s="105">
        <f t="shared" si="12"/>
        <v>25.205399999999997</v>
      </c>
      <c r="M72" s="352">
        <v>33</v>
      </c>
      <c r="N72" s="346"/>
      <c r="O72" s="34">
        <f t="shared" si="13"/>
        <v>1.5319993198869744E-3</v>
      </c>
      <c r="P72" s="35"/>
      <c r="Q72" s="35"/>
      <c r="R72" s="35"/>
      <c r="S72" s="35"/>
      <c r="T72" s="35"/>
      <c r="U72" s="35"/>
      <c r="V72" s="513"/>
      <c r="W72" s="581"/>
      <c r="X72" s="582"/>
      <c r="AA72" s="167"/>
      <c r="AB72" s="35"/>
      <c r="AC72" s="35"/>
      <c r="AD72" s="35"/>
      <c r="AE72" s="35"/>
      <c r="AF72" s="35"/>
    </row>
    <row r="73" spans="1:32" ht="17.7" customHeight="1" x14ac:dyDescent="0.3">
      <c r="A73" s="551" t="s">
        <v>90</v>
      </c>
      <c r="B73" s="464" t="s">
        <v>279</v>
      </c>
      <c r="C73" s="161" t="s">
        <v>161</v>
      </c>
      <c r="D73" s="161" t="s">
        <v>262</v>
      </c>
      <c r="E73" s="552" t="s">
        <v>263</v>
      </c>
      <c r="F73" s="161" t="s">
        <v>144</v>
      </c>
      <c r="G73" s="105" t="s">
        <v>145</v>
      </c>
      <c r="H73" s="126">
        <f t="shared" si="11"/>
        <v>8.6889513665231377E-4</v>
      </c>
      <c r="I73" s="106">
        <v>433.2</v>
      </c>
      <c r="J73" s="105">
        <f>I73*Prototype!$B$17</f>
        <v>3898.7999999999997</v>
      </c>
      <c r="K73" s="105">
        <v>1</v>
      </c>
      <c r="L73" s="105">
        <f t="shared" si="12"/>
        <v>14.2956</v>
      </c>
      <c r="M73" s="352">
        <v>33</v>
      </c>
      <c r="N73" s="346"/>
      <c r="O73" s="34">
        <f t="shared" si="13"/>
        <v>8.6889513665231377E-4</v>
      </c>
      <c r="P73" s="35"/>
      <c r="Q73" s="35"/>
      <c r="R73" s="35"/>
      <c r="S73" s="35"/>
      <c r="T73" s="35"/>
      <c r="U73" s="35"/>
      <c r="V73" s="513"/>
      <c r="W73" s="581"/>
      <c r="X73" s="582"/>
      <c r="AA73" s="167"/>
      <c r="AB73" s="35"/>
      <c r="AC73" s="35"/>
      <c r="AD73" s="35"/>
      <c r="AE73" s="35"/>
      <c r="AF73" s="35"/>
    </row>
    <row r="74" spans="1:32" ht="98.25" customHeight="1" x14ac:dyDescent="0.3">
      <c r="A74" s="551" t="s">
        <v>90</v>
      </c>
      <c r="B74" s="464" t="s">
        <v>280</v>
      </c>
      <c r="C74" s="161" t="s">
        <v>163</v>
      </c>
      <c r="D74" s="161" t="s">
        <v>262</v>
      </c>
      <c r="E74" s="552" t="s">
        <v>263</v>
      </c>
      <c r="F74" s="161" t="s">
        <v>144</v>
      </c>
      <c r="G74" s="105" t="s">
        <v>145</v>
      </c>
      <c r="H74" s="126">
        <f t="shared" si="11"/>
        <v>1.8252413997082307E-3</v>
      </c>
      <c r="I74" s="106">
        <v>910</v>
      </c>
      <c r="J74" s="105">
        <f>I74*Prototype!$B$17</f>
        <v>8190</v>
      </c>
      <c r="K74" s="105">
        <v>1</v>
      </c>
      <c r="L74" s="105">
        <f t="shared" si="12"/>
        <v>30.03</v>
      </c>
      <c r="M74" s="571">
        <v>33</v>
      </c>
      <c r="N74" s="373"/>
      <c r="O74" s="34">
        <f t="shared" si="13"/>
        <v>1.8252413997082307E-3</v>
      </c>
      <c r="P74" s="35"/>
      <c r="Q74" s="35"/>
      <c r="R74" s="35"/>
      <c r="S74" s="35"/>
      <c r="T74" s="35"/>
      <c r="U74" s="35"/>
      <c r="V74" s="513"/>
      <c r="W74" s="581"/>
      <c r="X74" s="582"/>
      <c r="AA74" s="167"/>
      <c r="AB74" s="35"/>
      <c r="AC74" s="35"/>
      <c r="AD74" s="35"/>
      <c r="AE74" s="35"/>
      <c r="AF74" s="35"/>
    </row>
    <row r="75" spans="1:32" ht="30" customHeight="1" x14ac:dyDescent="0.3">
      <c r="A75" s="551" t="s">
        <v>90</v>
      </c>
      <c r="B75" s="464" t="s">
        <v>281</v>
      </c>
      <c r="C75" s="161" t="s">
        <v>165</v>
      </c>
      <c r="D75" s="552" t="s">
        <v>262</v>
      </c>
      <c r="E75" s="552" t="s">
        <v>263</v>
      </c>
      <c r="F75" s="552" t="s">
        <v>159</v>
      </c>
      <c r="G75" s="426" t="s">
        <v>145</v>
      </c>
      <c r="H75" s="126">
        <f t="shared" si="11"/>
        <v>1.4802507175655762E-3</v>
      </c>
      <c r="I75" s="106">
        <v>738</v>
      </c>
      <c r="J75" s="105">
        <f>I75*Prototype!$B$17</f>
        <v>6642</v>
      </c>
      <c r="K75" s="105">
        <v>1</v>
      </c>
      <c r="L75" s="105">
        <f t="shared" si="12"/>
        <v>0</v>
      </c>
      <c r="M75" s="353">
        <v>0</v>
      </c>
      <c r="N75" s="354" t="s">
        <v>166</v>
      </c>
      <c r="O75" s="34">
        <f t="shared" si="13"/>
        <v>1.4802507175655762E-3</v>
      </c>
      <c r="P75" s="35"/>
      <c r="Q75" s="35"/>
      <c r="R75" s="35"/>
      <c r="S75" s="35"/>
      <c r="T75" s="35"/>
      <c r="U75" s="35"/>
      <c r="V75" s="513"/>
      <c r="W75" s="581"/>
      <c r="X75" s="582"/>
      <c r="AA75" s="167"/>
      <c r="AB75" s="35"/>
      <c r="AC75" s="35"/>
      <c r="AD75" s="35"/>
      <c r="AE75" s="35"/>
      <c r="AF75" s="35"/>
    </row>
    <row r="76" spans="1:32" ht="42" customHeight="1" x14ac:dyDescent="0.3">
      <c r="A76" s="551" t="s">
        <v>90</v>
      </c>
      <c r="B76" s="464" t="s">
        <v>282</v>
      </c>
      <c r="C76" s="552" t="s">
        <v>163</v>
      </c>
      <c r="D76" s="161" t="s">
        <v>262</v>
      </c>
      <c r="E76" s="552" t="s">
        <v>263</v>
      </c>
      <c r="F76" s="161" t="s">
        <v>144</v>
      </c>
      <c r="G76" s="105" t="s">
        <v>145</v>
      </c>
      <c r="H76" s="126">
        <f t="shared" si="11"/>
        <v>1.3719396894510219E-3</v>
      </c>
      <c r="I76" s="106">
        <v>684</v>
      </c>
      <c r="J76" s="105">
        <f>I76*Prototype!$B$17</f>
        <v>6156</v>
      </c>
      <c r="K76" s="105">
        <v>1</v>
      </c>
      <c r="L76" s="105">
        <f t="shared" si="12"/>
        <v>10.26</v>
      </c>
      <c r="M76" s="571">
        <f>M12</f>
        <v>15</v>
      </c>
      <c r="N76" s="572" t="s">
        <v>214</v>
      </c>
      <c r="O76" s="34">
        <f t="shared" si="13"/>
        <v>1.3719396894510219E-3</v>
      </c>
      <c r="P76" s="35"/>
      <c r="Q76" s="35"/>
      <c r="R76" s="35"/>
      <c r="S76" s="35"/>
      <c r="T76" s="35"/>
      <c r="U76" s="35"/>
      <c r="V76" s="513"/>
      <c r="W76" s="581"/>
      <c r="X76" s="582"/>
      <c r="AA76" s="167"/>
      <c r="AB76" s="35"/>
      <c r="AC76" s="35"/>
      <c r="AD76" s="35"/>
      <c r="AE76" s="35"/>
      <c r="AF76" s="35"/>
    </row>
    <row r="77" spans="1:32" ht="17.7" customHeight="1" x14ac:dyDescent="0.3">
      <c r="A77" s="551" t="s">
        <v>90</v>
      </c>
      <c r="B77" s="464" t="s">
        <v>283</v>
      </c>
      <c r="C77" s="161" t="s">
        <v>168</v>
      </c>
      <c r="D77" s="552" t="s">
        <v>262</v>
      </c>
      <c r="E77" s="552" t="s">
        <v>263</v>
      </c>
      <c r="F77" s="161" t="s">
        <v>144</v>
      </c>
      <c r="G77" s="573" t="s">
        <v>145</v>
      </c>
      <c r="H77" s="126">
        <f t="shared" si="11"/>
        <v>2.3166525457835236E-3</v>
      </c>
      <c r="I77" s="106">
        <v>1155</v>
      </c>
      <c r="J77" s="105">
        <f>I77*Prototype!$B$17</f>
        <v>10395</v>
      </c>
      <c r="K77" s="105">
        <v>1</v>
      </c>
      <c r="L77" s="105">
        <f t="shared" si="12"/>
        <v>0</v>
      </c>
      <c r="M77" s="353">
        <v>0</v>
      </c>
      <c r="N77" s="346"/>
      <c r="O77" s="34">
        <f t="shared" si="13"/>
        <v>2.3166525457835236E-3</v>
      </c>
      <c r="P77" s="35"/>
      <c r="Q77" s="35"/>
      <c r="R77" s="35"/>
      <c r="S77" s="35"/>
      <c r="T77" s="35"/>
      <c r="U77" s="35"/>
      <c r="V77" s="513"/>
      <c r="W77" s="581"/>
      <c r="X77" s="582"/>
      <c r="AA77" s="167"/>
      <c r="AB77" s="35"/>
      <c r="AC77" s="35"/>
      <c r="AD77" s="35"/>
      <c r="AE77" s="35"/>
      <c r="AF77" s="35"/>
    </row>
    <row r="78" spans="1:32" ht="17.7" customHeight="1" x14ac:dyDescent="0.3">
      <c r="A78" s="551" t="s">
        <v>90</v>
      </c>
      <c r="B78" s="464" t="s">
        <v>284</v>
      </c>
      <c r="C78" s="161" t="s">
        <v>172</v>
      </c>
      <c r="D78" s="552" t="s">
        <v>262</v>
      </c>
      <c r="E78" s="552" t="s">
        <v>263</v>
      </c>
      <c r="F78" s="552" t="s">
        <v>159</v>
      </c>
      <c r="G78" s="426" t="s">
        <v>145</v>
      </c>
      <c r="H78" s="126">
        <f t="shared" si="11"/>
        <v>1.7008842933544832E-3</v>
      </c>
      <c r="I78" s="106">
        <v>848</v>
      </c>
      <c r="J78" s="105">
        <f>I78*Prototype!$B$17</f>
        <v>7632</v>
      </c>
      <c r="K78" s="105">
        <v>1</v>
      </c>
      <c r="L78" s="105">
        <f t="shared" si="12"/>
        <v>0</v>
      </c>
      <c r="M78" s="353">
        <v>0</v>
      </c>
      <c r="N78" s="346"/>
      <c r="O78" s="34">
        <f t="shared" si="13"/>
        <v>1.7008842933544832E-3</v>
      </c>
      <c r="P78" s="35"/>
      <c r="Q78" s="35"/>
      <c r="R78" s="35"/>
      <c r="S78" s="35"/>
      <c r="T78" s="35"/>
      <c r="U78" s="35"/>
      <c r="V78" s="513"/>
      <c r="W78" s="581"/>
      <c r="X78" s="582"/>
      <c r="AA78" s="167"/>
      <c r="AB78" s="35"/>
      <c r="AC78" s="35"/>
      <c r="AD78" s="35"/>
      <c r="AE78" s="35"/>
      <c r="AF78" s="35"/>
    </row>
    <row r="79" spans="1:32" ht="17.7" customHeight="1" x14ac:dyDescent="0.3">
      <c r="A79" s="551" t="s">
        <v>90</v>
      </c>
      <c r="B79" s="464" t="s">
        <v>285</v>
      </c>
      <c r="C79" s="161" t="s">
        <v>174</v>
      </c>
      <c r="D79" s="161" t="s">
        <v>262</v>
      </c>
      <c r="E79" s="552" t="s">
        <v>263</v>
      </c>
      <c r="F79" s="161" t="s">
        <v>144</v>
      </c>
      <c r="G79" s="105" t="s">
        <v>145</v>
      </c>
      <c r="H79" s="126">
        <f t="shared" si="11"/>
        <v>2.0175536474049617E-3</v>
      </c>
      <c r="I79" s="106">
        <v>1005.88</v>
      </c>
      <c r="J79" s="105">
        <f>I79*Prototype!$B$17</f>
        <v>9052.92</v>
      </c>
      <c r="K79" s="105">
        <f t="shared" ref="K79" si="14">K78</f>
        <v>1</v>
      </c>
      <c r="L79" s="105">
        <f t="shared" si="12"/>
        <v>5.0293999999999999</v>
      </c>
      <c r="M79" s="352">
        <v>5</v>
      </c>
      <c r="N79" s="346"/>
      <c r="O79" s="34">
        <f t="shared" si="13"/>
        <v>2.0175536474049617E-3</v>
      </c>
      <c r="P79" s="35"/>
      <c r="Q79" s="35"/>
      <c r="R79" s="35"/>
      <c r="S79" s="35"/>
      <c r="T79" s="35"/>
      <c r="U79" s="35"/>
      <c r="V79" s="513"/>
      <c r="W79" s="581"/>
      <c r="X79" s="582"/>
      <c r="AA79" s="167"/>
      <c r="AB79" s="35"/>
      <c r="AC79" s="35"/>
      <c r="AD79" s="35"/>
      <c r="AE79" s="35"/>
      <c r="AF79" s="35"/>
    </row>
    <row r="80" spans="1:32" ht="17.7" customHeight="1" x14ac:dyDescent="0.3">
      <c r="A80" s="551" t="s">
        <v>90</v>
      </c>
      <c r="B80" s="464" t="s">
        <v>286</v>
      </c>
      <c r="C80" s="161" t="s">
        <v>174</v>
      </c>
      <c r="D80" s="161" t="s">
        <v>262</v>
      </c>
      <c r="E80" s="552" t="s">
        <v>263</v>
      </c>
      <c r="F80" s="161" t="s">
        <v>144</v>
      </c>
      <c r="G80" s="105" t="s">
        <v>145</v>
      </c>
      <c r="H80" s="126">
        <f>I80/$I$82</f>
        <v>1.1740915447617693E-3</v>
      </c>
      <c r="I80" s="106">
        <v>585.36</v>
      </c>
      <c r="J80" s="105">
        <f>I80*Prototype!$B$17</f>
        <v>5268.24</v>
      </c>
      <c r="K80" s="105">
        <v>1</v>
      </c>
      <c r="L80" s="105">
        <f t="shared" si="12"/>
        <v>2.9268000000000001</v>
      </c>
      <c r="M80" s="352">
        <v>5</v>
      </c>
      <c r="N80" s="346"/>
      <c r="O80" s="34">
        <f t="shared" si="13"/>
        <v>1.1740915447617693E-3</v>
      </c>
      <c r="P80" s="35"/>
      <c r="Q80" s="35"/>
      <c r="R80" s="35"/>
      <c r="S80" s="35"/>
      <c r="T80" s="35"/>
      <c r="U80" s="35"/>
      <c r="V80" s="513"/>
      <c r="W80" s="581"/>
      <c r="X80" s="582"/>
      <c r="AA80" s="167"/>
      <c r="AB80" s="35"/>
      <c r="AC80" s="35"/>
      <c r="AD80" s="35"/>
      <c r="AE80" s="35"/>
      <c r="AF80" s="35"/>
    </row>
    <row r="81" spans="1:32" ht="17.7" customHeight="1" x14ac:dyDescent="0.3">
      <c r="A81" s="551" t="s">
        <v>90</v>
      </c>
      <c r="B81" s="464" t="s">
        <v>287</v>
      </c>
      <c r="C81" s="161" t="s">
        <v>225</v>
      </c>
      <c r="D81" s="161" t="s">
        <v>198</v>
      </c>
      <c r="E81" s="161" t="s">
        <v>226</v>
      </c>
      <c r="F81" s="161"/>
      <c r="G81" s="105" t="s">
        <v>227</v>
      </c>
      <c r="H81" s="126"/>
      <c r="I81" s="106">
        <f>38352.97</f>
        <v>38352.97</v>
      </c>
      <c r="J81" s="105">
        <f>I81*(Prototype!$B$16-Prototype!$B$17)</f>
        <v>153411.88</v>
      </c>
      <c r="K81" s="105">
        <v>1</v>
      </c>
      <c r="L81" s="105">
        <f t="shared" si="12"/>
        <v>0</v>
      </c>
      <c r="M81" s="353">
        <v>0</v>
      </c>
      <c r="N81" s="346"/>
      <c r="O81" s="34">
        <f t="shared" si="13"/>
        <v>0</v>
      </c>
      <c r="P81" s="35"/>
      <c r="Q81" s="35"/>
      <c r="R81" s="35"/>
      <c r="S81" s="35"/>
      <c r="T81" s="35"/>
      <c r="U81" s="35"/>
      <c r="V81" s="513"/>
      <c r="W81" s="581"/>
      <c r="X81" s="582"/>
      <c r="AA81" s="167"/>
      <c r="AB81" s="35"/>
      <c r="AC81" s="35"/>
      <c r="AD81" s="35"/>
      <c r="AE81" s="35"/>
      <c r="AF81" s="35"/>
    </row>
    <row r="82" spans="1:32" ht="78" customHeight="1" x14ac:dyDescent="0.3">
      <c r="A82" s="590" t="s">
        <v>288</v>
      </c>
      <c r="B82" s="465" t="s">
        <v>289</v>
      </c>
      <c r="C82" s="19" t="s">
        <v>290</v>
      </c>
      <c r="D82" s="19" t="s">
        <v>291</v>
      </c>
      <c r="E82" s="19" t="s">
        <v>292</v>
      </c>
      <c r="F82" s="162" t="s">
        <v>293</v>
      </c>
      <c r="G82" s="19" t="s">
        <v>294</v>
      </c>
      <c r="H82" s="157">
        <f>SUMPRODUCT(H3:H81,K3:K81)</f>
        <v>1.0000000000000002</v>
      </c>
      <c r="I82" s="182">
        <f>SUMPRODUCT(I3:I81,K3:K81)-(I81*K81+I58*K58+I35*K35)</f>
        <v>498564.18999999983</v>
      </c>
      <c r="J82" s="18"/>
      <c r="K82" s="18"/>
      <c r="L82" s="18"/>
      <c r="M82" s="349"/>
      <c r="N82" s="347"/>
      <c r="O82" s="34">
        <f t="shared" si="13"/>
        <v>0</v>
      </c>
      <c r="P82" s="35"/>
      <c r="Q82" s="35"/>
      <c r="R82" s="35"/>
      <c r="S82" s="35"/>
      <c r="T82" s="35"/>
      <c r="U82" s="35"/>
      <c r="V82" s="35"/>
      <c r="W82" s="35"/>
      <c r="X82" s="35"/>
      <c r="Y82" s="35"/>
      <c r="Z82" s="35"/>
      <c r="AA82" s="35"/>
      <c r="AB82" s="35"/>
      <c r="AC82" s="35"/>
      <c r="AD82" s="35"/>
      <c r="AE82" s="35"/>
      <c r="AF82" s="35"/>
    </row>
    <row r="83" spans="1:32" ht="78" customHeight="1" x14ac:dyDescent="0.3">
      <c r="A83" s="591"/>
      <c r="B83" s="466"/>
      <c r="C83" s="467"/>
      <c r="D83" s="467"/>
      <c r="E83" s="467"/>
      <c r="F83" s="468"/>
      <c r="G83" s="467"/>
      <c r="H83" s="469"/>
      <c r="I83" s="470"/>
      <c r="J83" s="59"/>
      <c r="K83" s="59"/>
      <c r="L83" s="59"/>
      <c r="M83" s="471"/>
      <c r="O83" s="34"/>
      <c r="P83" s="35"/>
      <c r="Q83" s="35"/>
      <c r="R83" s="35"/>
      <c r="S83" s="35"/>
      <c r="T83" s="35"/>
      <c r="U83" s="35"/>
      <c r="V83" s="35"/>
      <c r="W83" s="35"/>
      <c r="X83" s="35"/>
      <c r="Y83" s="35"/>
      <c r="Z83" s="35"/>
      <c r="AA83" s="35"/>
      <c r="AB83" s="35"/>
      <c r="AC83" s="35"/>
      <c r="AD83" s="35"/>
      <c r="AE83" s="35"/>
      <c r="AF83" s="35"/>
    </row>
    <row r="84" spans="1:32" ht="51" customHeight="1" x14ac:dyDescent="0.3">
      <c r="I84" s="158"/>
      <c r="K84" s="413"/>
      <c r="L84" s="413"/>
      <c r="M84" s="413"/>
      <c r="P84" s="35"/>
      <c r="Q84" s="35"/>
      <c r="R84" s="35"/>
      <c r="S84" s="35"/>
      <c r="T84" s="35"/>
      <c r="U84" s="35"/>
      <c r="V84" s="35"/>
      <c r="W84" s="35"/>
      <c r="X84" s="35"/>
      <c r="Y84" s="35"/>
      <c r="Z84" s="35"/>
      <c r="AA84" s="35"/>
      <c r="AB84" s="35"/>
      <c r="AC84" s="35"/>
      <c r="AD84" s="35"/>
      <c r="AE84" s="35"/>
      <c r="AF84" s="35"/>
    </row>
    <row r="85" spans="1:32" ht="17.7" customHeight="1" x14ac:dyDescent="0.3">
      <c r="C85" s="35"/>
      <c r="D85" s="35"/>
      <c r="E85" s="35"/>
      <c r="F85" s="35"/>
      <c r="G85" s="35"/>
      <c r="H85" s="35"/>
      <c r="I85" s="129"/>
      <c r="L85" s="413"/>
      <c r="M85" s="413"/>
      <c r="P85" s="35"/>
      <c r="Q85" s="35"/>
      <c r="R85" s="35"/>
      <c r="S85" s="35"/>
      <c r="T85" s="35"/>
      <c r="U85" s="35"/>
      <c r="V85" s="35"/>
      <c r="W85" s="35"/>
      <c r="X85" s="35"/>
      <c r="Y85" s="35"/>
      <c r="Z85" s="35"/>
      <c r="AA85" s="35"/>
      <c r="AB85" s="35"/>
      <c r="AC85" s="35"/>
      <c r="AD85" s="35"/>
      <c r="AE85" s="35"/>
      <c r="AF85" s="35"/>
    </row>
    <row r="86" spans="1:32" ht="17.7" customHeight="1" x14ac:dyDescent="0.3">
      <c r="C86" s="36"/>
      <c r="D86" s="36"/>
      <c r="E86" s="36"/>
      <c r="F86" s="36"/>
      <c r="G86" s="36"/>
      <c r="H86" s="36"/>
      <c r="I86" s="158"/>
      <c r="K86" s="413"/>
      <c r="L86" s="413"/>
      <c r="M86" s="413"/>
      <c r="P86" s="35"/>
      <c r="Q86" s="35"/>
      <c r="R86" s="35"/>
      <c r="S86" s="35"/>
      <c r="T86" s="35"/>
      <c r="U86" s="35"/>
      <c r="V86" s="35"/>
      <c r="W86" s="35"/>
      <c r="X86" s="35"/>
      <c r="Y86" s="35"/>
      <c r="Z86" s="35"/>
      <c r="AA86" s="35"/>
      <c r="AB86" s="35"/>
      <c r="AC86" s="35"/>
      <c r="AD86" s="35"/>
      <c r="AE86" s="35"/>
      <c r="AF86" s="35"/>
    </row>
    <row r="87" spans="1:32" ht="17.7" customHeight="1" x14ac:dyDescent="0.3">
      <c r="I87" s="501"/>
      <c r="P87" s="35"/>
      <c r="Q87" s="35"/>
      <c r="R87" s="35"/>
      <c r="S87" s="35"/>
      <c r="T87" s="35"/>
      <c r="U87" s="35"/>
      <c r="V87" s="35"/>
      <c r="W87" s="35"/>
      <c r="X87" s="35"/>
      <c r="Y87" s="35"/>
      <c r="Z87" s="35"/>
      <c r="AA87" s="35"/>
      <c r="AB87" s="35"/>
      <c r="AC87" s="35"/>
      <c r="AD87" s="35"/>
      <c r="AE87" s="35"/>
      <c r="AF87" s="35"/>
    </row>
    <row r="88" spans="1:32" ht="17.7" customHeight="1" x14ac:dyDescent="0.3">
      <c r="I88" s="125"/>
      <c r="P88" s="35"/>
      <c r="Q88" s="35"/>
      <c r="R88" s="35"/>
      <c r="S88" s="35"/>
      <c r="T88" s="35"/>
      <c r="U88" s="35"/>
      <c r="V88" s="35"/>
      <c r="W88" s="35"/>
      <c r="X88" s="35"/>
      <c r="Y88" s="35"/>
      <c r="Z88" s="35"/>
      <c r="AA88" s="35"/>
      <c r="AB88" s="35"/>
      <c r="AC88" s="35"/>
      <c r="AD88" s="35"/>
      <c r="AE88" s="35"/>
      <c r="AF88" s="35"/>
    </row>
    <row r="89" spans="1:32" ht="17.7" customHeight="1" x14ac:dyDescent="0.3">
      <c r="P89" s="35"/>
      <c r="Q89" s="35"/>
      <c r="R89" s="35"/>
      <c r="S89" s="35"/>
      <c r="T89" s="35"/>
      <c r="U89" s="35"/>
      <c r="V89" s="35"/>
      <c r="W89" s="35"/>
      <c r="X89" s="35"/>
      <c r="Y89" s="35"/>
      <c r="Z89" s="35"/>
      <c r="AA89" s="35"/>
      <c r="AB89" s="35"/>
      <c r="AC89" s="35"/>
      <c r="AD89" s="35"/>
      <c r="AE89" s="35"/>
      <c r="AF89" s="35"/>
    </row>
    <row r="90" spans="1:32" ht="58.2" customHeight="1" x14ac:dyDescent="0.3">
      <c r="I90" s="270"/>
      <c r="P90" s="35"/>
      <c r="Q90" s="35"/>
      <c r="R90" s="35"/>
      <c r="S90" s="35"/>
      <c r="T90" s="35"/>
      <c r="U90" s="35"/>
      <c r="V90" s="35"/>
      <c r="W90" s="35"/>
      <c r="X90" s="35"/>
      <c r="Y90" s="35"/>
      <c r="Z90" s="35"/>
      <c r="AA90" s="35"/>
      <c r="AB90" s="35"/>
      <c r="AC90" s="35"/>
      <c r="AD90" s="35"/>
      <c r="AE90" s="35"/>
      <c r="AF90" s="35"/>
    </row>
    <row r="91" spans="1:32" ht="17.7" customHeight="1" x14ac:dyDescent="0.3">
      <c r="I91" s="27"/>
      <c r="P91" s="35"/>
      <c r="Q91" s="35"/>
      <c r="R91" s="35"/>
      <c r="S91" s="35"/>
      <c r="T91" s="35"/>
      <c r="U91" s="35"/>
      <c r="V91" s="35"/>
      <c r="W91" s="35"/>
      <c r="X91" s="35"/>
      <c r="Y91" s="35"/>
      <c r="Z91" s="35"/>
      <c r="AA91" s="35"/>
      <c r="AB91" s="35"/>
      <c r="AC91" s="35"/>
      <c r="AD91" s="35"/>
      <c r="AE91" s="35"/>
      <c r="AF91" s="35"/>
    </row>
    <row r="92" spans="1:32" ht="17.7" customHeight="1" x14ac:dyDescent="0.3">
      <c r="I92" s="413"/>
      <c r="P92" s="35"/>
      <c r="Q92" s="35"/>
      <c r="R92" s="35"/>
      <c r="S92" s="35"/>
      <c r="T92" s="35"/>
      <c r="U92" s="35"/>
      <c r="V92" s="35"/>
      <c r="W92" s="35"/>
      <c r="X92" s="35"/>
      <c r="Y92" s="35"/>
      <c r="Z92" s="35"/>
      <c r="AA92" s="35"/>
      <c r="AB92" s="35"/>
      <c r="AC92" s="35"/>
      <c r="AD92" s="35"/>
      <c r="AE92" s="35"/>
      <c r="AF92" s="35"/>
    </row>
    <row r="93" spans="1:32" ht="17.7" customHeight="1" x14ac:dyDescent="0.3">
      <c r="P93" s="35"/>
      <c r="Q93" s="35"/>
      <c r="R93" s="35"/>
      <c r="S93" s="35"/>
      <c r="T93" s="35"/>
      <c r="U93" s="35"/>
      <c r="V93" s="35"/>
      <c r="W93" s="35"/>
      <c r="X93" s="35"/>
      <c r="Y93" s="35"/>
      <c r="Z93" s="35"/>
      <c r="AA93" s="35"/>
      <c r="AB93" s="35"/>
      <c r="AC93" s="35"/>
      <c r="AD93" s="35"/>
      <c r="AE93" s="35"/>
      <c r="AF93" s="35"/>
    </row>
    <row r="94" spans="1:32" ht="57.6" customHeight="1" x14ac:dyDescent="0.3">
      <c r="P94" s="35"/>
      <c r="Q94" s="35"/>
      <c r="R94" s="35"/>
      <c r="S94" s="35"/>
      <c r="T94" s="35"/>
      <c r="U94" s="35"/>
      <c r="V94" s="35"/>
      <c r="W94" s="35"/>
      <c r="X94" s="35"/>
      <c r="Y94" s="35"/>
      <c r="Z94" s="35"/>
      <c r="AA94" s="35"/>
      <c r="AB94" s="35"/>
      <c r="AC94" s="35"/>
      <c r="AD94" s="35"/>
      <c r="AE94" s="35"/>
      <c r="AF94" s="35"/>
    </row>
    <row r="95" spans="1:32" ht="13.2" x14ac:dyDescent="0.3">
      <c r="N95" s="502"/>
    </row>
    <row r="96" spans="1:32" ht="13.2" x14ac:dyDescent="0.3">
      <c r="N96" s="413"/>
    </row>
    <row r="97" spans="14:14" ht="14.7" customHeight="1" x14ac:dyDescent="0.3">
      <c r="N97" s="413"/>
    </row>
  </sheetData>
  <autoFilter ref="B2:AO82" xr:uid="{2E9DC9C1-ABE9-4C74-8C0A-F769CBEC5074}"/>
  <mergeCells count="30">
    <mergeCell ref="Q53:S53"/>
    <mergeCell ref="Q39:T39"/>
    <mergeCell ref="Q51:S51"/>
    <mergeCell ref="Q52:S52"/>
    <mergeCell ref="Q48:S48"/>
    <mergeCell ref="Q49:S49"/>
    <mergeCell ref="Q50:S50"/>
    <mergeCell ref="Q45:S45"/>
    <mergeCell ref="Q46:S46"/>
    <mergeCell ref="Q47:S47"/>
    <mergeCell ref="Q42:S42"/>
    <mergeCell ref="Q43:S43"/>
    <mergeCell ref="Q44:S44"/>
    <mergeCell ref="Q40:S40"/>
    <mergeCell ref="Q41:S41"/>
    <mergeCell ref="AM21:AN21"/>
    <mergeCell ref="AJ22:AK22"/>
    <mergeCell ref="AM22:AN22"/>
    <mergeCell ref="V20:X20"/>
    <mergeCell ref="V21:X21"/>
    <mergeCell ref="AA20:AC20"/>
    <mergeCell ref="AG22:AH22"/>
    <mergeCell ref="AG21:AH21"/>
    <mergeCell ref="AJ21:AK21"/>
    <mergeCell ref="AA21:AC21"/>
    <mergeCell ref="Q21:S21"/>
    <mergeCell ref="V4:X4"/>
    <mergeCell ref="Z4:AC5"/>
    <mergeCell ref="Q20:S20"/>
    <mergeCell ref="A1:M1"/>
  </mergeCells>
  <phoneticPr fontId="6" type="noConversion"/>
  <conditionalFormatting sqref="C13">
    <cfRule type="expression" dxfId="0" priority="1">
      <formula>IF($AX13="X",TRUE,FALSE)</formula>
    </cfRule>
  </conditionalFormatting>
  <dataValidations count="1">
    <dataValidation allowBlank="1" showInputMessage="1" showErrorMessage="1" sqref="R40:S40 R42:S50 Q53:S53 Q40:Q50" xr:uid="{FD36E7B7-CAD7-4A7A-B2F6-3718BFFF1CE6}"/>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68ECAF-86A3-47A3-AD4D-9739475A0FA7}">
          <x14:formula1>
            <xm:f>Data!$A$2:$A$200</xm:f>
          </x14:formula1>
          <xm:sqref>C3:C81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X56"/>
  <sheetViews>
    <sheetView zoomScale="84" zoomScaleNormal="100" workbookViewId="0">
      <selection sqref="A1:X1"/>
    </sheetView>
  </sheetViews>
  <sheetFormatPr defaultColWidth="9.33203125" defaultRowHeight="12.75" customHeight="1" x14ac:dyDescent="0.3"/>
  <cols>
    <col min="1" max="1" width="15.44140625" style="118" customWidth="1"/>
    <col min="2" max="2" width="13.5546875" style="119" customWidth="1"/>
    <col min="3" max="3" width="18.5546875" style="118" customWidth="1"/>
    <col min="4" max="4" width="42.5546875" style="118" customWidth="1"/>
    <col min="5" max="5" width="13.33203125" style="118" customWidth="1"/>
    <col min="6" max="6" width="10.6640625" style="118" customWidth="1"/>
    <col min="7" max="7" width="23" style="120" customWidth="1"/>
    <col min="8" max="8" width="40.6640625" style="118" customWidth="1"/>
    <col min="9" max="9" width="6.88671875" style="118" customWidth="1"/>
    <col min="10" max="12" width="7" style="118" customWidth="1"/>
    <col min="13" max="13" width="7.88671875" style="118" customWidth="1"/>
    <col min="14" max="14" width="8.6640625" style="118" customWidth="1"/>
    <col min="15" max="15" width="7" style="118" customWidth="1"/>
    <col min="16" max="16" width="7.109375" style="118" customWidth="1"/>
    <col min="17" max="17" width="7.5546875" style="118" customWidth="1"/>
    <col min="18" max="21" width="7" style="118" customWidth="1"/>
    <col min="22" max="22" width="7.6640625" style="118" customWidth="1"/>
    <col min="23" max="24" width="7" style="118" customWidth="1"/>
    <col min="25" max="25" width="9.33203125" style="118"/>
    <col min="26" max="26" width="25.33203125" style="118" customWidth="1"/>
    <col min="27" max="30" width="7.6640625" style="118" customWidth="1"/>
    <col min="31" max="31" width="9.6640625" style="118" customWidth="1"/>
    <col min="32" max="32" width="7.5546875" style="118" customWidth="1"/>
    <col min="33" max="33" width="11.44140625" style="118" customWidth="1"/>
    <col min="34" max="42" width="7.6640625" style="118" customWidth="1"/>
    <col min="43" max="46" width="10.44140625" style="118" customWidth="1"/>
    <col min="47" max="47" width="9.88671875" style="118" customWidth="1"/>
    <col min="48" max="48" width="10.44140625" style="118" customWidth="1"/>
    <col min="49" max="49" width="21.6640625" style="118" customWidth="1"/>
    <col min="50" max="50" width="10.44140625" style="118" customWidth="1"/>
    <col min="51" max="53" width="7.44140625" style="118" customWidth="1"/>
    <col min="54" max="54" width="7.6640625" style="118" customWidth="1"/>
    <col min="55" max="55" width="7.44140625" style="118" customWidth="1"/>
    <col min="56" max="56" width="13.6640625" style="118" customWidth="1"/>
    <col min="57" max="60" width="7.44140625" style="118" customWidth="1"/>
    <col min="61" max="62" width="9.6640625" style="118" bestFit="1" customWidth="1"/>
    <col min="63" max="16384" width="9.33203125" style="118"/>
  </cols>
  <sheetData>
    <row r="1" spans="1:25" ht="31.95" customHeight="1" x14ac:dyDescent="0.3">
      <c r="A1" s="799" t="s">
        <v>295</v>
      </c>
      <c r="B1" s="799"/>
      <c r="C1" s="799"/>
      <c r="D1" s="799"/>
      <c r="E1" s="799"/>
      <c r="F1" s="799"/>
      <c r="G1" s="799"/>
      <c r="H1" s="799"/>
      <c r="I1" s="799"/>
      <c r="J1" s="799"/>
      <c r="K1" s="799"/>
      <c r="L1" s="799"/>
      <c r="M1" s="799"/>
      <c r="N1" s="799"/>
      <c r="O1" s="799"/>
      <c r="P1" s="799"/>
      <c r="Q1" s="799"/>
      <c r="R1" s="799"/>
      <c r="S1" s="799"/>
      <c r="T1" s="799"/>
      <c r="U1" s="799"/>
      <c r="V1" s="799"/>
      <c r="W1" s="799"/>
      <c r="X1" s="799"/>
    </row>
    <row r="2" spans="1:25" ht="30" customHeight="1" x14ac:dyDescent="0.3">
      <c r="A2" s="518" t="s">
        <v>296</v>
      </c>
      <c r="B2" s="518" t="s">
        <v>297</v>
      </c>
      <c r="C2" s="518" t="s">
        <v>298</v>
      </c>
      <c r="D2" s="518" t="s">
        <v>299</v>
      </c>
      <c r="E2" s="519" t="s">
        <v>300</v>
      </c>
      <c r="F2" s="518" t="s">
        <v>301</v>
      </c>
      <c r="G2" s="519" t="s">
        <v>302</v>
      </c>
      <c r="H2" s="518" t="s">
        <v>70</v>
      </c>
      <c r="I2" s="518" t="s">
        <v>303</v>
      </c>
      <c r="J2" s="518" t="s">
        <v>304</v>
      </c>
      <c r="K2" s="518" t="s">
        <v>305</v>
      </c>
      <c r="L2" s="518" t="s">
        <v>306</v>
      </c>
      <c r="M2" s="518" t="s">
        <v>307</v>
      </c>
      <c r="N2" s="518" t="s">
        <v>308</v>
      </c>
      <c r="O2" s="518" t="s">
        <v>309</v>
      </c>
      <c r="P2" s="518" t="s">
        <v>310</v>
      </c>
      <c r="Q2" s="518" t="s">
        <v>311</v>
      </c>
      <c r="R2" s="518" t="s">
        <v>312</v>
      </c>
      <c r="S2" s="518" t="s">
        <v>313</v>
      </c>
      <c r="T2" s="518" t="s">
        <v>314</v>
      </c>
      <c r="U2" s="518" t="s">
        <v>315</v>
      </c>
      <c r="V2" s="518" t="s">
        <v>316</v>
      </c>
      <c r="W2" s="518" t="s">
        <v>317</v>
      </c>
      <c r="X2" s="518" t="s">
        <v>318</v>
      </c>
    </row>
    <row r="3" spans="1:25" ht="27" customHeight="1" x14ac:dyDescent="0.3">
      <c r="A3" s="801" t="s">
        <v>319</v>
      </c>
      <c r="B3" s="801" t="s">
        <v>90</v>
      </c>
      <c r="C3" s="798" t="s">
        <v>320</v>
      </c>
      <c r="D3" s="806" t="s">
        <v>321</v>
      </c>
      <c r="E3" s="801" t="s">
        <v>322</v>
      </c>
      <c r="F3" s="503" t="s">
        <v>323</v>
      </c>
      <c r="G3" s="503" t="s">
        <v>324</v>
      </c>
      <c r="H3" s="482" t="s">
        <v>325</v>
      </c>
      <c r="I3" s="483">
        <v>0.35199999999999998</v>
      </c>
      <c r="J3" s="483">
        <v>0.35199999999999998</v>
      </c>
      <c r="K3" s="483">
        <v>0.35199999999999998</v>
      </c>
      <c r="L3" s="483">
        <v>0.35199999999999998</v>
      </c>
      <c r="M3" s="483">
        <v>0.35199999999999998</v>
      </c>
      <c r="N3" s="483">
        <v>0.35199999999999998</v>
      </c>
      <c r="O3" s="483">
        <v>0.35199999999999998</v>
      </c>
      <c r="P3" s="483">
        <v>0.35199999999999998</v>
      </c>
      <c r="Q3" s="483">
        <v>0.35199999999999998</v>
      </c>
      <c r="R3" s="483">
        <v>0.35199999999999998</v>
      </c>
      <c r="S3" s="483">
        <v>0.35199999999999998</v>
      </c>
      <c r="T3" s="483">
        <v>0.35199999999999998</v>
      </c>
      <c r="U3" s="483">
        <v>0.35199999999999998</v>
      </c>
      <c r="V3" s="483">
        <v>0.35199999999999998</v>
      </c>
      <c r="W3" s="483">
        <v>0.35199999999999998</v>
      </c>
      <c r="X3" s="483">
        <v>0.35199999999999998</v>
      </c>
    </row>
    <row r="4" spans="1:25" ht="26.4" x14ac:dyDescent="0.3">
      <c r="A4" s="801"/>
      <c r="B4" s="801"/>
      <c r="C4" s="798"/>
      <c r="D4" s="798"/>
      <c r="E4" s="801"/>
      <c r="F4" s="484" t="s">
        <v>64</v>
      </c>
      <c r="G4" s="484">
        <v>1986</v>
      </c>
      <c r="H4" s="485" t="s">
        <v>326</v>
      </c>
      <c r="I4" s="486">
        <f>1/4.7</f>
        <v>0.21276595744680851</v>
      </c>
      <c r="J4" s="486">
        <f>1/4.4</f>
        <v>0.22727272727272727</v>
      </c>
      <c r="K4" s="486">
        <f>1/4.4</f>
        <v>0.22727272727272727</v>
      </c>
      <c r="L4" s="486">
        <f>1/4.6</f>
        <v>0.21739130434782611</v>
      </c>
      <c r="M4" s="486">
        <f>1/4.6</f>
        <v>0.21739130434782611</v>
      </c>
      <c r="N4" s="486">
        <f t="shared" ref="N4:R4" si="0">1/3.9</f>
        <v>0.25641025641025644</v>
      </c>
      <c r="O4" s="486">
        <f t="shared" si="0"/>
        <v>0.25641025641025644</v>
      </c>
      <c r="P4" s="486">
        <f t="shared" si="0"/>
        <v>0.25641025641025644</v>
      </c>
      <c r="Q4" s="486">
        <f t="shared" si="0"/>
        <v>0.25641025641025644</v>
      </c>
      <c r="R4" s="486">
        <f t="shared" si="0"/>
        <v>0.25641025641025644</v>
      </c>
      <c r="S4" s="486">
        <f>1/4.2</f>
        <v>0.23809523809523808</v>
      </c>
      <c r="T4" s="486">
        <f t="shared" ref="T4:U4" si="1">1/4.2</f>
        <v>0.23809523809523808</v>
      </c>
      <c r="U4" s="486">
        <f t="shared" si="1"/>
        <v>0.23809523809523808</v>
      </c>
      <c r="V4" s="486">
        <f>1/4.8</f>
        <v>0.20833333333333334</v>
      </c>
      <c r="W4" s="486">
        <f>1/4.8</f>
        <v>0.20833333333333334</v>
      </c>
      <c r="X4" s="486">
        <f>1/4.7</f>
        <v>0.21276595744680851</v>
      </c>
      <c r="Y4" s="121"/>
    </row>
    <row r="5" spans="1:25" ht="13.8" x14ac:dyDescent="0.3">
      <c r="A5" s="801"/>
      <c r="B5" s="801"/>
      <c r="C5" s="798"/>
      <c r="D5" s="798"/>
      <c r="E5" s="801"/>
      <c r="F5" s="487" t="s">
        <v>65</v>
      </c>
      <c r="G5" s="487">
        <v>2001</v>
      </c>
      <c r="H5" s="488" t="s">
        <v>327</v>
      </c>
      <c r="I5" s="487">
        <v>0.182</v>
      </c>
      <c r="J5" s="487">
        <v>0.182</v>
      </c>
      <c r="K5" s="487">
        <v>0.189</v>
      </c>
      <c r="L5" s="487">
        <v>0.189</v>
      </c>
      <c r="M5" s="487">
        <v>0.189</v>
      </c>
      <c r="N5" s="487">
        <v>0.189</v>
      </c>
      <c r="O5" s="487">
        <v>0.189</v>
      </c>
      <c r="P5" s="487">
        <v>0.189</v>
      </c>
      <c r="Q5" s="487">
        <v>0.189</v>
      </c>
      <c r="R5" s="487">
        <v>0.182</v>
      </c>
      <c r="S5" s="487">
        <v>0.182</v>
      </c>
      <c r="T5" s="487">
        <v>0.182</v>
      </c>
      <c r="U5" s="487">
        <v>0.182</v>
      </c>
      <c r="V5" s="487">
        <v>0.182</v>
      </c>
      <c r="W5" s="487">
        <v>0.182</v>
      </c>
      <c r="X5" s="487">
        <v>0.182</v>
      </c>
      <c r="Y5" s="121"/>
    </row>
    <row r="6" spans="1:25" ht="13.8" x14ac:dyDescent="0.3">
      <c r="A6" s="801"/>
      <c r="B6" s="801"/>
      <c r="C6" s="798"/>
      <c r="D6" s="798"/>
      <c r="E6" s="801"/>
      <c r="F6" s="489" t="s">
        <v>66</v>
      </c>
      <c r="G6" s="489">
        <v>2013</v>
      </c>
      <c r="H6" s="490" t="s">
        <v>328</v>
      </c>
      <c r="I6" s="489">
        <v>9.8000000000000004E-2</v>
      </c>
      <c r="J6" s="489">
        <v>6.2E-2</v>
      </c>
      <c r="K6" s="489">
        <v>8.2000000000000003E-2</v>
      </c>
      <c r="L6" s="489">
        <v>6.2E-2</v>
      </c>
      <c r="M6" s="489">
        <v>6.2E-2</v>
      </c>
      <c r="N6" s="489">
        <v>9.8000000000000004E-2</v>
      </c>
      <c r="O6" s="489">
        <v>9.8000000000000004E-2</v>
      </c>
      <c r="P6" s="489">
        <v>6.2E-2</v>
      </c>
      <c r="Q6" s="489">
        <v>6.2E-2</v>
      </c>
      <c r="R6" s="489">
        <v>6.2E-2</v>
      </c>
      <c r="S6" s="489">
        <v>6.2E-2</v>
      </c>
      <c r="T6" s="489">
        <v>6.2E-2</v>
      </c>
      <c r="U6" s="489">
        <v>6.2E-2</v>
      </c>
      <c r="V6" s="489">
        <v>6.2E-2</v>
      </c>
      <c r="W6" s="489">
        <v>6.2E-2</v>
      </c>
      <c r="X6" s="489">
        <v>6.2E-2</v>
      </c>
      <c r="Y6" s="121"/>
    </row>
    <row r="7" spans="1:25" ht="13.8" x14ac:dyDescent="0.3">
      <c r="A7" s="801"/>
      <c r="B7" s="801"/>
      <c r="C7" s="798"/>
      <c r="D7" s="798"/>
      <c r="E7" s="801"/>
      <c r="F7" s="491" t="s">
        <v>330</v>
      </c>
      <c r="G7" s="492">
        <v>2025</v>
      </c>
      <c r="H7" s="592" t="s">
        <v>331</v>
      </c>
      <c r="I7" s="491">
        <v>0.06</v>
      </c>
      <c r="J7" s="491">
        <v>5.5E-2</v>
      </c>
      <c r="K7" s="491">
        <v>7.0999999999999994E-2</v>
      </c>
      <c r="L7" s="491">
        <v>5.5E-2</v>
      </c>
      <c r="M7" s="491">
        <v>5.5E-2</v>
      </c>
      <c r="N7" s="491">
        <v>0.06</v>
      </c>
      <c r="O7" s="491">
        <v>0.06</v>
      </c>
      <c r="P7" s="491">
        <v>5.5E-2</v>
      </c>
      <c r="Q7" s="491">
        <v>5.5E-2</v>
      </c>
      <c r="R7" s="491">
        <v>5.5E-2</v>
      </c>
      <c r="S7" s="491">
        <v>5.5E-2</v>
      </c>
      <c r="T7" s="491">
        <v>5.5E-2</v>
      </c>
      <c r="U7" s="491">
        <v>5.5E-2</v>
      </c>
      <c r="V7" s="491">
        <v>5.5E-2</v>
      </c>
      <c r="W7" s="491">
        <v>5.5E-2</v>
      </c>
      <c r="X7" s="491">
        <v>5.5E-2</v>
      </c>
      <c r="Y7" s="121"/>
    </row>
    <row r="8" spans="1:25" ht="13.8" x14ac:dyDescent="0.3">
      <c r="A8" s="801" t="s">
        <v>332</v>
      </c>
      <c r="B8" s="801" t="s">
        <v>90</v>
      </c>
      <c r="C8" s="798" t="s">
        <v>333</v>
      </c>
      <c r="D8" s="806" t="s">
        <v>334</v>
      </c>
      <c r="E8" s="801" t="s">
        <v>322</v>
      </c>
      <c r="F8" s="503" t="s">
        <v>323</v>
      </c>
      <c r="G8" s="503" t="s">
        <v>324</v>
      </c>
      <c r="H8" s="798" t="s">
        <v>335</v>
      </c>
      <c r="I8" s="493">
        <f>I9</f>
        <v>5.7000000000000002E-2</v>
      </c>
      <c r="J8" s="503">
        <f t="shared" ref="J8:X8" si="2">J9</f>
        <v>5.7000000000000002E-2</v>
      </c>
      <c r="K8" s="503">
        <f t="shared" si="2"/>
        <v>5.7000000000000002E-2</v>
      </c>
      <c r="L8" s="503">
        <f t="shared" si="2"/>
        <v>5.7000000000000002E-2</v>
      </c>
      <c r="M8" s="503">
        <f t="shared" si="2"/>
        <v>5.7000000000000002E-2</v>
      </c>
      <c r="N8" s="503">
        <f t="shared" si="2"/>
        <v>7.8E-2</v>
      </c>
      <c r="O8" s="503">
        <f t="shared" si="2"/>
        <v>7.8E-2</v>
      </c>
      <c r="P8" s="503">
        <f t="shared" si="2"/>
        <v>7.8E-2</v>
      </c>
      <c r="Q8" s="503">
        <f t="shared" si="2"/>
        <v>7.8E-2</v>
      </c>
      <c r="R8" s="503">
        <f t="shared" si="2"/>
        <v>7.8E-2</v>
      </c>
      <c r="S8" s="503">
        <f t="shared" si="2"/>
        <v>5.7000000000000002E-2</v>
      </c>
      <c r="T8" s="503">
        <f t="shared" si="2"/>
        <v>5.7000000000000002E-2</v>
      </c>
      <c r="U8" s="503">
        <f t="shared" si="2"/>
        <v>5.7000000000000002E-2</v>
      </c>
      <c r="V8" s="503">
        <f t="shared" si="2"/>
        <v>5.7000000000000002E-2</v>
      </c>
      <c r="W8" s="503">
        <f t="shared" si="2"/>
        <v>5.7000000000000002E-2</v>
      </c>
      <c r="X8" s="503">
        <f t="shared" si="2"/>
        <v>5.7000000000000002E-2</v>
      </c>
      <c r="Y8" s="121"/>
    </row>
    <row r="9" spans="1:25" ht="13.8" x14ac:dyDescent="0.3">
      <c r="A9" s="801"/>
      <c r="B9" s="801"/>
      <c r="C9" s="798"/>
      <c r="D9" s="798"/>
      <c r="E9" s="801"/>
      <c r="F9" s="503" t="s">
        <v>64</v>
      </c>
      <c r="G9" s="503">
        <v>1992</v>
      </c>
      <c r="H9" s="798"/>
      <c r="I9" s="494">
        <v>5.7000000000000002E-2</v>
      </c>
      <c r="J9" s="494">
        <v>5.7000000000000002E-2</v>
      </c>
      <c r="K9" s="494">
        <v>5.7000000000000002E-2</v>
      </c>
      <c r="L9" s="494">
        <v>5.7000000000000002E-2</v>
      </c>
      <c r="M9" s="494">
        <v>5.7000000000000002E-2</v>
      </c>
      <c r="N9" s="494">
        <v>7.8E-2</v>
      </c>
      <c r="O9" s="494">
        <v>7.8E-2</v>
      </c>
      <c r="P9" s="494">
        <v>7.8E-2</v>
      </c>
      <c r="Q9" s="494">
        <v>7.8E-2</v>
      </c>
      <c r="R9" s="494">
        <v>7.8E-2</v>
      </c>
      <c r="S9" s="494">
        <v>5.7000000000000002E-2</v>
      </c>
      <c r="T9" s="494">
        <v>5.7000000000000002E-2</v>
      </c>
      <c r="U9" s="494">
        <v>5.7000000000000002E-2</v>
      </c>
      <c r="V9" s="494">
        <v>5.7000000000000002E-2</v>
      </c>
      <c r="W9" s="494">
        <v>5.7000000000000002E-2</v>
      </c>
      <c r="X9" s="494">
        <v>5.7000000000000002E-2</v>
      </c>
      <c r="Y9" s="121"/>
    </row>
    <row r="10" spans="1:25" ht="13.8" x14ac:dyDescent="0.3">
      <c r="A10" s="801"/>
      <c r="B10" s="801"/>
      <c r="C10" s="798"/>
      <c r="D10" s="798"/>
      <c r="E10" s="801"/>
      <c r="F10" s="487" t="s">
        <v>65</v>
      </c>
      <c r="G10" s="487">
        <v>2001</v>
      </c>
      <c r="H10" s="488" t="s">
        <v>327</v>
      </c>
      <c r="I10" s="487">
        <v>5.7000000000000002E-2</v>
      </c>
      <c r="J10" s="487">
        <v>5.7000000000000002E-2</v>
      </c>
      <c r="K10" s="487">
        <v>5.7000000000000002E-2</v>
      </c>
      <c r="L10" s="487">
        <v>5.7000000000000002E-2</v>
      </c>
      <c r="M10" s="487">
        <v>5.7000000000000002E-2</v>
      </c>
      <c r="N10" s="487">
        <v>7.8E-2</v>
      </c>
      <c r="O10" s="487">
        <v>7.8E-2</v>
      </c>
      <c r="P10" s="487">
        <v>7.8E-2</v>
      </c>
      <c r="Q10" s="487">
        <v>7.8E-2</v>
      </c>
      <c r="R10" s="487">
        <v>5.7000000000000002E-2</v>
      </c>
      <c r="S10" s="487">
        <v>5.7000000000000002E-2</v>
      </c>
      <c r="T10" s="487">
        <v>5.7000000000000002E-2</v>
      </c>
      <c r="U10" s="487">
        <v>5.7000000000000002E-2</v>
      </c>
      <c r="V10" s="487">
        <v>5.7000000000000002E-2</v>
      </c>
      <c r="W10" s="487">
        <v>5.7000000000000002E-2</v>
      </c>
      <c r="X10" s="487">
        <v>5.7000000000000002E-2</v>
      </c>
      <c r="Y10" s="121"/>
    </row>
    <row r="11" spans="1:25" ht="13.8" x14ac:dyDescent="0.3">
      <c r="A11" s="801"/>
      <c r="B11" s="801"/>
      <c r="C11" s="798"/>
      <c r="D11" s="798"/>
      <c r="E11" s="801"/>
      <c r="F11" s="489" t="s">
        <v>66</v>
      </c>
      <c r="G11" s="489">
        <v>2013</v>
      </c>
      <c r="H11" s="490" t="s">
        <v>328</v>
      </c>
      <c r="I11" s="489">
        <v>4.9000000000000002E-2</v>
      </c>
      <c r="J11" s="489">
        <v>3.9E-2</v>
      </c>
      <c r="K11" s="489">
        <v>3.9E-2</v>
      </c>
      <c r="L11" s="489">
        <v>3.9E-2</v>
      </c>
      <c r="M11" s="489">
        <v>4.9000000000000002E-2</v>
      </c>
      <c r="N11" s="489">
        <v>7.4999999999999997E-2</v>
      </c>
      <c r="O11" s="489">
        <v>6.7000000000000004E-2</v>
      </c>
      <c r="P11" s="489">
        <v>6.7000000000000004E-2</v>
      </c>
      <c r="Q11" s="489">
        <v>3.9E-2</v>
      </c>
      <c r="R11" s="489">
        <v>3.9E-2</v>
      </c>
      <c r="S11" s="489">
        <v>3.9E-2</v>
      </c>
      <c r="T11" s="489">
        <v>3.9E-2</v>
      </c>
      <c r="U11" s="489">
        <v>3.9E-2</v>
      </c>
      <c r="V11" s="489">
        <v>3.9E-2</v>
      </c>
      <c r="W11" s="489">
        <v>3.9E-2</v>
      </c>
      <c r="X11" s="489">
        <v>3.9E-2</v>
      </c>
      <c r="Y11" s="121"/>
    </row>
    <row r="12" spans="1:25" ht="13.8" x14ac:dyDescent="0.3">
      <c r="A12" s="801"/>
      <c r="B12" s="801"/>
      <c r="C12" s="798"/>
      <c r="D12" s="798"/>
      <c r="E12" s="801"/>
      <c r="F12" s="491" t="s">
        <v>330</v>
      </c>
      <c r="G12" s="491">
        <v>2025</v>
      </c>
      <c r="H12" s="592" t="s">
        <v>331</v>
      </c>
      <c r="I12" s="491">
        <v>2.8000000000000001E-2</v>
      </c>
      <c r="J12" s="491">
        <v>2.8000000000000001E-2</v>
      </c>
      <c r="K12" s="491">
        <v>2.8000000000000001E-2</v>
      </c>
      <c r="L12" s="491">
        <v>2.8000000000000001E-2</v>
      </c>
      <c r="M12" s="491">
        <v>2.8000000000000001E-2</v>
      </c>
      <c r="N12" s="491">
        <v>4.7E-2</v>
      </c>
      <c r="O12" s="491">
        <v>4.7E-2</v>
      </c>
      <c r="P12" s="491">
        <v>4.7E-2</v>
      </c>
      <c r="Q12" s="491">
        <v>2.8000000000000001E-2</v>
      </c>
      <c r="R12" s="491">
        <v>2.8000000000000001E-2</v>
      </c>
      <c r="S12" s="491">
        <v>2.8000000000000001E-2</v>
      </c>
      <c r="T12" s="491">
        <v>2.8000000000000001E-2</v>
      </c>
      <c r="U12" s="491">
        <v>2.8000000000000001E-2</v>
      </c>
      <c r="V12" s="491">
        <v>2.8000000000000001E-2</v>
      </c>
      <c r="W12" s="491">
        <v>2.8000000000000001E-2</v>
      </c>
      <c r="X12" s="491">
        <v>2.8000000000000001E-2</v>
      </c>
      <c r="Y12" s="121"/>
    </row>
    <row r="13" spans="1:25" ht="13.95" customHeight="1" x14ac:dyDescent="0.3">
      <c r="A13" s="801" t="s">
        <v>336</v>
      </c>
      <c r="B13" s="801" t="s">
        <v>90</v>
      </c>
      <c r="C13" s="798" t="s">
        <v>337</v>
      </c>
      <c r="D13" s="810" t="s">
        <v>338</v>
      </c>
      <c r="E13" s="801" t="s">
        <v>322</v>
      </c>
      <c r="F13" s="503" t="s">
        <v>323</v>
      </c>
      <c r="G13" s="503" t="s">
        <v>324</v>
      </c>
      <c r="H13" s="798" t="s">
        <v>339</v>
      </c>
      <c r="I13" s="495">
        <f>1.12*0.5+I$16*0.5</f>
        <v>0.74</v>
      </c>
      <c r="J13" s="495">
        <f t="shared" ref="J13:X14" si="3">1.12*0.5+J$16*0.5</f>
        <v>0.74</v>
      </c>
      <c r="K13" s="495">
        <f t="shared" si="3"/>
        <v>0.74</v>
      </c>
      <c r="L13" s="495">
        <f t="shared" si="3"/>
        <v>0.74</v>
      </c>
      <c r="M13" s="495">
        <f t="shared" si="3"/>
        <v>0.74</v>
      </c>
      <c r="N13" s="495">
        <f t="shared" si="3"/>
        <v>0.74</v>
      </c>
      <c r="O13" s="495">
        <f t="shared" si="3"/>
        <v>0.74</v>
      </c>
      <c r="P13" s="495">
        <f t="shared" si="3"/>
        <v>0.74</v>
      </c>
      <c r="Q13" s="495">
        <f t="shared" si="3"/>
        <v>0.74</v>
      </c>
      <c r="R13" s="495">
        <f t="shared" si="3"/>
        <v>0.74</v>
      </c>
      <c r="S13" s="495">
        <f t="shared" si="3"/>
        <v>0.74</v>
      </c>
      <c r="T13" s="495">
        <f t="shared" si="3"/>
        <v>0.74</v>
      </c>
      <c r="U13" s="495">
        <f t="shared" si="3"/>
        <v>0.74</v>
      </c>
      <c r="V13" s="495">
        <f t="shared" si="3"/>
        <v>0.74</v>
      </c>
      <c r="W13" s="495">
        <f t="shared" si="3"/>
        <v>0.74</v>
      </c>
      <c r="X13" s="495">
        <f t="shared" si="3"/>
        <v>0.74</v>
      </c>
      <c r="Y13" s="121"/>
    </row>
    <row r="14" spans="1:25" ht="23.25" customHeight="1" x14ac:dyDescent="0.3">
      <c r="A14" s="801"/>
      <c r="B14" s="801"/>
      <c r="C14" s="798"/>
      <c r="D14" s="810"/>
      <c r="E14" s="801"/>
      <c r="F14" s="503" t="s">
        <v>64</v>
      </c>
      <c r="G14" s="503" t="s">
        <v>324</v>
      </c>
      <c r="H14" s="798"/>
      <c r="I14" s="496">
        <f>1.12*0.5+I$16*0.5</f>
        <v>0.74</v>
      </c>
      <c r="J14" s="496">
        <f t="shared" si="3"/>
        <v>0.74</v>
      </c>
      <c r="K14" s="496">
        <f t="shared" si="3"/>
        <v>0.74</v>
      </c>
      <c r="L14" s="496">
        <f t="shared" si="3"/>
        <v>0.74</v>
      </c>
      <c r="M14" s="496">
        <f t="shared" si="3"/>
        <v>0.74</v>
      </c>
      <c r="N14" s="496">
        <f t="shared" si="3"/>
        <v>0.74</v>
      </c>
      <c r="O14" s="496">
        <f t="shared" si="3"/>
        <v>0.74</v>
      </c>
      <c r="P14" s="496">
        <f t="shared" si="3"/>
        <v>0.74</v>
      </c>
      <c r="Q14" s="496">
        <f t="shared" si="3"/>
        <v>0.74</v>
      </c>
      <c r="R14" s="496">
        <f t="shared" si="3"/>
        <v>0.74</v>
      </c>
      <c r="S14" s="496">
        <f t="shared" si="3"/>
        <v>0.74</v>
      </c>
      <c r="T14" s="496">
        <f t="shared" si="3"/>
        <v>0.74</v>
      </c>
      <c r="U14" s="496">
        <f t="shared" si="3"/>
        <v>0.74</v>
      </c>
      <c r="V14" s="496">
        <f t="shared" si="3"/>
        <v>0.74</v>
      </c>
      <c r="W14" s="496">
        <f t="shared" si="3"/>
        <v>0.74</v>
      </c>
      <c r="X14" s="496">
        <f t="shared" si="3"/>
        <v>0.74</v>
      </c>
      <c r="Y14" s="121"/>
    </row>
    <row r="15" spans="1:25" ht="13.95" customHeight="1" x14ac:dyDescent="0.3">
      <c r="A15" s="801"/>
      <c r="B15" s="801"/>
      <c r="C15" s="798"/>
      <c r="D15" s="809" t="s">
        <v>340</v>
      </c>
      <c r="E15" s="801"/>
      <c r="F15" s="487" t="s">
        <v>65</v>
      </c>
      <c r="G15" s="487">
        <v>2001</v>
      </c>
      <c r="H15" s="593" t="s">
        <v>327</v>
      </c>
      <c r="I15" s="487">
        <v>0.49</v>
      </c>
      <c r="J15" s="487">
        <v>0.49</v>
      </c>
      <c r="K15" s="487">
        <v>0.81</v>
      </c>
      <c r="L15" s="487">
        <v>0.81</v>
      </c>
      <c r="M15" s="487">
        <v>0.81</v>
      </c>
      <c r="N15" s="487">
        <v>0.81</v>
      </c>
      <c r="O15" s="487">
        <v>0.81</v>
      </c>
      <c r="P15" s="487">
        <v>0.81</v>
      </c>
      <c r="Q15" s="487">
        <v>0.81</v>
      </c>
      <c r="R15" s="487">
        <v>0.49</v>
      </c>
      <c r="S15" s="487">
        <v>0.49</v>
      </c>
      <c r="T15" s="487">
        <v>0.49</v>
      </c>
      <c r="U15" s="487">
        <v>0.49</v>
      </c>
      <c r="V15" s="487">
        <v>0.49</v>
      </c>
      <c r="W15" s="487">
        <v>0.49</v>
      </c>
      <c r="X15" s="487">
        <v>0.49</v>
      </c>
      <c r="Y15" s="121"/>
    </row>
    <row r="16" spans="1:25" ht="13.95" customHeight="1" x14ac:dyDescent="0.3">
      <c r="A16" s="801"/>
      <c r="B16" s="801"/>
      <c r="C16" s="798"/>
      <c r="D16" s="809"/>
      <c r="E16" s="801"/>
      <c r="F16" s="489" t="s">
        <v>66</v>
      </c>
      <c r="G16" s="489">
        <v>2013</v>
      </c>
      <c r="H16" s="594" t="s">
        <v>328</v>
      </c>
      <c r="I16" s="489">
        <v>0.36</v>
      </c>
      <c r="J16" s="489">
        <v>0.36</v>
      </c>
      <c r="K16" s="489">
        <v>0.36</v>
      </c>
      <c r="L16" s="489">
        <v>0.36</v>
      </c>
      <c r="M16" s="489">
        <v>0.36</v>
      </c>
      <c r="N16" s="489">
        <v>0.36</v>
      </c>
      <c r="O16" s="489">
        <v>0.36</v>
      </c>
      <c r="P16" s="489">
        <v>0.36</v>
      </c>
      <c r="Q16" s="489">
        <v>0.36</v>
      </c>
      <c r="R16" s="489">
        <v>0.36</v>
      </c>
      <c r="S16" s="489">
        <v>0.36</v>
      </c>
      <c r="T16" s="489">
        <v>0.36</v>
      </c>
      <c r="U16" s="489">
        <v>0.36</v>
      </c>
      <c r="V16" s="489">
        <v>0.36</v>
      </c>
      <c r="W16" s="489">
        <v>0.36</v>
      </c>
      <c r="X16" s="489">
        <v>0.36</v>
      </c>
      <c r="Y16" s="121"/>
    </row>
    <row r="17" spans="1:50" ht="13.95" customHeight="1" x14ac:dyDescent="0.3">
      <c r="A17" s="801"/>
      <c r="B17" s="801"/>
      <c r="C17" s="798"/>
      <c r="D17" s="809"/>
      <c r="E17" s="801"/>
      <c r="F17" s="491" t="s">
        <v>330</v>
      </c>
      <c r="G17" s="492">
        <v>2025</v>
      </c>
      <c r="H17" s="497" t="s">
        <v>331</v>
      </c>
      <c r="I17" s="491">
        <v>0.36</v>
      </c>
      <c r="J17" s="491">
        <v>0.36</v>
      </c>
      <c r="K17" s="491">
        <v>0.36</v>
      </c>
      <c r="L17" s="491">
        <v>0.36</v>
      </c>
      <c r="M17" s="491">
        <v>0.36</v>
      </c>
      <c r="N17" s="491">
        <v>0.36</v>
      </c>
      <c r="O17" s="491">
        <v>0.36</v>
      </c>
      <c r="P17" s="491">
        <v>0.36</v>
      </c>
      <c r="Q17" s="491">
        <v>0.34</v>
      </c>
      <c r="R17" s="491">
        <v>0.36</v>
      </c>
      <c r="S17" s="491">
        <v>0.34</v>
      </c>
      <c r="T17" s="491">
        <v>0.34</v>
      </c>
      <c r="U17" s="491">
        <v>0.34</v>
      </c>
      <c r="V17" s="491">
        <v>0.34</v>
      </c>
      <c r="W17" s="491">
        <v>0.34</v>
      </c>
      <c r="X17" s="491">
        <v>0.36</v>
      </c>
      <c r="Y17" s="121"/>
    </row>
    <row r="18" spans="1:50" ht="26.25" customHeight="1" x14ac:dyDescent="0.3">
      <c r="A18" s="801"/>
      <c r="B18" s="801"/>
      <c r="C18" s="798" t="s">
        <v>337</v>
      </c>
      <c r="D18" s="810" t="s">
        <v>338</v>
      </c>
      <c r="E18" s="801" t="s">
        <v>341</v>
      </c>
      <c r="F18" s="503" t="s">
        <v>323</v>
      </c>
      <c r="G18" s="503" t="s">
        <v>324</v>
      </c>
      <c r="H18" s="798" t="s">
        <v>342</v>
      </c>
      <c r="I18" s="503">
        <f>0.79*0.5+I$21*0.5</f>
        <v>0.52</v>
      </c>
      <c r="J18" s="503">
        <f t="shared" ref="J18:X18" si="4">0.79*0.5+J$21*0.5</f>
        <v>0.52</v>
      </c>
      <c r="K18" s="503">
        <f t="shared" si="4"/>
        <v>0.52</v>
      </c>
      <c r="L18" s="503">
        <f t="shared" si="4"/>
        <v>0.52</v>
      </c>
      <c r="M18" s="503">
        <f t="shared" si="4"/>
        <v>0.52</v>
      </c>
      <c r="N18" s="503">
        <f t="shared" si="4"/>
        <v>0.52</v>
      </c>
      <c r="O18" s="503">
        <f t="shared" si="4"/>
        <v>0.52</v>
      </c>
      <c r="P18" s="503">
        <f t="shared" si="4"/>
        <v>0.52</v>
      </c>
      <c r="Q18" s="503">
        <f t="shared" si="4"/>
        <v>0.52</v>
      </c>
      <c r="R18" s="503">
        <f t="shared" si="4"/>
        <v>0.52</v>
      </c>
      <c r="S18" s="503">
        <f t="shared" si="4"/>
        <v>0.52</v>
      </c>
      <c r="T18" s="503">
        <f t="shared" si="4"/>
        <v>0.52</v>
      </c>
      <c r="U18" s="503">
        <f t="shared" si="4"/>
        <v>0.52</v>
      </c>
      <c r="V18" s="503">
        <f t="shared" si="4"/>
        <v>0.52</v>
      </c>
      <c r="W18" s="503">
        <f t="shared" si="4"/>
        <v>0.52</v>
      </c>
      <c r="X18" s="503">
        <f t="shared" si="4"/>
        <v>0.52</v>
      </c>
      <c r="Y18" s="121"/>
    </row>
    <row r="19" spans="1:50" ht="21.75" customHeight="1" x14ac:dyDescent="0.3">
      <c r="A19" s="801"/>
      <c r="B19" s="801"/>
      <c r="C19" s="798"/>
      <c r="D19" s="810"/>
      <c r="E19" s="801"/>
      <c r="F19" s="503" t="s">
        <v>64</v>
      </c>
      <c r="G19" s="495" t="s">
        <v>324</v>
      </c>
      <c r="H19" s="798"/>
      <c r="I19" s="494">
        <f>I18</f>
        <v>0.52</v>
      </c>
      <c r="J19" s="494">
        <f t="shared" ref="J19:X19" si="5">J18</f>
        <v>0.52</v>
      </c>
      <c r="K19" s="494">
        <f t="shared" si="5"/>
        <v>0.52</v>
      </c>
      <c r="L19" s="494">
        <f t="shared" si="5"/>
        <v>0.52</v>
      </c>
      <c r="M19" s="494">
        <f t="shared" si="5"/>
        <v>0.52</v>
      </c>
      <c r="N19" s="494">
        <f t="shared" si="5"/>
        <v>0.52</v>
      </c>
      <c r="O19" s="494">
        <f t="shared" si="5"/>
        <v>0.52</v>
      </c>
      <c r="P19" s="494">
        <f t="shared" si="5"/>
        <v>0.52</v>
      </c>
      <c r="Q19" s="494">
        <f t="shared" si="5"/>
        <v>0.52</v>
      </c>
      <c r="R19" s="494">
        <f t="shared" si="5"/>
        <v>0.52</v>
      </c>
      <c r="S19" s="494">
        <f t="shared" si="5"/>
        <v>0.52</v>
      </c>
      <c r="T19" s="494">
        <f t="shared" si="5"/>
        <v>0.52</v>
      </c>
      <c r="U19" s="494">
        <f t="shared" si="5"/>
        <v>0.52</v>
      </c>
      <c r="V19" s="494">
        <f t="shared" si="5"/>
        <v>0.52</v>
      </c>
      <c r="W19" s="494">
        <f t="shared" si="5"/>
        <v>0.52</v>
      </c>
      <c r="X19" s="494">
        <f t="shared" si="5"/>
        <v>0.52</v>
      </c>
      <c r="Y19" s="121"/>
    </row>
    <row r="20" spans="1:50" ht="39" customHeight="1" x14ac:dyDescent="0.3">
      <c r="A20" s="801"/>
      <c r="B20" s="801"/>
      <c r="C20" s="798"/>
      <c r="D20" s="801"/>
      <c r="E20" s="801"/>
      <c r="F20" s="498" t="s">
        <v>65</v>
      </c>
      <c r="G20" s="487">
        <v>2001</v>
      </c>
      <c r="H20" s="499" t="s">
        <v>343</v>
      </c>
      <c r="I20" s="487">
        <v>0.43</v>
      </c>
      <c r="J20" s="487">
        <v>0.31</v>
      </c>
      <c r="K20" s="487">
        <v>0.41</v>
      </c>
      <c r="L20" s="487">
        <v>0.41</v>
      </c>
      <c r="M20" s="487">
        <v>0.41</v>
      </c>
      <c r="N20" s="593">
        <v>0.34</v>
      </c>
      <c r="O20" s="593">
        <v>0.34</v>
      </c>
      <c r="P20" s="593">
        <v>0.34</v>
      </c>
      <c r="Q20" s="593">
        <v>0.34</v>
      </c>
      <c r="R20" s="593">
        <v>0.31</v>
      </c>
      <c r="S20" s="593">
        <v>0.31</v>
      </c>
      <c r="T20" s="593">
        <v>0.31</v>
      </c>
      <c r="U20" s="593">
        <v>0.31</v>
      </c>
      <c r="V20" s="593">
        <v>0.31</v>
      </c>
      <c r="W20" s="593">
        <v>0.31</v>
      </c>
      <c r="X20" s="487">
        <v>0.43</v>
      </c>
      <c r="Y20" s="121"/>
    </row>
    <row r="21" spans="1:50" ht="13.95" customHeight="1" x14ac:dyDescent="0.3">
      <c r="A21" s="801"/>
      <c r="B21" s="801"/>
      <c r="C21" s="798"/>
      <c r="D21" s="801"/>
      <c r="E21" s="801"/>
      <c r="F21" s="489" t="s">
        <v>66</v>
      </c>
      <c r="G21" s="489">
        <v>2013</v>
      </c>
      <c r="H21" s="594" t="s">
        <v>328</v>
      </c>
      <c r="I21" s="489">
        <v>0.25</v>
      </c>
      <c r="J21" s="489">
        <v>0.25</v>
      </c>
      <c r="K21" s="489">
        <v>0.25</v>
      </c>
      <c r="L21" s="489">
        <v>0.25</v>
      </c>
      <c r="M21" s="489">
        <v>0.25</v>
      </c>
      <c r="N21" s="489">
        <v>0.25</v>
      </c>
      <c r="O21" s="489">
        <v>0.25</v>
      </c>
      <c r="P21" s="489">
        <v>0.25</v>
      </c>
      <c r="Q21" s="489">
        <v>0.25</v>
      </c>
      <c r="R21" s="489">
        <v>0.25</v>
      </c>
      <c r="S21" s="489">
        <v>0.25</v>
      </c>
      <c r="T21" s="489">
        <v>0.25</v>
      </c>
      <c r="U21" s="489">
        <v>0.25</v>
      </c>
      <c r="V21" s="489">
        <v>0.25</v>
      </c>
      <c r="W21" s="489">
        <v>0.25</v>
      </c>
      <c r="X21" s="489">
        <v>0.25</v>
      </c>
      <c r="Y21" s="121"/>
    </row>
    <row r="22" spans="1:50" ht="13.95" customHeight="1" x14ac:dyDescent="0.3">
      <c r="A22" s="801"/>
      <c r="B22" s="801"/>
      <c r="C22" s="798"/>
      <c r="D22" s="801"/>
      <c r="E22" s="801"/>
      <c r="F22" s="491" t="s">
        <v>330</v>
      </c>
      <c r="G22" s="492">
        <v>2025</v>
      </c>
      <c r="H22" s="592" t="s">
        <v>331</v>
      </c>
      <c r="I22" s="491">
        <v>0.25</v>
      </c>
      <c r="J22" s="491">
        <v>0.25</v>
      </c>
      <c r="K22" s="491">
        <v>0.25</v>
      </c>
      <c r="L22" s="491">
        <v>0.25</v>
      </c>
      <c r="M22" s="491">
        <v>0.25</v>
      </c>
      <c r="N22" s="491">
        <v>0.25</v>
      </c>
      <c r="O22" s="491">
        <v>0.25</v>
      </c>
      <c r="P22" s="491">
        <v>0.25</v>
      </c>
      <c r="Q22" s="491">
        <v>0.22</v>
      </c>
      <c r="R22" s="491">
        <v>0.25</v>
      </c>
      <c r="S22" s="491">
        <v>0.22</v>
      </c>
      <c r="T22" s="491">
        <v>0.22</v>
      </c>
      <c r="U22" s="491">
        <v>0.22</v>
      </c>
      <c r="V22" s="491">
        <v>0.22</v>
      </c>
      <c r="W22" s="491">
        <v>0.22</v>
      </c>
      <c r="X22" s="491">
        <v>0.25</v>
      </c>
      <c r="Y22" s="121"/>
    </row>
    <row r="23" spans="1:50" ht="15" customHeight="1" x14ac:dyDescent="0.3">
      <c r="A23" s="5"/>
      <c r="B23" s="116"/>
      <c r="C23" s="5"/>
      <c r="D23" s="5"/>
      <c r="E23" s="500"/>
      <c r="F23" s="73"/>
      <c r="G23" s="117"/>
      <c r="H23" s="517"/>
      <c r="I23" s="479"/>
      <c r="J23" s="479"/>
      <c r="K23" s="479"/>
      <c r="L23" s="479"/>
      <c r="M23" s="479"/>
      <c r="N23" s="479"/>
      <c r="O23" s="479"/>
      <c r="P23" s="479"/>
      <c r="Q23" s="479"/>
      <c r="R23" s="479"/>
      <c r="S23" s="479"/>
      <c r="T23" s="479"/>
      <c r="U23" s="479"/>
      <c r="V23" s="479"/>
      <c r="W23" s="479"/>
      <c r="X23" s="479"/>
    </row>
    <row r="24" spans="1:50" ht="25.95" customHeight="1" x14ac:dyDescent="0.3">
      <c r="A24" s="5"/>
      <c r="B24" s="116"/>
      <c r="C24" s="805" t="s">
        <v>344</v>
      </c>
      <c r="D24" s="805"/>
      <c r="E24" s="805"/>
      <c r="F24" s="805"/>
      <c r="G24" s="805"/>
      <c r="H24" s="805"/>
      <c r="I24" s="805"/>
      <c r="J24" s="805"/>
      <c r="K24" s="805"/>
      <c r="L24" s="805"/>
      <c r="M24" s="805"/>
      <c r="N24" s="805"/>
      <c r="O24" s="805"/>
      <c r="P24" s="805"/>
      <c r="Q24" s="805"/>
      <c r="R24" s="805"/>
      <c r="S24" s="805"/>
      <c r="T24" s="805"/>
      <c r="U24" s="805"/>
      <c r="V24" s="805"/>
      <c r="W24" s="805"/>
      <c r="X24" s="805"/>
    </row>
    <row r="25" spans="1:50" ht="41.4" customHeight="1" x14ac:dyDescent="0.3">
      <c r="A25" s="5"/>
      <c r="B25" s="116"/>
      <c r="C25" s="595"/>
      <c r="D25" s="595" t="s">
        <v>125</v>
      </c>
      <c r="E25" s="595" t="s">
        <v>345</v>
      </c>
      <c r="F25" s="33" t="s">
        <v>301</v>
      </c>
      <c r="G25" s="88" t="s">
        <v>346</v>
      </c>
      <c r="H25" s="88" t="s">
        <v>347</v>
      </c>
      <c r="I25" s="811" t="s">
        <v>348</v>
      </c>
      <c r="J25" s="812"/>
      <c r="K25" s="812"/>
      <c r="L25" s="812"/>
      <c r="M25" s="812"/>
      <c r="N25" s="812"/>
      <c r="O25" s="812"/>
      <c r="P25" s="812"/>
      <c r="Q25" s="812"/>
      <c r="R25" s="812"/>
      <c r="S25" s="812"/>
      <c r="T25" s="812"/>
      <c r="U25" s="812"/>
      <c r="V25" s="812"/>
      <c r="W25" s="812"/>
      <c r="X25" s="813"/>
    </row>
    <row r="26" spans="1:50" ht="18" customHeight="1" x14ac:dyDescent="0.3">
      <c r="A26" s="5"/>
      <c r="B26" s="116"/>
      <c r="C26" s="802" t="s">
        <v>349</v>
      </c>
      <c r="D26" s="802" t="s">
        <v>90</v>
      </c>
      <c r="E26" s="802"/>
      <c r="F26" s="506" t="s">
        <v>323</v>
      </c>
      <c r="G26" s="506">
        <v>1.1000000000000001</v>
      </c>
      <c r="H26" s="122" t="s">
        <v>350</v>
      </c>
      <c r="I26" s="807" t="e">
        <f>0.112*G26*$AA$28</f>
        <v>#REF!</v>
      </c>
      <c r="J26" s="807"/>
      <c r="K26" s="807"/>
      <c r="L26" s="807"/>
      <c r="M26" s="807"/>
      <c r="N26" s="807"/>
      <c r="O26" s="807"/>
      <c r="P26" s="807"/>
      <c r="Q26" s="807"/>
      <c r="R26" s="807"/>
      <c r="S26" s="807"/>
      <c r="T26" s="807"/>
      <c r="U26" s="807"/>
      <c r="V26" s="807"/>
      <c r="W26" s="807"/>
      <c r="X26" s="808"/>
      <c r="Z26" s="532" t="s">
        <v>351</v>
      </c>
      <c r="AA26" s="596" t="e">
        <f>#REF!</f>
        <v>#REF!</v>
      </c>
    </row>
    <row r="27" spans="1:50" ht="18" customHeight="1" x14ac:dyDescent="0.3">
      <c r="A27" s="5"/>
      <c r="B27" s="5"/>
      <c r="C27" s="803"/>
      <c r="D27" s="803"/>
      <c r="E27" s="803"/>
      <c r="F27" s="506" t="s">
        <v>64</v>
      </c>
      <c r="G27" s="506">
        <v>1.1000000000000001</v>
      </c>
      <c r="H27" s="122" t="s">
        <v>350</v>
      </c>
      <c r="I27" s="807" t="e">
        <f t="shared" ref="I27:I29" si="6">0.112*G27*$AA$28</f>
        <v>#REF!</v>
      </c>
      <c r="J27" s="807"/>
      <c r="K27" s="807"/>
      <c r="L27" s="807"/>
      <c r="M27" s="807"/>
      <c r="N27" s="807"/>
      <c r="O27" s="807"/>
      <c r="P27" s="807"/>
      <c r="Q27" s="807"/>
      <c r="R27" s="807"/>
      <c r="S27" s="807"/>
      <c r="T27" s="807"/>
      <c r="U27" s="807"/>
      <c r="V27" s="807"/>
      <c r="W27" s="807"/>
      <c r="X27" s="808"/>
      <c r="Z27" s="532" t="s">
        <v>352</v>
      </c>
      <c r="AA27" s="597" t="e">
        <f>#REF!+(2*AA29)</f>
        <v>#REF!</v>
      </c>
    </row>
    <row r="28" spans="1:50" ht="18" customHeight="1" x14ac:dyDescent="0.3">
      <c r="A28" s="5"/>
      <c r="B28" s="116"/>
      <c r="C28" s="803"/>
      <c r="D28" s="803"/>
      <c r="E28" s="803"/>
      <c r="F28" s="506" t="s">
        <v>65</v>
      </c>
      <c r="G28" s="506">
        <v>1.1000000000000001</v>
      </c>
      <c r="H28" s="122" t="s">
        <v>350</v>
      </c>
      <c r="I28" s="807" t="e">
        <f t="shared" si="6"/>
        <v>#REF!</v>
      </c>
      <c r="J28" s="807"/>
      <c r="K28" s="807"/>
      <c r="L28" s="807"/>
      <c r="M28" s="807"/>
      <c r="N28" s="807"/>
      <c r="O28" s="807"/>
      <c r="P28" s="807"/>
      <c r="Q28" s="807"/>
      <c r="R28" s="807"/>
      <c r="S28" s="807"/>
      <c r="T28" s="807"/>
      <c r="U28" s="807"/>
      <c r="V28" s="807"/>
      <c r="W28" s="807"/>
      <c r="X28" s="808"/>
      <c r="Y28" s="123"/>
      <c r="Z28" s="532" t="s">
        <v>353</v>
      </c>
      <c r="AA28" s="598" t="e">
        <f>AA27/AA26</f>
        <v>#REF!</v>
      </c>
      <c r="AB28" s="800"/>
      <c r="AC28" s="800"/>
      <c r="AD28" s="800"/>
      <c r="AE28" s="800"/>
      <c r="AF28" s="800"/>
      <c r="AG28" s="800"/>
      <c r="AH28" s="800"/>
      <c r="AI28" s="800"/>
      <c r="AJ28" s="800"/>
      <c r="AK28" s="800"/>
      <c r="AL28" s="800"/>
      <c r="AM28" s="800"/>
      <c r="AN28" s="800"/>
      <c r="AO28" s="800"/>
      <c r="AP28" s="800"/>
      <c r="AQ28" s="800"/>
      <c r="AR28" s="800"/>
      <c r="AS28" s="800"/>
      <c r="AT28" s="800"/>
      <c r="AU28" s="800"/>
      <c r="AV28" s="800"/>
      <c r="AW28" s="800"/>
      <c r="AX28" s="800"/>
    </row>
    <row r="29" spans="1:50" ht="30.6" customHeight="1" x14ac:dyDescent="0.3">
      <c r="A29" s="5"/>
      <c r="B29" s="116"/>
      <c r="C29" s="803"/>
      <c r="D29" s="803"/>
      <c r="E29" s="803"/>
      <c r="F29" s="506" t="s">
        <v>66</v>
      </c>
      <c r="G29" s="506">
        <v>1</v>
      </c>
      <c r="H29" s="478" t="s">
        <v>354</v>
      </c>
      <c r="I29" s="807" t="e">
        <f t="shared" si="6"/>
        <v>#REF!</v>
      </c>
      <c r="J29" s="807"/>
      <c r="K29" s="807"/>
      <c r="L29" s="807"/>
      <c r="M29" s="807"/>
      <c r="N29" s="807"/>
      <c r="O29" s="807"/>
      <c r="P29" s="807"/>
      <c r="Q29" s="807"/>
      <c r="R29" s="807"/>
      <c r="S29" s="807"/>
      <c r="T29" s="807"/>
      <c r="U29" s="807"/>
      <c r="V29" s="807"/>
      <c r="W29" s="807"/>
      <c r="X29" s="808"/>
      <c r="Z29" s="532" t="s">
        <v>355</v>
      </c>
      <c r="AA29" s="597">
        <f>498588.6/13</f>
        <v>38352.969230769231</v>
      </c>
    </row>
    <row r="30" spans="1:50" ht="28.95" customHeight="1" x14ac:dyDescent="0.3">
      <c r="A30" s="5"/>
      <c r="B30" s="116"/>
      <c r="C30" s="804"/>
      <c r="D30" s="804"/>
      <c r="E30" s="804"/>
      <c r="F30" s="506" t="s">
        <v>330</v>
      </c>
      <c r="G30" s="506">
        <v>0.6</v>
      </c>
      <c r="H30" s="478" t="s">
        <v>356</v>
      </c>
      <c r="I30" s="814" t="e">
        <f>0.112*G30*$AA$28</f>
        <v>#REF!</v>
      </c>
      <c r="J30" s="814"/>
      <c r="K30" s="814"/>
      <c r="L30" s="814"/>
      <c r="M30" s="814"/>
      <c r="N30" s="814"/>
      <c r="O30" s="814"/>
      <c r="P30" s="814"/>
      <c r="Q30" s="814"/>
      <c r="R30" s="814"/>
      <c r="S30" s="814"/>
      <c r="T30" s="814"/>
      <c r="U30" s="814"/>
      <c r="V30" s="814"/>
      <c r="W30" s="814"/>
      <c r="X30" s="815"/>
    </row>
    <row r="31" spans="1:50" ht="13.8" x14ac:dyDescent="0.3">
      <c r="A31" s="5"/>
      <c r="B31" s="116"/>
      <c r="C31" s="5"/>
      <c r="D31" s="5"/>
      <c r="E31" s="5" t="s">
        <v>357</v>
      </c>
      <c r="F31" s="5"/>
      <c r="G31" s="510"/>
      <c r="H31" s="5"/>
      <c r="I31" s="5"/>
      <c r="J31" s="5"/>
      <c r="K31" s="5"/>
      <c r="L31" s="5"/>
      <c r="M31" s="5"/>
      <c r="N31" s="5"/>
      <c r="O31" s="5"/>
      <c r="P31" s="5"/>
      <c r="Q31" s="5"/>
      <c r="R31" s="5"/>
      <c r="S31" s="5"/>
      <c r="T31" s="5"/>
      <c r="U31" s="5"/>
      <c r="V31" s="5"/>
      <c r="W31" s="5"/>
      <c r="X31" s="5"/>
    </row>
    <row r="32" spans="1:50" ht="13.8" x14ac:dyDescent="0.3">
      <c r="A32" s="5"/>
      <c r="B32" s="116"/>
      <c r="C32" s="5"/>
      <c r="D32" s="5"/>
      <c r="E32" s="5" t="s">
        <v>358</v>
      </c>
      <c r="F32" s="5"/>
      <c r="G32" s="8" t="s">
        <v>48</v>
      </c>
      <c r="H32" s="5"/>
      <c r="I32" s="5"/>
      <c r="J32" s="5"/>
      <c r="K32" s="5"/>
      <c r="L32" s="5"/>
      <c r="M32" s="5"/>
      <c r="N32" s="5"/>
      <c r="O32" s="5"/>
      <c r="P32" s="5"/>
      <c r="Q32" s="5"/>
      <c r="R32" s="5"/>
      <c r="S32" s="5"/>
      <c r="T32" s="5"/>
      <c r="U32" s="5"/>
      <c r="V32" s="5"/>
      <c r="W32" s="5"/>
      <c r="X32" s="5"/>
    </row>
    <row r="33" spans="1:8" ht="13.8" x14ac:dyDescent="0.3">
      <c r="A33" s="5"/>
      <c r="B33" s="116"/>
      <c r="C33" s="5"/>
      <c r="D33" s="5"/>
      <c r="E33" s="5"/>
      <c r="F33" s="5"/>
      <c r="G33" s="510"/>
      <c r="H33" s="5"/>
    </row>
    <row r="35" spans="1:8" ht="13.8" x14ac:dyDescent="0.3">
      <c r="A35" s="818" t="s">
        <v>359</v>
      </c>
      <c r="B35" s="818"/>
      <c r="C35" s="818"/>
      <c r="D35" s="818"/>
      <c r="E35" s="507"/>
      <c r="F35" s="173"/>
      <c r="G35" s="173"/>
      <c r="H35" s="413"/>
    </row>
    <row r="36" spans="1:8" ht="13.8" x14ac:dyDescent="0.3">
      <c r="A36" s="754" t="s">
        <v>360</v>
      </c>
      <c r="B36" s="754"/>
      <c r="C36" s="754"/>
      <c r="D36" s="754"/>
      <c r="E36" s="754"/>
      <c r="F36" s="754"/>
      <c r="G36" s="754"/>
      <c r="H36" s="754"/>
    </row>
    <row r="37" spans="1:8" ht="13.8" x14ac:dyDescent="0.3">
      <c r="A37" s="754" t="s">
        <v>361</v>
      </c>
      <c r="B37" s="754"/>
      <c r="C37" s="754"/>
      <c r="D37" s="754"/>
      <c r="E37" s="754"/>
      <c r="F37" s="754"/>
      <c r="G37" s="754"/>
      <c r="H37" s="754"/>
    </row>
    <row r="38" spans="1:8" ht="13.8" x14ac:dyDescent="0.3">
      <c r="A38" s="816" t="s">
        <v>362</v>
      </c>
      <c r="B38" s="816"/>
      <c r="C38" s="816"/>
      <c r="D38" s="816"/>
      <c r="E38" s="816"/>
      <c r="F38" s="816"/>
      <c r="G38" s="816"/>
      <c r="H38" s="816"/>
    </row>
    <row r="39" spans="1:8" ht="13.8" x14ac:dyDescent="0.3">
      <c r="A39" s="816" t="s">
        <v>363</v>
      </c>
      <c r="B39" s="816"/>
      <c r="C39" s="816"/>
      <c r="D39" s="816"/>
      <c r="E39" s="816"/>
      <c r="F39" s="816"/>
      <c r="G39" s="816"/>
      <c r="H39" s="816"/>
    </row>
    <row r="40" spans="1:8" ht="13.8" x14ac:dyDescent="0.3">
      <c r="A40" s="816" t="s">
        <v>364</v>
      </c>
      <c r="B40" s="816"/>
      <c r="C40" s="816"/>
      <c r="D40" s="816"/>
      <c r="E40" s="816"/>
      <c r="F40" s="816"/>
      <c r="G40" s="816"/>
      <c r="H40" s="816"/>
    </row>
    <row r="41" spans="1:8" ht="13.8" x14ac:dyDescent="0.3">
      <c r="A41" s="817" t="s">
        <v>365</v>
      </c>
      <c r="B41" s="817"/>
      <c r="C41" s="817"/>
      <c r="D41" s="817"/>
      <c r="E41" s="817"/>
      <c r="F41" s="817"/>
      <c r="G41" s="817"/>
      <c r="H41" s="817"/>
    </row>
    <row r="42" spans="1:8" ht="13.8" x14ac:dyDescent="0.3">
      <c r="A42" s="816" t="s">
        <v>366</v>
      </c>
      <c r="B42" s="816"/>
      <c r="C42" s="816"/>
      <c r="D42" s="816"/>
      <c r="E42" s="816"/>
      <c r="F42" s="816"/>
      <c r="G42" s="816"/>
      <c r="H42" s="816"/>
    </row>
    <row r="47" spans="1:8" ht="15.6" customHeight="1" x14ac:dyDescent="0.3"/>
    <row r="49" s="118" customFormat="1" ht="13.8" x14ac:dyDescent="0.3"/>
    <row r="50" s="118" customFormat="1" ht="13.8" x14ac:dyDescent="0.3"/>
    <row r="51" s="118" customFormat="1" ht="13.8" x14ac:dyDescent="0.3"/>
    <row r="52" s="118" customFormat="1" ht="13.8" x14ac:dyDescent="0.3"/>
    <row r="53" s="118" customFormat="1" ht="13.8" x14ac:dyDescent="0.3"/>
    <row r="54" s="118" customFormat="1" ht="13.8" x14ac:dyDescent="0.3"/>
    <row r="55" s="118" customFormat="1" ht="13.8" x14ac:dyDescent="0.3"/>
    <row r="56" s="118" customFormat="1" ht="13.8" x14ac:dyDescent="0.3"/>
  </sheetData>
  <mergeCells count="47">
    <mergeCell ref="A40:H40"/>
    <mergeCell ref="A41:H41"/>
    <mergeCell ref="A42:H42"/>
    <mergeCell ref="A35:D35"/>
    <mergeCell ref="A36:H36"/>
    <mergeCell ref="A37:H37"/>
    <mergeCell ref="A38:H38"/>
    <mergeCell ref="A39:H39"/>
    <mergeCell ref="I29:X29"/>
    <mergeCell ref="E8:E12"/>
    <mergeCell ref="E13:E17"/>
    <mergeCell ref="D8:D12"/>
    <mergeCell ref="D15:D17"/>
    <mergeCell ref="D13:D14"/>
    <mergeCell ref="I25:X25"/>
    <mergeCell ref="I26:X26"/>
    <mergeCell ref="I27:X27"/>
    <mergeCell ref="I28:X28"/>
    <mergeCell ref="D20:D22"/>
    <mergeCell ref="E26:E30"/>
    <mergeCell ref="I30:X30"/>
    <mergeCell ref="H13:H14"/>
    <mergeCell ref="D18:D19"/>
    <mergeCell ref="E18:E22"/>
    <mergeCell ref="A13:A22"/>
    <mergeCell ref="E3:E7"/>
    <mergeCell ref="B3:B7"/>
    <mergeCell ref="A3:A7"/>
    <mergeCell ref="D3:D7"/>
    <mergeCell ref="C3:C7"/>
    <mergeCell ref="C8:C12"/>
    <mergeCell ref="H8:H9"/>
    <mergeCell ref="A1:X1"/>
    <mergeCell ref="AU28:AX28"/>
    <mergeCell ref="AG28:AK28"/>
    <mergeCell ref="AB28:AF28"/>
    <mergeCell ref="AL28:AP28"/>
    <mergeCell ref="A8:A12"/>
    <mergeCell ref="C13:C17"/>
    <mergeCell ref="B8:B12"/>
    <mergeCell ref="B13:B22"/>
    <mergeCell ref="AQ28:AT28"/>
    <mergeCell ref="H18:H19"/>
    <mergeCell ref="C26:C30"/>
    <mergeCell ref="D26:D30"/>
    <mergeCell ref="C24:X24"/>
    <mergeCell ref="C18:C22"/>
  </mergeCells>
  <phoneticPr fontId="6" type="noConversion"/>
  <hyperlinks>
    <hyperlink ref="G32"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7767100-2D7C-46B6-95AD-4A5D4E2EB81D}"/>
    <hyperlink ref="H26" r:id="rId2" xr:uid="{A20C1499-9051-4B15-87D5-B82E98E1A348}"/>
    <hyperlink ref="H27:H28" r:id="rId3" display="2022 CASE report (Table 38)" xr:uid="{063DFBE5-9FD0-452C-BDAD-2E47FE53458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130"/>
  <sheetViews>
    <sheetView zoomScale="85" zoomScaleNormal="85" workbookViewId="0">
      <selection sqref="A1:F1"/>
    </sheetView>
  </sheetViews>
  <sheetFormatPr defaultColWidth="8.6640625" defaultRowHeight="13.2" x14ac:dyDescent="0.25"/>
  <cols>
    <col min="1" max="1" width="15.33203125" style="5" customWidth="1"/>
    <col min="2" max="2" width="31.44140625" style="5" customWidth="1"/>
    <col min="3" max="3" width="33.44140625" style="5" customWidth="1"/>
    <col min="4" max="4" width="36.44140625" style="5" customWidth="1"/>
    <col min="5" max="5" width="43.88671875" style="5" customWidth="1"/>
    <col min="6" max="6" width="43.44140625" style="5" customWidth="1"/>
    <col min="7" max="7" width="59.6640625" style="5" customWidth="1"/>
    <col min="8" max="8" width="34.33203125" style="5" customWidth="1"/>
    <col min="9" max="9" width="20.5546875" style="5" customWidth="1"/>
    <col min="10" max="12" width="12.6640625" style="5" customWidth="1"/>
    <col min="13" max="13" width="15.5546875" style="5" customWidth="1"/>
    <col min="14" max="17" width="15.33203125" style="5" customWidth="1"/>
    <col min="18" max="18" width="11.44140625" style="5" customWidth="1"/>
    <col min="19" max="21" width="15.33203125" style="5" customWidth="1"/>
    <col min="22" max="22" width="14.6640625" style="5" customWidth="1"/>
    <col min="23" max="23" width="13.5546875" style="5" customWidth="1"/>
    <col min="24" max="24" width="15.6640625" style="5" customWidth="1"/>
    <col min="25" max="31" width="11" style="5" customWidth="1"/>
    <col min="32" max="40" width="6.5546875" style="5" customWidth="1"/>
    <col min="41" max="41" width="8.6640625" style="5" customWidth="1"/>
    <col min="42" max="16384" width="8.6640625" style="5"/>
  </cols>
  <sheetData>
    <row r="1" spans="1:22" ht="27" customHeight="1" x14ac:dyDescent="0.3">
      <c r="A1" s="799" t="str">
        <f>"HVAC system - "&amp;Prototype!A2</f>
        <v>HVAC system - OfficeLarge</v>
      </c>
      <c r="B1" s="799"/>
      <c r="C1" s="799"/>
      <c r="D1" s="799"/>
      <c r="E1" s="799"/>
      <c r="F1" s="799"/>
      <c r="G1" s="512"/>
      <c r="I1" s="461" t="s">
        <v>367</v>
      </c>
      <c r="J1" s="462"/>
      <c r="K1" s="462"/>
      <c r="L1" s="462"/>
      <c r="M1" s="462"/>
      <c r="N1" s="462"/>
      <c r="O1" s="6"/>
      <c r="P1" s="462"/>
      <c r="Q1" s="462"/>
      <c r="R1" s="462"/>
      <c r="S1" s="462"/>
      <c r="T1" s="462"/>
      <c r="U1" s="462"/>
      <c r="V1" s="462"/>
    </row>
    <row r="2" spans="1:22" ht="19.2" customHeight="1" x14ac:dyDescent="0.3">
      <c r="A2" s="33" t="s">
        <v>301</v>
      </c>
      <c r="B2" s="98" t="s">
        <v>345</v>
      </c>
      <c r="C2" s="98" t="s">
        <v>368</v>
      </c>
      <c r="D2" s="98" t="s">
        <v>369</v>
      </c>
      <c r="E2" s="98" t="s">
        <v>370</v>
      </c>
      <c r="F2" s="37" t="s">
        <v>371</v>
      </c>
      <c r="G2" s="98" t="s">
        <v>372</v>
      </c>
      <c r="I2" s="356" t="s">
        <v>147</v>
      </c>
      <c r="J2" s="462"/>
      <c r="K2" s="462"/>
      <c r="L2" s="462"/>
      <c r="M2" s="462"/>
      <c r="N2" s="356" t="s">
        <v>148</v>
      </c>
      <c r="O2" s="462"/>
      <c r="P2" s="462"/>
      <c r="Q2" s="462"/>
      <c r="R2" s="462"/>
      <c r="S2" s="356" t="s">
        <v>149</v>
      </c>
      <c r="T2" s="462"/>
      <c r="U2" s="462"/>
      <c r="V2" s="462"/>
    </row>
    <row r="3" spans="1:22" ht="28.2" customHeight="1" x14ac:dyDescent="0.25">
      <c r="A3" s="821" t="s">
        <v>373</v>
      </c>
      <c r="B3" s="515" t="s">
        <v>374</v>
      </c>
      <c r="C3" s="101" t="s">
        <v>226</v>
      </c>
      <c r="D3" s="102" t="s">
        <v>375</v>
      </c>
      <c r="E3" s="516" t="s">
        <v>376</v>
      </c>
      <c r="F3" s="601" t="s">
        <v>377</v>
      </c>
      <c r="G3" s="516" t="s">
        <v>378</v>
      </c>
      <c r="H3" s="507"/>
      <c r="I3" s="507"/>
      <c r="J3" s="507"/>
      <c r="K3" s="507"/>
    </row>
    <row r="4" spans="1:22" ht="41.4" customHeight="1" x14ac:dyDescent="0.25">
      <c r="A4" s="821"/>
      <c r="B4" s="515" t="s">
        <v>379</v>
      </c>
      <c r="C4" s="101" t="s">
        <v>226</v>
      </c>
      <c r="D4" s="102" t="s">
        <v>380</v>
      </c>
      <c r="E4" s="102" t="s">
        <v>381</v>
      </c>
      <c r="F4" s="602" t="s">
        <v>198</v>
      </c>
      <c r="G4" s="516" t="s">
        <v>378</v>
      </c>
      <c r="I4" s="99"/>
      <c r="J4" s="99"/>
      <c r="K4" s="99"/>
    </row>
    <row r="5" spans="1:22" ht="53.25" customHeight="1" x14ac:dyDescent="0.25">
      <c r="A5" s="821"/>
      <c r="B5" s="515" t="s">
        <v>382</v>
      </c>
      <c r="C5" s="515" t="s">
        <v>383</v>
      </c>
      <c r="D5" s="102" t="s">
        <v>384</v>
      </c>
      <c r="E5" s="516" t="s">
        <v>385</v>
      </c>
      <c r="F5" s="602" t="s">
        <v>386</v>
      </c>
      <c r="G5" s="516" t="s">
        <v>387</v>
      </c>
      <c r="H5" s="507"/>
    </row>
    <row r="6" spans="1:22" ht="48" customHeight="1" x14ac:dyDescent="0.25">
      <c r="A6" s="822" t="s">
        <v>388</v>
      </c>
      <c r="B6" s="515" t="s">
        <v>374</v>
      </c>
      <c r="C6" s="101" t="s">
        <v>226</v>
      </c>
      <c r="D6" s="102" t="s">
        <v>375</v>
      </c>
      <c r="E6" s="516" t="s">
        <v>376</v>
      </c>
      <c r="F6" s="602" t="s">
        <v>389</v>
      </c>
      <c r="G6" s="516" t="s">
        <v>390</v>
      </c>
    </row>
    <row r="7" spans="1:22" ht="39" customHeight="1" x14ac:dyDescent="0.25">
      <c r="A7" s="822"/>
      <c r="B7" s="515" t="s">
        <v>379</v>
      </c>
      <c r="C7" s="101" t="s">
        <v>226</v>
      </c>
      <c r="D7" s="102" t="s">
        <v>380</v>
      </c>
      <c r="E7" s="102" t="s">
        <v>381</v>
      </c>
      <c r="F7" s="602" t="s">
        <v>198</v>
      </c>
      <c r="G7" s="516" t="s">
        <v>390</v>
      </c>
    </row>
    <row r="8" spans="1:22" ht="54.75" customHeight="1" x14ac:dyDescent="0.25">
      <c r="A8" s="822"/>
      <c r="B8" s="515" t="s">
        <v>382</v>
      </c>
      <c r="C8" s="515" t="s">
        <v>383</v>
      </c>
      <c r="D8" s="102" t="s">
        <v>384</v>
      </c>
      <c r="E8" s="516" t="s">
        <v>385</v>
      </c>
      <c r="F8" s="602" t="s">
        <v>391</v>
      </c>
      <c r="G8" s="516" t="s">
        <v>390</v>
      </c>
    </row>
    <row r="9" spans="1:22" x14ac:dyDescent="0.25">
      <c r="I9" s="173"/>
      <c r="J9" s="173"/>
      <c r="L9" s="173"/>
    </row>
    <row r="10" spans="1:22" x14ac:dyDescent="0.25">
      <c r="I10" s="173"/>
      <c r="J10" s="173"/>
      <c r="L10" s="173"/>
    </row>
    <row r="11" spans="1:22" x14ac:dyDescent="0.25">
      <c r="I11" s="173"/>
      <c r="J11" s="173"/>
      <c r="L11" s="173"/>
    </row>
    <row r="12" spans="1:22" x14ac:dyDescent="0.25">
      <c r="I12" s="173"/>
      <c r="J12" s="173"/>
      <c r="L12" s="173"/>
    </row>
    <row r="13" spans="1:22" ht="41.25" customHeight="1" x14ac:dyDescent="0.25">
      <c r="A13" s="844" t="s">
        <v>392</v>
      </c>
      <c r="B13" s="845"/>
      <c r="C13" s="845"/>
      <c r="D13" s="845"/>
      <c r="E13" s="845"/>
      <c r="F13" s="845"/>
      <c r="G13" s="845"/>
      <c r="H13" s="845"/>
    </row>
    <row r="14" spans="1:22" ht="40.950000000000003" customHeight="1" x14ac:dyDescent="0.25">
      <c r="A14" s="33"/>
      <c r="B14" s="33" t="s">
        <v>393</v>
      </c>
      <c r="C14" s="68" t="s">
        <v>394</v>
      </c>
      <c r="D14" s="394" t="s">
        <v>395</v>
      </c>
      <c r="E14" s="394" t="s">
        <v>383</v>
      </c>
      <c r="F14" s="603" t="s">
        <v>396</v>
      </c>
      <c r="G14" s="98" t="s">
        <v>397</v>
      </c>
      <c r="H14" s="33" t="s">
        <v>347</v>
      </c>
    </row>
    <row r="15" spans="1:22" ht="45" customHeight="1" x14ac:dyDescent="0.25">
      <c r="A15" s="506" t="s">
        <v>323</v>
      </c>
      <c r="B15" s="830">
        <v>2008</v>
      </c>
      <c r="C15" s="833" t="s">
        <v>398</v>
      </c>
      <c r="D15" s="824" t="s">
        <v>399</v>
      </c>
      <c r="E15" s="827" t="s">
        <v>400</v>
      </c>
      <c r="F15" s="837" t="s">
        <v>401</v>
      </c>
      <c r="G15" s="850" t="s">
        <v>402</v>
      </c>
      <c r="H15" s="841" t="s">
        <v>403</v>
      </c>
      <c r="I15" s="63"/>
    </row>
    <row r="16" spans="1:22" ht="45" customHeight="1" x14ac:dyDescent="0.25">
      <c r="A16" s="506" t="s">
        <v>64</v>
      </c>
      <c r="B16" s="831"/>
      <c r="C16" s="828"/>
      <c r="D16" s="825"/>
      <c r="E16" s="828"/>
      <c r="F16" s="837"/>
      <c r="G16" s="842"/>
      <c r="H16" s="842"/>
    </row>
    <row r="17" spans="1:40" ht="45" customHeight="1" x14ac:dyDescent="0.25">
      <c r="A17" s="506" t="s">
        <v>65</v>
      </c>
      <c r="B17" s="832"/>
      <c r="C17" s="829"/>
      <c r="D17" s="826"/>
      <c r="E17" s="829"/>
      <c r="F17" s="837"/>
      <c r="G17" s="843"/>
      <c r="H17" s="843"/>
    </row>
    <row r="18" spans="1:40" ht="81" customHeight="1" x14ac:dyDescent="0.25">
      <c r="A18" s="506" t="s">
        <v>66</v>
      </c>
      <c r="B18" s="480" t="s">
        <v>404</v>
      </c>
      <c r="C18" s="600" t="s">
        <v>405</v>
      </c>
      <c r="D18" s="600" t="s">
        <v>406</v>
      </c>
      <c r="E18" s="600" t="s">
        <v>407</v>
      </c>
      <c r="F18" s="604" t="s">
        <v>408</v>
      </c>
      <c r="G18" s="605" t="s">
        <v>409</v>
      </c>
      <c r="H18" s="605" t="s">
        <v>410</v>
      </c>
    </row>
    <row r="19" spans="1:40" ht="78" customHeight="1" x14ac:dyDescent="0.3">
      <c r="A19" s="517" t="s">
        <v>388</v>
      </c>
      <c r="B19" s="114">
        <v>2025</v>
      </c>
      <c r="C19" s="600" t="s">
        <v>411</v>
      </c>
      <c r="D19" s="600" t="s">
        <v>412</v>
      </c>
      <c r="E19" s="600" t="s">
        <v>413</v>
      </c>
      <c r="F19" s="604" t="s">
        <v>408</v>
      </c>
      <c r="G19" s="605" t="s">
        <v>414</v>
      </c>
      <c r="H19" s="605" t="s">
        <v>415</v>
      </c>
      <c r="I19" s="1"/>
    </row>
    <row r="20" spans="1:40" ht="18" customHeight="1" x14ac:dyDescent="0.3">
      <c r="A20" s="173"/>
      <c r="B20" s="173"/>
      <c r="C20" s="507"/>
      <c r="D20" s="173"/>
      <c r="E20" s="413"/>
      <c r="F20" s="606"/>
      <c r="H20" s="1"/>
    </row>
    <row r="21" spans="1:40" ht="14.4" x14ac:dyDescent="0.25">
      <c r="A21" s="115"/>
      <c r="C21" s="542"/>
      <c r="D21" s="542"/>
      <c r="E21" s="63"/>
      <c r="F21" s="111"/>
      <c r="G21" s="111"/>
    </row>
    <row r="22" spans="1:40" x14ac:dyDescent="0.25">
      <c r="C22" s="6"/>
      <c r="D22" s="6"/>
      <c r="E22" s="34"/>
      <c r="F22" s="6"/>
      <c r="G22" s="6"/>
    </row>
    <row r="23" spans="1:40" x14ac:dyDescent="0.25">
      <c r="D23" s="6"/>
      <c r="E23" s="34"/>
      <c r="F23" s="6"/>
      <c r="G23" s="6"/>
    </row>
    <row r="24" spans="1:40" x14ac:dyDescent="0.25">
      <c r="A24" s="111"/>
      <c r="B24" s="36"/>
      <c r="C24" s="6"/>
      <c r="D24" s="6"/>
      <c r="E24" s="34"/>
      <c r="F24" s="6"/>
      <c r="G24" s="6"/>
    </row>
    <row r="25" spans="1:40" x14ac:dyDescent="0.25">
      <c r="B25" s="36"/>
      <c r="C25" s="6"/>
      <c r="D25" s="6"/>
      <c r="E25" s="34"/>
      <c r="F25" s="6"/>
      <c r="G25" s="6"/>
    </row>
    <row r="26" spans="1:40" ht="18.600000000000001" customHeight="1" x14ac:dyDescent="0.25">
      <c r="B26" s="7"/>
      <c r="E26" s="30"/>
      <c r="F26" s="6"/>
      <c r="G26" s="6"/>
    </row>
    <row r="27" spans="1:40" s="21" customFormat="1" hidden="1" x14ac:dyDescent="0.25">
      <c r="B27" s="21" t="s">
        <v>416</v>
      </c>
      <c r="J27" s="5"/>
    </row>
    <row r="28" spans="1:40" hidden="1" x14ac:dyDescent="0.25">
      <c r="W28" s="29"/>
      <c r="X28" s="53"/>
      <c r="Y28" s="54"/>
      <c r="Z28" s="54"/>
      <c r="AA28" s="54"/>
      <c r="AB28" s="54"/>
      <c r="AC28" s="54"/>
      <c r="AD28" s="54"/>
      <c r="AE28" s="54"/>
      <c r="AF28" s="54"/>
      <c r="AG28" s="54"/>
      <c r="AH28" s="54"/>
      <c r="AI28" s="54"/>
      <c r="AJ28" s="54"/>
      <c r="AK28" s="54"/>
      <c r="AL28" s="54"/>
      <c r="AM28" s="54"/>
      <c r="AN28" s="54"/>
    </row>
    <row r="29" spans="1:40" ht="17.399999999999999" hidden="1" x14ac:dyDescent="0.3">
      <c r="A29" s="85"/>
      <c r="B29" s="85" t="s">
        <v>417</v>
      </c>
      <c r="C29" s="86"/>
      <c r="D29" s="86"/>
      <c r="E29" s="86"/>
      <c r="F29" s="86"/>
      <c r="G29" s="86"/>
      <c r="H29" s="86"/>
      <c r="I29" s="86"/>
      <c r="W29" s="29"/>
      <c r="X29" s="53"/>
      <c r="Y29" s="54"/>
      <c r="Z29" s="54"/>
      <c r="AA29" s="54"/>
      <c r="AB29" s="54"/>
      <c r="AC29" s="54"/>
      <c r="AD29" s="54"/>
      <c r="AE29" s="54"/>
      <c r="AF29" s="54"/>
      <c r="AG29" s="54"/>
      <c r="AH29" s="54"/>
      <c r="AI29" s="54"/>
      <c r="AJ29" s="54"/>
      <c r="AK29" s="54"/>
      <c r="AL29" s="54"/>
      <c r="AM29" s="54"/>
      <c r="AN29" s="54"/>
    </row>
    <row r="30" spans="1:40" ht="17.399999999999999" hidden="1" x14ac:dyDescent="0.3">
      <c r="A30" s="58"/>
      <c r="B30" s="58"/>
      <c r="C30" s="133"/>
      <c r="D30" s="133"/>
      <c r="E30" s="133"/>
      <c r="F30" s="133"/>
      <c r="G30" s="133"/>
      <c r="H30" s="133"/>
      <c r="I30" s="133"/>
      <c r="W30" s="29"/>
      <c r="X30" s="53"/>
      <c r="Y30" s="54"/>
      <c r="Z30" s="54"/>
      <c r="AA30" s="54"/>
      <c r="AB30" s="54"/>
      <c r="AC30" s="54"/>
      <c r="AD30" s="54"/>
      <c r="AE30" s="54"/>
      <c r="AF30" s="54"/>
      <c r="AG30" s="54"/>
      <c r="AH30" s="54"/>
      <c r="AI30" s="54"/>
      <c r="AJ30" s="54"/>
      <c r="AK30" s="54"/>
      <c r="AL30" s="54"/>
      <c r="AM30" s="54"/>
      <c r="AN30" s="54"/>
    </row>
    <row r="31" spans="1:40" ht="13.8" hidden="1" x14ac:dyDescent="0.25">
      <c r="B31" s="109" t="s">
        <v>418</v>
      </c>
      <c r="C31" s="109" t="s">
        <v>419</v>
      </c>
      <c r="D31" s="109" t="s">
        <v>420</v>
      </c>
      <c r="E31" s="109" t="s">
        <v>421</v>
      </c>
      <c r="F31" s="109" t="s">
        <v>422</v>
      </c>
      <c r="G31" s="109" t="s">
        <v>423</v>
      </c>
      <c r="V31" s="29"/>
      <c r="W31" s="53"/>
      <c r="X31" s="54"/>
      <c r="Y31" s="54"/>
      <c r="Z31" s="54"/>
      <c r="AA31" s="54"/>
      <c r="AB31" s="54"/>
      <c r="AC31" s="54"/>
      <c r="AD31" s="54"/>
      <c r="AE31" s="54"/>
      <c r="AF31" s="54"/>
      <c r="AG31" s="54"/>
      <c r="AH31" s="54"/>
      <c r="AI31" s="54"/>
      <c r="AJ31" s="54"/>
      <c r="AK31" s="54"/>
      <c r="AL31" s="54"/>
      <c r="AM31" s="54"/>
    </row>
    <row r="32" spans="1:40" ht="13.8" hidden="1" x14ac:dyDescent="0.25">
      <c r="A32" s="109" t="s">
        <v>424</v>
      </c>
      <c r="B32" s="137" t="s">
        <v>425</v>
      </c>
      <c r="C32" s="137"/>
      <c r="D32" s="137"/>
      <c r="E32" s="137" t="s">
        <v>426</v>
      </c>
      <c r="F32" s="135" t="s">
        <v>427</v>
      </c>
      <c r="G32" s="135" t="s">
        <v>428</v>
      </c>
      <c r="V32" s="29"/>
      <c r="W32" s="53"/>
      <c r="X32" s="54"/>
      <c r="Y32" s="54"/>
      <c r="Z32" s="54"/>
      <c r="AA32" s="54"/>
      <c r="AB32" s="54"/>
      <c r="AC32" s="54"/>
      <c r="AD32" s="54"/>
      <c r="AE32" s="54"/>
      <c r="AF32" s="54"/>
      <c r="AG32" s="54"/>
      <c r="AH32" s="54"/>
      <c r="AI32" s="54"/>
      <c r="AJ32" s="54"/>
      <c r="AK32" s="54"/>
      <c r="AL32" s="54"/>
      <c r="AM32" s="54"/>
    </row>
    <row r="33" spans="1:40" ht="13.8" hidden="1" x14ac:dyDescent="0.25">
      <c r="A33" s="109" t="s">
        <v>429</v>
      </c>
      <c r="B33" s="137" t="s">
        <v>425</v>
      </c>
      <c r="C33" s="137"/>
      <c r="D33" s="137"/>
      <c r="E33" s="137" t="s">
        <v>426</v>
      </c>
      <c r="F33" s="137" t="s">
        <v>430</v>
      </c>
      <c r="G33" s="137" t="s">
        <v>383</v>
      </c>
      <c r="V33" s="29"/>
      <c r="W33" s="53"/>
      <c r="X33" s="54"/>
      <c r="Y33" s="54"/>
      <c r="Z33" s="54"/>
      <c r="AA33" s="54"/>
      <c r="AB33" s="54"/>
      <c r="AC33" s="54"/>
      <c r="AD33" s="54"/>
      <c r="AE33" s="54"/>
      <c r="AF33" s="54"/>
      <c r="AG33" s="54"/>
      <c r="AH33" s="54"/>
      <c r="AI33" s="54"/>
      <c r="AJ33" s="54"/>
      <c r="AK33" s="54"/>
      <c r="AL33" s="54"/>
      <c r="AM33" s="54"/>
    </row>
    <row r="34" spans="1:40" ht="27.6" hidden="1" x14ac:dyDescent="0.25">
      <c r="A34" s="834" t="s">
        <v>431</v>
      </c>
      <c r="B34" s="108" t="s">
        <v>432</v>
      </c>
      <c r="C34" s="110" t="s">
        <v>433</v>
      </c>
      <c r="D34" s="110" t="s">
        <v>434</v>
      </c>
      <c r="E34" s="110" t="s">
        <v>435</v>
      </c>
      <c r="F34" s="110" t="s">
        <v>436</v>
      </c>
      <c r="G34" s="110" t="s">
        <v>428</v>
      </c>
      <c r="V34" s="29"/>
      <c r="W34" s="53"/>
      <c r="X34" s="54"/>
      <c r="Y34" s="54"/>
      <c r="Z34" s="54"/>
      <c r="AA34" s="54"/>
      <c r="AB34" s="54"/>
      <c r="AC34" s="54"/>
      <c r="AD34" s="54"/>
      <c r="AE34" s="54"/>
      <c r="AF34" s="54"/>
      <c r="AG34" s="54"/>
      <c r="AH34" s="54"/>
      <c r="AI34" s="54"/>
      <c r="AJ34" s="54"/>
      <c r="AK34" s="54"/>
      <c r="AL34" s="54"/>
      <c r="AM34" s="54"/>
    </row>
    <row r="35" spans="1:40" ht="13.8" hidden="1" x14ac:dyDescent="0.25">
      <c r="A35" s="835"/>
      <c r="B35" s="108" t="s">
        <v>437</v>
      </c>
      <c r="C35" s="107" t="s">
        <v>438</v>
      </c>
      <c r="D35" s="107" t="s">
        <v>439</v>
      </c>
      <c r="E35" s="107" t="s">
        <v>435</v>
      </c>
      <c r="F35" s="107" t="s">
        <v>427</v>
      </c>
      <c r="G35" s="107" t="s">
        <v>428</v>
      </c>
      <c r="V35" s="29"/>
      <c r="W35" s="53"/>
      <c r="X35" s="54"/>
      <c r="Y35" s="54"/>
      <c r="Z35" s="54"/>
      <c r="AA35" s="54"/>
      <c r="AB35" s="54"/>
      <c r="AC35" s="54"/>
      <c r="AD35" s="54"/>
      <c r="AE35" s="54"/>
      <c r="AF35" s="54"/>
      <c r="AG35" s="54"/>
      <c r="AH35" s="54"/>
      <c r="AI35" s="54"/>
      <c r="AJ35" s="54"/>
      <c r="AK35" s="54"/>
      <c r="AL35" s="54"/>
      <c r="AM35" s="54"/>
    </row>
    <row r="36" spans="1:40" ht="13.8" hidden="1" x14ac:dyDescent="0.25">
      <c r="A36" s="836"/>
      <c r="B36" s="138" t="s">
        <v>440</v>
      </c>
      <c r="C36" s="134" t="s">
        <v>441</v>
      </c>
      <c r="D36" s="134" t="s">
        <v>442</v>
      </c>
      <c r="E36" s="134" t="s">
        <v>426</v>
      </c>
      <c r="F36" s="134" t="s">
        <v>427</v>
      </c>
      <c r="G36" s="134" t="s">
        <v>428</v>
      </c>
      <c r="V36" s="29"/>
      <c r="W36" s="53"/>
      <c r="X36" s="54"/>
      <c r="Y36" s="54"/>
      <c r="Z36" s="54"/>
      <c r="AA36" s="54"/>
      <c r="AB36" s="54"/>
      <c r="AC36" s="54"/>
      <c r="AD36" s="54"/>
      <c r="AE36" s="54"/>
      <c r="AF36" s="54"/>
      <c r="AG36" s="54"/>
      <c r="AH36" s="54"/>
      <c r="AI36" s="54"/>
      <c r="AJ36" s="54"/>
      <c r="AK36" s="54"/>
      <c r="AL36" s="54"/>
      <c r="AM36" s="54"/>
    </row>
    <row r="37" spans="1:40" hidden="1" x14ac:dyDescent="0.25">
      <c r="A37" s="823" t="s">
        <v>443</v>
      </c>
      <c r="B37" s="823"/>
      <c r="C37" s="823"/>
      <c r="D37" s="823"/>
      <c r="E37" s="823"/>
      <c r="W37" s="29"/>
      <c r="X37" s="53"/>
      <c r="Y37" s="54"/>
      <c r="Z37" s="54"/>
      <c r="AA37" s="54"/>
      <c r="AB37" s="54"/>
      <c r="AC37" s="54"/>
      <c r="AD37" s="54"/>
      <c r="AE37" s="54"/>
      <c r="AF37" s="54"/>
      <c r="AG37" s="54"/>
      <c r="AH37" s="54"/>
      <c r="AI37" s="54"/>
      <c r="AJ37" s="54"/>
      <c r="AK37" s="54"/>
      <c r="AL37" s="54"/>
      <c r="AM37" s="54"/>
      <c r="AN37" s="54"/>
    </row>
    <row r="38" spans="1:40" ht="17.25" hidden="1" customHeight="1" x14ac:dyDescent="0.25">
      <c r="A38" s="820" t="s">
        <v>444</v>
      </c>
      <c r="B38" s="820"/>
      <c r="C38" s="820"/>
      <c r="D38" s="820"/>
      <c r="E38" s="820"/>
      <c r="W38" s="29"/>
      <c r="X38" s="53"/>
      <c r="Y38" s="54"/>
      <c r="Z38" s="54"/>
      <c r="AA38" s="54"/>
      <c r="AB38" s="54"/>
      <c r="AC38" s="54"/>
      <c r="AD38" s="54"/>
      <c r="AE38" s="54"/>
      <c r="AF38" s="54"/>
      <c r="AG38" s="54"/>
      <c r="AH38" s="54"/>
      <c r="AI38" s="54"/>
      <c r="AJ38" s="54"/>
      <c r="AK38" s="54"/>
      <c r="AL38" s="54"/>
      <c r="AM38" s="54"/>
      <c r="AN38" s="54"/>
    </row>
    <row r="39" spans="1:40" ht="23.25" hidden="1" customHeight="1" x14ac:dyDescent="0.25">
      <c r="A39" s="819" t="s">
        <v>445</v>
      </c>
      <c r="B39" s="819"/>
      <c r="C39" s="819"/>
      <c r="D39" s="819"/>
      <c r="E39" s="819"/>
      <c r="W39" s="29"/>
      <c r="X39" s="53"/>
      <c r="Y39" s="54"/>
      <c r="Z39" s="54"/>
      <c r="AA39" s="54"/>
      <c r="AB39" s="54"/>
      <c r="AC39" s="54"/>
      <c r="AD39" s="54"/>
      <c r="AE39" s="54"/>
      <c r="AF39" s="54"/>
      <c r="AG39" s="54"/>
      <c r="AH39" s="54"/>
      <c r="AI39" s="54"/>
      <c r="AJ39" s="54"/>
      <c r="AK39" s="54"/>
      <c r="AL39" s="54"/>
      <c r="AM39" s="54"/>
      <c r="AN39" s="54"/>
    </row>
    <row r="40" spans="1:40" hidden="1" x14ac:dyDescent="0.25">
      <c r="W40" s="29"/>
      <c r="X40" s="53"/>
      <c r="Y40" s="54"/>
      <c r="Z40" s="54"/>
      <c r="AA40" s="54"/>
      <c r="AB40" s="54"/>
      <c r="AC40" s="54"/>
      <c r="AD40" s="54"/>
      <c r="AE40" s="54"/>
      <c r="AF40" s="54"/>
      <c r="AG40" s="54"/>
      <c r="AH40" s="54"/>
      <c r="AI40" s="54"/>
      <c r="AJ40" s="54"/>
      <c r="AK40" s="54"/>
      <c r="AL40" s="54"/>
      <c r="AM40" s="54"/>
      <c r="AN40" s="54"/>
    </row>
    <row r="41" spans="1:40" ht="16.2" hidden="1" customHeight="1" x14ac:dyDescent="0.3">
      <c r="A41" s="85"/>
      <c r="B41" s="85" t="s">
        <v>446</v>
      </c>
      <c r="C41" s="86"/>
      <c r="D41" s="86"/>
      <c r="E41" s="86"/>
      <c r="F41" s="86"/>
      <c r="G41" s="86"/>
      <c r="H41" s="86"/>
      <c r="I41" s="86"/>
      <c r="W41" s="29"/>
      <c r="X41" s="53"/>
      <c r="Y41" s="54"/>
      <c r="Z41" s="54"/>
      <c r="AA41" s="54"/>
      <c r="AB41" s="54"/>
      <c r="AC41" s="54"/>
      <c r="AD41" s="54"/>
      <c r="AE41" s="54"/>
      <c r="AF41" s="54"/>
      <c r="AG41" s="54"/>
      <c r="AH41" s="54"/>
      <c r="AI41" s="54"/>
      <c r="AJ41" s="54"/>
      <c r="AK41" s="54"/>
      <c r="AL41" s="54"/>
      <c r="AM41" s="54"/>
      <c r="AN41" s="54"/>
    </row>
    <row r="42" spans="1:40" ht="13.2" hidden="1" customHeight="1" thickBot="1" x14ac:dyDescent="0.35">
      <c r="A42" s="5" t="s">
        <v>447</v>
      </c>
      <c r="B42" s="84"/>
      <c r="C42" s="84"/>
      <c r="D42" s="84"/>
      <c r="E42" s="84"/>
      <c r="F42" s="84"/>
      <c r="G42" s="84"/>
      <c r="H42" s="84"/>
      <c r="V42" s="29"/>
      <c r="W42" s="53"/>
      <c r="X42" s="54"/>
      <c r="Y42" s="54"/>
      <c r="Z42" s="54"/>
      <c r="AA42" s="54"/>
      <c r="AB42" s="54"/>
      <c r="AC42" s="54"/>
      <c r="AD42" s="54"/>
      <c r="AE42" s="54"/>
      <c r="AF42" s="54"/>
      <c r="AG42" s="54"/>
      <c r="AH42" s="54"/>
      <c r="AI42" s="54"/>
      <c r="AJ42" s="54"/>
      <c r="AK42" s="54"/>
      <c r="AL42" s="54"/>
      <c r="AM42" s="54"/>
    </row>
    <row r="43" spans="1:40" ht="27" hidden="1" thickBot="1" x14ac:dyDescent="0.3">
      <c r="A43" s="80" t="s">
        <v>448</v>
      </c>
      <c r="B43" s="80" t="s">
        <v>93</v>
      </c>
      <c r="C43" s="82" t="s">
        <v>449</v>
      </c>
      <c r="D43" s="82" t="s">
        <v>450</v>
      </c>
      <c r="E43" s="83" t="s">
        <v>451</v>
      </c>
      <c r="F43" s="83"/>
      <c r="G43" s="82" t="s">
        <v>452</v>
      </c>
      <c r="H43" s="83" t="s">
        <v>453</v>
      </c>
      <c r="V43" s="29"/>
      <c r="W43" s="53"/>
      <c r="X43" s="54"/>
      <c r="Y43" s="54"/>
      <c r="Z43" s="54"/>
      <c r="AA43" s="54"/>
      <c r="AB43" s="54"/>
      <c r="AC43" s="54"/>
      <c r="AD43" s="54"/>
      <c r="AE43" s="54"/>
      <c r="AF43" s="54"/>
      <c r="AG43" s="54"/>
      <c r="AH43" s="54"/>
      <c r="AI43" s="54"/>
      <c r="AJ43" s="54"/>
      <c r="AK43" s="54"/>
      <c r="AL43" s="54"/>
      <c r="AM43" s="54"/>
    </row>
    <row r="44" spans="1:40" ht="27.6" hidden="1" thickTop="1" thickBot="1" x14ac:dyDescent="0.3">
      <c r="A44" s="607" t="s">
        <v>454</v>
      </c>
      <c r="B44" s="607" t="s">
        <v>455</v>
      </c>
      <c r="C44" s="608"/>
      <c r="D44" s="609">
        <v>0.03</v>
      </c>
      <c r="E44" s="610">
        <v>0.15</v>
      </c>
      <c r="F44" s="611"/>
      <c r="G44" s="612">
        <v>0.43</v>
      </c>
      <c r="H44" s="610">
        <v>0.21</v>
      </c>
      <c r="V44" s="29"/>
      <c r="W44" s="53"/>
      <c r="X44" s="54"/>
      <c r="Y44" s="54"/>
      <c r="Z44" s="54"/>
      <c r="AA44" s="54"/>
      <c r="AB44" s="54"/>
      <c r="AC44" s="54"/>
      <c r="AD44" s="54"/>
      <c r="AE44" s="54"/>
      <c r="AF44" s="54"/>
      <c r="AG44" s="54"/>
      <c r="AH44" s="54"/>
      <c r="AI44" s="54"/>
      <c r="AJ44" s="54"/>
      <c r="AK44" s="54"/>
      <c r="AL44" s="54"/>
      <c r="AM44" s="54"/>
    </row>
    <row r="45" spans="1:40" ht="13.8" hidden="1" thickBot="1" x14ac:dyDescent="0.3">
      <c r="A45" s="613" t="s">
        <v>456</v>
      </c>
      <c r="B45" s="613" t="s">
        <v>455</v>
      </c>
      <c r="C45" s="614">
        <v>0.13</v>
      </c>
      <c r="D45" s="614">
        <v>0.02</v>
      </c>
      <c r="E45" s="615">
        <v>7.0000000000000007E-2</v>
      </c>
      <c r="F45" s="616"/>
      <c r="G45" s="617">
        <v>0.66</v>
      </c>
      <c r="H45" s="618">
        <v>0.12</v>
      </c>
      <c r="V45" s="29"/>
      <c r="W45" s="53"/>
      <c r="X45" s="54"/>
      <c r="Y45" s="54"/>
      <c r="Z45" s="54"/>
      <c r="AA45" s="54"/>
      <c r="AB45" s="54"/>
      <c r="AC45" s="54"/>
      <c r="AD45" s="54"/>
      <c r="AE45" s="54"/>
      <c r="AF45" s="54"/>
      <c r="AG45" s="54"/>
      <c r="AH45" s="54"/>
      <c r="AI45" s="54"/>
      <c r="AJ45" s="54"/>
      <c r="AK45" s="54"/>
      <c r="AL45" s="54"/>
      <c r="AM45" s="54"/>
    </row>
    <row r="46" spans="1:40" hidden="1" x14ac:dyDescent="0.25">
      <c r="V46" s="29"/>
      <c r="X46" s="28"/>
      <c r="Y46" s="28"/>
      <c r="Z46" s="28"/>
      <c r="AA46" s="28"/>
      <c r="AB46" s="28"/>
      <c r="AC46" s="28"/>
      <c r="AD46" s="28"/>
      <c r="AE46" s="28"/>
      <c r="AF46" s="28"/>
      <c r="AG46" s="28"/>
      <c r="AH46" s="28"/>
      <c r="AI46" s="28"/>
      <c r="AJ46" s="28"/>
      <c r="AK46" s="28"/>
      <c r="AL46" s="28"/>
      <c r="AM46" s="28"/>
    </row>
    <row r="47" spans="1:40" hidden="1" x14ac:dyDescent="0.25">
      <c r="V47" s="29"/>
      <c r="X47" s="28"/>
      <c r="Y47" s="28"/>
      <c r="Z47" s="28"/>
      <c r="AA47" s="28"/>
      <c r="AB47" s="28"/>
      <c r="AC47" s="28"/>
      <c r="AD47" s="28"/>
      <c r="AE47" s="28"/>
      <c r="AF47" s="28"/>
      <c r="AG47" s="28"/>
      <c r="AH47" s="28"/>
      <c r="AI47" s="28"/>
      <c r="AJ47" s="28"/>
      <c r="AK47" s="28"/>
      <c r="AL47" s="28"/>
      <c r="AM47" s="28"/>
    </row>
    <row r="48" spans="1:40" ht="13.8" hidden="1" thickBot="1" x14ac:dyDescent="0.3">
      <c r="A48" s="5" t="s">
        <v>457</v>
      </c>
      <c r="V48" s="31"/>
      <c r="X48" s="29"/>
      <c r="Y48" s="29"/>
      <c r="Z48" s="29"/>
      <c r="AA48" s="29"/>
      <c r="AB48" s="29"/>
      <c r="AC48" s="29"/>
      <c r="AD48" s="29"/>
      <c r="AE48" s="29"/>
      <c r="AF48" s="29"/>
      <c r="AG48" s="29"/>
      <c r="AH48" s="29"/>
      <c r="AI48" s="29"/>
      <c r="AJ48" s="29"/>
      <c r="AK48" s="29"/>
      <c r="AL48" s="29"/>
      <c r="AM48" s="29"/>
    </row>
    <row r="49" spans="1:38" ht="27" hidden="1" thickBot="1" x14ac:dyDescent="0.3">
      <c r="A49" s="80" t="s">
        <v>448</v>
      </c>
      <c r="B49" s="81" t="s">
        <v>93</v>
      </c>
      <c r="C49" s="83" t="s">
        <v>458</v>
      </c>
      <c r="D49" s="82" t="s">
        <v>459</v>
      </c>
      <c r="E49" s="82" t="s">
        <v>460</v>
      </c>
      <c r="F49" s="82"/>
      <c r="G49" s="82" t="s">
        <v>461</v>
      </c>
      <c r="H49" s="82" t="s">
        <v>462</v>
      </c>
      <c r="V49" s="29"/>
      <c r="W49" s="32"/>
    </row>
    <row r="50" spans="1:38" ht="27.6" hidden="1" thickTop="1" thickBot="1" x14ac:dyDescent="0.3">
      <c r="A50" s="607" t="s">
        <v>454</v>
      </c>
      <c r="B50" s="619" t="s">
        <v>455</v>
      </c>
      <c r="C50" s="610">
        <v>0.59</v>
      </c>
      <c r="D50" s="620">
        <v>0.35</v>
      </c>
      <c r="E50" s="608">
        <v>0.05</v>
      </c>
      <c r="F50" s="608"/>
      <c r="G50" s="608">
        <v>0</v>
      </c>
      <c r="H50" s="608">
        <v>0</v>
      </c>
      <c r="V50" s="29"/>
      <c r="W50" s="32"/>
    </row>
    <row r="51" spans="1:38" ht="13.8" hidden="1" thickBot="1" x14ac:dyDescent="0.3">
      <c r="A51" s="613" t="s">
        <v>456</v>
      </c>
      <c r="B51" s="613" t="s">
        <v>455</v>
      </c>
      <c r="C51" s="615">
        <v>0.34</v>
      </c>
      <c r="D51" s="617">
        <v>0.57999999999999996</v>
      </c>
      <c r="E51" s="621">
        <v>7.0000000000000007E-2</v>
      </c>
      <c r="F51" s="621"/>
      <c r="G51" s="614">
        <v>0</v>
      </c>
      <c r="H51" s="614">
        <v>0</v>
      </c>
      <c r="V51" s="29"/>
      <c r="W51" s="32"/>
    </row>
    <row r="52" spans="1:38" hidden="1" x14ac:dyDescent="0.25">
      <c r="V52" s="29"/>
      <c r="W52" s="32"/>
    </row>
    <row r="53" spans="1:38" ht="13.8" hidden="1" thickBot="1" x14ac:dyDescent="0.3">
      <c r="A53" s="5" t="s">
        <v>463</v>
      </c>
      <c r="W53" s="32"/>
    </row>
    <row r="54" spans="1:38" ht="19.2" hidden="1" customHeight="1" thickBot="1" x14ac:dyDescent="0.3">
      <c r="A54" s="80" t="s">
        <v>448</v>
      </c>
      <c r="B54" s="81" t="s">
        <v>93</v>
      </c>
      <c r="C54" s="82" t="s">
        <v>464</v>
      </c>
      <c r="D54" s="82" t="s">
        <v>465</v>
      </c>
      <c r="V54" s="29"/>
      <c r="W54" s="32"/>
    </row>
    <row r="55" spans="1:38" ht="27.6" hidden="1" thickTop="1" thickBot="1" x14ac:dyDescent="0.3">
      <c r="A55" s="607" t="s">
        <v>454</v>
      </c>
      <c r="B55" s="607" t="s">
        <v>455</v>
      </c>
      <c r="C55" s="608">
        <v>0.86</v>
      </c>
      <c r="D55" s="608">
        <v>0.13</v>
      </c>
      <c r="V55" s="29"/>
      <c r="W55" s="32"/>
    </row>
    <row r="56" spans="1:38" ht="13.8" hidden="1" thickBot="1" x14ac:dyDescent="0.3">
      <c r="A56" s="613" t="s">
        <v>456</v>
      </c>
      <c r="B56" s="613" t="s">
        <v>455</v>
      </c>
      <c r="C56" s="614">
        <v>0.79</v>
      </c>
      <c r="D56" s="614">
        <v>0.2</v>
      </c>
      <c r="V56" s="29"/>
      <c r="W56" s="32"/>
    </row>
    <row r="57" spans="1:38" hidden="1" x14ac:dyDescent="0.25">
      <c r="V57" s="29"/>
      <c r="W57" s="32"/>
    </row>
    <row r="58" spans="1:38" hidden="1" x14ac:dyDescent="0.25">
      <c r="V58" s="29"/>
      <c r="W58" s="32"/>
    </row>
    <row r="59" spans="1:38" hidden="1" x14ac:dyDescent="0.25"/>
    <row r="60" spans="1:38" hidden="1" x14ac:dyDescent="0.25">
      <c r="V60" s="29"/>
      <c r="W60" s="32"/>
    </row>
    <row r="61" spans="1:38" ht="21.75" hidden="1" customHeight="1" thickBot="1" x14ac:dyDescent="0.3">
      <c r="A61" s="855" t="s">
        <v>466</v>
      </c>
      <c r="B61" s="856"/>
      <c r="C61" s="856"/>
      <c r="D61" s="856"/>
      <c r="E61" s="856"/>
      <c r="F61" s="856"/>
      <c r="G61" s="856"/>
      <c r="W61" s="29"/>
      <c r="X61" s="32"/>
    </row>
    <row r="62" spans="1:38" ht="24.75" hidden="1" customHeight="1" thickBot="1" x14ac:dyDescent="0.3">
      <c r="A62" s="851" t="s">
        <v>467</v>
      </c>
      <c r="B62" s="852" t="s">
        <v>468</v>
      </c>
      <c r="C62" s="852"/>
      <c r="D62" s="853"/>
      <c r="E62" s="854" t="s">
        <v>469</v>
      </c>
      <c r="F62" s="852"/>
      <c r="G62" s="853"/>
      <c r="U62" s="31"/>
      <c r="W62" s="29"/>
      <c r="X62" s="29"/>
      <c r="Y62" s="29"/>
      <c r="Z62" s="29"/>
      <c r="AA62" s="29"/>
      <c r="AB62" s="29"/>
      <c r="AC62" s="29"/>
      <c r="AD62" s="29"/>
      <c r="AE62" s="29"/>
      <c r="AF62" s="29"/>
      <c r="AG62" s="29"/>
      <c r="AH62" s="29"/>
      <c r="AI62" s="29"/>
      <c r="AJ62" s="29"/>
      <c r="AK62" s="29"/>
      <c r="AL62" s="29"/>
    </row>
    <row r="63" spans="1:38" ht="13.2" hidden="1" customHeight="1" x14ac:dyDescent="0.25">
      <c r="A63" s="851"/>
      <c r="B63" s="139" t="s">
        <v>470</v>
      </c>
      <c r="C63" s="139" t="s">
        <v>471</v>
      </c>
      <c r="D63" s="140" t="s">
        <v>472</v>
      </c>
      <c r="E63" s="141" t="s">
        <v>470</v>
      </c>
      <c r="F63" s="141" t="s">
        <v>471</v>
      </c>
      <c r="G63" s="142" t="s">
        <v>472</v>
      </c>
    </row>
    <row r="64" spans="1:38" hidden="1" x14ac:dyDescent="0.25">
      <c r="A64" s="143">
        <v>1</v>
      </c>
      <c r="B64" s="622">
        <v>0.03</v>
      </c>
      <c r="C64" s="622">
        <v>0.97</v>
      </c>
      <c r="D64" s="622">
        <v>0</v>
      </c>
      <c r="E64" s="622">
        <v>0.17</v>
      </c>
      <c r="F64" s="622">
        <v>0.83</v>
      </c>
      <c r="G64" s="622">
        <v>0</v>
      </c>
    </row>
    <row r="65" spans="1:7" hidden="1" x14ac:dyDescent="0.25">
      <c r="A65" s="143">
        <v>2</v>
      </c>
      <c r="B65" s="622">
        <v>7.0000000000000007E-2</v>
      </c>
      <c r="C65" s="622">
        <v>0.93</v>
      </c>
      <c r="D65" s="622">
        <v>0</v>
      </c>
      <c r="E65" s="622">
        <v>0.3</v>
      </c>
      <c r="F65" s="622">
        <v>0.7</v>
      </c>
      <c r="G65" s="622">
        <v>0</v>
      </c>
    </row>
    <row r="66" spans="1:7" hidden="1" x14ac:dyDescent="0.25">
      <c r="A66" s="143">
        <v>3</v>
      </c>
      <c r="B66" s="622">
        <v>0.02</v>
      </c>
      <c r="C66" s="622">
        <v>0.94</v>
      </c>
      <c r="D66" s="622">
        <v>0.04</v>
      </c>
      <c r="E66" s="622">
        <v>0.36</v>
      </c>
      <c r="F66" s="622">
        <v>0.64</v>
      </c>
      <c r="G66" s="622">
        <v>0.04</v>
      </c>
    </row>
    <row r="67" spans="1:7" hidden="1" x14ac:dyDescent="0.25">
      <c r="A67" s="143">
        <v>4</v>
      </c>
      <c r="B67" s="622">
        <v>0.01</v>
      </c>
      <c r="C67" s="622">
        <v>0.94</v>
      </c>
      <c r="D67" s="622">
        <v>0.04</v>
      </c>
      <c r="E67" s="622">
        <v>0.35</v>
      </c>
      <c r="F67" s="622">
        <v>0.65</v>
      </c>
      <c r="G67" s="622">
        <v>0.04</v>
      </c>
    </row>
    <row r="68" spans="1:7" hidden="1" x14ac:dyDescent="0.25">
      <c r="A68" s="143">
        <v>5</v>
      </c>
      <c r="B68" s="622">
        <v>0.04</v>
      </c>
      <c r="C68" s="622">
        <v>0.95</v>
      </c>
      <c r="D68" s="622">
        <v>0.02</v>
      </c>
      <c r="E68" s="622">
        <v>0.74</v>
      </c>
      <c r="F68" s="622">
        <v>0.26</v>
      </c>
      <c r="G68" s="622">
        <v>0.02</v>
      </c>
    </row>
    <row r="69" spans="1:7" hidden="1" x14ac:dyDescent="0.25">
      <c r="A69" s="143">
        <v>6</v>
      </c>
      <c r="B69" s="622">
        <v>0.21</v>
      </c>
      <c r="C69" s="622">
        <v>0.79</v>
      </c>
      <c r="D69" s="622">
        <v>0</v>
      </c>
      <c r="E69" s="622">
        <v>0.38</v>
      </c>
      <c r="F69" s="622">
        <v>0.62</v>
      </c>
      <c r="G69" s="622">
        <v>0</v>
      </c>
    </row>
    <row r="70" spans="1:7" hidden="1" x14ac:dyDescent="0.25">
      <c r="A70" s="143">
        <v>7</v>
      </c>
      <c r="B70" s="622">
        <v>0.11</v>
      </c>
      <c r="C70" s="622">
        <v>0.87</v>
      </c>
      <c r="D70" s="622">
        <v>0.02</v>
      </c>
      <c r="E70" s="622">
        <v>0.3</v>
      </c>
      <c r="F70" s="622">
        <v>0.7</v>
      </c>
      <c r="G70" s="622">
        <v>0.01</v>
      </c>
    </row>
    <row r="71" spans="1:7" hidden="1" x14ac:dyDescent="0.25">
      <c r="A71" s="143">
        <v>8</v>
      </c>
      <c r="B71" s="622">
        <v>0.23</v>
      </c>
      <c r="C71" s="622">
        <v>0.77</v>
      </c>
      <c r="D71" s="622">
        <v>0</v>
      </c>
      <c r="E71" s="622">
        <v>0.37</v>
      </c>
      <c r="F71" s="622">
        <v>0.63</v>
      </c>
      <c r="G71" s="622">
        <v>0</v>
      </c>
    </row>
    <row r="72" spans="1:7" hidden="1" x14ac:dyDescent="0.25">
      <c r="A72" s="143">
        <v>9</v>
      </c>
      <c r="B72" s="622">
        <v>0.16</v>
      </c>
      <c r="C72" s="622">
        <v>0.83</v>
      </c>
      <c r="D72" s="622">
        <v>0</v>
      </c>
      <c r="E72" s="622">
        <v>0.33</v>
      </c>
      <c r="F72" s="622">
        <v>0.67</v>
      </c>
      <c r="G72" s="622">
        <v>0</v>
      </c>
    </row>
    <row r="73" spans="1:7" hidden="1" x14ac:dyDescent="0.25">
      <c r="A73" s="143">
        <v>10</v>
      </c>
      <c r="B73" s="622">
        <v>0.16</v>
      </c>
      <c r="C73" s="622">
        <v>0.83</v>
      </c>
      <c r="D73" s="622">
        <v>0.01</v>
      </c>
      <c r="E73" s="622">
        <v>0.49</v>
      </c>
      <c r="F73" s="622">
        <v>0.51</v>
      </c>
      <c r="G73" s="622">
        <v>0</v>
      </c>
    </row>
    <row r="74" spans="1:7" hidden="1" x14ac:dyDescent="0.25">
      <c r="A74" s="143">
        <v>11</v>
      </c>
      <c r="B74" s="622">
        <v>0.1</v>
      </c>
      <c r="C74" s="622">
        <v>0.89</v>
      </c>
      <c r="D74" s="622">
        <v>0.01</v>
      </c>
      <c r="E74" s="622">
        <v>0.42</v>
      </c>
      <c r="F74" s="622">
        <v>0.57999999999999996</v>
      </c>
      <c r="G74" s="622">
        <v>0.01</v>
      </c>
    </row>
    <row r="75" spans="1:7" hidden="1" x14ac:dyDescent="0.25">
      <c r="A75" s="143">
        <v>12</v>
      </c>
      <c r="B75" s="622">
        <v>0.1</v>
      </c>
      <c r="C75" s="622">
        <v>0.88</v>
      </c>
      <c r="D75" s="622">
        <v>0.02</v>
      </c>
      <c r="E75" s="622">
        <v>0.38</v>
      </c>
      <c r="F75" s="622">
        <v>0.62</v>
      </c>
      <c r="G75" s="622">
        <v>0.03</v>
      </c>
    </row>
    <row r="76" spans="1:7" hidden="1" x14ac:dyDescent="0.25">
      <c r="A76" s="143">
        <v>13</v>
      </c>
      <c r="B76" s="622">
        <v>0.04</v>
      </c>
      <c r="C76" s="622">
        <v>0.96</v>
      </c>
      <c r="D76" s="622">
        <v>0</v>
      </c>
      <c r="E76" s="622">
        <v>0.16</v>
      </c>
      <c r="F76" s="622">
        <v>0.84</v>
      </c>
      <c r="G76" s="622">
        <v>0</v>
      </c>
    </row>
    <row r="77" spans="1:7" hidden="1" x14ac:dyDescent="0.25">
      <c r="A77" s="143">
        <v>14</v>
      </c>
      <c r="B77" s="623">
        <v>0.31</v>
      </c>
      <c r="C77" s="623">
        <v>0.69</v>
      </c>
      <c r="D77" s="622">
        <v>0</v>
      </c>
      <c r="E77" s="622">
        <v>0.43</v>
      </c>
      <c r="F77" s="622">
        <v>0.56999999999999995</v>
      </c>
      <c r="G77" s="622">
        <v>0</v>
      </c>
    </row>
    <row r="78" spans="1:7" hidden="1" x14ac:dyDescent="0.25">
      <c r="A78" s="143">
        <v>15</v>
      </c>
      <c r="B78" s="622">
        <v>0.09</v>
      </c>
      <c r="C78" s="622">
        <v>0.89</v>
      </c>
      <c r="D78" s="622">
        <v>0.02</v>
      </c>
      <c r="E78" s="622">
        <v>0.82</v>
      </c>
      <c r="F78" s="622">
        <v>0.18</v>
      </c>
      <c r="G78" s="622">
        <v>0</v>
      </c>
    </row>
    <row r="79" spans="1:7" hidden="1" x14ac:dyDescent="0.25">
      <c r="A79" s="143">
        <v>16</v>
      </c>
      <c r="B79" s="622">
        <v>0.2</v>
      </c>
      <c r="C79" s="622">
        <v>0.8</v>
      </c>
      <c r="D79" s="622">
        <v>0</v>
      </c>
      <c r="E79" s="622">
        <v>0.35</v>
      </c>
      <c r="F79" s="622">
        <v>0.65</v>
      </c>
      <c r="G79" s="622">
        <v>0</v>
      </c>
    </row>
    <row r="80" spans="1:7" ht="14.4" x14ac:dyDescent="0.3">
      <c r="A80" s="132" t="s">
        <v>473</v>
      </c>
      <c r="B80"/>
      <c r="C80"/>
      <c r="D80"/>
    </row>
    <row r="81" spans="1:10" ht="15.6" x14ac:dyDescent="0.25">
      <c r="A81" s="846" t="s">
        <v>474</v>
      </c>
      <c r="B81" s="846"/>
      <c r="C81" s="846"/>
      <c r="D81" s="846"/>
      <c r="E81" s="846"/>
      <c r="F81" s="846"/>
      <c r="G81" s="846"/>
      <c r="H81" s="846"/>
      <c r="I81" s="846"/>
    </row>
    <row r="82" spans="1:10" ht="27.6" customHeight="1" x14ac:dyDescent="0.25">
      <c r="A82" s="238" t="s">
        <v>301</v>
      </c>
      <c r="B82" s="238" t="s">
        <v>475</v>
      </c>
      <c r="C82" s="238" t="s">
        <v>476</v>
      </c>
      <c r="D82" s="246" t="s">
        <v>477</v>
      </c>
      <c r="E82" s="246" t="s">
        <v>478</v>
      </c>
      <c r="F82" s="246" t="s">
        <v>479</v>
      </c>
      <c r="G82" s="246" t="s">
        <v>480</v>
      </c>
      <c r="H82" s="247" t="s">
        <v>481</v>
      </c>
      <c r="I82" s="240" t="s">
        <v>347</v>
      </c>
    </row>
    <row r="83" spans="1:10" ht="36" customHeight="1" x14ac:dyDescent="0.3">
      <c r="A83" s="847" t="s">
        <v>329</v>
      </c>
      <c r="B83" s="848" t="s">
        <v>482</v>
      </c>
      <c r="C83" s="511" t="s">
        <v>483</v>
      </c>
      <c r="D83" s="511">
        <v>2.5</v>
      </c>
      <c r="E83" s="840">
        <v>0.65</v>
      </c>
      <c r="F83" s="837" t="s">
        <v>484</v>
      </c>
      <c r="G83" s="849"/>
      <c r="H83" s="837" t="s">
        <v>485</v>
      </c>
      <c r="I83" s="511"/>
      <c r="J83" s="1"/>
    </row>
    <row r="84" spans="1:10" ht="36" customHeight="1" x14ac:dyDescent="0.25">
      <c r="A84" s="847"/>
      <c r="B84" s="848"/>
      <c r="C84" s="511" t="s">
        <v>486</v>
      </c>
      <c r="D84" s="474">
        <v>4.09</v>
      </c>
      <c r="E84" s="840"/>
      <c r="F84" s="837"/>
      <c r="G84" s="849"/>
      <c r="H84" s="837"/>
      <c r="I84" s="511"/>
    </row>
    <row r="85" spans="1:10" ht="36" customHeight="1" x14ac:dyDescent="0.25">
      <c r="A85" s="847"/>
      <c r="B85" s="848"/>
      <c r="C85" s="511" t="s">
        <v>487</v>
      </c>
      <c r="D85" s="511">
        <v>5.58</v>
      </c>
      <c r="E85" s="840"/>
      <c r="F85" s="837"/>
      <c r="G85" s="849"/>
      <c r="H85" s="837"/>
      <c r="I85" s="511"/>
    </row>
    <row r="86" spans="1:10" x14ac:dyDescent="0.25">
      <c r="A86" s="432" t="s">
        <v>488</v>
      </c>
      <c r="B86" s="473"/>
      <c r="C86" s="127"/>
      <c r="D86" s="127"/>
      <c r="E86" s="624"/>
      <c r="F86" s="73"/>
      <c r="G86" s="73"/>
      <c r="H86" s="73"/>
      <c r="I86" s="433"/>
    </row>
    <row r="87" spans="1:10" x14ac:dyDescent="0.25">
      <c r="A87" s="432" t="s">
        <v>489</v>
      </c>
      <c r="B87" s="73"/>
      <c r="C87" s="73"/>
      <c r="D87" s="248"/>
      <c r="E87" s="73"/>
      <c r="F87" s="73"/>
      <c r="G87" s="73"/>
      <c r="H87" s="73"/>
      <c r="I87" s="249"/>
    </row>
    <row r="88" spans="1:10" ht="69.75" customHeight="1" x14ac:dyDescent="0.25">
      <c r="A88" s="476" t="s">
        <v>388</v>
      </c>
      <c r="B88" s="481" t="s">
        <v>490</v>
      </c>
      <c r="C88" s="625" t="s">
        <v>491</v>
      </c>
      <c r="D88" s="626" t="s">
        <v>492</v>
      </c>
      <c r="E88" s="625">
        <v>0.65</v>
      </c>
      <c r="F88" s="625" t="s">
        <v>493</v>
      </c>
      <c r="G88" s="627">
        <v>0.94699999999999995</v>
      </c>
      <c r="H88" s="625" t="s">
        <v>494</v>
      </c>
      <c r="I88" s="625"/>
    </row>
    <row r="89" spans="1:10" ht="12.75" customHeight="1" x14ac:dyDescent="0.25">
      <c r="A89" s="173"/>
      <c r="B89" s="477"/>
      <c r="C89" s="606"/>
      <c r="D89" s="628"/>
      <c r="E89" s="606"/>
      <c r="F89" s="606"/>
      <c r="G89" s="629"/>
      <c r="H89" s="606"/>
      <c r="I89" s="606"/>
    </row>
    <row r="90" spans="1:10" ht="31.5" customHeight="1" x14ac:dyDescent="0.25">
      <c r="A90" s="838" t="s">
        <v>495</v>
      </c>
      <c r="B90" s="839"/>
      <c r="C90" s="839"/>
      <c r="D90" s="839"/>
      <c r="E90" s="839"/>
      <c r="F90" s="839"/>
      <c r="G90" s="839"/>
      <c r="H90" s="839"/>
      <c r="I90" s="839"/>
    </row>
    <row r="91" spans="1:10" ht="44.25" customHeight="1" x14ac:dyDescent="0.25">
      <c r="A91" s="838" t="s">
        <v>496</v>
      </c>
      <c r="B91" s="838"/>
      <c r="C91" s="838"/>
      <c r="D91" s="838"/>
      <c r="E91" s="838"/>
      <c r="F91" s="838"/>
      <c r="G91" s="838"/>
      <c r="H91" s="838"/>
      <c r="I91" s="838"/>
    </row>
    <row r="92" spans="1:10" ht="15" customHeight="1" x14ac:dyDescent="0.25">
      <c r="A92" s="631"/>
      <c r="B92" s="632"/>
      <c r="C92" s="632"/>
      <c r="D92" s="632"/>
      <c r="E92" s="632"/>
      <c r="F92" s="632"/>
      <c r="G92" s="632"/>
      <c r="H92" s="632"/>
      <c r="I92" s="632"/>
    </row>
    <row r="93" spans="1:10" ht="12.75" customHeight="1" x14ac:dyDescent="0.25">
      <c r="A93" s="630"/>
      <c r="B93" s="630"/>
      <c r="C93" s="630"/>
      <c r="D93" s="630"/>
      <c r="E93" s="630"/>
      <c r="F93" s="630"/>
      <c r="G93" s="630"/>
      <c r="H93" s="630"/>
      <c r="I93" s="630"/>
    </row>
    <row r="94" spans="1:10" ht="12.75" customHeight="1" x14ac:dyDescent="0.25">
      <c r="A94" s="630"/>
      <c r="B94" s="630"/>
      <c r="C94" s="630"/>
      <c r="D94" s="630"/>
      <c r="E94" s="630"/>
      <c r="F94" s="630"/>
      <c r="G94" s="630"/>
      <c r="H94" s="630"/>
      <c r="I94" s="630"/>
    </row>
    <row r="95" spans="1:10" ht="12.75" customHeight="1" x14ac:dyDescent="0.25">
      <c r="A95" s="6"/>
    </row>
    <row r="96" spans="1:10" ht="12.75" customHeight="1" x14ac:dyDescent="0.25">
      <c r="A96" s="475"/>
      <c r="D96" s="30"/>
    </row>
    <row r="97" spans="1:4" ht="12.75" customHeight="1" x14ac:dyDescent="0.25">
      <c r="D97" s="30"/>
    </row>
    <row r="98" spans="1:4" ht="12.75" customHeight="1" x14ac:dyDescent="0.25">
      <c r="D98" s="30"/>
    </row>
    <row r="99" spans="1:4" ht="12.75" customHeight="1" x14ac:dyDescent="0.25"/>
    <row r="100" spans="1:4" ht="12.75" customHeight="1" x14ac:dyDescent="0.25"/>
    <row r="101" spans="1:4" ht="12.75" customHeight="1" x14ac:dyDescent="0.25"/>
    <row r="102" spans="1:4" ht="12.75" customHeight="1" x14ac:dyDescent="0.25"/>
    <row r="103" spans="1:4" ht="12.75" customHeight="1" x14ac:dyDescent="0.25"/>
    <row r="104" spans="1:4" ht="12.75" customHeight="1" x14ac:dyDescent="0.25"/>
    <row r="105" spans="1:4" ht="12.75" customHeight="1" x14ac:dyDescent="0.25"/>
    <row r="106" spans="1:4" ht="12.75" customHeight="1" x14ac:dyDescent="0.25"/>
    <row r="107" spans="1:4" ht="12.75" customHeight="1" x14ac:dyDescent="0.25"/>
    <row r="108" spans="1:4" ht="12.75" customHeight="1" x14ac:dyDescent="0.25"/>
    <row r="109" spans="1:4" ht="12.75" customHeight="1" x14ac:dyDescent="0.25"/>
    <row r="110" spans="1:4" ht="12.75" customHeight="1" x14ac:dyDescent="0.25"/>
    <row r="111" spans="1:4" ht="12.75" customHeight="1" x14ac:dyDescent="0.25">
      <c r="A111" s="532"/>
    </row>
    <row r="112" spans="1:4"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sheetData>
  <mergeCells count="28">
    <mergeCell ref="A90:I90"/>
    <mergeCell ref="A91:I91"/>
    <mergeCell ref="E83:E85"/>
    <mergeCell ref="H15:H17"/>
    <mergeCell ref="A13:H13"/>
    <mergeCell ref="A81:I81"/>
    <mergeCell ref="A83:A85"/>
    <mergeCell ref="B83:B85"/>
    <mergeCell ref="F83:F85"/>
    <mergeCell ref="G83:G85"/>
    <mergeCell ref="H83:H85"/>
    <mergeCell ref="G15:G17"/>
    <mergeCell ref="A62:A63"/>
    <mergeCell ref="B62:D62"/>
    <mergeCell ref="E62:G62"/>
    <mergeCell ref="A61:G61"/>
    <mergeCell ref="A39:E39"/>
    <mergeCell ref="A38:E38"/>
    <mergeCell ref="A3:A5"/>
    <mergeCell ref="A6:A8"/>
    <mergeCell ref="A1:F1"/>
    <mergeCell ref="A37:E37"/>
    <mergeCell ref="D15:D17"/>
    <mergeCell ref="E15:E17"/>
    <mergeCell ref="B15:B17"/>
    <mergeCell ref="C15:C17"/>
    <mergeCell ref="A34:A36"/>
    <mergeCell ref="F15:F17"/>
  </mergeCells>
  <phoneticPr fontId="6"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8C5F2-9A92-4A60-BE5E-C43A3E0440EA}">
  <sheetPr codeName="Sheet7"/>
  <dimension ref="A1:S92"/>
  <sheetViews>
    <sheetView topLeftCell="B1" workbookViewId="0">
      <selection sqref="A1:S1"/>
    </sheetView>
  </sheetViews>
  <sheetFormatPr defaultRowHeight="14.4" x14ac:dyDescent="0.3"/>
  <cols>
    <col min="1" max="1" width="22.6640625" customWidth="1"/>
    <col min="2" max="2" width="23.88671875" customWidth="1"/>
    <col min="18" max="18" width="8.33203125" customWidth="1"/>
    <col min="19" max="19" width="37" customWidth="1"/>
  </cols>
  <sheetData>
    <row r="1" spans="1:19" ht="24" customHeight="1" x14ac:dyDescent="0.3">
      <c r="A1" s="857" t="str">
        <f>"Thermostat Setpoints - "&amp;Prototype!A2</f>
        <v>Thermostat Setpoints - OfficeLarge</v>
      </c>
      <c r="B1" s="857"/>
      <c r="C1" s="857"/>
      <c r="D1" s="857"/>
      <c r="E1" s="857"/>
      <c r="F1" s="857"/>
      <c r="G1" s="857"/>
      <c r="H1" s="857"/>
      <c r="I1" s="857"/>
      <c r="J1" s="857"/>
      <c r="K1" s="857"/>
      <c r="L1" s="857"/>
      <c r="M1" s="857"/>
      <c r="N1" s="857"/>
      <c r="O1" s="857"/>
      <c r="P1" s="857"/>
      <c r="Q1" s="857"/>
      <c r="R1" s="857"/>
      <c r="S1" s="857"/>
    </row>
    <row r="2" spans="1:19" ht="22.2" customHeight="1" x14ac:dyDescent="0.3">
      <c r="A2" s="96" t="s">
        <v>497</v>
      </c>
      <c r="B2" s="96" t="s">
        <v>498</v>
      </c>
      <c r="C2" s="97" t="s">
        <v>303</v>
      </c>
      <c r="D2" s="97" t="s">
        <v>304</v>
      </c>
      <c r="E2" s="97" t="s">
        <v>305</v>
      </c>
      <c r="F2" s="97" t="s">
        <v>306</v>
      </c>
      <c r="G2" s="97" t="s">
        <v>307</v>
      </c>
      <c r="H2" s="97" t="s">
        <v>308</v>
      </c>
      <c r="I2" s="97" t="s">
        <v>309</v>
      </c>
      <c r="J2" s="97" t="s">
        <v>310</v>
      </c>
      <c r="K2" s="97" t="s">
        <v>311</v>
      </c>
      <c r="L2" s="97" t="s">
        <v>312</v>
      </c>
      <c r="M2" s="97" t="s">
        <v>313</v>
      </c>
      <c r="N2" s="97" t="s">
        <v>314</v>
      </c>
      <c r="O2" s="97" t="s">
        <v>315</v>
      </c>
      <c r="P2" s="97" t="s">
        <v>316</v>
      </c>
      <c r="Q2" s="97" t="s">
        <v>317</v>
      </c>
      <c r="R2" s="97" t="s">
        <v>318</v>
      </c>
      <c r="S2" s="149" t="s">
        <v>372</v>
      </c>
    </row>
    <row r="3" spans="1:19" ht="22.2" customHeight="1" x14ac:dyDescent="0.3">
      <c r="A3" s="862" t="s">
        <v>499</v>
      </c>
      <c r="B3" s="534" t="s">
        <v>500</v>
      </c>
      <c r="C3" s="534">
        <v>70</v>
      </c>
      <c r="D3" s="534">
        <v>70</v>
      </c>
      <c r="E3" s="534">
        <v>70</v>
      </c>
      <c r="F3" s="534">
        <v>70</v>
      </c>
      <c r="G3" s="534">
        <v>70</v>
      </c>
      <c r="H3" s="534">
        <v>70</v>
      </c>
      <c r="I3" s="534">
        <v>70</v>
      </c>
      <c r="J3" s="534">
        <v>70</v>
      </c>
      <c r="K3" s="534">
        <v>70</v>
      </c>
      <c r="L3" s="534">
        <v>70</v>
      </c>
      <c r="M3" s="534">
        <v>70</v>
      </c>
      <c r="N3" s="534">
        <v>70</v>
      </c>
      <c r="O3" s="534">
        <v>70</v>
      </c>
      <c r="P3" s="534">
        <v>70</v>
      </c>
      <c r="Q3" s="534">
        <v>70</v>
      </c>
      <c r="R3" s="534">
        <v>70</v>
      </c>
      <c r="S3" s="862" t="s">
        <v>501</v>
      </c>
    </row>
    <row r="4" spans="1:19" ht="22.2" customHeight="1" x14ac:dyDescent="0.3">
      <c r="A4" s="863"/>
      <c r="B4" s="534" t="s">
        <v>502</v>
      </c>
      <c r="C4" s="534">
        <v>60</v>
      </c>
      <c r="D4" s="534">
        <v>60</v>
      </c>
      <c r="E4" s="534">
        <v>60</v>
      </c>
      <c r="F4" s="534">
        <v>60</v>
      </c>
      <c r="G4" s="534">
        <v>60</v>
      </c>
      <c r="H4" s="534">
        <v>60</v>
      </c>
      <c r="I4" s="534">
        <v>60</v>
      </c>
      <c r="J4" s="534">
        <v>60</v>
      </c>
      <c r="K4" s="534">
        <v>60</v>
      </c>
      <c r="L4" s="534">
        <v>60</v>
      </c>
      <c r="M4" s="534">
        <v>60</v>
      </c>
      <c r="N4" s="534">
        <v>60</v>
      </c>
      <c r="O4" s="534">
        <v>60</v>
      </c>
      <c r="P4" s="534">
        <v>60</v>
      </c>
      <c r="Q4" s="534">
        <v>60</v>
      </c>
      <c r="R4" s="534">
        <v>60</v>
      </c>
      <c r="S4" s="863"/>
    </row>
    <row r="5" spans="1:19" ht="22.2" customHeight="1" x14ac:dyDescent="0.3">
      <c r="A5" s="863"/>
      <c r="B5" s="534" t="s">
        <v>503</v>
      </c>
      <c r="C5" s="534">
        <v>75</v>
      </c>
      <c r="D5" s="534">
        <v>75</v>
      </c>
      <c r="E5" s="534">
        <v>75</v>
      </c>
      <c r="F5" s="534">
        <v>75</v>
      </c>
      <c r="G5" s="534">
        <v>75</v>
      </c>
      <c r="H5" s="534">
        <v>75</v>
      </c>
      <c r="I5" s="534">
        <v>75</v>
      </c>
      <c r="J5" s="534">
        <v>75</v>
      </c>
      <c r="K5" s="534">
        <v>75</v>
      </c>
      <c r="L5" s="534">
        <v>75</v>
      </c>
      <c r="M5" s="534">
        <v>75</v>
      </c>
      <c r="N5" s="534">
        <v>75</v>
      </c>
      <c r="O5" s="534">
        <v>75</v>
      </c>
      <c r="P5" s="534">
        <v>75</v>
      </c>
      <c r="Q5" s="534">
        <v>75</v>
      </c>
      <c r="R5" s="534">
        <v>75</v>
      </c>
      <c r="S5" s="863"/>
    </row>
    <row r="6" spans="1:19" ht="22.2" customHeight="1" x14ac:dyDescent="0.3">
      <c r="A6" s="864"/>
      <c r="B6" s="534" t="s">
        <v>504</v>
      </c>
      <c r="C6" s="174" t="s">
        <v>505</v>
      </c>
      <c r="D6" s="174">
        <v>85</v>
      </c>
      <c r="E6" s="174">
        <v>85</v>
      </c>
      <c r="F6" s="174">
        <v>85</v>
      </c>
      <c r="G6" s="174">
        <v>85</v>
      </c>
      <c r="H6" s="174">
        <v>85</v>
      </c>
      <c r="I6" s="174">
        <v>85</v>
      </c>
      <c r="J6" s="174">
        <v>85</v>
      </c>
      <c r="K6" s="174">
        <v>85</v>
      </c>
      <c r="L6" s="174">
        <v>85</v>
      </c>
      <c r="M6" s="174">
        <v>85</v>
      </c>
      <c r="N6" s="174">
        <v>85</v>
      </c>
      <c r="O6" s="174">
        <v>85</v>
      </c>
      <c r="P6" s="174">
        <v>85</v>
      </c>
      <c r="Q6" s="174">
        <v>85</v>
      </c>
      <c r="R6" s="174">
        <v>85</v>
      </c>
      <c r="S6" s="864"/>
    </row>
    <row r="7" spans="1:19" ht="22.95" customHeight="1" x14ac:dyDescent="0.3">
      <c r="A7" s="865" t="s">
        <v>506</v>
      </c>
      <c r="B7" s="534" t="s">
        <v>503</v>
      </c>
      <c r="C7" s="534">
        <v>80</v>
      </c>
      <c r="D7" s="534">
        <v>80</v>
      </c>
      <c r="E7" s="534">
        <v>80</v>
      </c>
      <c r="F7" s="534">
        <v>80</v>
      </c>
      <c r="G7" s="534">
        <v>80</v>
      </c>
      <c r="H7" s="534">
        <v>80</v>
      </c>
      <c r="I7" s="534">
        <v>80</v>
      </c>
      <c r="J7" s="534">
        <v>80</v>
      </c>
      <c r="K7" s="534">
        <v>80</v>
      </c>
      <c r="L7" s="534">
        <v>80</v>
      </c>
      <c r="M7" s="534">
        <v>80</v>
      </c>
      <c r="N7" s="534">
        <v>80</v>
      </c>
      <c r="O7" s="534">
        <v>80</v>
      </c>
      <c r="P7" s="534">
        <v>80</v>
      </c>
      <c r="Q7" s="534">
        <v>80</v>
      </c>
      <c r="R7" s="534">
        <v>80</v>
      </c>
      <c r="S7" s="862" t="s">
        <v>507</v>
      </c>
    </row>
    <row r="8" spans="1:19" ht="22.95" customHeight="1" x14ac:dyDescent="0.3">
      <c r="A8" s="866"/>
      <c r="B8" s="633" t="s">
        <v>500</v>
      </c>
      <c r="C8" s="867" t="s">
        <v>508</v>
      </c>
      <c r="D8" s="868"/>
      <c r="E8" s="868"/>
      <c r="F8" s="868"/>
      <c r="G8" s="868"/>
      <c r="H8" s="868"/>
      <c r="I8" s="868"/>
      <c r="J8" s="868"/>
      <c r="K8" s="868"/>
      <c r="L8" s="868"/>
      <c r="M8" s="868"/>
      <c r="N8" s="868"/>
      <c r="O8" s="868"/>
      <c r="P8" s="868"/>
      <c r="Q8" s="868"/>
      <c r="R8" s="869"/>
      <c r="S8" s="863"/>
    </row>
    <row r="9" spans="1:19" ht="22.95" customHeight="1" x14ac:dyDescent="0.3">
      <c r="A9" s="870" t="s">
        <v>509</v>
      </c>
      <c r="B9" s="534" t="s">
        <v>500</v>
      </c>
      <c r="C9" s="536">
        <v>60</v>
      </c>
      <c r="D9" s="536">
        <v>60</v>
      </c>
      <c r="E9" s="536">
        <v>60</v>
      </c>
      <c r="F9" s="536">
        <v>60</v>
      </c>
      <c r="G9" s="536">
        <v>60</v>
      </c>
      <c r="H9" s="536">
        <v>60</v>
      </c>
      <c r="I9" s="536">
        <v>60</v>
      </c>
      <c r="J9" s="536">
        <v>60</v>
      </c>
      <c r="K9" s="536">
        <v>60</v>
      </c>
      <c r="L9" s="536">
        <v>60</v>
      </c>
      <c r="M9" s="536">
        <v>60</v>
      </c>
      <c r="N9" s="536">
        <v>60</v>
      </c>
      <c r="O9" s="536">
        <v>60</v>
      </c>
      <c r="P9" s="536">
        <v>60</v>
      </c>
      <c r="Q9" s="536">
        <v>60</v>
      </c>
      <c r="R9" s="536">
        <v>60</v>
      </c>
      <c r="S9" s="870" t="s">
        <v>510</v>
      </c>
    </row>
    <row r="10" spans="1:19" ht="22.95" customHeight="1" x14ac:dyDescent="0.3">
      <c r="A10" s="871"/>
      <c r="B10" s="534" t="s">
        <v>502</v>
      </c>
      <c r="C10" s="536">
        <v>60</v>
      </c>
      <c r="D10" s="536">
        <v>60</v>
      </c>
      <c r="E10" s="536">
        <v>60</v>
      </c>
      <c r="F10" s="536">
        <v>60</v>
      </c>
      <c r="G10" s="536">
        <v>60</v>
      </c>
      <c r="H10" s="536">
        <v>60</v>
      </c>
      <c r="I10" s="536">
        <v>60</v>
      </c>
      <c r="J10" s="536">
        <v>60</v>
      </c>
      <c r="K10" s="536">
        <v>60</v>
      </c>
      <c r="L10" s="536">
        <v>60</v>
      </c>
      <c r="M10" s="536">
        <v>60</v>
      </c>
      <c r="N10" s="536">
        <v>60</v>
      </c>
      <c r="O10" s="536">
        <v>60</v>
      </c>
      <c r="P10" s="536">
        <v>60</v>
      </c>
      <c r="Q10" s="536">
        <v>60</v>
      </c>
      <c r="R10" s="536">
        <v>60</v>
      </c>
      <c r="S10" s="871"/>
    </row>
    <row r="11" spans="1:19" ht="22.95" customHeight="1" x14ac:dyDescent="0.3">
      <c r="A11" s="871"/>
      <c r="B11" s="534" t="s">
        <v>503</v>
      </c>
      <c r="C11" s="536">
        <v>85</v>
      </c>
      <c r="D11" s="536">
        <v>85</v>
      </c>
      <c r="E11" s="536">
        <v>85</v>
      </c>
      <c r="F11" s="536">
        <v>85</v>
      </c>
      <c r="G11" s="536">
        <v>85</v>
      </c>
      <c r="H11" s="536">
        <v>85</v>
      </c>
      <c r="I11" s="536">
        <v>85</v>
      </c>
      <c r="J11" s="536">
        <v>85</v>
      </c>
      <c r="K11" s="536">
        <v>85</v>
      </c>
      <c r="L11" s="536">
        <v>85</v>
      </c>
      <c r="M11" s="536">
        <v>85</v>
      </c>
      <c r="N11" s="536">
        <v>85</v>
      </c>
      <c r="O11" s="536">
        <v>85</v>
      </c>
      <c r="P11" s="536">
        <v>85</v>
      </c>
      <c r="Q11" s="536">
        <v>85</v>
      </c>
      <c r="R11" s="536">
        <v>85</v>
      </c>
      <c r="S11" s="871"/>
    </row>
    <row r="12" spans="1:19" ht="22.95" customHeight="1" x14ac:dyDescent="0.3">
      <c r="A12" s="872"/>
      <c r="B12" s="534" t="s">
        <v>504</v>
      </c>
      <c r="C12" s="536">
        <v>85</v>
      </c>
      <c r="D12" s="536">
        <v>85</v>
      </c>
      <c r="E12" s="536">
        <v>85</v>
      </c>
      <c r="F12" s="536">
        <v>85</v>
      </c>
      <c r="G12" s="536">
        <v>85</v>
      </c>
      <c r="H12" s="536">
        <v>85</v>
      </c>
      <c r="I12" s="536">
        <v>85</v>
      </c>
      <c r="J12" s="536">
        <v>85</v>
      </c>
      <c r="K12" s="536">
        <v>85</v>
      </c>
      <c r="L12" s="536">
        <v>85</v>
      </c>
      <c r="M12" s="536">
        <v>85</v>
      </c>
      <c r="N12" s="536">
        <v>85</v>
      </c>
      <c r="O12" s="536">
        <v>85</v>
      </c>
      <c r="P12" s="536">
        <v>85</v>
      </c>
      <c r="Q12" s="536">
        <v>85</v>
      </c>
      <c r="R12" s="536">
        <v>85</v>
      </c>
      <c r="S12" s="872"/>
    </row>
    <row r="13" spans="1:19" ht="22.95" customHeight="1" x14ac:dyDescent="0.3">
      <c r="A13" s="368"/>
      <c r="B13" s="71"/>
      <c r="C13" s="71"/>
      <c r="D13" s="71"/>
      <c r="E13" s="71"/>
      <c r="F13" s="71"/>
      <c r="G13" s="71"/>
      <c r="H13" s="71"/>
      <c r="I13" s="71"/>
      <c r="J13" s="71"/>
      <c r="K13" s="71"/>
      <c r="L13" s="71"/>
      <c r="M13" s="71"/>
      <c r="N13" s="71"/>
      <c r="O13" s="71"/>
      <c r="P13" s="71"/>
      <c r="Q13" s="71"/>
      <c r="R13" s="71"/>
      <c r="S13" s="369"/>
    </row>
    <row r="14" spans="1:19" ht="16.2" customHeight="1" x14ac:dyDescent="0.3">
      <c r="A14" s="94"/>
      <c r="B14" s="597" t="s">
        <v>511</v>
      </c>
      <c r="C14" s="597"/>
      <c r="D14" s="597"/>
      <c r="E14" s="597"/>
      <c r="F14" s="597"/>
      <c r="G14" s="597"/>
      <c r="H14" s="597"/>
      <c r="I14" s="597"/>
      <c r="J14" s="597"/>
      <c r="K14" s="597"/>
      <c r="L14" s="597"/>
      <c r="M14" s="597"/>
      <c r="N14" s="597"/>
      <c r="O14" s="597"/>
      <c r="P14" s="597"/>
      <c r="Q14" s="597"/>
    </row>
    <row r="15" spans="1:19" x14ac:dyDescent="0.3">
      <c r="A15" s="100"/>
      <c r="B15" s="597" t="s">
        <v>512</v>
      </c>
      <c r="C15" s="597"/>
      <c r="D15" s="597"/>
      <c r="E15" s="597"/>
      <c r="F15" s="597"/>
      <c r="G15" s="597"/>
      <c r="H15" s="597"/>
      <c r="I15" s="597"/>
      <c r="J15" s="597"/>
      <c r="K15" s="597"/>
      <c r="L15" s="597"/>
      <c r="M15" s="597"/>
      <c r="N15" s="597"/>
      <c r="O15" s="597"/>
      <c r="P15" s="597"/>
      <c r="Q15" s="597"/>
    </row>
    <row r="16" spans="1:19" x14ac:dyDescent="0.3">
      <c r="A16" s="50"/>
      <c r="B16" s="50"/>
      <c r="C16" s="50"/>
      <c r="D16" s="50"/>
      <c r="E16" s="50"/>
      <c r="F16" s="50"/>
      <c r="G16" s="50"/>
      <c r="H16" s="50"/>
      <c r="I16" s="50"/>
      <c r="J16" s="50"/>
      <c r="K16" s="50"/>
      <c r="L16" s="50"/>
      <c r="M16" s="50"/>
      <c r="N16" s="50"/>
      <c r="O16" s="50"/>
      <c r="P16" s="50"/>
      <c r="Q16" s="50"/>
    </row>
    <row r="17" spans="1:17" ht="15" customHeight="1" x14ac:dyDescent="0.3">
      <c r="A17" s="50"/>
      <c r="B17" s="50"/>
      <c r="C17" s="50"/>
      <c r="D17" s="50"/>
      <c r="E17" s="50"/>
      <c r="F17" s="50"/>
      <c r="G17" s="50"/>
      <c r="H17" s="50"/>
      <c r="I17" s="50"/>
      <c r="J17" s="50"/>
      <c r="K17" s="50"/>
      <c r="L17" s="50"/>
      <c r="M17" s="50"/>
      <c r="N17" s="50"/>
      <c r="O17" s="50"/>
      <c r="P17" s="50"/>
      <c r="Q17" s="50"/>
    </row>
    <row r="18" spans="1:17" ht="15" customHeight="1" x14ac:dyDescent="0.3">
      <c r="A18" s="50"/>
      <c r="B18" s="50"/>
      <c r="C18" s="50"/>
      <c r="D18" s="50"/>
      <c r="E18" s="50"/>
      <c r="F18" s="50"/>
      <c r="G18" s="50"/>
      <c r="H18" s="50"/>
      <c r="I18" s="50"/>
      <c r="J18" s="50"/>
      <c r="K18" s="50"/>
      <c r="L18" s="50"/>
      <c r="M18" s="50"/>
      <c r="N18" s="50"/>
      <c r="O18" s="50"/>
      <c r="Q18" s="50"/>
    </row>
    <row r="19" spans="1:17" ht="15" customHeight="1" x14ac:dyDescent="0.3">
      <c r="A19" s="50"/>
      <c r="B19" s="50"/>
      <c r="C19" s="50"/>
      <c r="D19" s="50"/>
      <c r="E19" s="50"/>
      <c r="F19" s="50"/>
      <c r="G19" s="50"/>
      <c r="H19" s="50"/>
      <c r="I19" s="50"/>
      <c r="J19" s="50"/>
      <c r="K19" s="50"/>
      <c r="L19" s="50"/>
      <c r="M19" s="50"/>
      <c r="N19" s="50"/>
      <c r="O19" s="50"/>
      <c r="P19" s="50"/>
      <c r="Q19" s="50"/>
    </row>
    <row r="20" spans="1:17" ht="15" customHeight="1" x14ac:dyDescent="0.3">
      <c r="A20" s="50"/>
      <c r="B20" s="50"/>
      <c r="C20" s="50"/>
      <c r="D20" s="50"/>
      <c r="E20" s="50"/>
      <c r="F20" s="50"/>
      <c r="G20" s="50"/>
      <c r="H20" s="50"/>
      <c r="I20" s="50"/>
      <c r="J20" s="50"/>
      <c r="K20" s="50"/>
      <c r="L20" s="50"/>
      <c r="M20" s="50"/>
      <c r="N20" s="50"/>
      <c r="O20" s="50"/>
      <c r="P20" s="50"/>
      <c r="Q20" s="50"/>
    </row>
    <row r="21" spans="1:17" ht="15" customHeight="1" x14ac:dyDescent="0.3"/>
    <row r="22" spans="1:17" s="21" customFormat="1" ht="13.2" hidden="1" x14ac:dyDescent="0.25">
      <c r="A22" s="21" t="s">
        <v>416</v>
      </c>
      <c r="E22" s="22"/>
      <c r="F22" s="23"/>
      <c r="G22" s="24"/>
    </row>
    <row r="23" spans="1:17" hidden="1" x14ac:dyDescent="0.3"/>
    <row r="24" spans="1:17" hidden="1" x14ac:dyDescent="0.3"/>
    <row r="25" spans="1:17" hidden="1" x14ac:dyDescent="0.3"/>
    <row r="26" spans="1:17" hidden="1" x14ac:dyDescent="0.3"/>
    <row r="27" spans="1:17" hidden="1" x14ac:dyDescent="0.3"/>
    <row r="28" spans="1:17" hidden="1" x14ac:dyDescent="0.3"/>
    <row r="29" spans="1:17" hidden="1" x14ac:dyDescent="0.3"/>
    <row r="30" spans="1:17" hidden="1" x14ac:dyDescent="0.3"/>
    <row r="31" spans="1:17" hidden="1" x14ac:dyDescent="0.3"/>
    <row r="32" spans="1:17" hidden="1" x14ac:dyDescent="0.3"/>
    <row r="33" spans="1:13" hidden="1" x14ac:dyDescent="0.3"/>
    <row r="34" spans="1:13" hidden="1" x14ac:dyDescent="0.3"/>
    <row r="35" spans="1:13" hidden="1" x14ac:dyDescent="0.3"/>
    <row r="36" spans="1:13" hidden="1" x14ac:dyDescent="0.3"/>
    <row r="37" spans="1:13" hidden="1" x14ac:dyDescent="0.3"/>
    <row r="38" spans="1:13" hidden="1" x14ac:dyDescent="0.3"/>
    <row r="39" spans="1:13" hidden="1" x14ac:dyDescent="0.3"/>
    <row r="40" spans="1:13" ht="18.600000000000001" hidden="1" customHeight="1" x14ac:dyDescent="0.3"/>
    <row r="41" spans="1:13" hidden="1" x14ac:dyDescent="0.3"/>
    <row r="42" spans="1:13" s="5" customFormat="1" ht="21" hidden="1" customHeight="1" x14ac:dyDescent="0.25">
      <c r="A42" s="858" t="s">
        <v>513</v>
      </c>
      <c r="B42" s="858"/>
      <c r="C42" s="858"/>
      <c r="D42" s="858"/>
      <c r="E42" s="858"/>
      <c r="F42" s="858"/>
      <c r="G42" s="858"/>
      <c r="H42" s="858"/>
      <c r="I42" s="858"/>
      <c r="J42" s="858"/>
      <c r="K42" s="858"/>
      <c r="L42" s="858"/>
      <c r="M42" s="858"/>
    </row>
    <row r="43" spans="1:13" s="5" customFormat="1" ht="13.2" hidden="1" customHeight="1" x14ac:dyDescent="0.25"/>
    <row r="44" spans="1:13" s="5" customFormat="1" ht="13.2" hidden="1" customHeight="1" x14ac:dyDescent="0.25"/>
    <row r="45" spans="1:13" s="5" customFormat="1" ht="13.2" hidden="1" customHeight="1" x14ac:dyDescent="0.25"/>
    <row r="46" spans="1:13" s="5" customFormat="1" ht="13.2" hidden="1" customHeight="1" x14ac:dyDescent="0.25"/>
    <row r="47" spans="1:13" s="5" customFormat="1" ht="13.2" hidden="1" customHeight="1" x14ac:dyDescent="0.25"/>
    <row r="48" spans="1:13" s="5" customFormat="1" ht="13.2" hidden="1" customHeight="1" x14ac:dyDescent="0.25"/>
    <row r="49" spans="2:17" s="5" customFormat="1" ht="13.2" hidden="1" customHeight="1" x14ac:dyDescent="0.25"/>
    <row r="50" spans="2:17" s="5" customFormat="1" ht="13.2" hidden="1" customHeight="1" x14ac:dyDescent="0.25"/>
    <row r="51" spans="2:17" s="5" customFormat="1" ht="13.2" hidden="1" customHeight="1" x14ac:dyDescent="0.25"/>
    <row r="52" spans="2:17" s="5" customFormat="1" ht="13.2" hidden="1" customHeight="1" x14ac:dyDescent="0.25"/>
    <row r="53" spans="2:17" s="5" customFormat="1" ht="13.2" hidden="1" customHeight="1" x14ac:dyDescent="0.25"/>
    <row r="54" spans="2:17" s="5" customFormat="1" ht="13.2" hidden="1" customHeight="1" x14ac:dyDescent="0.25"/>
    <row r="55" spans="2:17" s="5" customFormat="1" ht="13.2" hidden="1" customHeight="1" x14ac:dyDescent="0.25"/>
    <row r="56" spans="2:17" s="5" customFormat="1" ht="13.2" hidden="1" customHeight="1" x14ac:dyDescent="0.25"/>
    <row r="57" spans="2:17" s="5" customFormat="1" ht="13.2" hidden="1" customHeight="1" x14ac:dyDescent="0.25"/>
    <row r="58" spans="2:17" s="5" customFormat="1" ht="13.2" hidden="1" customHeight="1" x14ac:dyDescent="0.25"/>
    <row r="59" spans="2:17" s="5" customFormat="1" ht="13.2" hidden="1" customHeight="1" x14ac:dyDescent="0.25"/>
    <row r="60" spans="2:17" s="5" customFormat="1" ht="13.2" hidden="1" customHeight="1" x14ac:dyDescent="0.25"/>
    <row r="61" spans="2:17" hidden="1" x14ac:dyDescent="0.3"/>
    <row r="62" spans="2:17" hidden="1" x14ac:dyDescent="0.3"/>
    <row r="63" spans="2:17" ht="15.6" hidden="1" x14ac:dyDescent="0.3">
      <c r="B63" s="859" t="s">
        <v>514</v>
      </c>
      <c r="C63" s="859"/>
      <c r="D63" s="859"/>
      <c r="E63" s="859"/>
      <c r="F63" s="859"/>
      <c r="G63" s="859"/>
      <c r="H63" s="859"/>
      <c r="K63" s="860" t="s">
        <v>369</v>
      </c>
      <c r="L63" s="860"/>
      <c r="M63" s="860"/>
      <c r="N63" s="860"/>
      <c r="O63" s="860"/>
      <c r="P63" s="860"/>
      <c r="Q63" s="860"/>
    </row>
    <row r="64" spans="2:17" hidden="1" x14ac:dyDescent="0.3">
      <c r="B64" s="861" t="s">
        <v>515</v>
      </c>
      <c r="C64" s="861"/>
      <c r="D64" s="861"/>
      <c r="F64" s="861" t="s">
        <v>516</v>
      </c>
      <c r="G64" s="861"/>
      <c r="H64" s="861"/>
      <c r="K64" s="861" t="s">
        <v>515</v>
      </c>
      <c r="L64" s="861"/>
      <c r="M64" s="861"/>
      <c r="O64" s="861" t="s">
        <v>516</v>
      </c>
      <c r="P64" s="861"/>
      <c r="Q64" s="861"/>
    </row>
    <row r="65" spans="1:17" hidden="1" x14ac:dyDescent="0.3">
      <c r="B65" t="s">
        <v>517</v>
      </c>
      <c r="C65" t="s">
        <v>518</v>
      </c>
      <c r="D65" t="s">
        <v>519</v>
      </c>
      <c r="F65" t="s">
        <v>520</v>
      </c>
      <c r="G65" t="s">
        <v>521</v>
      </c>
      <c r="H65" t="s">
        <v>522</v>
      </c>
      <c r="K65" t="s">
        <v>517</v>
      </c>
      <c r="L65" t="s">
        <v>518</v>
      </c>
      <c r="M65" t="s">
        <v>519</v>
      </c>
      <c r="O65" t="s">
        <v>520</v>
      </c>
      <c r="P65" t="s">
        <v>521</v>
      </c>
      <c r="Q65" t="s">
        <v>522</v>
      </c>
    </row>
    <row r="66" spans="1:17" hidden="1" x14ac:dyDescent="0.3">
      <c r="A66">
        <v>1</v>
      </c>
      <c r="B66" s="2">
        <v>60</v>
      </c>
      <c r="C66" s="2">
        <v>60</v>
      </c>
      <c r="D66">
        <v>60</v>
      </c>
      <c r="F66">
        <v>60.08</v>
      </c>
      <c r="G66">
        <v>60.08</v>
      </c>
      <c r="H66">
        <v>60.08</v>
      </c>
      <c r="K66">
        <v>85</v>
      </c>
      <c r="L66">
        <v>85</v>
      </c>
      <c r="M66">
        <v>85</v>
      </c>
      <c r="O66">
        <v>80.06</v>
      </c>
      <c r="P66">
        <v>80.06</v>
      </c>
      <c r="Q66">
        <v>80.06</v>
      </c>
    </row>
    <row r="67" spans="1:17" hidden="1" x14ac:dyDescent="0.3">
      <c r="A67">
        <v>2</v>
      </c>
      <c r="B67" s="2">
        <v>60</v>
      </c>
      <c r="C67" s="2">
        <v>60</v>
      </c>
      <c r="D67">
        <v>60</v>
      </c>
      <c r="F67">
        <v>60.08</v>
      </c>
      <c r="G67">
        <v>60.08</v>
      </c>
      <c r="H67">
        <v>60.08</v>
      </c>
      <c r="K67">
        <v>85</v>
      </c>
      <c r="L67">
        <v>85</v>
      </c>
      <c r="M67">
        <v>85</v>
      </c>
      <c r="O67">
        <v>80.06</v>
      </c>
      <c r="P67">
        <v>80.06</v>
      </c>
      <c r="Q67">
        <v>80.06</v>
      </c>
    </row>
    <row r="68" spans="1:17" hidden="1" x14ac:dyDescent="0.3">
      <c r="A68">
        <v>3</v>
      </c>
      <c r="B68" s="2">
        <v>60</v>
      </c>
      <c r="C68" s="2">
        <v>60</v>
      </c>
      <c r="D68">
        <v>60</v>
      </c>
      <c r="F68">
        <v>60.08</v>
      </c>
      <c r="G68">
        <v>60.08</v>
      </c>
      <c r="H68">
        <v>60.08</v>
      </c>
      <c r="K68">
        <v>85</v>
      </c>
      <c r="L68">
        <v>85</v>
      </c>
      <c r="M68">
        <v>85</v>
      </c>
      <c r="O68">
        <v>80.06</v>
      </c>
      <c r="P68">
        <v>80.06</v>
      </c>
      <c r="Q68">
        <v>80.06</v>
      </c>
    </row>
    <row r="69" spans="1:17" hidden="1" x14ac:dyDescent="0.3">
      <c r="A69">
        <v>4</v>
      </c>
      <c r="B69" s="2">
        <v>60</v>
      </c>
      <c r="C69" s="2">
        <v>60</v>
      </c>
      <c r="D69">
        <v>60</v>
      </c>
      <c r="F69">
        <v>60.08</v>
      </c>
      <c r="G69">
        <v>60.08</v>
      </c>
      <c r="H69">
        <v>60.08</v>
      </c>
      <c r="K69">
        <v>85</v>
      </c>
      <c r="L69">
        <v>85</v>
      </c>
      <c r="M69">
        <v>85</v>
      </c>
      <c r="O69">
        <v>80.06</v>
      </c>
      <c r="P69">
        <v>80.06</v>
      </c>
      <c r="Q69">
        <v>80.06</v>
      </c>
    </row>
    <row r="70" spans="1:17" hidden="1" x14ac:dyDescent="0.3">
      <c r="A70">
        <v>5</v>
      </c>
      <c r="B70" s="2">
        <v>60</v>
      </c>
      <c r="C70" s="2">
        <v>60</v>
      </c>
      <c r="D70">
        <v>60</v>
      </c>
      <c r="F70">
        <v>60.08</v>
      </c>
      <c r="G70">
        <v>60.08</v>
      </c>
      <c r="H70">
        <v>60.08</v>
      </c>
      <c r="K70">
        <v>85</v>
      </c>
      <c r="L70">
        <v>85</v>
      </c>
      <c r="M70">
        <v>85</v>
      </c>
      <c r="O70">
        <v>80.06</v>
      </c>
      <c r="P70">
        <v>80.06</v>
      </c>
      <c r="Q70">
        <v>80.06</v>
      </c>
    </row>
    <row r="71" spans="1:17" hidden="1" x14ac:dyDescent="0.3">
      <c r="A71">
        <v>6</v>
      </c>
      <c r="B71" s="2">
        <v>70</v>
      </c>
      <c r="C71" s="2">
        <v>70</v>
      </c>
      <c r="D71">
        <v>60</v>
      </c>
      <c r="F71">
        <v>64.039999999999992</v>
      </c>
      <c r="G71">
        <v>64.039999999999992</v>
      </c>
      <c r="H71">
        <v>60.08</v>
      </c>
      <c r="K71">
        <v>75</v>
      </c>
      <c r="L71">
        <v>75</v>
      </c>
      <c r="M71">
        <v>85</v>
      </c>
      <c r="O71">
        <v>78.080000000000013</v>
      </c>
      <c r="P71">
        <v>78.259999999999991</v>
      </c>
      <c r="Q71">
        <v>80.06</v>
      </c>
    </row>
    <row r="72" spans="1:17" hidden="1" x14ac:dyDescent="0.3">
      <c r="A72">
        <v>7</v>
      </c>
      <c r="B72" s="2">
        <v>70</v>
      </c>
      <c r="C72" s="2">
        <v>70</v>
      </c>
      <c r="D72">
        <v>60</v>
      </c>
      <c r="F72">
        <v>68</v>
      </c>
      <c r="G72">
        <v>68</v>
      </c>
      <c r="H72">
        <v>60.08</v>
      </c>
      <c r="K72">
        <v>75</v>
      </c>
      <c r="L72">
        <v>75</v>
      </c>
      <c r="M72">
        <v>85</v>
      </c>
      <c r="O72">
        <v>77</v>
      </c>
      <c r="P72">
        <v>77</v>
      </c>
      <c r="Q72">
        <v>80.06</v>
      </c>
    </row>
    <row r="73" spans="1:17" hidden="1" x14ac:dyDescent="0.3">
      <c r="A73">
        <v>8</v>
      </c>
      <c r="B73" s="2">
        <v>70</v>
      </c>
      <c r="C73" s="2">
        <v>70</v>
      </c>
      <c r="D73">
        <v>60</v>
      </c>
      <c r="F73">
        <v>69.800000000000011</v>
      </c>
      <c r="G73">
        <v>69.800000000000011</v>
      </c>
      <c r="H73">
        <v>60.08</v>
      </c>
      <c r="K73">
        <v>75</v>
      </c>
      <c r="L73">
        <v>75</v>
      </c>
      <c r="M73">
        <v>85</v>
      </c>
      <c r="O73">
        <v>75.2</v>
      </c>
      <c r="P73">
        <v>75.2</v>
      </c>
      <c r="Q73">
        <v>80.06</v>
      </c>
    </row>
    <row r="74" spans="1:17" hidden="1" x14ac:dyDescent="0.3">
      <c r="A74">
        <v>9</v>
      </c>
      <c r="B74" s="2">
        <v>70</v>
      </c>
      <c r="C74" s="2">
        <v>70</v>
      </c>
      <c r="D74">
        <v>60</v>
      </c>
      <c r="F74">
        <v>69.800000000000011</v>
      </c>
      <c r="G74">
        <v>69.800000000000011</v>
      </c>
      <c r="H74">
        <v>60.08</v>
      </c>
      <c r="K74">
        <v>75</v>
      </c>
      <c r="L74">
        <v>75</v>
      </c>
      <c r="M74">
        <v>85</v>
      </c>
      <c r="O74">
        <v>75.2</v>
      </c>
      <c r="P74">
        <v>75.2</v>
      </c>
      <c r="Q74">
        <v>80.06</v>
      </c>
    </row>
    <row r="75" spans="1:17" hidden="1" x14ac:dyDescent="0.3">
      <c r="A75">
        <v>10</v>
      </c>
      <c r="B75" s="2">
        <v>70</v>
      </c>
      <c r="C75" s="2">
        <v>70</v>
      </c>
      <c r="D75">
        <v>60</v>
      </c>
      <c r="F75">
        <v>69.800000000000011</v>
      </c>
      <c r="G75">
        <v>69.800000000000011</v>
      </c>
      <c r="H75">
        <v>60.08</v>
      </c>
      <c r="K75">
        <v>75</v>
      </c>
      <c r="L75">
        <v>75</v>
      </c>
      <c r="M75">
        <v>85</v>
      </c>
      <c r="O75">
        <v>75.2</v>
      </c>
      <c r="P75">
        <v>75.2</v>
      </c>
      <c r="Q75">
        <v>80.06</v>
      </c>
    </row>
    <row r="76" spans="1:17" hidden="1" x14ac:dyDescent="0.3">
      <c r="A76">
        <v>11</v>
      </c>
      <c r="B76" s="2">
        <v>70</v>
      </c>
      <c r="C76" s="2">
        <v>70</v>
      </c>
      <c r="D76">
        <v>60</v>
      </c>
      <c r="F76">
        <v>69.800000000000011</v>
      </c>
      <c r="G76">
        <v>69.800000000000011</v>
      </c>
      <c r="H76">
        <v>60.08</v>
      </c>
      <c r="K76">
        <v>75</v>
      </c>
      <c r="L76">
        <v>75</v>
      </c>
      <c r="M76">
        <v>85</v>
      </c>
      <c r="O76">
        <v>75.2</v>
      </c>
      <c r="P76">
        <v>75.2</v>
      </c>
      <c r="Q76">
        <v>80.06</v>
      </c>
    </row>
    <row r="77" spans="1:17" hidden="1" x14ac:dyDescent="0.3">
      <c r="A77">
        <v>12</v>
      </c>
      <c r="B77" s="2">
        <v>70</v>
      </c>
      <c r="C77" s="2">
        <v>70</v>
      </c>
      <c r="D77">
        <v>60</v>
      </c>
      <c r="F77">
        <v>69.800000000000011</v>
      </c>
      <c r="G77">
        <v>69.800000000000011</v>
      </c>
      <c r="H77">
        <v>60.08</v>
      </c>
      <c r="K77">
        <v>75</v>
      </c>
      <c r="L77">
        <v>75</v>
      </c>
      <c r="M77">
        <v>85</v>
      </c>
      <c r="O77">
        <v>75.2</v>
      </c>
      <c r="P77">
        <v>75.2</v>
      </c>
      <c r="Q77">
        <v>80.06</v>
      </c>
    </row>
    <row r="78" spans="1:17" hidden="1" x14ac:dyDescent="0.3">
      <c r="A78">
        <v>13</v>
      </c>
      <c r="B78" s="2">
        <v>70</v>
      </c>
      <c r="C78" s="2">
        <v>70</v>
      </c>
      <c r="D78">
        <v>60</v>
      </c>
      <c r="F78">
        <v>69.800000000000011</v>
      </c>
      <c r="G78">
        <v>69.800000000000011</v>
      </c>
      <c r="H78">
        <v>60.08</v>
      </c>
      <c r="K78">
        <v>75</v>
      </c>
      <c r="L78">
        <v>75</v>
      </c>
      <c r="M78">
        <v>85</v>
      </c>
      <c r="O78">
        <v>75.2</v>
      </c>
      <c r="P78">
        <v>75.2</v>
      </c>
      <c r="Q78">
        <v>80.06</v>
      </c>
    </row>
    <row r="79" spans="1:17" hidden="1" x14ac:dyDescent="0.3">
      <c r="A79">
        <v>14</v>
      </c>
      <c r="B79" s="2">
        <v>70</v>
      </c>
      <c r="C79" s="2">
        <v>70</v>
      </c>
      <c r="D79">
        <v>60</v>
      </c>
      <c r="F79">
        <v>69.800000000000011</v>
      </c>
      <c r="G79">
        <v>69.800000000000011</v>
      </c>
      <c r="H79">
        <v>60.08</v>
      </c>
      <c r="K79">
        <v>75</v>
      </c>
      <c r="L79">
        <v>75</v>
      </c>
      <c r="M79">
        <v>85</v>
      </c>
      <c r="O79">
        <v>75.2</v>
      </c>
      <c r="P79">
        <v>75.2</v>
      </c>
      <c r="Q79">
        <v>80.06</v>
      </c>
    </row>
    <row r="80" spans="1:17" hidden="1" x14ac:dyDescent="0.3">
      <c r="A80">
        <v>15</v>
      </c>
      <c r="B80" s="2">
        <v>70</v>
      </c>
      <c r="C80" s="2">
        <v>70</v>
      </c>
      <c r="D80">
        <v>60</v>
      </c>
      <c r="F80">
        <v>69.800000000000011</v>
      </c>
      <c r="G80">
        <v>69.800000000000011</v>
      </c>
      <c r="H80">
        <v>60.08</v>
      </c>
      <c r="K80">
        <v>75</v>
      </c>
      <c r="L80">
        <v>75</v>
      </c>
      <c r="M80">
        <v>85</v>
      </c>
      <c r="O80">
        <v>75.2</v>
      </c>
      <c r="P80">
        <v>75.2</v>
      </c>
      <c r="Q80">
        <v>80.06</v>
      </c>
    </row>
    <row r="81" spans="1:17" hidden="1" x14ac:dyDescent="0.3">
      <c r="A81">
        <v>16</v>
      </c>
      <c r="B81" s="2">
        <v>70</v>
      </c>
      <c r="C81" s="2">
        <v>70</v>
      </c>
      <c r="D81">
        <v>60</v>
      </c>
      <c r="F81">
        <v>69.800000000000011</v>
      </c>
      <c r="G81">
        <v>69.800000000000011</v>
      </c>
      <c r="H81">
        <v>60.08</v>
      </c>
      <c r="K81">
        <v>75</v>
      </c>
      <c r="L81">
        <v>75</v>
      </c>
      <c r="M81">
        <v>85</v>
      </c>
      <c r="O81">
        <v>75.2</v>
      </c>
      <c r="P81">
        <v>75.2</v>
      </c>
      <c r="Q81">
        <v>80.06</v>
      </c>
    </row>
    <row r="82" spans="1:17" hidden="1" x14ac:dyDescent="0.3">
      <c r="A82">
        <v>17</v>
      </c>
      <c r="B82" s="2">
        <v>70</v>
      </c>
      <c r="C82" s="2">
        <v>70</v>
      </c>
      <c r="D82">
        <v>60</v>
      </c>
      <c r="F82">
        <v>69.800000000000011</v>
      </c>
      <c r="G82">
        <v>69.800000000000011</v>
      </c>
      <c r="H82">
        <v>60.08</v>
      </c>
      <c r="K82">
        <v>75</v>
      </c>
      <c r="L82">
        <v>75</v>
      </c>
      <c r="M82">
        <v>85</v>
      </c>
      <c r="O82">
        <v>75.2</v>
      </c>
      <c r="P82">
        <v>75.2</v>
      </c>
      <c r="Q82">
        <v>80.06</v>
      </c>
    </row>
    <row r="83" spans="1:17" hidden="1" x14ac:dyDescent="0.3">
      <c r="A83">
        <v>18</v>
      </c>
      <c r="B83" s="2">
        <v>70</v>
      </c>
      <c r="C83" s="2">
        <v>70</v>
      </c>
      <c r="D83">
        <v>60</v>
      </c>
      <c r="F83">
        <v>69.800000000000011</v>
      </c>
      <c r="G83">
        <v>60.08</v>
      </c>
      <c r="H83">
        <v>60.08</v>
      </c>
      <c r="K83">
        <v>75</v>
      </c>
      <c r="L83">
        <v>75</v>
      </c>
      <c r="M83">
        <v>85</v>
      </c>
      <c r="O83">
        <v>75.2</v>
      </c>
      <c r="P83">
        <v>80.06</v>
      </c>
      <c r="Q83">
        <v>80.06</v>
      </c>
    </row>
    <row r="84" spans="1:17" hidden="1" x14ac:dyDescent="0.3">
      <c r="A84">
        <v>19</v>
      </c>
      <c r="B84" s="2">
        <v>70</v>
      </c>
      <c r="C84" s="2">
        <v>70</v>
      </c>
      <c r="D84">
        <v>60</v>
      </c>
      <c r="F84">
        <v>69.800000000000011</v>
      </c>
      <c r="G84">
        <v>60.08</v>
      </c>
      <c r="H84">
        <v>60.08</v>
      </c>
      <c r="K84">
        <v>75</v>
      </c>
      <c r="L84">
        <v>75</v>
      </c>
      <c r="M84">
        <v>85</v>
      </c>
      <c r="O84">
        <v>75.2</v>
      </c>
      <c r="P84">
        <v>80.06</v>
      </c>
      <c r="Q84">
        <v>80.06</v>
      </c>
    </row>
    <row r="85" spans="1:17" hidden="1" x14ac:dyDescent="0.3">
      <c r="A85">
        <v>20</v>
      </c>
      <c r="B85" s="2">
        <v>70</v>
      </c>
      <c r="C85" s="2">
        <v>60</v>
      </c>
      <c r="D85">
        <v>60</v>
      </c>
      <c r="F85">
        <v>69.800000000000011</v>
      </c>
      <c r="G85">
        <v>60.08</v>
      </c>
      <c r="H85">
        <v>60.08</v>
      </c>
      <c r="K85">
        <v>75</v>
      </c>
      <c r="L85">
        <v>85</v>
      </c>
      <c r="M85">
        <v>85</v>
      </c>
      <c r="O85">
        <v>75.2</v>
      </c>
      <c r="P85">
        <v>80.06</v>
      </c>
      <c r="Q85">
        <v>80.06</v>
      </c>
    </row>
    <row r="86" spans="1:17" hidden="1" x14ac:dyDescent="0.3">
      <c r="A86">
        <v>21</v>
      </c>
      <c r="B86" s="2">
        <v>70</v>
      </c>
      <c r="C86" s="2">
        <v>60</v>
      </c>
      <c r="D86">
        <v>60</v>
      </c>
      <c r="F86">
        <v>69.800000000000011</v>
      </c>
      <c r="G86">
        <v>60.08</v>
      </c>
      <c r="H86">
        <v>60.08</v>
      </c>
      <c r="K86">
        <v>75</v>
      </c>
      <c r="L86">
        <v>85</v>
      </c>
      <c r="M86">
        <v>85</v>
      </c>
      <c r="O86">
        <v>75.2</v>
      </c>
      <c r="P86">
        <v>80.06</v>
      </c>
      <c r="Q86">
        <v>80.06</v>
      </c>
    </row>
    <row r="87" spans="1:17" hidden="1" x14ac:dyDescent="0.3">
      <c r="A87">
        <v>22</v>
      </c>
      <c r="B87" s="2">
        <v>70</v>
      </c>
      <c r="C87" s="2">
        <v>60</v>
      </c>
      <c r="D87">
        <v>60</v>
      </c>
      <c r="F87">
        <v>69.800000000000011</v>
      </c>
      <c r="G87">
        <v>60.08</v>
      </c>
      <c r="H87">
        <v>60.08</v>
      </c>
      <c r="K87">
        <v>75</v>
      </c>
      <c r="L87">
        <v>85</v>
      </c>
      <c r="M87">
        <v>85</v>
      </c>
      <c r="O87">
        <v>75.2</v>
      </c>
      <c r="P87">
        <v>80.06</v>
      </c>
      <c r="Q87">
        <v>80.06</v>
      </c>
    </row>
    <row r="88" spans="1:17" hidden="1" x14ac:dyDescent="0.3">
      <c r="A88">
        <v>23</v>
      </c>
      <c r="B88" s="2">
        <v>70</v>
      </c>
      <c r="C88" s="2">
        <v>60</v>
      </c>
      <c r="D88">
        <v>60</v>
      </c>
      <c r="F88">
        <v>60.08</v>
      </c>
      <c r="G88">
        <v>60.08</v>
      </c>
      <c r="H88">
        <v>60.08</v>
      </c>
      <c r="K88">
        <v>75</v>
      </c>
      <c r="L88">
        <v>85</v>
      </c>
      <c r="M88">
        <v>85</v>
      </c>
      <c r="O88">
        <v>80.06</v>
      </c>
      <c r="P88">
        <v>80.06</v>
      </c>
      <c r="Q88">
        <v>80.06</v>
      </c>
    </row>
    <row r="89" spans="1:17" hidden="1" x14ac:dyDescent="0.3">
      <c r="A89">
        <v>24</v>
      </c>
      <c r="B89" s="2">
        <v>70</v>
      </c>
      <c r="C89" s="2">
        <v>60</v>
      </c>
      <c r="D89">
        <v>60</v>
      </c>
      <c r="F89">
        <v>60.08</v>
      </c>
      <c r="G89">
        <v>60.08</v>
      </c>
      <c r="H89">
        <v>60.08</v>
      </c>
      <c r="K89">
        <v>75</v>
      </c>
      <c r="L89">
        <v>85</v>
      </c>
      <c r="M89">
        <v>85</v>
      </c>
      <c r="O89">
        <v>80.06</v>
      </c>
      <c r="P89">
        <v>80.06</v>
      </c>
      <c r="Q89">
        <v>80.06</v>
      </c>
    </row>
    <row r="90" spans="1:17" hidden="1" x14ac:dyDescent="0.3"/>
    <row r="91" spans="1:17" hidden="1" x14ac:dyDescent="0.3"/>
    <row r="92" spans="1:17" hidden="1" x14ac:dyDescent="0.3"/>
  </sheetData>
  <mergeCells count="15">
    <mergeCell ref="A1:S1"/>
    <mergeCell ref="A42:M42"/>
    <mergeCell ref="B63:H63"/>
    <mergeCell ref="K63:Q63"/>
    <mergeCell ref="B64:D64"/>
    <mergeCell ref="F64:H64"/>
    <mergeCell ref="K64:M64"/>
    <mergeCell ref="O64:Q64"/>
    <mergeCell ref="S3:S6"/>
    <mergeCell ref="S7:S8"/>
    <mergeCell ref="A3:A6"/>
    <mergeCell ref="A7:A8"/>
    <mergeCell ref="C8:R8"/>
    <mergeCell ref="A9:A12"/>
    <mergeCell ref="S9:S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Q92"/>
  <sheetViews>
    <sheetView topLeftCell="B1" zoomScale="85" zoomScaleNormal="85" workbookViewId="0">
      <selection sqref="A1:K1"/>
    </sheetView>
  </sheetViews>
  <sheetFormatPr defaultColWidth="9.33203125" defaultRowHeight="13.8" x14ac:dyDescent="0.25"/>
  <cols>
    <col min="1" max="1" width="36" style="60" customWidth="1"/>
    <col min="2" max="2" width="14.33203125" style="60" customWidth="1"/>
    <col min="3" max="3" width="14" style="60" customWidth="1"/>
    <col min="4" max="4" width="26.44140625" style="60" customWidth="1"/>
    <col min="5" max="5" width="26.109375" style="60" customWidth="1"/>
    <col min="6" max="6" width="32.5546875" style="60" customWidth="1"/>
    <col min="7" max="7" width="16.88671875" style="60" customWidth="1"/>
    <col min="8" max="8" width="15.6640625" style="60" customWidth="1"/>
    <col min="9" max="9" width="16.6640625" style="60" customWidth="1"/>
    <col min="10" max="10" width="20.33203125" style="60" customWidth="1"/>
    <col min="11" max="11" width="63.33203125" style="359" customWidth="1"/>
    <col min="12" max="12" width="30" style="60" customWidth="1"/>
    <col min="13" max="13" width="30.44140625" style="60" customWidth="1"/>
    <col min="14" max="14" width="12.33203125" style="60" customWidth="1"/>
    <col min="15" max="15" width="13.6640625" style="60" customWidth="1"/>
    <col min="16" max="16" width="11.6640625" style="60" customWidth="1"/>
    <col min="17" max="17" width="13.6640625" style="60" customWidth="1"/>
    <col min="18" max="18" width="12.33203125" style="60" customWidth="1"/>
    <col min="19" max="19" width="13.6640625" style="60" customWidth="1"/>
    <col min="20" max="20" width="12.33203125" style="60" customWidth="1"/>
    <col min="21" max="21" width="13.6640625" style="60" customWidth="1"/>
    <col min="22" max="22" width="11.6640625" style="60" customWidth="1"/>
    <col min="23" max="24" width="10.6640625" style="60" customWidth="1"/>
    <col min="25" max="25" width="9.33203125" style="60"/>
    <col min="26" max="30" width="11.33203125" style="60" customWidth="1"/>
    <col min="31" max="16384" width="9.33203125" style="60"/>
  </cols>
  <sheetData>
    <row r="1" spans="1:17" ht="24.6" customHeight="1" x14ac:dyDescent="0.25">
      <c r="A1" s="873" t="str">
        <f>"Outdoor Airflow Rate - "&amp;Prototype!A2</f>
        <v>Outdoor Airflow Rate - OfficeLarge</v>
      </c>
      <c r="B1" s="874"/>
      <c r="C1" s="874"/>
      <c r="D1" s="874"/>
      <c r="E1" s="874"/>
      <c r="F1" s="874"/>
      <c r="G1" s="874"/>
      <c r="H1" s="874"/>
      <c r="I1" s="874"/>
      <c r="J1" s="874"/>
      <c r="K1" s="875"/>
      <c r="L1" s="3"/>
      <c r="M1" s="3"/>
      <c r="N1" s="3"/>
      <c r="O1" s="3"/>
      <c r="P1" s="3"/>
      <c r="Q1" s="3"/>
    </row>
    <row r="2" spans="1:17" ht="40.200000000000003" customHeight="1" x14ac:dyDescent="0.25">
      <c r="A2" s="376" t="s">
        <v>523</v>
      </c>
      <c r="B2" s="239" t="s">
        <v>136</v>
      </c>
      <c r="C2" s="240" t="s">
        <v>524</v>
      </c>
      <c r="D2" s="241" t="s">
        <v>525</v>
      </c>
      <c r="E2" s="241" t="s">
        <v>526</v>
      </c>
      <c r="F2" s="241" t="s">
        <v>527</v>
      </c>
      <c r="G2" s="241" t="s">
        <v>528</v>
      </c>
      <c r="H2" s="241" t="s">
        <v>529</v>
      </c>
      <c r="I2" s="241" t="s">
        <v>530</v>
      </c>
      <c r="J2" s="238" t="s">
        <v>531</v>
      </c>
      <c r="K2" s="634" t="s">
        <v>347</v>
      </c>
      <c r="L2" s="3"/>
      <c r="M2" s="172"/>
      <c r="N2" s="27"/>
      <c r="O2" s="172"/>
      <c r="P2" s="27"/>
      <c r="Q2" s="172"/>
    </row>
    <row r="3" spans="1:17" ht="16.95" customHeight="1" x14ac:dyDescent="0.25">
      <c r="A3" s="377" t="str">
        <f>Zones!B3</f>
        <v>Perimeter_Open_Office_N_Basement</v>
      </c>
      <c r="B3" s="130">
        <f>Zones!L3</f>
        <v>42.084300000000006</v>
      </c>
      <c r="C3" s="131">
        <f>Zones!I3</f>
        <v>8416.86</v>
      </c>
      <c r="D3" s="506">
        <v>15</v>
      </c>
      <c r="E3" s="506">
        <v>0.15</v>
      </c>
      <c r="F3" s="151"/>
      <c r="G3" s="49">
        <f t="shared" ref="G3:H3" si="0">B3*D3</f>
        <v>631.26450000000011</v>
      </c>
      <c r="H3" s="49">
        <f t="shared" si="0"/>
        <v>1262.529</v>
      </c>
      <c r="I3" s="49"/>
      <c r="J3" s="155">
        <f>MAX(G3:I3)</f>
        <v>1262.529</v>
      </c>
      <c r="K3" s="427" t="s">
        <v>532</v>
      </c>
      <c r="L3" s="3"/>
      <c r="M3" s="6"/>
      <c r="N3" s="173"/>
      <c r="O3" s="173"/>
      <c r="P3" s="4"/>
      <c r="Q3" s="4"/>
    </row>
    <row r="4" spans="1:17" ht="16.95" customHeight="1" x14ac:dyDescent="0.25">
      <c r="A4" s="377" t="str">
        <f>Zones!B4</f>
        <v>Perimeter_Open_Office_S_Basement</v>
      </c>
      <c r="B4" s="130">
        <f>Zones!L4</f>
        <v>18.310899999999997</v>
      </c>
      <c r="C4" s="131">
        <f>Zones!I4</f>
        <v>3662.18</v>
      </c>
      <c r="D4" s="506">
        <v>15</v>
      </c>
      <c r="E4" s="506">
        <v>0.15</v>
      </c>
      <c r="F4" s="151"/>
      <c r="G4" s="49">
        <f t="shared" ref="G4:G16" si="1">B4*D4</f>
        <v>274.66349999999994</v>
      </c>
      <c r="H4" s="49">
        <f t="shared" ref="H4:H16" si="2">C4*E4</f>
        <v>549.327</v>
      </c>
      <c r="I4" s="151"/>
      <c r="J4" s="155">
        <f t="shared" ref="J4:J67" si="3">MAX(G4:I4)</f>
        <v>549.327</v>
      </c>
      <c r="K4" s="427" t="s">
        <v>532</v>
      </c>
      <c r="L4" s="3"/>
      <c r="M4" s="6"/>
      <c r="N4" s="173"/>
      <c r="O4" s="173"/>
      <c r="P4" s="4"/>
      <c r="Q4" s="4"/>
    </row>
    <row r="5" spans="1:17" ht="16.95" customHeight="1" x14ac:dyDescent="0.25">
      <c r="A5" s="377" t="str">
        <f>Zones!B5</f>
        <v>Core_Enclosed_Office_Basement</v>
      </c>
      <c r="B5" s="130">
        <f>Zones!L5</f>
        <v>18.518399999999996</v>
      </c>
      <c r="C5" s="131">
        <f>Zones!I5</f>
        <v>3703.68</v>
      </c>
      <c r="D5" s="506">
        <v>15</v>
      </c>
      <c r="E5" s="506">
        <v>0.15</v>
      </c>
      <c r="F5" s="151"/>
      <c r="G5" s="49">
        <f t="shared" si="1"/>
        <v>277.77599999999995</v>
      </c>
      <c r="H5" s="49">
        <f t="shared" si="2"/>
        <v>555.55199999999991</v>
      </c>
      <c r="I5" s="151"/>
      <c r="J5" s="155">
        <f t="shared" si="3"/>
        <v>555.55199999999991</v>
      </c>
      <c r="K5" s="427" t="s">
        <v>532</v>
      </c>
      <c r="L5" s="3"/>
      <c r="M5" s="6"/>
      <c r="N5" s="173"/>
      <c r="O5" s="173"/>
      <c r="P5" s="4"/>
      <c r="Q5" s="4"/>
    </row>
    <row r="6" spans="1:17" ht="16.95" customHeight="1" x14ac:dyDescent="0.25">
      <c r="A6" s="377" t="str">
        <f>Zones!B6</f>
        <v>Server_Room_Basement</v>
      </c>
      <c r="B6" s="130">
        <f>Zones!L6</f>
        <v>41.14</v>
      </c>
      <c r="C6" s="131">
        <f>Zones!I6</f>
        <v>8228</v>
      </c>
      <c r="D6" s="506">
        <v>15</v>
      </c>
      <c r="E6" s="506">
        <v>0.15</v>
      </c>
      <c r="F6" s="151"/>
      <c r="G6" s="49">
        <f t="shared" si="1"/>
        <v>617.1</v>
      </c>
      <c r="H6" s="49">
        <f t="shared" si="2"/>
        <v>1234.2</v>
      </c>
      <c r="I6" s="151"/>
      <c r="J6" s="155">
        <f t="shared" si="3"/>
        <v>1234.2</v>
      </c>
      <c r="K6" s="428" t="s">
        <v>533</v>
      </c>
      <c r="L6" s="3"/>
      <c r="M6" s="6"/>
      <c r="N6" s="173"/>
      <c r="O6" s="173"/>
      <c r="P6" s="4"/>
      <c r="Q6" s="4"/>
    </row>
    <row r="7" spans="1:17" ht="16.95" customHeight="1" x14ac:dyDescent="0.25">
      <c r="A7" s="377" t="str">
        <f>Zones!B7</f>
        <v>Mech/Elec_Basement</v>
      </c>
      <c r="B7" s="130">
        <f>Zones!L7</f>
        <v>0</v>
      </c>
      <c r="C7" s="131">
        <f>Zones!I7</f>
        <v>7958</v>
      </c>
      <c r="D7" s="506">
        <v>15</v>
      </c>
      <c r="E7" s="506">
        <v>0.15</v>
      </c>
      <c r="F7" s="151"/>
      <c r="G7" s="49">
        <f t="shared" si="1"/>
        <v>0</v>
      </c>
      <c r="H7" s="49">
        <f t="shared" si="2"/>
        <v>1193.7</v>
      </c>
      <c r="I7" s="151"/>
      <c r="J7" s="155">
        <f t="shared" si="3"/>
        <v>1193.7</v>
      </c>
      <c r="K7" s="428" t="s">
        <v>534</v>
      </c>
      <c r="L7" s="3"/>
      <c r="M7" s="6"/>
      <c r="N7" s="173"/>
      <c r="O7" s="173"/>
      <c r="P7" s="4"/>
      <c r="Q7" s="4"/>
    </row>
    <row r="8" spans="1:17" ht="16.95" customHeight="1" x14ac:dyDescent="0.25">
      <c r="A8" s="377" t="str">
        <f>Zones!B8</f>
        <v>Conference_Basement</v>
      </c>
      <c r="B8" s="130">
        <f>Zones!L8</f>
        <v>19.130100000000002</v>
      </c>
      <c r="C8" s="131">
        <f>Zones!I8</f>
        <v>579.70000000000005</v>
      </c>
      <c r="D8" s="506">
        <v>15</v>
      </c>
      <c r="E8" s="506">
        <v>0.15</v>
      </c>
      <c r="F8" s="151"/>
      <c r="G8" s="49">
        <f t="shared" si="1"/>
        <v>286.95150000000001</v>
      </c>
      <c r="H8" s="49">
        <f t="shared" si="2"/>
        <v>86.954999999999998</v>
      </c>
      <c r="I8" s="151"/>
      <c r="J8" s="155">
        <f t="shared" si="3"/>
        <v>286.95150000000001</v>
      </c>
      <c r="K8" s="428" t="s">
        <v>535</v>
      </c>
      <c r="L8" s="3"/>
      <c r="M8" s="6"/>
      <c r="N8" s="173"/>
      <c r="O8" s="173"/>
      <c r="P8" s="4"/>
      <c r="Q8" s="4"/>
    </row>
    <row r="9" spans="1:17" ht="16.95" customHeight="1" x14ac:dyDescent="0.25">
      <c r="A9" s="377" t="str">
        <f>Zones!B9</f>
        <v>BreakRoom/FoodPrep_Basement</v>
      </c>
      <c r="B9" s="130">
        <f>Zones!L9</f>
        <v>32.109000000000002</v>
      </c>
      <c r="C9" s="131">
        <f>Zones!I9</f>
        <v>973</v>
      </c>
      <c r="D9" s="506">
        <v>15</v>
      </c>
      <c r="E9" s="506">
        <v>0.15</v>
      </c>
      <c r="F9" s="151"/>
      <c r="G9" s="49">
        <f t="shared" si="1"/>
        <v>481.63500000000005</v>
      </c>
      <c r="H9" s="49">
        <f t="shared" si="2"/>
        <v>145.94999999999999</v>
      </c>
      <c r="I9" s="151"/>
      <c r="J9" s="155">
        <f t="shared" si="3"/>
        <v>481.63500000000005</v>
      </c>
      <c r="K9" s="428" t="s">
        <v>536</v>
      </c>
      <c r="L9" s="3"/>
      <c r="M9" s="6"/>
      <c r="N9" s="173"/>
      <c r="O9" s="173"/>
      <c r="P9" s="4"/>
      <c r="Q9" s="4"/>
    </row>
    <row r="10" spans="1:17" ht="29.25" customHeight="1" x14ac:dyDescent="0.25">
      <c r="A10" s="377" t="str">
        <f>Zones!B10</f>
        <v>Storage_Basement</v>
      </c>
      <c r="B10" s="130">
        <f>Zones!L10</f>
        <v>0</v>
      </c>
      <c r="C10" s="131">
        <f>Zones!I10</f>
        <v>1231</v>
      </c>
      <c r="D10" s="506">
        <v>15</v>
      </c>
      <c r="E10" s="506">
        <v>0.15</v>
      </c>
      <c r="F10" s="151"/>
      <c r="G10" s="49">
        <f t="shared" si="1"/>
        <v>0</v>
      </c>
      <c r="H10" s="49">
        <f t="shared" si="2"/>
        <v>184.65</v>
      </c>
      <c r="I10" s="151"/>
      <c r="J10" s="155">
        <f t="shared" si="3"/>
        <v>184.65</v>
      </c>
      <c r="K10" s="429" t="s">
        <v>537</v>
      </c>
      <c r="L10" s="3"/>
      <c r="M10" s="6"/>
      <c r="N10" s="173"/>
      <c r="O10" s="173"/>
      <c r="P10" s="4"/>
      <c r="Q10" s="4"/>
    </row>
    <row r="11" spans="1:17" ht="16.95" customHeight="1" x14ac:dyDescent="0.25">
      <c r="A11" s="377" t="str">
        <f>Zones!B11</f>
        <v>Restroom_Basement</v>
      </c>
      <c r="B11" s="130">
        <f>Zones!L11</f>
        <v>0</v>
      </c>
      <c r="C11" s="131">
        <f>Zones!I11</f>
        <v>986</v>
      </c>
      <c r="D11" s="506">
        <v>15</v>
      </c>
      <c r="E11" s="506">
        <v>0.15</v>
      </c>
      <c r="F11" s="506" t="s">
        <v>538</v>
      </c>
      <c r="G11" s="49">
        <f t="shared" si="1"/>
        <v>0</v>
      </c>
      <c r="H11" s="49">
        <f t="shared" si="2"/>
        <v>147.9</v>
      </c>
      <c r="I11" s="635">
        <f>5*50</f>
        <v>250</v>
      </c>
      <c r="J11" s="155">
        <f t="shared" si="3"/>
        <v>250</v>
      </c>
      <c r="K11" s="636" t="s">
        <v>539</v>
      </c>
      <c r="L11" s="3"/>
      <c r="M11" s="6"/>
      <c r="N11" s="173"/>
      <c r="O11" s="173"/>
      <c r="P11" s="4"/>
      <c r="Q11" s="4"/>
    </row>
    <row r="12" spans="1:17" ht="16.95" customHeight="1" x14ac:dyDescent="0.25">
      <c r="A12" s="377" t="str">
        <f>Zones!B12</f>
        <v>Lobby/Lounge_Basement</v>
      </c>
      <c r="B12" s="130">
        <f>Zones!L12</f>
        <v>10.605</v>
      </c>
      <c r="C12" s="131">
        <f>Zones!I12</f>
        <v>707</v>
      </c>
      <c r="D12" s="506">
        <v>15</v>
      </c>
      <c r="E12" s="506">
        <v>0.15</v>
      </c>
      <c r="F12" s="151"/>
      <c r="G12" s="49">
        <f t="shared" si="1"/>
        <v>159.07500000000002</v>
      </c>
      <c r="H12" s="49">
        <f t="shared" si="2"/>
        <v>106.05</v>
      </c>
      <c r="I12" s="151"/>
      <c r="J12" s="155">
        <f t="shared" si="3"/>
        <v>159.07500000000002</v>
      </c>
      <c r="K12" s="428" t="s">
        <v>536</v>
      </c>
      <c r="L12" s="3"/>
      <c r="M12" s="6"/>
      <c r="N12" s="173"/>
      <c r="O12" s="173"/>
      <c r="P12" s="4"/>
      <c r="Q12" s="4"/>
    </row>
    <row r="13" spans="1:17" ht="16.95" customHeight="1" x14ac:dyDescent="0.25">
      <c r="A13" s="377" t="str">
        <f>Zones!B13</f>
        <v>Stair/Elevator_Basement</v>
      </c>
      <c r="B13" s="130">
        <f>Zones!L13</f>
        <v>0</v>
      </c>
      <c r="C13" s="131">
        <f>Zones!I13</f>
        <v>941</v>
      </c>
      <c r="D13" s="506">
        <v>15</v>
      </c>
      <c r="E13" s="506">
        <v>0.15</v>
      </c>
      <c r="F13" s="151"/>
      <c r="G13" s="49">
        <f t="shared" si="1"/>
        <v>0</v>
      </c>
      <c r="H13" s="49">
        <f t="shared" si="2"/>
        <v>141.15</v>
      </c>
      <c r="I13" s="151"/>
      <c r="J13" s="155">
        <f t="shared" si="3"/>
        <v>141.15</v>
      </c>
      <c r="K13" s="428" t="s">
        <v>534</v>
      </c>
      <c r="L13" s="3"/>
      <c r="M13" s="6"/>
      <c r="N13" s="173"/>
      <c r="O13" s="173"/>
      <c r="P13" s="4"/>
      <c r="Q13" s="4"/>
    </row>
    <row r="14" spans="1:17" ht="16.95" customHeight="1" x14ac:dyDescent="0.25">
      <c r="A14" s="377" t="str">
        <f>Zones!B14</f>
        <v>Corridor_W_Basement</v>
      </c>
      <c r="B14" s="130">
        <f>Zones!L14</f>
        <v>3.5150000000000001</v>
      </c>
      <c r="C14" s="131">
        <f>Zones!I14</f>
        <v>703</v>
      </c>
      <c r="D14" s="506">
        <v>15</v>
      </c>
      <c r="E14" s="506">
        <v>0.15</v>
      </c>
      <c r="F14" s="151"/>
      <c r="G14" s="49">
        <f t="shared" si="1"/>
        <v>52.725000000000001</v>
      </c>
      <c r="H14" s="49">
        <f t="shared" si="2"/>
        <v>105.45</v>
      </c>
      <c r="I14" s="151"/>
      <c r="J14" s="155">
        <f t="shared" si="3"/>
        <v>105.45</v>
      </c>
      <c r="K14" s="428" t="s">
        <v>540</v>
      </c>
      <c r="L14" s="3"/>
      <c r="M14" s="507"/>
      <c r="N14" s="173"/>
      <c r="O14" s="173"/>
      <c r="P14" s="4"/>
      <c r="Q14" s="4"/>
    </row>
    <row r="15" spans="1:17" ht="16.95" customHeight="1" x14ac:dyDescent="0.25">
      <c r="A15" s="377" t="str">
        <f>Zones!B15</f>
        <v>Corridor_E_Basement</v>
      </c>
      <c r="B15" s="130">
        <f>Zones!L15</f>
        <v>1.3145</v>
      </c>
      <c r="C15" s="131">
        <f>Zones!I15</f>
        <v>262.89999999999998</v>
      </c>
      <c r="D15" s="506">
        <v>15</v>
      </c>
      <c r="E15" s="506">
        <v>0.15</v>
      </c>
      <c r="F15" s="151"/>
      <c r="G15" s="49">
        <f t="shared" si="1"/>
        <v>19.717500000000001</v>
      </c>
      <c r="H15" s="49">
        <f t="shared" si="2"/>
        <v>39.434999999999995</v>
      </c>
      <c r="I15" s="151"/>
      <c r="J15" s="155">
        <f t="shared" si="3"/>
        <v>39.434999999999995</v>
      </c>
      <c r="K15" s="428" t="s">
        <v>540</v>
      </c>
      <c r="L15" s="3"/>
      <c r="M15" s="507"/>
      <c r="N15" s="173"/>
      <c r="O15" s="173"/>
      <c r="P15" s="4"/>
      <c r="Q15" s="4"/>
    </row>
    <row r="16" spans="1:17" ht="16.95" customHeight="1" x14ac:dyDescent="0.25">
      <c r="A16" s="378" t="str">
        <f>Zones!B16</f>
        <v>Perimeter_Open_Office_N_FloorG</v>
      </c>
      <c r="B16" s="152">
        <f>Zones!L16</f>
        <v>35.65645</v>
      </c>
      <c r="C16" s="153">
        <f>Zones!I16</f>
        <v>7131.29</v>
      </c>
      <c r="D16" s="147">
        <v>15</v>
      </c>
      <c r="E16" s="147">
        <v>0.15</v>
      </c>
      <c r="F16" s="154"/>
      <c r="G16" s="153">
        <f t="shared" si="1"/>
        <v>534.84675000000004</v>
      </c>
      <c r="H16" s="153">
        <f t="shared" si="2"/>
        <v>1069.6934999999999</v>
      </c>
      <c r="I16" s="154"/>
      <c r="J16" s="156">
        <f t="shared" si="3"/>
        <v>1069.6934999999999</v>
      </c>
      <c r="K16" s="428" t="s">
        <v>532</v>
      </c>
      <c r="L16" s="3"/>
      <c r="M16" s="507"/>
      <c r="N16" s="4"/>
      <c r="O16" s="4"/>
      <c r="P16" s="4"/>
      <c r="Q16" s="4"/>
    </row>
    <row r="17" spans="1:17" ht="22.2" customHeight="1" x14ac:dyDescent="0.25">
      <c r="A17" s="378" t="str">
        <f>Zones!B17</f>
        <v>Perimeter_Open_Office_W_FloorG</v>
      </c>
      <c r="B17" s="152">
        <f>Zones!L17</f>
        <v>28.978850000000001</v>
      </c>
      <c r="C17" s="153">
        <f>Zones!I17</f>
        <v>5795.77</v>
      </c>
      <c r="D17" s="147">
        <v>15</v>
      </c>
      <c r="E17" s="147">
        <v>0.15</v>
      </c>
      <c r="F17" s="154"/>
      <c r="G17" s="153">
        <f t="shared" ref="G17:G36" si="4">B17*D17</f>
        <v>434.68275</v>
      </c>
      <c r="H17" s="153">
        <f t="shared" ref="H17:H36" si="5">C17*E17</f>
        <v>869.3655</v>
      </c>
      <c r="I17" s="154"/>
      <c r="J17" s="156">
        <f t="shared" si="3"/>
        <v>869.3655</v>
      </c>
      <c r="K17" s="428" t="s">
        <v>532</v>
      </c>
      <c r="L17" s="3"/>
      <c r="M17" s="754"/>
      <c r="N17" s="754"/>
      <c r="O17" s="754"/>
      <c r="P17" s="4"/>
      <c r="Q17" s="4"/>
    </row>
    <row r="18" spans="1:17" ht="16.95" customHeight="1" x14ac:dyDescent="0.25">
      <c r="A18" s="378" t="str">
        <f>Zones!B18</f>
        <v>Perimeter_Open_Office_E_FloorG</v>
      </c>
      <c r="B18" s="152">
        <f>Zones!L18</f>
        <v>29.377449999999996</v>
      </c>
      <c r="C18" s="153">
        <f>Zones!I18</f>
        <v>5875.49</v>
      </c>
      <c r="D18" s="147">
        <v>15</v>
      </c>
      <c r="E18" s="147">
        <v>0.15</v>
      </c>
      <c r="F18" s="154"/>
      <c r="G18" s="153">
        <f t="shared" si="4"/>
        <v>440.66174999999993</v>
      </c>
      <c r="H18" s="153">
        <f t="shared" si="5"/>
        <v>881.32349999999997</v>
      </c>
      <c r="I18" s="154"/>
      <c r="J18" s="156">
        <f t="shared" si="3"/>
        <v>881.32349999999997</v>
      </c>
      <c r="K18" s="428" t="s">
        <v>532</v>
      </c>
      <c r="L18" s="507"/>
      <c r="M18" s="4"/>
      <c r="N18" s="4"/>
      <c r="O18" s="507"/>
      <c r="P18" s="4"/>
      <c r="Q18" s="4"/>
    </row>
    <row r="19" spans="1:17" ht="16.95" customHeight="1" x14ac:dyDescent="0.25">
      <c r="A19" s="378" t="str">
        <f>Zones!B19</f>
        <v>Perimeter_Enclosed_Office_NE_FloorG</v>
      </c>
      <c r="B19" s="152">
        <f>Zones!L19</f>
        <v>4.5869</v>
      </c>
      <c r="C19" s="153">
        <f>Zones!I19</f>
        <v>917.38</v>
      </c>
      <c r="D19" s="147">
        <v>15</v>
      </c>
      <c r="E19" s="147">
        <v>0.15</v>
      </c>
      <c r="F19" s="154"/>
      <c r="G19" s="153">
        <f t="shared" si="4"/>
        <v>68.8035</v>
      </c>
      <c r="H19" s="153">
        <f t="shared" si="5"/>
        <v>137.607</v>
      </c>
      <c r="I19" s="154"/>
      <c r="J19" s="156">
        <f t="shared" si="3"/>
        <v>137.607</v>
      </c>
      <c r="K19" s="428" t="s">
        <v>532</v>
      </c>
      <c r="L19" s="507"/>
      <c r="M19" s="4"/>
      <c r="N19" s="4"/>
      <c r="O19" s="507"/>
      <c r="P19" s="4"/>
      <c r="Q19" s="4"/>
    </row>
    <row r="20" spans="1:17" ht="16.95" customHeight="1" x14ac:dyDescent="0.25">
      <c r="A20" s="378" t="str">
        <f>Zones!B20</f>
        <v>Perimeter_Enclosed_Office_NW_FloorG</v>
      </c>
      <c r="B20" s="152">
        <f>Zones!L20</f>
        <v>5.6560500000000005</v>
      </c>
      <c r="C20" s="153">
        <f>Zones!I20</f>
        <v>1131.21</v>
      </c>
      <c r="D20" s="147">
        <v>15</v>
      </c>
      <c r="E20" s="147">
        <v>0.15</v>
      </c>
      <c r="F20" s="154"/>
      <c r="G20" s="153">
        <f t="shared" si="4"/>
        <v>84.840750000000014</v>
      </c>
      <c r="H20" s="153">
        <f t="shared" si="5"/>
        <v>169.6815</v>
      </c>
      <c r="I20" s="154"/>
      <c r="J20" s="156">
        <f t="shared" si="3"/>
        <v>169.6815</v>
      </c>
      <c r="K20" s="428" t="s">
        <v>532</v>
      </c>
      <c r="L20" s="35"/>
      <c r="M20" s="35"/>
      <c r="N20" s="3"/>
      <c r="O20" s="3"/>
      <c r="P20" s="3"/>
      <c r="Q20" s="4"/>
    </row>
    <row r="21" spans="1:17" ht="16.95" customHeight="1" x14ac:dyDescent="0.25">
      <c r="A21" s="378" t="str">
        <f>Zones!B21</f>
        <v>Core_Enclosed_Office_FloorG</v>
      </c>
      <c r="B21" s="152">
        <f>Zones!L21</f>
        <v>16.561400000000003</v>
      </c>
      <c r="C21" s="153">
        <f>Zones!I21</f>
        <v>3312.28</v>
      </c>
      <c r="D21" s="147">
        <v>15</v>
      </c>
      <c r="E21" s="147">
        <v>0.15</v>
      </c>
      <c r="F21" s="154"/>
      <c r="G21" s="153">
        <f t="shared" si="4"/>
        <v>248.42100000000005</v>
      </c>
      <c r="H21" s="153">
        <f t="shared" si="5"/>
        <v>496.84199999999998</v>
      </c>
      <c r="I21" s="154"/>
      <c r="J21" s="156">
        <f t="shared" si="3"/>
        <v>496.84199999999998</v>
      </c>
      <c r="K21" s="428" t="s">
        <v>532</v>
      </c>
      <c r="L21" s="507"/>
      <c r="M21" s="173"/>
      <c r="N21" s="3"/>
      <c r="O21" s="3"/>
      <c r="P21" s="3"/>
      <c r="Q21" s="4"/>
    </row>
    <row r="22" spans="1:17" ht="16.95" customHeight="1" x14ac:dyDescent="0.25">
      <c r="A22" s="378" t="str">
        <f>Zones!B22</f>
        <v>Server_Room_FloorG</v>
      </c>
      <c r="B22" s="152">
        <f>Zones!L22</f>
        <v>0.62563499999999994</v>
      </c>
      <c r="C22" s="153">
        <f>Zones!I22</f>
        <v>417.09</v>
      </c>
      <c r="D22" s="147">
        <v>15</v>
      </c>
      <c r="E22" s="147">
        <v>0.15</v>
      </c>
      <c r="F22" s="154"/>
      <c r="G22" s="153">
        <f t="shared" si="4"/>
        <v>9.384525</v>
      </c>
      <c r="H22" s="153">
        <f t="shared" si="5"/>
        <v>62.563499999999991</v>
      </c>
      <c r="I22" s="154"/>
      <c r="J22" s="156">
        <f t="shared" si="3"/>
        <v>62.563499999999991</v>
      </c>
      <c r="K22" s="428" t="s">
        <v>533</v>
      </c>
      <c r="L22" s="507"/>
      <c r="M22" s="173"/>
      <c r="N22" s="3"/>
      <c r="O22" s="3"/>
      <c r="P22" s="3"/>
      <c r="Q22" s="4"/>
    </row>
    <row r="23" spans="1:17" ht="16.95" customHeight="1" x14ac:dyDescent="0.25">
      <c r="A23" s="378" t="str">
        <f>Zones!B23</f>
        <v>Mech/Elec_FloorG</v>
      </c>
      <c r="B23" s="152">
        <f>Zones!L23</f>
        <v>0</v>
      </c>
      <c r="C23" s="153">
        <f>Zones!I23</f>
        <v>848.96</v>
      </c>
      <c r="D23" s="147">
        <v>15</v>
      </c>
      <c r="E23" s="147">
        <v>0.15</v>
      </c>
      <c r="F23" s="154"/>
      <c r="G23" s="153">
        <f t="shared" si="4"/>
        <v>0</v>
      </c>
      <c r="H23" s="153">
        <f t="shared" si="5"/>
        <v>127.34399999999999</v>
      </c>
      <c r="I23" s="154"/>
      <c r="J23" s="156">
        <f t="shared" si="3"/>
        <v>127.34399999999999</v>
      </c>
      <c r="K23" s="428" t="s">
        <v>534</v>
      </c>
      <c r="L23" s="507"/>
      <c r="M23" s="4"/>
      <c r="N23" s="3"/>
      <c r="O23" s="3"/>
      <c r="P23" s="3"/>
      <c r="Q23" s="4"/>
    </row>
    <row r="24" spans="1:17" ht="16.95" customHeight="1" x14ac:dyDescent="0.25">
      <c r="A24" s="378" t="str">
        <f>Zones!B24</f>
        <v>Conference_FloorG</v>
      </c>
      <c r="B24" s="152">
        <f>Zones!L24</f>
        <v>26.06373</v>
      </c>
      <c r="C24" s="153">
        <f>Zones!I24</f>
        <v>789.81</v>
      </c>
      <c r="D24" s="147">
        <v>15</v>
      </c>
      <c r="E24" s="147">
        <v>0.15</v>
      </c>
      <c r="F24" s="154"/>
      <c r="G24" s="153">
        <f t="shared" si="4"/>
        <v>390.95594999999997</v>
      </c>
      <c r="H24" s="153">
        <f t="shared" si="5"/>
        <v>118.47149999999999</v>
      </c>
      <c r="I24" s="154"/>
      <c r="J24" s="156">
        <f t="shared" si="3"/>
        <v>390.95594999999997</v>
      </c>
      <c r="K24" s="428" t="s">
        <v>535</v>
      </c>
      <c r="L24" s="507"/>
      <c r="M24" s="4"/>
      <c r="N24" s="3"/>
      <c r="O24" s="3"/>
      <c r="P24" s="3"/>
      <c r="Q24" s="4"/>
    </row>
    <row r="25" spans="1:17" ht="16.95" customHeight="1" x14ac:dyDescent="0.25">
      <c r="A25" s="378" t="str">
        <f>Zones!B25</f>
        <v>BreakRoom_FloorG</v>
      </c>
      <c r="B25" s="152">
        <f>Zones!L25</f>
        <v>20.401589999999999</v>
      </c>
      <c r="C25" s="153">
        <f>Zones!I25</f>
        <v>618.23</v>
      </c>
      <c r="D25" s="147">
        <v>15</v>
      </c>
      <c r="E25" s="147">
        <v>0.15</v>
      </c>
      <c r="F25" s="154"/>
      <c r="G25" s="153">
        <f t="shared" si="4"/>
        <v>306.02384999999998</v>
      </c>
      <c r="H25" s="153">
        <f t="shared" si="5"/>
        <v>92.734499999999997</v>
      </c>
      <c r="I25" s="154"/>
      <c r="J25" s="156">
        <f t="shared" si="3"/>
        <v>306.02384999999998</v>
      </c>
      <c r="K25" s="428" t="s">
        <v>536</v>
      </c>
      <c r="L25" s="507"/>
      <c r="M25" s="4"/>
      <c r="N25" s="3"/>
      <c r="O25" s="3"/>
      <c r="P25" s="3"/>
      <c r="Q25" s="4"/>
    </row>
    <row r="26" spans="1:17" ht="33.75" customHeight="1" x14ac:dyDescent="0.25">
      <c r="A26" s="378" t="str">
        <f>Zones!B26</f>
        <v>FoodPrep_FloorG</v>
      </c>
      <c r="B26" s="152">
        <f>Zones!L26</f>
        <v>2.8108200000000001</v>
      </c>
      <c r="C26" s="153">
        <f>Zones!I26</f>
        <v>936.94</v>
      </c>
      <c r="D26" s="147">
        <v>15</v>
      </c>
      <c r="E26" s="147">
        <v>0.15</v>
      </c>
      <c r="F26" s="154"/>
      <c r="G26" s="153">
        <f t="shared" si="4"/>
        <v>42.162300000000002</v>
      </c>
      <c r="H26" s="153">
        <f t="shared" si="5"/>
        <v>140.541</v>
      </c>
      <c r="I26" s="154"/>
      <c r="J26" s="156">
        <f t="shared" si="3"/>
        <v>140.541</v>
      </c>
      <c r="K26" s="429" t="s">
        <v>541</v>
      </c>
      <c r="L26" s="507"/>
      <c r="M26" s="4"/>
      <c r="N26" s="3"/>
      <c r="O26" s="3"/>
      <c r="P26" s="3"/>
      <c r="Q26" s="4"/>
    </row>
    <row r="27" spans="1:17" ht="36.75" customHeight="1" x14ac:dyDescent="0.25">
      <c r="A27" s="378" t="str">
        <f>Zones!B27</f>
        <v>Storage_FloorG</v>
      </c>
      <c r="B27" s="152">
        <f>Zones!L27</f>
        <v>0</v>
      </c>
      <c r="C27" s="153">
        <f>Zones!I27</f>
        <v>959.03</v>
      </c>
      <c r="D27" s="147">
        <v>15</v>
      </c>
      <c r="E27" s="147">
        <v>0.15</v>
      </c>
      <c r="F27" s="154"/>
      <c r="G27" s="153">
        <f t="shared" si="4"/>
        <v>0</v>
      </c>
      <c r="H27" s="153">
        <f t="shared" si="5"/>
        <v>143.8545</v>
      </c>
      <c r="I27" s="154"/>
      <c r="J27" s="156">
        <f t="shared" si="3"/>
        <v>143.8545</v>
      </c>
      <c r="K27" s="429" t="s">
        <v>537</v>
      </c>
      <c r="L27" s="507"/>
      <c r="M27" s="4"/>
      <c r="N27" s="3"/>
      <c r="O27" s="3"/>
      <c r="P27" s="3"/>
      <c r="Q27" s="4"/>
    </row>
    <row r="28" spans="1:17" ht="16.95" customHeight="1" x14ac:dyDescent="0.25">
      <c r="A28" s="378" t="str">
        <f>Zones!B28</f>
        <v>Locker_FloorG</v>
      </c>
      <c r="B28" s="152">
        <f>Zones!L28</f>
        <v>17.6523</v>
      </c>
      <c r="C28" s="153">
        <f>Zones!I28</f>
        <v>1765.23</v>
      </c>
      <c r="D28" s="147">
        <v>15</v>
      </c>
      <c r="E28" s="147">
        <v>0.15</v>
      </c>
      <c r="F28" s="154" t="s">
        <v>542</v>
      </c>
      <c r="G28" s="153">
        <f t="shared" si="4"/>
        <v>264.78449999999998</v>
      </c>
      <c r="H28" s="153">
        <f t="shared" si="5"/>
        <v>264.78449999999998</v>
      </c>
      <c r="I28" s="285">
        <f>0.25*C28</f>
        <v>441.3075</v>
      </c>
      <c r="J28" s="156">
        <f t="shared" si="3"/>
        <v>441.3075</v>
      </c>
      <c r="K28" s="428" t="s">
        <v>534</v>
      </c>
      <c r="L28" s="507"/>
      <c r="M28" s="4"/>
      <c r="N28" s="3"/>
      <c r="O28" s="3"/>
      <c r="P28" s="3"/>
      <c r="Q28" s="4"/>
    </row>
    <row r="29" spans="1:17" ht="16.95" customHeight="1" x14ac:dyDescent="0.25">
      <c r="A29" s="378" t="str">
        <f>Zones!B29</f>
        <v>Lobby_S_FloorG</v>
      </c>
      <c r="B29" s="152">
        <f>Zones!L29</f>
        <v>33.606300000000005</v>
      </c>
      <c r="C29" s="153">
        <f>Zones!I29</f>
        <v>3360.63</v>
      </c>
      <c r="D29" s="147">
        <v>15</v>
      </c>
      <c r="E29" s="147">
        <v>0.15</v>
      </c>
      <c r="F29" s="154"/>
      <c r="G29" s="153">
        <f t="shared" si="4"/>
        <v>504.09450000000004</v>
      </c>
      <c r="H29" s="153">
        <f t="shared" si="5"/>
        <v>504.09449999999998</v>
      </c>
      <c r="I29" s="154"/>
      <c r="J29" s="156">
        <f t="shared" si="3"/>
        <v>504.09450000000004</v>
      </c>
      <c r="K29" s="428" t="s">
        <v>543</v>
      </c>
      <c r="L29" s="507"/>
      <c r="M29" s="4"/>
      <c r="N29" s="3"/>
      <c r="O29" s="3"/>
      <c r="P29" s="3"/>
      <c r="Q29" s="4"/>
    </row>
    <row r="30" spans="1:17" ht="16.95" customHeight="1" x14ac:dyDescent="0.25">
      <c r="A30" s="378" t="str">
        <f>Zones!B30</f>
        <v>Lobby/Lounge_FloorG</v>
      </c>
      <c r="B30" s="152">
        <f>Zones!L30</f>
        <v>10.2585</v>
      </c>
      <c r="C30" s="153">
        <f>Zones!I30</f>
        <v>683.9</v>
      </c>
      <c r="D30" s="147">
        <v>15</v>
      </c>
      <c r="E30" s="147">
        <v>0.15</v>
      </c>
      <c r="F30" s="154"/>
      <c r="G30" s="153">
        <f t="shared" si="4"/>
        <v>153.8775</v>
      </c>
      <c r="H30" s="153">
        <f t="shared" si="5"/>
        <v>102.58499999999999</v>
      </c>
      <c r="I30" s="154"/>
      <c r="J30" s="156">
        <f t="shared" si="3"/>
        <v>153.8775</v>
      </c>
      <c r="K30" s="428" t="s">
        <v>543</v>
      </c>
      <c r="L30" s="507"/>
      <c r="M30" s="4"/>
      <c r="N30" s="3"/>
      <c r="O30" s="3"/>
      <c r="P30" s="3"/>
      <c r="Q30" s="4"/>
    </row>
    <row r="31" spans="1:17" ht="16.95" customHeight="1" x14ac:dyDescent="0.25">
      <c r="A31" s="378" t="str">
        <f>Zones!B31</f>
        <v>Restroom_FloorG</v>
      </c>
      <c r="B31" s="152">
        <f>Zones!L31</f>
        <v>0</v>
      </c>
      <c r="C31" s="153">
        <f>Zones!I31</f>
        <v>1156.0899999999999</v>
      </c>
      <c r="D31" s="147">
        <v>15</v>
      </c>
      <c r="E31" s="147">
        <v>0.15</v>
      </c>
      <c r="F31" s="147" t="s">
        <v>544</v>
      </c>
      <c r="G31" s="153">
        <f t="shared" si="4"/>
        <v>0</v>
      </c>
      <c r="H31" s="153">
        <f t="shared" si="5"/>
        <v>173.41349999999997</v>
      </c>
      <c r="I31" s="637">
        <f>8*50</f>
        <v>400</v>
      </c>
      <c r="J31" s="156">
        <f t="shared" si="3"/>
        <v>400</v>
      </c>
      <c r="K31" s="428" t="s">
        <v>534</v>
      </c>
      <c r="L31" s="507"/>
      <c r="M31" s="4"/>
      <c r="N31" s="3"/>
      <c r="O31" s="3"/>
      <c r="P31" s="3"/>
      <c r="Q31" s="4"/>
    </row>
    <row r="32" spans="1:17" ht="16.95" customHeight="1" x14ac:dyDescent="0.25">
      <c r="A32" s="378" t="str">
        <f>Zones!B32</f>
        <v>Stair/Elevator_FloorG</v>
      </c>
      <c r="B32" s="152">
        <f>Zones!L32</f>
        <v>0</v>
      </c>
      <c r="C32" s="153">
        <f>Zones!I32</f>
        <v>848.01</v>
      </c>
      <c r="D32" s="147">
        <v>15</v>
      </c>
      <c r="E32" s="147">
        <v>0.15</v>
      </c>
      <c r="F32" s="154"/>
      <c r="G32" s="153">
        <f t="shared" si="4"/>
        <v>0</v>
      </c>
      <c r="H32" s="153">
        <f t="shared" si="5"/>
        <v>127.2015</v>
      </c>
      <c r="I32" s="154"/>
      <c r="J32" s="156">
        <f t="shared" si="3"/>
        <v>127.2015</v>
      </c>
      <c r="K32" s="428" t="s">
        <v>534</v>
      </c>
      <c r="L32" s="507"/>
      <c r="M32" s="4"/>
      <c r="N32" s="3"/>
      <c r="O32" s="3"/>
      <c r="P32" s="3"/>
      <c r="Q32" s="4"/>
    </row>
    <row r="33" spans="1:17" ht="16.95" customHeight="1" x14ac:dyDescent="0.25">
      <c r="A33" s="378" t="str">
        <f>Zones!B33</f>
        <v>Corridor_W_FloorG</v>
      </c>
      <c r="B33" s="152">
        <f>Zones!L33</f>
        <v>5.02935</v>
      </c>
      <c r="C33" s="153">
        <f>Zones!I33</f>
        <v>1005.87</v>
      </c>
      <c r="D33" s="147">
        <v>15</v>
      </c>
      <c r="E33" s="147">
        <v>0.15</v>
      </c>
      <c r="F33" s="154"/>
      <c r="G33" s="153">
        <f t="shared" si="4"/>
        <v>75.440250000000006</v>
      </c>
      <c r="H33" s="153">
        <f t="shared" si="5"/>
        <v>150.88049999999998</v>
      </c>
      <c r="I33" s="154"/>
      <c r="J33" s="156">
        <f t="shared" si="3"/>
        <v>150.88049999999998</v>
      </c>
      <c r="K33" s="428" t="s">
        <v>540</v>
      </c>
      <c r="L33" s="507"/>
      <c r="M33" s="4"/>
      <c r="N33" s="3"/>
      <c r="O33" s="3"/>
      <c r="P33" s="3"/>
      <c r="Q33" s="4"/>
    </row>
    <row r="34" spans="1:17" ht="16.95" customHeight="1" x14ac:dyDescent="0.25">
      <c r="A34" s="378" t="str">
        <f>Zones!B34</f>
        <v>Corridor_E_FloorG</v>
      </c>
      <c r="B34" s="152">
        <f>Zones!L34</f>
        <v>3.9938000000000002</v>
      </c>
      <c r="C34" s="153">
        <f>Zones!I34</f>
        <v>798.76</v>
      </c>
      <c r="D34" s="147">
        <v>15</v>
      </c>
      <c r="E34" s="147">
        <v>0.15</v>
      </c>
      <c r="F34" s="154"/>
      <c r="G34" s="153">
        <f t="shared" si="4"/>
        <v>59.907000000000004</v>
      </c>
      <c r="H34" s="153">
        <f t="shared" si="5"/>
        <v>119.81399999999999</v>
      </c>
      <c r="I34" s="154"/>
      <c r="J34" s="156">
        <f t="shared" si="3"/>
        <v>119.81399999999999</v>
      </c>
      <c r="K34" s="428" t="s">
        <v>540</v>
      </c>
      <c r="L34" s="507"/>
      <c r="M34" s="4"/>
      <c r="N34" s="3"/>
      <c r="O34" s="3"/>
      <c r="P34" s="3"/>
      <c r="Q34" s="4"/>
    </row>
    <row r="35" spans="1:17" ht="16.95" customHeight="1" x14ac:dyDescent="0.25">
      <c r="A35" s="378" t="str">
        <f>Zones!B35</f>
        <v>Plenum_FloorG</v>
      </c>
      <c r="B35" s="152">
        <f>Zones!L35</f>
        <v>0</v>
      </c>
      <c r="C35" s="153">
        <f>Zones!I35</f>
        <v>38352.97</v>
      </c>
      <c r="D35" s="147"/>
      <c r="E35" s="147"/>
      <c r="F35" s="154"/>
      <c r="G35" s="153">
        <f t="shared" si="4"/>
        <v>0</v>
      </c>
      <c r="H35" s="153">
        <f t="shared" si="5"/>
        <v>0</v>
      </c>
      <c r="I35" s="154"/>
      <c r="J35" s="156">
        <f t="shared" si="3"/>
        <v>0</v>
      </c>
      <c r="K35" s="428" t="s">
        <v>226</v>
      </c>
      <c r="L35" s="507"/>
      <c r="M35" s="4"/>
      <c r="N35" s="3"/>
      <c r="O35" s="3"/>
      <c r="P35" s="3"/>
      <c r="Q35" s="4"/>
    </row>
    <row r="36" spans="1:17" ht="16.95" customHeight="1" x14ac:dyDescent="0.25">
      <c r="A36" s="377" t="str">
        <f>Zones!B36</f>
        <v>Perimeter_Open_Office_N_FloorM</v>
      </c>
      <c r="B36" s="130">
        <f>Zones!L36</f>
        <v>35.65645</v>
      </c>
      <c r="C36" s="131">
        <f>Zones!I36</f>
        <v>7131.29</v>
      </c>
      <c r="D36" s="506">
        <v>15</v>
      </c>
      <c r="E36" s="506">
        <v>0.15</v>
      </c>
      <c r="F36" s="151"/>
      <c r="G36" s="49">
        <f t="shared" si="4"/>
        <v>534.84675000000004</v>
      </c>
      <c r="H36" s="49">
        <f t="shared" si="5"/>
        <v>1069.6934999999999</v>
      </c>
      <c r="I36" s="151"/>
      <c r="J36" s="155">
        <f t="shared" si="3"/>
        <v>1069.6934999999999</v>
      </c>
      <c r="K36" s="428" t="s">
        <v>532</v>
      </c>
      <c r="L36" s="507"/>
      <c r="M36" s="4"/>
      <c r="N36" s="4"/>
      <c r="O36" s="507"/>
      <c r="P36" s="4"/>
      <c r="Q36" s="4"/>
    </row>
    <row r="37" spans="1:17" ht="16.95" customHeight="1" x14ac:dyDescent="0.25">
      <c r="A37" s="377" t="str">
        <f>Zones!B37</f>
        <v>Perimeter_Open_Office_S_FloorM</v>
      </c>
      <c r="B37" s="130">
        <f>Zones!L37</f>
        <v>26.18685</v>
      </c>
      <c r="C37" s="131">
        <f>Zones!I37</f>
        <v>5237.37</v>
      </c>
      <c r="D37" s="506">
        <v>15</v>
      </c>
      <c r="E37" s="506">
        <v>0.15</v>
      </c>
      <c r="F37" s="151"/>
      <c r="G37" s="49">
        <f t="shared" ref="G37:G58" si="6">B37*D37</f>
        <v>392.80275</v>
      </c>
      <c r="H37" s="49">
        <f t="shared" ref="H37:H58" si="7">C37*E37</f>
        <v>785.60550000000001</v>
      </c>
      <c r="I37" s="151"/>
      <c r="J37" s="155">
        <f t="shared" si="3"/>
        <v>785.60550000000001</v>
      </c>
      <c r="K37" s="428" t="s">
        <v>532</v>
      </c>
      <c r="L37" s="507"/>
      <c r="M37" s="4"/>
      <c r="N37" s="4"/>
      <c r="O37" s="507"/>
      <c r="P37" s="4"/>
      <c r="Q37" s="4"/>
    </row>
    <row r="38" spans="1:17" ht="16.95" customHeight="1" x14ac:dyDescent="0.25">
      <c r="A38" s="377" t="str">
        <f>Zones!B38</f>
        <v>Perimeter_Open_Office_E_FloorM</v>
      </c>
      <c r="B38" s="130">
        <f>Zones!L38</f>
        <v>22.352199999999996</v>
      </c>
      <c r="C38" s="131">
        <f>Zones!I38</f>
        <v>4470.4399999999996</v>
      </c>
      <c r="D38" s="506">
        <v>15</v>
      </c>
      <c r="E38" s="506">
        <v>0.15</v>
      </c>
      <c r="F38" s="151"/>
      <c r="G38" s="49">
        <f t="shared" si="6"/>
        <v>335.28299999999996</v>
      </c>
      <c r="H38" s="49">
        <f t="shared" si="7"/>
        <v>670.56599999999992</v>
      </c>
      <c r="I38" s="151"/>
      <c r="J38" s="155">
        <f t="shared" si="3"/>
        <v>670.56599999999992</v>
      </c>
      <c r="K38" s="428" t="s">
        <v>532</v>
      </c>
      <c r="L38" s="507"/>
      <c r="M38" s="4"/>
      <c r="N38" s="4"/>
      <c r="O38" s="507"/>
      <c r="P38" s="4"/>
      <c r="Q38" s="4"/>
    </row>
    <row r="39" spans="1:17" ht="16.95" customHeight="1" x14ac:dyDescent="0.25">
      <c r="A39" s="377" t="str">
        <f>Zones!B39</f>
        <v>Perimeter_Open_Office_W_FloorM</v>
      </c>
      <c r="B39" s="130">
        <f>Zones!L39</f>
        <v>22.243800000000004</v>
      </c>
      <c r="C39" s="131">
        <f>Zones!I39</f>
        <v>4448.76</v>
      </c>
      <c r="D39" s="506">
        <v>15</v>
      </c>
      <c r="E39" s="506">
        <v>0.15</v>
      </c>
      <c r="F39" s="151"/>
      <c r="G39" s="49">
        <f t="shared" si="6"/>
        <v>333.65700000000004</v>
      </c>
      <c r="H39" s="49">
        <f t="shared" si="7"/>
        <v>667.31399999999996</v>
      </c>
      <c r="I39" s="151"/>
      <c r="J39" s="155">
        <f t="shared" si="3"/>
        <v>667.31399999999996</v>
      </c>
      <c r="K39" s="428" t="s">
        <v>532</v>
      </c>
      <c r="L39" s="507"/>
      <c r="M39" s="4"/>
      <c r="N39" s="4"/>
      <c r="O39" s="507"/>
      <c r="P39" s="4"/>
      <c r="Q39" s="4"/>
    </row>
    <row r="40" spans="1:17" ht="16.95" customHeight="1" x14ac:dyDescent="0.25">
      <c r="A40" s="377" t="str">
        <f>Zones!B40</f>
        <v>Perimeter_Enclosed_Office_NE_FloorM</v>
      </c>
      <c r="B40" s="130">
        <f>Zones!L40</f>
        <v>4.5869</v>
      </c>
      <c r="C40" s="131">
        <f>Zones!I40</f>
        <v>917.38</v>
      </c>
      <c r="D40" s="506">
        <v>15</v>
      </c>
      <c r="E40" s="506">
        <v>0.15</v>
      </c>
      <c r="F40" s="151"/>
      <c r="G40" s="49">
        <f t="shared" si="6"/>
        <v>68.8035</v>
      </c>
      <c r="H40" s="49">
        <f t="shared" si="7"/>
        <v>137.607</v>
      </c>
      <c r="I40" s="151"/>
      <c r="J40" s="155">
        <f t="shared" si="3"/>
        <v>137.607</v>
      </c>
      <c r="K40" s="428" t="s">
        <v>532</v>
      </c>
      <c r="L40" s="507"/>
      <c r="M40" s="4"/>
      <c r="N40" s="4"/>
      <c r="O40" s="507"/>
      <c r="P40" s="4"/>
      <c r="Q40" s="4"/>
    </row>
    <row r="41" spans="1:17" ht="16.95" customHeight="1" x14ac:dyDescent="0.25">
      <c r="A41" s="377" t="str">
        <f>Zones!B41</f>
        <v>Perimeter_Enclosed_Office_NW_FloorM</v>
      </c>
      <c r="B41" s="130">
        <f>Zones!L41</f>
        <v>5.6560500000000005</v>
      </c>
      <c r="C41" s="131">
        <f>Zones!I41</f>
        <v>1131.21</v>
      </c>
      <c r="D41" s="506">
        <v>15</v>
      </c>
      <c r="E41" s="506">
        <v>0.15</v>
      </c>
      <c r="F41" s="151"/>
      <c r="G41" s="49">
        <f t="shared" si="6"/>
        <v>84.840750000000014</v>
      </c>
      <c r="H41" s="49">
        <f t="shared" si="7"/>
        <v>169.6815</v>
      </c>
      <c r="I41" s="151"/>
      <c r="J41" s="155">
        <f t="shared" si="3"/>
        <v>169.6815</v>
      </c>
      <c r="K41" s="428" t="s">
        <v>532</v>
      </c>
      <c r="L41" s="507"/>
      <c r="M41" s="4"/>
      <c r="N41" s="4"/>
      <c r="O41" s="507"/>
      <c r="P41" s="4"/>
      <c r="Q41" s="4"/>
    </row>
    <row r="42" spans="1:17" ht="16.95" customHeight="1" x14ac:dyDescent="0.25">
      <c r="A42" s="377" t="str">
        <f>Zones!B42</f>
        <v>Perimeter_Enclosed_Office_SW_FloorM</v>
      </c>
      <c r="B42" s="130">
        <f>Zones!L42</f>
        <v>5.0524499999999994</v>
      </c>
      <c r="C42" s="131">
        <f>Zones!I42</f>
        <v>1010.49</v>
      </c>
      <c r="D42" s="506">
        <v>15</v>
      </c>
      <c r="E42" s="506">
        <v>0.15</v>
      </c>
      <c r="F42" s="151"/>
      <c r="G42" s="49">
        <f t="shared" si="6"/>
        <v>75.786749999999998</v>
      </c>
      <c r="H42" s="49">
        <f t="shared" si="7"/>
        <v>151.5735</v>
      </c>
      <c r="I42" s="151"/>
      <c r="J42" s="155">
        <f t="shared" si="3"/>
        <v>151.5735</v>
      </c>
      <c r="K42" s="428" t="s">
        <v>532</v>
      </c>
      <c r="L42" s="507"/>
      <c r="M42" s="4"/>
      <c r="N42" s="4"/>
      <c r="O42" s="507"/>
      <c r="P42" s="4"/>
      <c r="Q42" s="4"/>
    </row>
    <row r="43" spans="1:17" ht="16.95" customHeight="1" x14ac:dyDescent="0.25">
      <c r="A43" s="377" t="str">
        <f>Zones!B43</f>
        <v>Perimeter_Enclosed_Office_SE_FloorM</v>
      </c>
      <c r="B43" s="130">
        <f>Zones!L43</f>
        <v>5.1673999999999998</v>
      </c>
      <c r="C43" s="131">
        <f>Zones!I43</f>
        <v>1033.48</v>
      </c>
      <c r="D43" s="506">
        <v>15</v>
      </c>
      <c r="E43" s="506">
        <v>0.15</v>
      </c>
      <c r="F43" s="151"/>
      <c r="G43" s="49">
        <f t="shared" si="6"/>
        <v>77.510999999999996</v>
      </c>
      <c r="H43" s="49">
        <f t="shared" si="7"/>
        <v>155.02199999999999</v>
      </c>
      <c r="I43" s="151"/>
      <c r="J43" s="155">
        <f t="shared" si="3"/>
        <v>155.02199999999999</v>
      </c>
      <c r="K43" s="428" t="s">
        <v>532</v>
      </c>
      <c r="L43" s="507"/>
      <c r="M43" s="4"/>
      <c r="N43" s="4"/>
      <c r="O43" s="507"/>
      <c r="P43" s="4"/>
      <c r="Q43" s="4"/>
    </row>
    <row r="44" spans="1:17" ht="16.95" customHeight="1" x14ac:dyDescent="0.25">
      <c r="A44" s="377" t="str">
        <f>Zones!B44</f>
        <v>Core_Enclosed_Office_FloorM</v>
      </c>
      <c r="B44" s="130">
        <f>Zones!L44</f>
        <v>16.164999999999999</v>
      </c>
      <c r="C44" s="131">
        <f>Zones!I44</f>
        <v>3233</v>
      </c>
      <c r="D44" s="506">
        <v>15</v>
      </c>
      <c r="E44" s="506">
        <v>0.15</v>
      </c>
      <c r="F44" s="151"/>
      <c r="G44" s="49">
        <f t="shared" si="6"/>
        <v>242.47499999999999</v>
      </c>
      <c r="H44" s="49">
        <f t="shared" si="7"/>
        <v>484.95</v>
      </c>
      <c r="I44" s="151"/>
      <c r="J44" s="155">
        <f t="shared" si="3"/>
        <v>484.95</v>
      </c>
      <c r="K44" s="428" t="s">
        <v>532</v>
      </c>
      <c r="L44" s="507"/>
      <c r="M44" s="4"/>
      <c r="N44" s="4"/>
      <c r="O44" s="507"/>
      <c r="P44" s="4"/>
      <c r="Q44" s="4"/>
    </row>
    <row r="45" spans="1:17" ht="16.95" customHeight="1" x14ac:dyDescent="0.25">
      <c r="A45" s="377" t="str">
        <f>Zones!B45</f>
        <v>Server_Room_FloorM</v>
      </c>
      <c r="B45" s="130">
        <f>Zones!L45</f>
        <v>0.627</v>
      </c>
      <c r="C45" s="131">
        <f>Zones!I45</f>
        <v>418</v>
      </c>
      <c r="D45" s="506">
        <v>15</v>
      </c>
      <c r="E45" s="506">
        <v>0.15</v>
      </c>
      <c r="F45" s="151"/>
      <c r="G45" s="49">
        <f t="shared" si="6"/>
        <v>9.4049999999999994</v>
      </c>
      <c r="H45" s="49">
        <f t="shared" si="7"/>
        <v>62.699999999999996</v>
      </c>
      <c r="I45" s="151"/>
      <c r="J45" s="155">
        <f t="shared" si="3"/>
        <v>62.699999999999996</v>
      </c>
      <c r="K45" s="428" t="s">
        <v>533</v>
      </c>
      <c r="L45" s="507"/>
      <c r="M45" s="4"/>
      <c r="N45" s="4"/>
      <c r="O45" s="507"/>
      <c r="P45" s="4"/>
      <c r="Q45" s="4"/>
    </row>
    <row r="46" spans="1:17" ht="16.95" customHeight="1" x14ac:dyDescent="0.25">
      <c r="A46" s="377" t="str">
        <f>Zones!B46</f>
        <v>Mech/Elec_FloorM</v>
      </c>
      <c r="B46" s="130">
        <f>Zones!L46</f>
        <v>0</v>
      </c>
      <c r="C46" s="131">
        <f>Zones!I46</f>
        <v>1070</v>
      </c>
      <c r="D46" s="506">
        <v>15</v>
      </c>
      <c r="E46" s="506">
        <v>0.15</v>
      </c>
      <c r="F46" s="151"/>
      <c r="G46" s="49">
        <f t="shared" si="6"/>
        <v>0</v>
      </c>
      <c r="H46" s="49">
        <f t="shared" si="7"/>
        <v>160.5</v>
      </c>
      <c r="I46" s="151"/>
      <c r="J46" s="155">
        <f t="shared" si="3"/>
        <v>160.5</v>
      </c>
      <c r="K46" s="428" t="s">
        <v>534</v>
      </c>
      <c r="L46" s="507"/>
      <c r="M46" s="4"/>
      <c r="N46" s="4"/>
      <c r="O46" s="507"/>
      <c r="P46" s="4"/>
      <c r="Q46" s="4"/>
    </row>
    <row r="47" spans="1:17" ht="16.95" customHeight="1" x14ac:dyDescent="0.25">
      <c r="A47" s="377" t="str">
        <f>Zones!B47</f>
        <v>Conference_N_FloorM</v>
      </c>
      <c r="B47" s="130">
        <f>Zones!L47</f>
        <v>26.063399999999998</v>
      </c>
      <c r="C47" s="131">
        <f>Zones!I47</f>
        <v>789.8</v>
      </c>
      <c r="D47" s="506">
        <v>15</v>
      </c>
      <c r="E47" s="506">
        <v>0.15</v>
      </c>
      <c r="F47" s="151"/>
      <c r="G47" s="49">
        <f t="shared" si="6"/>
        <v>390.95099999999996</v>
      </c>
      <c r="H47" s="49">
        <f t="shared" si="7"/>
        <v>118.46999999999998</v>
      </c>
      <c r="I47" s="151"/>
      <c r="J47" s="155">
        <f t="shared" si="3"/>
        <v>390.95099999999996</v>
      </c>
      <c r="K47" s="428" t="s">
        <v>535</v>
      </c>
      <c r="L47" s="507"/>
      <c r="M47" s="4"/>
      <c r="N47" s="4"/>
      <c r="O47" s="507"/>
      <c r="P47" s="4"/>
      <c r="Q47" s="4"/>
    </row>
    <row r="48" spans="1:17" ht="16.95" customHeight="1" x14ac:dyDescent="0.25">
      <c r="A48" s="377" t="str">
        <f>Zones!B48</f>
        <v>Conference_W_FloorM</v>
      </c>
      <c r="B48" s="130">
        <f>Zones!L48</f>
        <v>11.10252</v>
      </c>
      <c r="C48" s="131">
        <f>Zones!I48</f>
        <v>336.44</v>
      </c>
      <c r="D48" s="506">
        <v>15</v>
      </c>
      <c r="E48" s="506">
        <v>0.15</v>
      </c>
      <c r="F48" s="151"/>
      <c r="G48" s="49">
        <f t="shared" si="6"/>
        <v>166.5378</v>
      </c>
      <c r="H48" s="49">
        <f t="shared" si="7"/>
        <v>50.466000000000001</v>
      </c>
      <c r="I48" s="151"/>
      <c r="J48" s="155">
        <f t="shared" si="3"/>
        <v>166.5378</v>
      </c>
      <c r="K48" s="428" t="s">
        <v>535</v>
      </c>
      <c r="L48" s="507"/>
      <c r="M48" s="4"/>
      <c r="N48" s="4"/>
      <c r="O48" s="507"/>
      <c r="P48" s="4"/>
      <c r="Q48" s="4"/>
    </row>
    <row r="49" spans="1:17" ht="16.95" customHeight="1" x14ac:dyDescent="0.25">
      <c r="A49" s="377" t="str">
        <f>Zones!B49</f>
        <v>Conference_S_FloorM</v>
      </c>
      <c r="B49" s="130">
        <f>Zones!L49</f>
        <v>25.205399999999997</v>
      </c>
      <c r="C49" s="131">
        <f>Zones!I49</f>
        <v>763.8</v>
      </c>
      <c r="D49" s="506">
        <v>15</v>
      </c>
      <c r="E49" s="506">
        <v>0.15</v>
      </c>
      <c r="F49" s="151"/>
      <c r="G49" s="49">
        <f t="shared" si="6"/>
        <v>378.08099999999996</v>
      </c>
      <c r="H49" s="49">
        <f t="shared" si="7"/>
        <v>114.57</v>
      </c>
      <c r="I49" s="151"/>
      <c r="J49" s="155">
        <f t="shared" si="3"/>
        <v>378.08099999999996</v>
      </c>
      <c r="K49" s="428" t="s">
        <v>535</v>
      </c>
      <c r="L49" s="507"/>
      <c r="M49" s="4"/>
      <c r="N49" s="4"/>
      <c r="O49" s="507"/>
      <c r="P49" s="4"/>
      <c r="Q49" s="4"/>
    </row>
    <row r="50" spans="1:17" ht="16.95" customHeight="1" x14ac:dyDescent="0.25">
      <c r="A50" s="377" t="str">
        <f>Zones!B50</f>
        <v>Conference_E_FloorM</v>
      </c>
      <c r="B50" s="130">
        <f>Zones!L50</f>
        <v>14.2956</v>
      </c>
      <c r="C50" s="131">
        <f>Zones!I50</f>
        <v>433.2</v>
      </c>
      <c r="D50" s="506">
        <v>15</v>
      </c>
      <c r="E50" s="506">
        <v>0.15</v>
      </c>
      <c r="F50" s="151"/>
      <c r="G50" s="49">
        <f t="shared" si="6"/>
        <v>214.434</v>
      </c>
      <c r="H50" s="49">
        <f t="shared" si="7"/>
        <v>64.97999999999999</v>
      </c>
      <c r="I50" s="151"/>
      <c r="J50" s="155">
        <f t="shared" si="3"/>
        <v>214.434</v>
      </c>
      <c r="K50" s="428" t="s">
        <v>535</v>
      </c>
      <c r="L50" s="507"/>
      <c r="M50" s="4"/>
      <c r="N50" s="4"/>
      <c r="O50" s="507"/>
      <c r="P50" s="4"/>
      <c r="Q50" s="4"/>
    </row>
    <row r="51" spans="1:17" ht="16.95" customHeight="1" x14ac:dyDescent="0.25">
      <c r="A51" s="377" t="str">
        <f>Zones!B51</f>
        <v>Break/FoorPrep_FloorM</v>
      </c>
      <c r="B51" s="130">
        <f>Zones!L51</f>
        <v>30.03</v>
      </c>
      <c r="C51" s="131">
        <f>Zones!I51</f>
        <v>910</v>
      </c>
      <c r="D51" s="506">
        <v>15</v>
      </c>
      <c r="E51" s="506">
        <v>0.15</v>
      </c>
      <c r="F51" s="151"/>
      <c r="G51" s="49">
        <f t="shared" si="6"/>
        <v>450.45000000000005</v>
      </c>
      <c r="H51" s="49">
        <f t="shared" si="7"/>
        <v>136.5</v>
      </c>
      <c r="I51" s="151"/>
      <c r="J51" s="155">
        <f t="shared" si="3"/>
        <v>450.45000000000005</v>
      </c>
      <c r="K51" s="428" t="s">
        <v>536</v>
      </c>
      <c r="L51" s="507"/>
      <c r="M51" s="4"/>
      <c r="N51" s="4"/>
      <c r="O51" s="507"/>
      <c r="P51" s="4"/>
      <c r="Q51" s="4"/>
    </row>
    <row r="52" spans="1:17" ht="34.5" customHeight="1" x14ac:dyDescent="0.25">
      <c r="A52" s="377" t="str">
        <f>Zones!B52</f>
        <v>Storage_FloorM</v>
      </c>
      <c r="B52" s="130">
        <f>Zones!L52</f>
        <v>0</v>
      </c>
      <c r="C52" s="131">
        <f>Zones!I52</f>
        <v>738</v>
      </c>
      <c r="D52" s="506">
        <v>15</v>
      </c>
      <c r="E52" s="506">
        <v>0.15</v>
      </c>
      <c r="F52" s="151"/>
      <c r="G52" s="49">
        <f t="shared" si="6"/>
        <v>0</v>
      </c>
      <c r="H52" s="49">
        <f t="shared" si="7"/>
        <v>110.7</v>
      </c>
      <c r="I52" s="151"/>
      <c r="J52" s="155">
        <f t="shared" si="3"/>
        <v>110.7</v>
      </c>
      <c r="K52" s="429" t="s">
        <v>537</v>
      </c>
      <c r="L52" s="507"/>
      <c r="M52" s="4"/>
      <c r="N52" s="4"/>
      <c r="O52" s="507"/>
      <c r="P52" s="4"/>
      <c r="Q52" s="4"/>
    </row>
    <row r="53" spans="1:17" ht="16.95" customHeight="1" x14ac:dyDescent="0.25">
      <c r="A53" s="377" t="str">
        <f>Zones!B53</f>
        <v>Lobby/Lounge_FloorM</v>
      </c>
      <c r="B53" s="130">
        <f>Zones!L53</f>
        <v>10.26</v>
      </c>
      <c r="C53" s="131">
        <f>Zones!I53</f>
        <v>684</v>
      </c>
      <c r="D53" s="506">
        <v>15</v>
      </c>
      <c r="E53" s="506">
        <v>0.15</v>
      </c>
      <c r="F53" s="151"/>
      <c r="G53" s="49">
        <f t="shared" si="6"/>
        <v>153.9</v>
      </c>
      <c r="H53" s="49">
        <f t="shared" si="7"/>
        <v>102.6</v>
      </c>
      <c r="I53" s="151"/>
      <c r="J53" s="155">
        <f t="shared" si="3"/>
        <v>153.9</v>
      </c>
      <c r="K53" s="428" t="s">
        <v>536</v>
      </c>
      <c r="L53" s="507"/>
      <c r="M53" s="4"/>
      <c r="N53" s="4"/>
      <c r="O53" s="507"/>
      <c r="P53" s="4"/>
      <c r="Q53" s="4"/>
    </row>
    <row r="54" spans="1:17" ht="16.95" customHeight="1" x14ac:dyDescent="0.25">
      <c r="A54" s="377" t="str">
        <f>Zones!B54</f>
        <v>Restroom_FloorM</v>
      </c>
      <c r="B54" s="130">
        <f>Zones!L54</f>
        <v>0</v>
      </c>
      <c r="C54" s="131">
        <f>Zones!I54</f>
        <v>1155</v>
      </c>
      <c r="D54" s="506">
        <v>15</v>
      </c>
      <c r="E54" s="506">
        <v>0.15</v>
      </c>
      <c r="F54" s="506" t="s">
        <v>545</v>
      </c>
      <c r="G54" s="49">
        <f t="shared" si="6"/>
        <v>0</v>
      </c>
      <c r="H54" s="49">
        <f t="shared" si="7"/>
        <v>173.25</v>
      </c>
      <c r="I54" s="635">
        <f>9*50</f>
        <v>450</v>
      </c>
      <c r="J54" s="155">
        <f t="shared" si="3"/>
        <v>450</v>
      </c>
      <c r="K54" s="428" t="s">
        <v>534</v>
      </c>
      <c r="L54" s="507"/>
      <c r="M54" s="4"/>
      <c r="N54" s="4"/>
      <c r="O54" s="507"/>
      <c r="P54" s="4"/>
      <c r="Q54" s="4"/>
    </row>
    <row r="55" spans="1:17" ht="16.95" customHeight="1" x14ac:dyDescent="0.25">
      <c r="A55" s="377" t="str">
        <f>Zones!B55</f>
        <v>Stair/Elevator_FloorM</v>
      </c>
      <c r="B55" s="130">
        <f>Zones!L55</f>
        <v>0</v>
      </c>
      <c r="C55" s="131">
        <f>Zones!I55</f>
        <v>848</v>
      </c>
      <c r="D55" s="506">
        <v>15</v>
      </c>
      <c r="E55" s="506">
        <v>0.15</v>
      </c>
      <c r="F55" s="151"/>
      <c r="G55" s="49">
        <f t="shared" si="6"/>
        <v>0</v>
      </c>
      <c r="H55" s="49">
        <f t="shared" si="7"/>
        <v>127.19999999999999</v>
      </c>
      <c r="I55" s="151"/>
      <c r="J55" s="155">
        <f t="shared" si="3"/>
        <v>127.19999999999999</v>
      </c>
      <c r="K55" s="428" t="s">
        <v>534</v>
      </c>
      <c r="L55" s="507"/>
      <c r="M55" s="4"/>
      <c r="N55" s="4"/>
      <c r="O55" s="507"/>
      <c r="P55" s="4"/>
      <c r="Q55" s="4"/>
    </row>
    <row r="56" spans="1:17" ht="16.95" customHeight="1" x14ac:dyDescent="0.25">
      <c r="A56" s="377" t="str">
        <f>Zones!B56</f>
        <v>Corridor_W_FloorM</v>
      </c>
      <c r="B56" s="130">
        <f>Zones!L56</f>
        <v>5.0293999999999999</v>
      </c>
      <c r="C56" s="131">
        <f>Zones!I56</f>
        <v>1005.88</v>
      </c>
      <c r="D56" s="506">
        <v>15</v>
      </c>
      <c r="E56" s="506">
        <v>0.15</v>
      </c>
      <c r="F56" s="151"/>
      <c r="G56" s="49">
        <f t="shared" si="6"/>
        <v>75.441000000000003</v>
      </c>
      <c r="H56" s="49">
        <f t="shared" si="7"/>
        <v>150.88200000000001</v>
      </c>
      <c r="I56" s="151"/>
      <c r="J56" s="155">
        <f t="shared" si="3"/>
        <v>150.88200000000001</v>
      </c>
      <c r="K56" s="428" t="s">
        <v>540</v>
      </c>
      <c r="L56" s="507"/>
      <c r="M56" s="4"/>
      <c r="N56" s="4"/>
      <c r="O56" s="507"/>
      <c r="P56" s="4"/>
      <c r="Q56" s="4"/>
    </row>
    <row r="57" spans="1:17" ht="16.95" customHeight="1" x14ac:dyDescent="0.25">
      <c r="A57" s="377" t="str">
        <f>Zones!B57</f>
        <v>Corridor_E_FloorM</v>
      </c>
      <c r="B57" s="130">
        <f>Zones!L57</f>
        <v>2.9268000000000001</v>
      </c>
      <c r="C57" s="131">
        <f>Zones!I57</f>
        <v>585.36</v>
      </c>
      <c r="D57" s="506">
        <v>15</v>
      </c>
      <c r="E57" s="506">
        <v>0.15</v>
      </c>
      <c r="F57" s="151"/>
      <c r="G57" s="49">
        <f t="shared" si="6"/>
        <v>43.902000000000001</v>
      </c>
      <c r="H57" s="49">
        <f t="shared" si="7"/>
        <v>87.804000000000002</v>
      </c>
      <c r="I57" s="151"/>
      <c r="J57" s="155">
        <f t="shared" si="3"/>
        <v>87.804000000000002</v>
      </c>
      <c r="K57" s="428" t="s">
        <v>540</v>
      </c>
      <c r="L57" s="507"/>
      <c r="M57" s="4"/>
      <c r="N57" s="4"/>
      <c r="O57" s="507"/>
      <c r="P57" s="4"/>
      <c r="Q57" s="4"/>
    </row>
    <row r="58" spans="1:17" ht="16.95" customHeight="1" x14ac:dyDescent="0.25">
      <c r="A58" s="377" t="str">
        <f>Zones!B58</f>
        <v>Plenum_FloorM</v>
      </c>
      <c r="B58" s="130">
        <f>Zones!L58</f>
        <v>0</v>
      </c>
      <c r="C58" s="131">
        <f>Zones!I58</f>
        <v>38352.97</v>
      </c>
      <c r="D58" s="506"/>
      <c r="E58" s="506"/>
      <c r="F58" s="151"/>
      <c r="G58" s="49">
        <f t="shared" si="6"/>
        <v>0</v>
      </c>
      <c r="H58" s="49">
        <f t="shared" si="7"/>
        <v>0</v>
      </c>
      <c r="I58" s="151"/>
      <c r="J58" s="155">
        <f t="shared" si="3"/>
        <v>0</v>
      </c>
      <c r="K58" s="428" t="s">
        <v>226</v>
      </c>
      <c r="L58" s="507"/>
      <c r="M58" s="4"/>
      <c r="N58" s="4"/>
      <c r="O58" s="507"/>
      <c r="P58" s="4"/>
      <c r="Q58" s="4"/>
    </row>
    <row r="59" spans="1:17" ht="16.95" customHeight="1" x14ac:dyDescent="0.25">
      <c r="A59" s="378" t="str">
        <f>Zones!B59</f>
        <v>Perimeter_Open_Office_N_FloorT</v>
      </c>
      <c r="B59" s="152">
        <f>Zones!L59</f>
        <v>35.65645</v>
      </c>
      <c r="C59" s="153">
        <f>Zones!I59</f>
        <v>7131.29</v>
      </c>
      <c r="D59" s="147">
        <v>15</v>
      </c>
      <c r="E59" s="147">
        <v>0.15</v>
      </c>
      <c r="F59" s="154"/>
      <c r="G59" s="153">
        <f t="shared" ref="G59" si="8">B59*D59</f>
        <v>534.84675000000004</v>
      </c>
      <c r="H59" s="153">
        <f t="shared" ref="H59" si="9">C59*E59</f>
        <v>1069.6934999999999</v>
      </c>
      <c r="I59" s="154"/>
      <c r="J59" s="156">
        <f t="shared" si="3"/>
        <v>1069.6934999999999</v>
      </c>
      <c r="K59" s="428" t="s">
        <v>532</v>
      </c>
      <c r="L59" s="507"/>
      <c r="M59" s="4"/>
      <c r="N59" s="4"/>
      <c r="O59" s="507"/>
      <c r="P59" s="4"/>
      <c r="Q59" s="4"/>
    </row>
    <row r="60" spans="1:17" ht="16.95" customHeight="1" x14ac:dyDescent="0.25">
      <c r="A60" s="378" t="str">
        <f>Zones!B60</f>
        <v>Perimeter_Open_Office_S_FloorT</v>
      </c>
      <c r="B60" s="152">
        <f>Zones!L60</f>
        <v>26.18685</v>
      </c>
      <c r="C60" s="153">
        <f>Zones!I60</f>
        <v>5237.37</v>
      </c>
      <c r="D60" s="147">
        <v>15</v>
      </c>
      <c r="E60" s="147">
        <v>0.15</v>
      </c>
      <c r="F60" s="154"/>
      <c r="G60" s="153">
        <f t="shared" ref="G60:G81" si="10">B60*D60</f>
        <v>392.80275</v>
      </c>
      <c r="H60" s="153">
        <f t="shared" ref="H60:H81" si="11">C60*E60</f>
        <v>785.60550000000001</v>
      </c>
      <c r="I60" s="154"/>
      <c r="J60" s="156">
        <f t="shared" si="3"/>
        <v>785.60550000000001</v>
      </c>
      <c r="K60" s="428" t="s">
        <v>532</v>
      </c>
      <c r="L60" s="507"/>
      <c r="M60" s="4"/>
      <c r="N60" s="4"/>
      <c r="O60" s="507"/>
      <c r="P60" s="4"/>
      <c r="Q60" s="4"/>
    </row>
    <row r="61" spans="1:17" ht="16.95" customHeight="1" x14ac:dyDescent="0.25">
      <c r="A61" s="378" t="str">
        <f>Zones!B61</f>
        <v>Perimeter_Open_Office_E_FloorT</v>
      </c>
      <c r="B61" s="152">
        <f>Zones!L61</f>
        <v>22.352199999999996</v>
      </c>
      <c r="C61" s="153">
        <f>Zones!I61</f>
        <v>4470.4399999999996</v>
      </c>
      <c r="D61" s="147">
        <v>15</v>
      </c>
      <c r="E61" s="147">
        <v>0.15</v>
      </c>
      <c r="F61" s="154"/>
      <c r="G61" s="153">
        <f t="shared" si="10"/>
        <v>335.28299999999996</v>
      </c>
      <c r="H61" s="153">
        <f t="shared" si="11"/>
        <v>670.56599999999992</v>
      </c>
      <c r="I61" s="154"/>
      <c r="J61" s="156">
        <f t="shared" si="3"/>
        <v>670.56599999999992</v>
      </c>
      <c r="K61" s="428" t="s">
        <v>532</v>
      </c>
      <c r="L61" s="507"/>
      <c r="M61" s="4"/>
      <c r="N61" s="4"/>
      <c r="O61" s="507"/>
      <c r="P61" s="4"/>
      <c r="Q61" s="4"/>
    </row>
    <row r="62" spans="1:17" ht="17.399999999999999" customHeight="1" x14ac:dyDescent="0.25">
      <c r="A62" s="378" t="str">
        <f>Zones!B62</f>
        <v>Perimeter_Open_Office_W_FloorT</v>
      </c>
      <c r="B62" s="152">
        <f>Zones!L62</f>
        <v>22.243800000000004</v>
      </c>
      <c r="C62" s="153">
        <f>Zones!I62</f>
        <v>4448.76</v>
      </c>
      <c r="D62" s="147">
        <v>15</v>
      </c>
      <c r="E62" s="147">
        <v>0.15</v>
      </c>
      <c r="F62" s="154"/>
      <c r="G62" s="153">
        <f t="shared" si="10"/>
        <v>333.65700000000004</v>
      </c>
      <c r="H62" s="153">
        <f t="shared" si="11"/>
        <v>667.31399999999996</v>
      </c>
      <c r="I62" s="154"/>
      <c r="J62" s="156">
        <f t="shared" si="3"/>
        <v>667.31399999999996</v>
      </c>
      <c r="K62" s="428" t="s">
        <v>532</v>
      </c>
      <c r="L62" s="507"/>
      <c r="M62" s="4"/>
      <c r="N62" s="4"/>
      <c r="O62" s="507"/>
      <c r="P62" s="4"/>
      <c r="Q62" s="4"/>
    </row>
    <row r="63" spans="1:17" ht="17.399999999999999" customHeight="1" x14ac:dyDescent="0.25">
      <c r="A63" s="378" t="str">
        <f>Zones!B63</f>
        <v>Perimeter_Enclosed_Office_NE_FloorT</v>
      </c>
      <c r="B63" s="152">
        <f>Zones!L63</f>
        <v>4.5869</v>
      </c>
      <c r="C63" s="153">
        <f>Zones!I63</f>
        <v>917.38</v>
      </c>
      <c r="D63" s="147">
        <v>15</v>
      </c>
      <c r="E63" s="147">
        <v>0.15</v>
      </c>
      <c r="F63" s="154"/>
      <c r="G63" s="153">
        <f t="shared" si="10"/>
        <v>68.8035</v>
      </c>
      <c r="H63" s="153">
        <f t="shared" si="11"/>
        <v>137.607</v>
      </c>
      <c r="I63" s="154"/>
      <c r="J63" s="156">
        <f t="shared" si="3"/>
        <v>137.607</v>
      </c>
      <c r="K63" s="428" t="s">
        <v>532</v>
      </c>
      <c r="L63" s="507"/>
      <c r="M63" s="4"/>
      <c r="N63" s="4"/>
      <c r="O63" s="507"/>
      <c r="P63" s="4"/>
      <c r="Q63" s="4"/>
    </row>
    <row r="64" spans="1:17" ht="17.399999999999999" customHeight="1" x14ac:dyDescent="0.25">
      <c r="A64" s="378" t="str">
        <f>Zones!B64</f>
        <v>Perimeter_Enclosed_Office_NW_FloorT</v>
      </c>
      <c r="B64" s="152">
        <f>Zones!L64</f>
        <v>5.6560500000000005</v>
      </c>
      <c r="C64" s="153">
        <f>Zones!I64</f>
        <v>1131.21</v>
      </c>
      <c r="D64" s="147">
        <v>15</v>
      </c>
      <c r="E64" s="147">
        <v>0.15</v>
      </c>
      <c r="F64" s="154"/>
      <c r="G64" s="153">
        <f t="shared" si="10"/>
        <v>84.840750000000014</v>
      </c>
      <c r="H64" s="153">
        <f t="shared" si="11"/>
        <v>169.6815</v>
      </c>
      <c r="I64" s="154"/>
      <c r="J64" s="156">
        <f t="shared" si="3"/>
        <v>169.6815</v>
      </c>
      <c r="K64" s="428" t="s">
        <v>532</v>
      </c>
      <c r="L64" s="507"/>
      <c r="M64" s="4"/>
      <c r="N64" s="4"/>
      <c r="O64" s="507"/>
      <c r="P64" s="4"/>
      <c r="Q64" s="4"/>
    </row>
    <row r="65" spans="1:17" ht="17.399999999999999" customHeight="1" x14ac:dyDescent="0.25">
      <c r="A65" s="378" t="str">
        <f>Zones!B65</f>
        <v>Perimeter_Enclosed_Office_SW_FloorT</v>
      </c>
      <c r="B65" s="152">
        <f>Zones!L65</f>
        <v>5.0524499999999994</v>
      </c>
      <c r="C65" s="153">
        <f>Zones!I65</f>
        <v>1010.49</v>
      </c>
      <c r="D65" s="147">
        <v>15</v>
      </c>
      <c r="E65" s="147">
        <v>0.15</v>
      </c>
      <c r="F65" s="154"/>
      <c r="G65" s="153">
        <f t="shared" si="10"/>
        <v>75.786749999999998</v>
      </c>
      <c r="H65" s="153">
        <f t="shared" si="11"/>
        <v>151.5735</v>
      </c>
      <c r="I65" s="154"/>
      <c r="J65" s="156">
        <f t="shared" si="3"/>
        <v>151.5735</v>
      </c>
      <c r="K65" s="428" t="s">
        <v>532</v>
      </c>
      <c r="L65" s="507"/>
      <c r="M65" s="4"/>
      <c r="N65" s="4"/>
      <c r="O65" s="507"/>
      <c r="P65" s="4"/>
      <c r="Q65" s="4"/>
    </row>
    <row r="66" spans="1:17" ht="17.399999999999999" customHeight="1" x14ac:dyDescent="0.25">
      <c r="A66" s="378" t="str">
        <f>Zones!B66</f>
        <v>Perimeter_Enclosed_Office_SE_FloorT</v>
      </c>
      <c r="B66" s="152">
        <f>Zones!L66</f>
        <v>5.1673999999999998</v>
      </c>
      <c r="C66" s="153">
        <f>Zones!I66</f>
        <v>1033.48</v>
      </c>
      <c r="D66" s="147">
        <v>15</v>
      </c>
      <c r="E66" s="147">
        <v>0.15</v>
      </c>
      <c r="F66" s="154"/>
      <c r="G66" s="153">
        <f t="shared" si="10"/>
        <v>77.510999999999996</v>
      </c>
      <c r="H66" s="153">
        <f t="shared" si="11"/>
        <v>155.02199999999999</v>
      </c>
      <c r="I66" s="154"/>
      <c r="J66" s="156">
        <f t="shared" si="3"/>
        <v>155.02199999999999</v>
      </c>
      <c r="K66" s="428" t="s">
        <v>532</v>
      </c>
      <c r="L66" s="507"/>
      <c r="M66" s="4"/>
      <c r="N66" s="4"/>
      <c r="O66" s="507"/>
      <c r="P66" s="4"/>
      <c r="Q66" s="4"/>
    </row>
    <row r="67" spans="1:17" ht="17.399999999999999" customHeight="1" x14ac:dyDescent="0.25">
      <c r="A67" s="378" t="str">
        <f>Zones!B67</f>
        <v>Core_Enclosed_Office_FloorT</v>
      </c>
      <c r="B67" s="152">
        <f>Zones!L67</f>
        <v>16.164999999999999</v>
      </c>
      <c r="C67" s="153">
        <f>Zones!I67</f>
        <v>3233</v>
      </c>
      <c r="D67" s="147">
        <v>15</v>
      </c>
      <c r="E67" s="147">
        <v>0.15</v>
      </c>
      <c r="F67" s="154"/>
      <c r="G67" s="153">
        <f t="shared" si="10"/>
        <v>242.47499999999999</v>
      </c>
      <c r="H67" s="153">
        <f t="shared" si="11"/>
        <v>484.95</v>
      </c>
      <c r="I67" s="154"/>
      <c r="J67" s="156">
        <f t="shared" si="3"/>
        <v>484.95</v>
      </c>
      <c r="K67" s="428" t="s">
        <v>532</v>
      </c>
      <c r="L67" s="507"/>
      <c r="M67" s="4"/>
      <c r="N67" s="4"/>
      <c r="O67" s="507"/>
      <c r="P67" s="4"/>
      <c r="Q67" s="4"/>
    </row>
    <row r="68" spans="1:17" ht="17.399999999999999" customHeight="1" x14ac:dyDescent="0.25">
      <c r="A68" s="378" t="str">
        <f>Zones!B68</f>
        <v>Server_Room_FloorT</v>
      </c>
      <c r="B68" s="152">
        <f>Zones!L68</f>
        <v>0.627</v>
      </c>
      <c r="C68" s="153">
        <f>Zones!I68</f>
        <v>418</v>
      </c>
      <c r="D68" s="147">
        <v>15</v>
      </c>
      <c r="E68" s="147">
        <v>0.15</v>
      </c>
      <c r="F68" s="154"/>
      <c r="G68" s="153">
        <f t="shared" si="10"/>
        <v>9.4049999999999994</v>
      </c>
      <c r="H68" s="153">
        <f t="shared" si="11"/>
        <v>62.699999999999996</v>
      </c>
      <c r="I68" s="154"/>
      <c r="J68" s="156">
        <f t="shared" ref="J68:J81" si="12">MAX(G68:I68)</f>
        <v>62.699999999999996</v>
      </c>
      <c r="K68" s="428" t="s">
        <v>533</v>
      </c>
      <c r="L68" s="507"/>
      <c r="M68" s="4"/>
      <c r="N68" s="4"/>
      <c r="O68" s="507"/>
      <c r="P68" s="4"/>
      <c r="Q68" s="4"/>
    </row>
    <row r="69" spans="1:17" ht="17.399999999999999" customHeight="1" x14ac:dyDescent="0.25">
      <c r="A69" s="378" t="str">
        <f>Zones!B69</f>
        <v>Mech/Elec_FloorT</v>
      </c>
      <c r="B69" s="152">
        <f>Zones!L69</f>
        <v>0</v>
      </c>
      <c r="C69" s="153">
        <f>Zones!I69</f>
        <v>1070</v>
      </c>
      <c r="D69" s="147">
        <v>15</v>
      </c>
      <c r="E69" s="147">
        <v>0.15</v>
      </c>
      <c r="F69" s="154"/>
      <c r="G69" s="153">
        <f t="shared" si="10"/>
        <v>0</v>
      </c>
      <c r="H69" s="153">
        <f t="shared" si="11"/>
        <v>160.5</v>
      </c>
      <c r="I69" s="154"/>
      <c r="J69" s="156">
        <f t="shared" si="12"/>
        <v>160.5</v>
      </c>
      <c r="K69" s="428" t="s">
        <v>534</v>
      </c>
      <c r="L69" s="507"/>
      <c r="M69" s="4"/>
      <c r="N69" s="4"/>
      <c r="O69" s="507"/>
      <c r="P69" s="4"/>
      <c r="Q69" s="4"/>
    </row>
    <row r="70" spans="1:17" ht="17.399999999999999" customHeight="1" x14ac:dyDescent="0.25">
      <c r="A70" s="378" t="str">
        <f>Zones!B70</f>
        <v>Conference_N_FloorT</v>
      </c>
      <c r="B70" s="152">
        <f>Zones!L70</f>
        <v>26.063399999999998</v>
      </c>
      <c r="C70" s="153">
        <f>Zones!I70</f>
        <v>789.8</v>
      </c>
      <c r="D70" s="147">
        <v>15</v>
      </c>
      <c r="E70" s="147">
        <v>0.15</v>
      </c>
      <c r="F70" s="154"/>
      <c r="G70" s="153">
        <f t="shared" si="10"/>
        <v>390.95099999999996</v>
      </c>
      <c r="H70" s="153">
        <f t="shared" si="11"/>
        <v>118.46999999999998</v>
      </c>
      <c r="I70" s="154"/>
      <c r="J70" s="156">
        <f t="shared" si="12"/>
        <v>390.95099999999996</v>
      </c>
      <c r="K70" s="428" t="s">
        <v>535</v>
      </c>
      <c r="L70" s="507"/>
      <c r="M70" s="4"/>
      <c r="N70" s="4"/>
      <c r="O70" s="507"/>
      <c r="P70" s="4"/>
      <c r="Q70" s="4"/>
    </row>
    <row r="71" spans="1:17" ht="17.399999999999999" customHeight="1" x14ac:dyDescent="0.25">
      <c r="A71" s="378" t="str">
        <f>Zones!B71</f>
        <v>Conference_W_FloorT</v>
      </c>
      <c r="B71" s="152">
        <f>Zones!L71</f>
        <v>11.10252</v>
      </c>
      <c r="C71" s="153">
        <f>Zones!I71</f>
        <v>336.44</v>
      </c>
      <c r="D71" s="147">
        <v>15</v>
      </c>
      <c r="E71" s="147">
        <v>0.15</v>
      </c>
      <c r="F71" s="154"/>
      <c r="G71" s="153">
        <f t="shared" si="10"/>
        <v>166.5378</v>
      </c>
      <c r="H71" s="153">
        <f t="shared" si="11"/>
        <v>50.466000000000001</v>
      </c>
      <c r="I71" s="154"/>
      <c r="J71" s="156">
        <f t="shared" si="12"/>
        <v>166.5378</v>
      </c>
      <c r="K71" s="428" t="s">
        <v>535</v>
      </c>
      <c r="L71" s="507"/>
      <c r="M71" s="4"/>
      <c r="N71" s="4"/>
      <c r="O71" s="507"/>
      <c r="P71" s="4"/>
      <c r="Q71" s="4"/>
    </row>
    <row r="72" spans="1:17" ht="17.399999999999999" customHeight="1" x14ac:dyDescent="0.25">
      <c r="A72" s="378" t="str">
        <f>Zones!B72</f>
        <v>Conference_S_FloorT</v>
      </c>
      <c r="B72" s="152">
        <f>Zones!L72</f>
        <v>25.205399999999997</v>
      </c>
      <c r="C72" s="153">
        <f>Zones!I72</f>
        <v>763.8</v>
      </c>
      <c r="D72" s="147">
        <v>15</v>
      </c>
      <c r="E72" s="147">
        <v>0.15</v>
      </c>
      <c r="F72" s="154"/>
      <c r="G72" s="153">
        <f t="shared" si="10"/>
        <v>378.08099999999996</v>
      </c>
      <c r="H72" s="153">
        <f t="shared" si="11"/>
        <v>114.57</v>
      </c>
      <c r="I72" s="154"/>
      <c r="J72" s="156">
        <f t="shared" si="12"/>
        <v>378.08099999999996</v>
      </c>
      <c r="K72" s="428" t="s">
        <v>535</v>
      </c>
      <c r="L72" s="507"/>
      <c r="M72" s="4"/>
      <c r="N72" s="4"/>
      <c r="O72" s="507"/>
      <c r="P72" s="4"/>
      <c r="Q72" s="4"/>
    </row>
    <row r="73" spans="1:17" ht="17.399999999999999" customHeight="1" x14ac:dyDescent="0.25">
      <c r="A73" s="378" t="str">
        <f>Zones!B73</f>
        <v>Conference_E_FloorT</v>
      </c>
      <c r="B73" s="152">
        <f>Zones!L73</f>
        <v>14.2956</v>
      </c>
      <c r="C73" s="153">
        <f>Zones!I73</f>
        <v>433.2</v>
      </c>
      <c r="D73" s="147">
        <v>15</v>
      </c>
      <c r="E73" s="147">
        <v>0.15</v>
      </c>
      <c r="F73" s="154"/>
      <c r="G73" s="153">
        <f t="shared" si="10"/>
        <v>214.434</v>
      </c>
      <c r="H73" s="153">
        <f t="shared" si="11"/>
        <v>64.97999999999999</v>
      </c>
      <c r="I73" s="154"/>
      <c r="J73" s="156">
        <f t="shared" si="12"/>
        <v>214.434</v>
      </c>
      <c r="K73" s="428" t="s">
        <v>535</v>
      </c>
      <c r="L73" s="507"/>
      <c r="M73" s="4"/>
      <c r="N73" s="4"/>
      <c r="O73" s="507"/>
      <c r="P73" s="4"/>
      <c r="Q73" s="4"/>
    </row>
    <row r="74" spans="1:17" ht="17.399999999999999" customHeight="1" x14ac:dyDescent="0.25">
      <c r="A74" s="378" t="str">
        <f>Zones!B74</f>
        <v>BreakRoom/FoodPrep_FloorT</v>
      </c>
      <c r="B74" s="152">
        <f>Zones!L74</f>
        <v>30.03</v>
      </c>
      <c r="C74" s="153">
        <f>Zones!I74</f>
        <v>910</v>
      </c>
      <c r="D74" s="147">
        <v>15</v>
      </c>
      <c r="E74" s="147">
        <v>0.15</v>
      </c>
      <c r="F74" s="154"/>
      <c r="G74" s="153">
        <f t="shared" si="10"/>
        <v>450.45000000000005</v>
      </c>
      <c r="H74" s="153">
        <f t="shared" si="11"/>
        <v>136.5</v>
      </c>
      <c r="I74" s="154"/>
      <c r="J74" s="156">
        <f t="shared" si="12"/>
        <v>450.45000000000005</v>
      </c>
      <c r="K74" s="428" t="s">
        <v>536</v>
      </c>
      <c r="L74" s="507"/>
      <c r="M74" s="4"/>
      <c r="N74" s="4"/>
      <c r="O74" s="507"/>
      <c r="P74" s="4"/>
      <c r="Q74" s="4"/>
    </row>
    <row r="75" spans="1:17" ht="32.25" customHeight="1" x14ac:dyDescent="0.25">
      <c r="A75" s="378" t="str">
        <f>Zones!B75</f>
        <v>Storage_FloorT</v>
      </c>
      <c r="B75" s="152">
        <f>Zones!L75</f>
        <v>0</v>
      </c>
      <c r="C75" s="153">
        <f>Zones!I75</f>
        <v>738</v>
      </c>
      <c r="D75" s="147">
        <v>15</v>
      </c>
      <c r="E75" s="147">
        <v>0.15</v>
      </c>
      <c r="F75" s="154"/>
      <c r="G75" s="153">
        <f t="shared" si="10"/>
        <v>0</v>
      </c>
      <c r="H75" s="153">
        <f t="shared" si="11"/>
        <v>110.7</v>
      </c>
      <c r="I75" s="154"/>
      <c r="J75" s="156">
        <f t="shared" si="12"/>
        <v>110.7</v>
      </c>
      <c r="K75" s="429" t="s">
        <v>537</v>
      </c>
      <c r="L75" s="507"/>
      <c r="M75" s="4"/>
      <c r="N75" s="4"/>
      <c r="O75" s="507"/>
      <c r="P75" s="4"/>
      <c r="Q75" s="4"/>
    </row>
    <row r="76" spans="1:17" ht="17.399999999999999" customHeight="1" x14ac:dyDescent="0.25">
      <c r="A76" s="378" t="str">
        <f>Zones!B76</f>
        <v>Lobby/Lounge_FloorT</v>
      </c>
      <c r="B76" s="152">
        <f>Zones!L76</f>
        <v>10.26</v>
      </c>
      <c r="C76" s="153">
        <f>Zones!I76</f>
        <v>684</v>
      </c>
      <c r="D76" s="147">
        <v>15</v>
      </c>
      <c r="E76" s="147">
        <v>0.15</v>
      </c>
      <c r="F76" s="154"/>
      <c r="G76" s="153">
        <f t="shared" si="10"/>
        <v>153.9</v>
      </c>
      <c r="H76" s="153">
        <f t="shared" si="11"/>
        <v>102.6</v>
      </c>
      <c r="I76" s="154"/>
      <c r="J76" s="156">
        <f t="shared" si="12"/>
        <v>153.9</v>
      </c>
      <c r="K76" s="428" t="s">
        <v>536</v>
      </c>
      <c r="L76" s="507"/>
      <c r="M76" s="4"/>
      <c r="N76" s="4"/>
      <c r="O76" s="507"/>
      <c r="P76" s="4"/>
      <c r="Q76" s="4"/>
    </row>
    <row r="77" spans="1:17" ht="16.95" customHeight="1" x14ac:dyDescent="0.25">
      <c r="A77" s="378" t="str">
        <f>Zones!B77</f>
        <v>Restroom_FloorT</v>
      </c>
      <c r="B77" s="152">
        <f>Zones!L77</f>
        <v>0</v>
      </c>
      <c r="C77" s="153">
        <f>Zones!I77</f>
        <v>1155</v>
      </c>
      <c r="D77" s="147">
        <v>15</v>
      </c>
      <c r="E77" s="147">
        <v>0.15</v>
      </c>
      <c r="F77" s="147" t="s">
        <v>545</v>
      </c>
      <c r="G77" s="153">
        <f t="shared" si="10"/>
        <v>0</v>
      </c>
      <c r="H77" s="153">
        <f t="shared" si="11"/>
        <v>173.25</v>
      </c>
      <c r="I77" s="637">
        <f>9*50</f>
        <v>450</v>
      </c>
      <c r="J77" s="156">
        <f t="shared" si="12"/>
        <v>450</v>
      </c>
      <c r="K77" s="428" t="s">
        <v>534</v>
      </c>
      <c r="L77" s="507"/>
      <c r="M77" s="4"/>
      <c r="N77" s="4"/>
      <c r="O77" s="3"/>
      <c r="P77" s="3"/>
      <c r="Q77" s="3"/>
    </row>
    <row r="78" spans="1:17" ht="16.95" customHeight="1" x14ac:dyDescent="0.25">
      <c r="A78" s="378" t="str">
        <f>Zones!B78</f>
        <v>Stair/Elevator_FloorT</v>
      </c>
      <c r="B78" s="152">
        <f>Zones!L78</f>
        <v>0</v>
      </c>
      <c r="C78" s="153">
        <f>Zones!I78</f>
        <v>848</v>
      </c>
      <c r="D78" s="147">
        <v>15</v>
      </c>
      <c r="E78" s="147">
        <v>0.15</v>
      </c>
      <c r="F78" s="154"/>
      <c r="G78" s="153">
        <f t="shared" si="10"/>
        <v>0</v>
      </c>
      <c r="H78" s="153">
        <f t="shared" si="11"/>
        <v>127.19999999999999</v>
      </c>
      <c r="I78" s="154"/>
      <c r="J78" s="156">
        <f t="shared" si="12"/>
        <v>127.19999999999999</v>
      </c>
      <c r="K78" s="428" t="s">
        <v>534</v>
      </c>
      <c r="L78" s="3"/>
      <c r="M78" s="3"/>
      <c r="N78" s="3"/>
      <c r="O78" s="3"/>
      <c r="P78" s="3"/>
      <c r="Q78" s="3"/>
    </row>
    <row r="79" spans="1:17" ht="16.95" customHeight="1" x14ac:dyDescent="0.25">
      <c r="A79" s="378" t="str">
        <f>Zones!B79</f>
        <v>Corridor_W_FloorT</v>
      </c>
      <c r="B79" s="152">
        <f>Zones!L79</f>
        <v>5.0293999999999999</v>
      </c>
      <c r="C79" s="153">
        <f>Zones!I79</f>
        <v>1005.88</v>
      </c>
      <c r="D79" s="147">
        <v>15</v>
      </c>
      <c r="E79" s="147">
        <v>0.15</v>
      </c>
      <c r="F79" s="154"/>
      <c r="G79" s="153">
        <f t="shared" si="10"/>
        <v>75.441000000000003</v>
      </c>
      <c r="H79" s="153">
        <f t="shared" si="11"/>
        <v>150.88200000000001</v>
      </c>
      <c r="I79" s="154"/>
      <c r="J79" s="156">
        <f t="shared" si="12"/>
        <v>150.88200000000001</v>
      </c>
      <c r="K79" s="428" t="s">
        <v>540</v>
      </c>
      <c r="L79" s="3"/>
      <c r="M79" s="3"/>
      <c r="N79" s="3"/>
      <c r="O79" s="3"/>
      <c r="P79" s="3"/>
      <c r="Q79" s="3"/>
    </row>
    <row r="80" spans="1:17" ht="16.95" customHeight="1" x14ac:dyDescent="0.25">
      <c r="A80" s="378" t="str">
        <f>Zones!B80</f>
        <v>Corridor_E_FloorT</v>
      </c>
      <c r="B80" s="152">
        <f>Zones!L80</f>
        <v>2.9268000000000001</v>
      </c>
      <c r="C80" s="153">
        <f>Zones!I80</f>
        <v>585.36</v>
      </c>
      <c r="D80" s="147">
        <v>15</v>
      </c>
      <c r="E80" s="147">
        <v>0.15</v>
      </c>
      <c r="F80" s="154"/>
      <c r="G80" s="153">
        <f t="shared" si="10"/>
        <v>43.902000000000001</v>
      </c>
      <c r="H80" s="153">
        <f t="shared" si="11"/>
        <v>87.804000000000002</v>
      </c>
      <c r="I80" s="154"/>
      <c r="J80" s="156">
        <f t="shared" si="12"/>
        <v>87.804000000000002</v>
      </c>
      <c r="K80" s="428" t="s">
        <v>540</v>
      </c>
      <c r="L80" s="3"/>
      <c r="M80" s="3"/>
      <c r="N80" s="3"/>
      <c r="O80" s="3"/>
      <c r="P80" s="3"/>
      <c r="Q80" s="3"/>
    </row>
    <row r="81" spans="1:12" ht="16.95" customHeight="1" x14ac:dyDescent="0.25">
      <c r="A81" s="379" t="str">
        <f>Zones!B81</f>
        <v>Plenum_FloorT</v>
      </c>
      <c r="B81" s="380">
        <f>Zones!L81</f>
        <v>0</v>
      </c>
      <c r="C81" s="381">
        <f>Zones!I81</f>
        <v>38352.97</v>
      </c>
      <c r="D81" s="382">
        <v>15</v>
      </c>
      <c r="E81" s="382"/>
      <c r="F81" s="383"/>
      <c r="G81" s="381">
        <f t="shared" si="10"/>
        <v>0</v>
      </c>
      <c r="H81" s="381">
        <f t="shared" si="11"/>
        <v>0</v>
      </c>
      <c r="I81" s="383"/>
      <c r="J81" s="384">
        <f t="shared" si="12"/>
        <v>0</v>
      </c>
      <c r="K81" s="430" t="s">
        <v>226</v>
      </c>
      <c r="L81" s="3"/>
    </row>
    <row r="82" spans="1:12" ht="16.95" customHeight="1" x14ac:dyDescent="0.25">
      <c r="A82" s="3"/>
      <c r="B82" s="3"/>
      <c r="C82" s="3"/>
      <c r="D82" s="3"/>
      <c r="E82" s="3"/>
      <c r="F82" s="3"/>
      <c r="G82" s="3"/>
      <c r="H82" s="3"/>
      <c r="I82" s="3"/>
      <c r="J82" s="144"/>
      <c r="K82" s="357"/>
      <c r="L82" s="3"/>
    </row>
    <row r="83" spans="1:12" ht="16.95" customHeight="1" x14ac:dyDescent="0.25">
      <c r="A83" s="3"/>
      <c r="B83" s="3"/>
      <c r="C83" s="3"/>
      <c r="D83" s="3"/>
      <c r="E83" s="3"/>
      <c r="F83" s="3"/>
      <c r="G83" s="3"/>
      <c r="H83" s="3"/>
      <c r="I83" s="3"/>
      <c r="J83" s="144"/>
      <c r="K83" s="357"/>
      <c r="L83" s="3"/>
    </row>
    <row r="84" spans="1:12" ht="16.95" customHeight="1" x14ac:dyDescent="0.25">
      <c r="A84" s="3"/>
      <c r="B84" s="3"/>
      <c r="C84" s="3"/>
      <c r="D84" s="3"/>
      <c r="E84" s="3"/>
      <c r="F84" s="3"/>
      <c r="G84" s="3"/>
      <c r="H84" s="3"/>
      <c r="I84" s="3"/>
      <c r="J84" s="144"/>
      <c r="K84" s="357"/>
      <c r="L84" s="3"/>
    </row>
    <row r="85" spans="1:12" ht="16.95" customHeight="1" x14ac:dyDescent="0.25">
      <c r="A85" s="3"/>
      <c r="B85" s="3"/>
      <c r="C85" s="3"/>
      <c r="D85" s="3"/>
      <c r="E85" s="3"/>
      <c r="F85" s="3"/>
      <c r="G85" s="3"/>
      <c r="H85" s="3"/>
      <c r="I85" s="3"/>
      <c r="J85" s="144"/>
      <c r="K85" s="357"/>
      <c r="L85" s="3"/>
    </row>
    <row r="86" spans="1:12" ht="16.95" customHeight="1" x14ac:dyDescent="0.25">
      <c r="A86" s="3"/>
      <c r="B86" s="3"/>
      <c r="C86" s="3"/>
      <c r="D86" s="3"/>
      <c r="E86" s="3"/>
      <c r="F86" s="3"/>
      <c r="G86" s="3"/>
      <c r="H86" s="3"/>
      <c r="I86" s="3"/>
      <c r="J86" s="144"/>
      <c r="K86" s="357"/>
      <c r="L86" s="3"/>
    </row>
    <row r="87" spans="1:12" x14ac:dyDescent="0.25">
      <c r="A87" s="3"/>
      <c r="B87" s="173"/>
      <c r="C87" s="3"/>
      <c r="D87" s="3"/>
      <c r="E87" s="3"/>
      <c r="F87" s="3"/>
      <c r="G87" s="3"/>
      <c r="H87" s="3"/>
      <c r="I87" s="3"/>
      <c r="J87" s="144"/>
      <c r="K87" s="357"/>
      <c r="L87" s="3"/>
    </row>
    <row r="88" spans="1:12" x14ac:dyDescent="0.25">
      <c r="A88" s="3"/>
      <c r="B88" s="173"/>
      <c r="C88" s="3"/>
      <c r="D88" s="3"/>
      <c r="E88" s="3"/>
      <c r="F88" s="3"/>
      <c r="G88" s="3"/>
      <c r="H88" s="3"/>
      <c r="I88" s="3"/>
      <c r="J88" s="144"/>
      <c r="K88" s="357"/>
      <c r="L88" s="3"/>
    </row>
    <row r="89" spans="1:12" x14ac:dyDescent="0.25">
      <c r="A89" s="6"/>
      <c r="B89" s="173"/>
      <c r="C89" s="3"/>
      <c r="D89" s="173"/>
      <c r="E89" s="3"/>
      <c r="F89" s="3"/>
      <c r="G89" s="3"/>
      <c r="H89" s="3"/>
      <c r="I89" s="3"/>
      <c r="J89" s="144"/>
      <c r="K89" s="357"/>
      <c r="L89" s="3"/>
    </row>
    <row r="90" spans="1:12" x14ac:dyDescent="0.25">
      <c r="A90" s="6"/>
      <c r="B90" s="173"/>
      <c r="C90" s="3"/>
      <c r="D90" s="173"/>
      <c r="E90" s="3"/>
      <c r="F90" s="3"/>
      <c r="G90" s="3"/>
      <c r="H90" s="3"/>
      <c r="I90" s="3"/>
      <c r="J90" s="3"/>
      <c r="K90" s="357"/>
      <c r="L90" s="3"/>
    </row>
    <row r="91" spans="1:12" x14ac:dyDescent="0.25">
      <c r="A91" s="6"/>
      <c r="B91" s="173"/>
      <c r="C91" s="3"/>
      <c r="D91" s="173"/>
      <c r="E91" s="3"/>
      <c r="F91" s="3"/>
      <c r="G91" s="3"/>
      <c r="H91" s="3"/>
      <c r="I91" s="3"/>
      <c r="J91" s="3"/>
      <c r="K91" s="357"/>
      <c r="L91" s="3"/>
    </row>
    <row r="92" spans="1:12" s="61" customFormat="1" ht="17.399999999999999" hidden="1" x14ac:dyDescent="0.3">
      <c r="A92" s="21" t="s">
        <v>416</v>
      </c>
      <c r="B92" s="145"/>
      <c r="C92" s="145"/>
      <c r="D92" s="145"/>
      <c r="E92" s="145"/>
      <c r="F92" s="145"/>
      <c r="G92" s="145"/>
      <c r="H92" s="145"/>
      <c r="I92" s="145"/>
      <c r="J92" s="145"/>
      <c r="K92" s="358"/>
      <c r="L92" s="146"/>
    </row>
  </sheetData>
  <mergeCells count="2">
    <mergeCell ref="M17:O17"/>
    <mergeCell ref="A1:K1"/>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1905-EF6B-42A0-AB55-B042AC0AE9A4}">
  <dimension ref="A1:O171"/>
  <sheetViews>
    <sheetView zoomScale="85" zoomScaleNormal="85" workbookViewId="0">
      <selection sqref="A1:G1"/>
    </sheetView>
  </sheetViews>
  <sheetFormatPr defaultColWidth="8.6640625" defaultRowHeight="13.2" x14ac:dyDescent="0.25"/>
  <cols>
    <col min="1" max="1" width="35.88671875" style="5" customWidth="1"/>
    <col min="2" max="2" width="29.6640625" style="5" customWidth="1"/>
    <col min="3" max="3" width="23.109375" style="5" customWidth="1"/>
    <col min="4" max="4" width="33" style="5" customWidth="1"/>
    <col min="5" max="5" width="32.44140625" style="5" customWidth="1"/>
    <col min="6" max="6" width="25.5546875" style="5" customWidth="1"/>
    <col min="7" max="7" width="23" style="5" customWidth="1"/>
    <col min="8" max="8" width="27.44140625" style="5" customWidth="1"/>
    <col min="9" max="10" width="23" style="5" customWidth="1"/>
    <col min="11" max="11" width="19" style="5" customWidth="1"/>
    <col min="12" max="12" width="50.109375" style="5" customWidth="1"/>
    <col min="13" max="13" width="20.6640625" style="5" bestFit="1" customWidth="1"/>
    <col min="14" max="14" width="21" style="5" bestFit="1" customWidth="1"/>
    <col min="15" max="15" width="15.33203125" style="5" customWidth="1"/>
    <col min="16" max="16" width="11" style="5" customWidth="1"/>
    <col min="17" max="20" width="15.33203125" style="5" customWidth="1"/>
    <col min="21" max="21" width="7.6640625" style="5" customWidth="1"/>
    <col min="22" max="22" width="12.44140625" style="5" customWidth="1"/>
    <col min="23" max="38" width="6.5546875" style="5" customWidth="1"/>
    <col min="39" max="39" width="15.33203125" style="5" customWidth="1"/>
    <col min="40" max="40" width="11.33203125" style="5" customWidth="1"/>
    <col min="41" max="41" width="6.33203125" style="5" customWidth="1"/>
    <col min="42" max="45" width="4.6640625" style="5" customWidth="1"/>
    <col min="46" max="46" width="6.33203125" style="5" customWidth="1"/>
    <col min="47" max="61" width="4.6640625" style="5" customWidth="1"/>
    <col min="62" max="16384" width="8.6640625" style="5"/>
  </cols>
  <sheetData>
    <row r="1" spans="1:8" ht="24" customHeight="1" x14ac:dyDescent="0.25">
      <c r="A1" s="876" t="s">
        <v>546</v>
      </c>
      <c r="B1" s="877"/>
      <c r="C1" s="877"/>
      <c r="D1" s="877"/>
      <c r="E1" s="877"/>
      <c r="F1" s="877"/>
      <c r="G1" s="877"/>
    </row>
    <row r="2" spans="1:8" ht="22.35" customHeight="1" x14ac:dyDescent="0.25">
      <c r="A2" s="96" t="s">
        <v>301</v>
      </c>
      <c r="B2" s="96" t="s">
        <v>547</v>
      </c>
      <c r="C2" s="96" t="s">
        <v>548</v>
      </c>
      <c r="D2" s="638" t="s">
        <v>549</v>
      </c>
      <c r="E2" s="396" t="s">
        <v>550</v>
      </c>
      <c r="F2" s="396" t="s">
        <v>551</v>
      </c>
      <c r="G2" s="396" t="s">
        <v>372</v>
      </c>
      <c r="H2" s="397"/>
    </row>
    <row r="3" spans="1:8" ht="61.5" customHeight="1" x14ac:dyDescent="0.25">
      <c r="A3" s="175" t="s">
        <v>552</v>
      </c>
      <c r="B3" s="175" t="s">
        <v>553</v>
      </c>
      <c r="C3" s="398">
        <v>0.8</v>
      </c>
      <c r="D3" s="639">
        <f>B92</f>
        <v>2</v>
      </c>
      <c r="E3" s="640" t="s">
        <v>554</v>
      </c>
      <c r="F3" s="568" t="s">
        <v>555</v>
      </c>
      <c r="G3" s="599" t="s">
        <v>556</v>
      </c>
      <c r="H3" s="399"/>
    </row>
    <row r="4" spans="1:8" ht="63.75" customHeight="1" x14ac:dyDescent="0.25">
      <c r="A4" s="175" t="s">
        <v>388</v>
      </c>
      <c r="B4" s="175" t="s">
        <v>553</v>
      </c>
      <c r="C4" s="398">
        <v>0.8</v>
      </c>
      <c r="D4" s="639">
        <f>D3</f>
        <v>2</v>
      </c>
      <c r="E4" s="640" t="str">
        <f>E3</f>
        <v>See table below for each WH: col F is storage volume EACH of N identical heaters (N in B91). Plant total volume = col L.</v>
      </c>
      <c r="F4" s="640" t="str">
        <f>F3</f>
        <v>See table below for each WH: col G is standby EACH of N identical heaters. Plant total UA = col N.</v>
      </c>
      <c r="G4" s="599" t="str">
        <f>G3</f>
        <v>See table below for sources: Climate Zone Water Heater Sizing and Loss Coefficients</v>
      </c>
      <c r="H4" s="400"/>
    </row>
    <row r="5" spans="1:8" ht="14.7" customHeight="1" x14ac:dyDescent="0.25">
      <c r="A5" s="413"/>
      <c r="B5" s="413"/>
      <c r="C5" s="413"/>
      <c r="D5" s="413"/>
      <c r="E5" s="413"/>
    </row>
    <row r="6" spans="1:8" ht="16.2" customHeight="1" x14ac:dyDescent="0.25"/>
    <row r="8" spans="1:8" ht="24.75" customHeight="1" x14ac:dyDescent="0.25">
      <c r="A8" s="799" t="s">
        <v>557</v>
      </c>
      <c r="B8" s="799"/>
      <c r="C8" s="799"/>
      <c r="D8" s="799"/>
      <c r="E8" s="799"/>
      <c r="F8" s="799"/>
      <c r="G8" s="799"/>
      <c r="H8" s="799"/>
    </row>
    <row r="9" spans="1:8" ht="52.8" x14ac:dyDescent="0.25">
      <c r="A9" s="242" t="s">
        <v>523</v>
      </c>
      <c r="B9" s="188" t="s">
        <v>558</v>
      </c>
      <c r="C9" s="188" t="s">
        <v>559</v>
      </c>
      <c r="D9" s="188" t="s">
        <v>136</v>
      </c>
      <c r="E9" s="188" t="s">
        <v>560</v>
      </c>
      <c r="F9" s="188" t="s">
        <v>561</v>
      </c>
      <c r="G9" s="188" t="s">
        <v>562</v>
      </c>
      <c r="H9" s="98" t="s">
        <v>347</v>
      </c>
    </row>
    <row r="10" spans="1:8" ht="12.75" customHeight="1" x14ac:dyDescent="0.25">
      <c r="A10" s="244" t="str">
        <f>Zones!B3</f>
        <v>Perimeter_Open_Office_N_Basement</v>
      </c>
      <c r="B10" s="284" t="s">
        <v>563</v>
      </c>
      <c r="C10" s="283">
        <f>Zones!I3*Zones!K3</f>
        <v>8416.86</v>
      </c>
      <c r="D10" s="282">
        <f>Zones!L3*Zones!K3</f>
        <v>42.084300000000006</v>
      </c>
      <c r="E10" s="244">
        <v>0.18</v>
      </c>
      <c r="F10" s="281">
        <f>D10*E10</f>
        <v>7.5751740000000005</v>
      </c>
      <c r="G10" s="401">
        <f>F10/60</f>
        <v>0.1262529</v>
      </c>
      <c r="H10" s="885" t="s">
        <v>564</v>
      </c>
    </row>
    <row r="11" spans="1:8" x14ac:dyDescent="0.25">
      <c r="A11" s="244" t="str">
        <f>Zones!B4</f>
        <v>Perimeter_Open_Office_S_Basement</v>
      </c>
      <c r="B11" s="284" t="s">
        <v>563</v>
      </c>
      <c r="C11" s="283">
        <f>Zones!I4*Zones!K4</f>
        <v>3662.18</v>
      </c>
      <c r="D11" s="282">
        <f>Zones!L4*Zones!K4</f>
        <v>18.310899999999997</v>
      </c>
      <c r="E11" s="244">
        <v>0.18</v>
      </c>
      <c r="F11" s="281">
        <f t="shared" ref="F11:F74" si="0">D11*E11</f>
        <v>3.2959619999999994</v>
      </c>
      <c r="G11" s="401">
        <f t="shared" ref="G11:G74" si="1">F11/60</f>
        <v>5.4932699999999987E-2</v>
      </c>
      <c r="H11" s="885"/>
    </row>
    <row r="12" spans="1:8" x14ac:dyDescent="0.25">
      <c r="A12" s="244" t="str">
        <f>Zones!B5</f>
        <v>Core_Enclosed_Office_Basement</v>
      </c>
      <c r="B12" s="284" t="s">
        <v>563</v>
      </c>
      <c r="C12" s="283">
        <f>Zones!I5*Zones!K5</f>
        <v>3703.68</v>
      </c>
      <c r="D12" s="282">
        <f>Zones!L5*Zones!K5</f>
        <v>18.518399999999996</v>
      </c>
      <c r="E12" s="244">
        <v>0.18</v>
      </c>
      <c r="F12" s="281">
        <f t="shared" si="0"/>
        <v>3.3333119999999994</v>
      </c>
      <c r="G12" s="401">
        <f t="shared" si="1"/>
        <v>5.5555199999999992E-2</v>
      </c>
      <c r="H12" s="885"/>
    </row>
    <row r="13" spans="1:8" x14ac:dyDescent="0.25">
      <c r="A13" s="244" t="str">
        <f>Zones!B6</f>
        <v>Server_Room_Basement</v>
      </c>
      <c r="B13" s="284" t="s">
        <v>563</v>
      </c>
      <c r="C13" s="283">
        <f>Zones!I6*Zones!K6</f>
        <v>8228</v>
      </c>
      <c r="D13" s="282">
        <f>Zones!L6*Zones!K6</f>
        <v>41.14</v>
      </c>
      <c r="E13" s="244">
        <v>0.18</v>
      </c>
      <c r="F13" s="281">
        <f t="shared" si="0"/>
        <v>7.4051999999999998</v>
      </c>
      <c r="G13" s="401">
        <f t="shared" si="1"/>
        <v>0.12342</v>
      </c>
      <c r="H13" s="885"/>
    </row>
    <row r="14" spans="1:8" x14ac:dyDescent="0.25">
      <c r="A14" s="244" t="str">
        <f>Zones!B7</f>
        <v>Mech/Elec_Basement</v>
      </c>
      <c r="B14" s="284" t="s">
        <v>563</v>
      </c>
      <c r="C14" s="283">
        <f>Zones!I7*Zones!K7</f>
        <v>7958</v>
      </c>
      <c r="D14" s="282">
        <f>Zones!L7*Zones!K7</f>
        <v>0</v>
      </c>
      <c r="E14" s="244">
        <v>0.18</v>
      </c>
      <c r="F14" s="281">
        <f t="shared" si="0"/>
        <v>0</v>
      </c>
      <c r="G14" s="401">
        <f t="shared" si="1"/>
        <v>0</v>
      </c>
      <c r="H14" s="885"/>
    </row>
    <row r="15" spans="1:8" x14ac:dyDescent="0.25">
      <c r="A15" s="244" t="str">
        <f>Zones!B8</f>
        <v>Conference_Basement</v>
      </c>
      <c r="B15" s="284" t="s">
        <v>563</v>
      </c>
      <c r="C15" s="283">
        <f>Zones!I8*Zones!K8</f>
        <v>579.70000000000005</v>
      </c>
      <c r="D15" s="282">
        <f>Zones!L8*Zones!K8</f>
        <v>19.130100000000002</v>
      </c>
      <c r="E15" s="244">
        <v>0.09</v>
      </c>
      <c r="F15" s="281">
        <f t="shared" si="0"/>
        <v>1.7217090000000002</v>
      </c>
      <c r="G15" s="401">
        <f t="shared" si="1"/>
        <v>2.8695150000000003E-2</v>
      </c>
      <c r="H15" s="885"/>
    </row>
    <row r="16" spans="1:8" x14ac:dyDescent="0.25">
      <c r="A16" s="244" t="str">
        <f>Zones!B9</f>
        <v>BreakRoom/FoodPrep_Basement</v>
      </c>
      <c r="B16" s="284" t="s">
        <v>563</v>
      </c>
      <c r="C16" s="283">
        <f>Zones!I9*Zones!K9</f>
        <v>973</v>
      </c>
      <c r="D16" s="282">
        <f>Zones!L9*Zones!K9</f>
        <v>32.109000000000002</v>
      </c>
      <c r="E16" s="244">
        <v>0.09</v>
      </c>
      <c r="F16" s="281">
        <f t="shared" si="0"/>
        <v>2.8898100000000002</v>
      </c>
      <c r="G16" s="401">
        <f t="shared" si="1"/>
        <v>4.8163500000000005E-2</v>
      </c>
      <c r="H16" s="885"/>
    </row>
    <row r="17" spans="1:8" x14ac:dyDescent="0.25">
      <c r="A17" s="244" t="str">
        <f>Zones!B10</f>
        <v>Storage_Basement</v>
      </c>
      <c r="B17" s="284" t="s">
        <v>563</v>
      </c>
      <c r="C17" s="283">
        <f>Zones!I10*Zones!K10</f>
        <v>1231</v>
      </c>
      <c r="D17" s="282">
        <f>Zones!L10*Zones!K10</f>
        <v>0</v>
      </c>
      <c r="E17" s="244">
        <v>0</v>
      </c>
      <c r="F17" s="281">
        <f t="shared" si="0"/>
        <v>0</v>
      </c>
      <c r="G17" s="401">
        <f t="shared" si="1"/>
        <v>0</v>
      </c>
      <c r="H17" s="885"/>
    </row>
    <row r="18" spans="1:8" x14ac:dyDescent="0.25">
      <c r="A18" s="244" t="str">
        <f>Zones!B11</f>
        <v>Restroom_Basement</v>
      </c>
      <c r="B18" s="284" t="s">
        <v>553</v>
      </c>
      <c r="C18" s="283">
        <f>Zones!I11*Zones!K11</f>
        <v>986</v>
      </c>
      <c r="D18" s="282">
        <f>Zones!L11*Zones!K11</f>
        <v>0</v>
      </c>
      <c r="E18" s="244">
        <v>0</v>
      </c>
      <c r="F18" s="281">
        <f t="shared" si="0"/>
        <v>0</v>
      </c>
      <c r="G18" s="401">
        <f t="shared" si="1"/>
        <v>0</v>
      </c>
      <c r="H18" s="885"/>
    </row>
    <row r="19" spans="1:8" x14ac:dyDescent="0.25">
      <c r="A19" s="244" t="str">
        <f>Zones!B12</f>
        <v>Lobby/Lounge_Basement</v>
      </c>
      <c r="B19" s="284" t="s">
        <v>553</v>
      </c>
      <c r="C19" s="283">
        <f>Zones!I12*Zones!K12</f>
        <v>707</v>
      </c>
      <c r="D19" s="282">
        <f>Zones!L12*Zones!K12</f>
        <v>10.605</v>
      </c>
      <c r="E19" s="244">
        <v>0.09</v>
      </c>
      <c r="F19" s="281">
        <f t="shared" si="0"/>
        <v>0.95445000000000002</v>
      </c>
      <c r="G19" s="401">
        <f t="shared" si="1"/>
        <v>1.5907500000000001E-2</v>
      </c>
      <c r="H19" s="885"/>
    </row>
    <row r="20" spans="1:8" x14ac:dyDescent="0.25">
      <c r="A20" s="244" t="str">
        <f>Zones!B13</f>
        <v>Stair/Elevator_Basement</v>
      </c>
      <c r="B20" s="284" t="s">
        <v>563</v>
      </c>
      <c r="C20" s="283">
        <f>Zones!I13*Zones!K13</f>
        <v>941</v>
      </c>
      <c r="D20" s="282">
        <f>Zones!L13*Zones!K13</f>
        <v>0</v>
      </c>
      <c r="E20" s="244">
        <v>0</v>
      </c>
      <c r="F20" s="281">
        <f t="shared" si="0"/>
        <v>0</v>
      </c>
      <c r="G20" s="401">
        <f t="shared" si="1"/>
        <v>0</v>
      </c>
      <c r="H20" s="885"/>
    </row>
    <row r="21" spans="1:8" x14ac:dyDescent="0.25">
      <c r="A21" s="244" t="str">
        <f>Zones!B14</f>
        <v>Corridor_W_Basement</v>
      </c>
      <c r="B21" s="284" t="s">
        <v>563</v>
      </c>
      <c r="C21" s="283">
        <f>Zones!I14*Zones!K14</f>
        <v>703</v>
      </c>
      <c r="D21" s="282">
        <f>Zones!L14*Zones!K14</f>
        <v>3.5150000000000001</v>
      </c>
      <c r="E21" s="244">
        <v>0</v>
      </c>
      <c r="F21" s="281">
        <f t="shared" si="0"/>
        <v>0</v>
      </c>
      <c r="G21" s="401">
        <f t="shared" si="1"/>
        <v>0</v>
      </c>
      <c r="H21" s="885"/>
    </row>
    <row r="22" spans="1:8" x14ac:dyDescent="0.25">
      <c r="A22" s="244" t="str">
        <f>Zones!B15</f>
        <v>Corridor_E_Basement</v>
      </c>
      <c r="B22" s="284" t="s">
        <v>563</v>
      </c>
      <c r="C22" s="283">
        <f>Zones!I15*Zones!K15</f>
        <v>262.89999999999998</v>
      </c>
      <c r="D22" s="282">
        <f>Zones!L15*Zones!K15</f>
        <v>1.3145</v>
      </c>
      <c r="E22" s="244">
        <v>0</v>
      </c>
      <c r="F22" s="281">
        <f t="shared" si="0"/>
        <v>0</v>
      </c>
      <c r="G22" s="401">
        <f t="shared" si="1"/>
        <v>0</v>
      </c>
      <c r="H22" s="885"/>
    </row>
    <row r="23" spans="1:8" x14ac:dyDescent="0.25">
      <c r="A23" s="244" t="str">
        <f>Zones!B16</f>
        <v>Perimeter_Open_Office_N_FloorG</v>
      </c>
      <c r="B23" s="284" t="s">
        <v>563</v>
      </c>
      <c r="C23" s="283">
        <f>Zones!I16*Zones!K16</f>
        <v>7131.29</v>
      </c>
      <c r="D23" s="282">
        <f>Zones!L16*Zones!K16</f>
        <v>35.65645</v>
      </c>
      <c r="E23" s="244">
        <v>0.18</v>
      </c>
      <c r="F23" s="281">
        <f t="shared" si="0"/>
        <v>6.4181609999999996</v>
      </c>
      <c r="G23" s="401">
        <f t="shared" si="1"/>
        <v>0.10696934999999999</v>
      </c>
      <c r="H23" s="885"/>
    </row>
    <row r="24" spans="1:8" x14ac:dyDescent="0.25">
      <c r="A24" s="244" t="str">
        <f>Zones!B17</f>
        <v>Perimeter_Open_Office_W_FloorG</v>
      </c>
      <c r="B24" s="284" t="s">
        <v>563</v>
      </c>
      <c r="C24" s="283">
        <f>Zones!I17*Zones!K17</f>
        <v>5795.77</v>
      </c>
      <c r="D24" s="282">
        <f>Zones!L17*Zones!K17</f>
        <v>28.978850000000001</v>
      </c>
      <c r="E24" s="244">
        <v>0.18</v>
      </c>
      <c r="F24" s="281">
        <f t="shared" si="0"/>
        <v>5.2161929999999996</v>
      </c>
      <c r="G24" s="401">
        <f t="shared" si="1"/>
        <v>8.6936549999999987E-2</v>
      </c>
      <c r="H24" s="885"/>
    </row>
    <row r="25" spans="1:8" x14ac:dyDescent="0.25">
      <c r="A25" s="244" t="str">
        <f>Zones!B18</f>
        <v>Perimeter_Open_Office_E_FloorG</v>
      </c>
      <c r="B25" s="284" t="s">
        <v>563</v>
      </c>
      <c r="C25" s="283">
        <f>Zones!I18*Zones!K18</f>
        <v>5875.49</v>
      </c>
      <c r="D25" s="282">
        <f>Zones!L18*Zones!K18</f>
        <v>29.377449999999996</v>
      </c>
      <c r="E25" s="244">
        <v>0.18</v>
      </c>
      <c r="F25" s="281">
        <f t="shared" si="0"/>
        <v>5.2879409999999991</v>
      </c>
      <c r="G25" s="401">
        <f t="shared" si="1"/>
        <v>8.8132349999999984E-2</v>
      </c>
      <c r="H25" s="885"/>
    </row>
    <row r="26" spans="1:8" x14ac:dyDescent="0.25">
      <c r="A26" s="244" t="str">
        <f>Zones!B19</f>
        <v>Perimeter_Enclosed_Office_NE_FloorG</v>
      </c>
      <c r="B26" s="284" t="s">
        <v>563</v>
      </c>
      <c r="C26" s="283">
        <f>Zones!I19*Zones!K19</f>
        <v>917.38</v>
      </c>
      <c r="D26" s="282">
        <f>Zones!L19*Zones!K19</f>
        <v>4.5869</v>
      </c>
      <c r="E26" s="244">
        <v>0.18</v>
      </c>
      <c r="F26" s="281">
        <f t="shared" si="0"/>
        <v>0.82564199999999999</v>
      </c>
      <c r="G26" s="401">
        <f t="shared" si="1"/>
        <v>1.3760699999999999E-2</v>
      </c>
      <c r="H26" s="885"/>
    </row>
    <row r="27" spans="1:8" x14ac:dyDescent="0.25">
      <c r="A27" s="244" t="str">
        <f>Zones!B20</f>
        <v>Perimeter_Enclosed_Office_NW_FloorG</v>
      </c>
      <c r="B27" s="284" t="s">
        <v>563</v>
      </c>
      <c r="C27" s="283">
        <f>Zones!I20*Zones!K20</f>
        <v>1131.21</v>
      </c>
      <c r="D27" s="282">
        <f>Zones!L20*Zones!K20</f>
        <v>5.6560500000000005</v>
      </c>
      <c r="E27" s="244">
        <v>0.18</v>
      </c>
      <c r="F27" s="281">
        <f t="shared" si="0"/>
        <v>1.018089</v>
      </c>
      <c r="G27" s="401">
        <f t="shared" si="1"/>
        <v>1.6968150000000001E-2</v>
      </c>
      <c r="H27" s="885"/>
    </row>
    <row r="28" spans="1:8" x14ac:dyDescent="0.25">
      <c r="A28" s="244" t="str">
        <f>Zones!B21</f>
        <v>Core_Enclosed_Office_FloorG</v>
      </c>
      <c r="B28" s="284" t="s">
        <v>563</v>
      </c>
      <c r="C28" s="283">
        <f>Zones!I21*Zones!K21</f>
        <v>3312.28</v>
      </c>
      <c r="D28" s="282">
        <f>Zones!L21*Zones!K21</f>
        <v>16.561400000000003</v>
      </c>
      <c r="E28" s="244">
        <v>0.18</v>
      </c>
      <c r="F28" s="281">
        <f t="shared" si="0"/>
        <v>2.9810520000000005</v>
      </c>
      <c r="G28" s="401">
        <f t="shared" si="1"/>
        <v>4.9684200000000005E-2</v>
      </c>
      <c r="H28" s="885"/>
    </row>
    <row r="29" spans="1:8" x14ac:dyDescent="0.25">
      <c r="A29" s="244" t="str">
        <f>Zones!B22</f>
        <v>Server_Room_FloorG</v>
      </c>
      <c r="B29" s="284" t="s">
        <v>563</v>
      </c>
      <c r="C29" s="283">
        <f>Zones!I22*Zones!K22</f>
        <v>417.09</v>
      </c>
      <c r="D29" s="282">
        <f>Zones!L22*Zones!K22</f>
        <v>0.62563499999999994</v>
      </c>
      <c r="E29" s="244">
        <v>0.18</v>
      </c>
      <c r="F29" s="281">
        <f t="shared" si="0"/>
        <v>0.11261429999999999</v>
      </c>
      <c r="G29" s="401">
        <f t="shared" si="1"/>
        <v>1.8769049999999997E-3</v>
      </c>
      <c r="H29" s="885"/>
    </row>
    <row r="30" spans="1:8" x14ac:dyDescent="0.25">
      <c r="A30" s="244" t="str">
        <f>Zones!B23</f>
        <v>Mech/Elec_FloorG</v>
      </c>
      <c r="B30" s="284" t="s">
        <v>563</v>
      </c>
      <c r="C30" s="283">
        <f>Zones!I23*Zones!K23</f>
        <v>848.96</v>
      </c>
      <c r="D30" s="282">
        <f>Zones!L23*Zones!K23</f>
        <v>0</v>
      </c>
      <c r="E30" s="244">
        <v>0.18</v>
      </c>
      <c r="F30" s="281">
        <f t="shared" si="0"/>
        <v>0</v>
      </c>
      <c r="G30" s="401">
        <f t="shared" si="1"/>
        <v>0</v>
      </c>
      <c r="H30" s="885"/>
    </row>
    <row r="31" spans="1:8" x14ac:dyDescent="0.25">
      <c r="A31" s="244" t="str">
        <f>Zones!B24</f>
        <v>Conference_FloorG</v>
      </c>
      <c r="B31" s="284" t="s">
        <v>563</v>
      </c>
      <c r="C31" s="283">
        <f>Zones!I24*Zones!K24</f>
        <v>789.81</v>
      </c>
      <c r="D31" s="282">
        <f>Zones!L24*Zones!K24</f>
        <v>26.06373</v>
      </c>
      <c r="E31" s="244">
        <v>0.09</v>
      </c>
      <c r="F31" s="281">
        <f t="shared" si="0"/>
        <v>2.3457357000000001</v>
      </c>
      <c r="G31" s="401">
        <f t="shared" si="1"/>
        <v>3.9095595000000004E-2</v>
      </c>
      <c r="H31" s="885"/>
    </row>
    <row r="32" spans="1:8" x14ac:dyDescent="0.25">
      <c r="A32" s="244" t="str">
        <f>Zones!B25</f>
        <v>BreakRoom_FloorG</v>
      </c>
      <c r="B32" s="284" t="s">
        <v>563</v>
      </c>
      <c r="C32" s="283">
        <f>Zones!I25*Zones!K25</f>
        <v>618.23</v>
      </c>
      <c r="D32" s="282">
        <f>Zones!L25*Zones!K25</f>
        <v>20.401589999999999</v>
      </c>
      <c r="E32" s="244">
        <v>0.09</v>
      </c>
      <c r="F32" s="281">
        <f t="shared" si="0"/>
        <v>1.8361430999999999</v>
      </c>
      <c r="G32" s="401">
        <f t="shared" si="1"/>
        <v>3.0602384999999999E-2</v>
      </c>
      <c r="H32" s="885"/>
    </row>
    <row r="33" spans="1:8" x14ac:dyDescent="0.25">
      <c r="A33" s="244" t="str">
        <f>Zones!B26</f>
        <v>FoodPrep_FloorG</v>
      </c>
      <c r="B33" s="284" t="s">
        <v>553</v>
      </c>
      <c r="C33" s="283">
        <f>Zones!I26*Zones!K26</f>
        <v>936.94</v>
      </c>
      <c r="D33" s="282">
        <f>Zones!L26*Zones!K26</f>
        <v>2.8108200000000001</v>
      </c>
      <c r="E33" s="244">
        <v>0.57799999999999996</v>
      </c>
      <c r="F33" s="281">
        <f t="shared" si="0"/>
        <v>1.6246539599999998</v>
      </c>
      <c r="G33" s="401">
        <f t="shared" si="1"/>
        <v>2.7077565999999997E-2</v>
      </c>
      <c r="H33" s="885"/>
    </row>
    <row r="34" spans="1:8" x14ac:dyDescent="0.25">
      <c r="A34" s="244" t="str">
        <f>Zones!B27</f>
        <v>Storage_FloorG</v>
      </c>
      <c r="B34" s="284" t="s">
        <v>553</v>
      </c>
      <c r="C34" s="283">
        <f>Zones!I27*Zones!K27</f>
        <v>959.03</v>
      </c>
      <c r="D34" s="282">
        <f>Zones!L27*Zones!K27</f>
        <v>0</v>
      </c>
      <c r="E34" s="244">
        <v>0</v>
      </c>
      <c r="F34" s="281">
        <f t="shared" si="0"/>
        <v>0</v>
      </c>
      <c r="G34" s="401">
        <f t="shared" si="1"/>
        <v>0</v>
      </c>
      <c r="H34" s="885"/>
    </row>
    <row r="35" spans="1:8" x14ac:dyDescent="0.25">
      <c r="A35" s="244" t="str">
        <f>Zones!B28</f>
        <v>Locker_FloorG</v>
      </c>
      <c r="B35" s="284" t="s">
        <v>553</v>
      </c>
      <c r="C35" s="283">
        <f>Zones!I28*Zones!K28</f>
        <v>1765.23</v>
      </c>
      <c r="D35" s="282">
        <f>Zones!L28*Zones!K28</f>
        <v>17.6523</v>
      </c>
      <c r="E35" s="244">
        <v>0.57799999999999996</v>
      </c>
      <c r="F35" s="281">
        <f t="shared" si="0"/>
        <v>10.2030294</v>
      </c>
      <c r="G35" s="401">
        <f t="shared" si="1"/>
        <v>0.17005049</v>
      </c>
      <c r="H35" s="885"/>
    </row>
    <row r="36" spans="1:8" x14ac:dyDescent="0.25">
      <c r="A36" s="244" t="str">
        <f>Zones!B29</f>
        <v>Lobby_S_FloorG</v>
      </c>
      <c r="B36" s="284" t="s">
        <v>563</v>
      </c>
      <c r="C36" s="283">
        <f>Zones!I29*Zones!K29</f>
        <v>3360.63</v>
      </c>
      <c r="D36" s="282">
        <f>Zones!L29*Zones!K29</f>
        <v>33.606300000000005</v>
      </c>
      <c r="E36" s="244">
        <v>0.09</v>
      </c>
      <c r="F36" s="281">
        <f t="shared" si="0"/>
        <v>3.0245670000000002</v>
      </c>
      <c r="G36" s="401">
        <f t="shared" si="1"/>
        <v>5.0409450000000001E-2</v>
      </c>
      <c r="H36" s="885"/>
    </row>
    <row r="37" spans="1:8" x14ac:dyDescent="0.25">
      <c r="A37" s="244" t="str">
        <f>Zones!B30</f>
        <v>Lobby/Lounge_FloorG</v>
      </c>
      <c r="B37" s="284" t="s">
        <v>553</v>
      </c>
      <c r="C37" s="283">
        <f>Zones!I30*Zones!K30</f>
        <v>683.9</v>
      </c>
      <c r="D37" s="282">
        <f>Zones!L30*Zones!K30</f>
        <v>10.2585</v>
      </c>
      <c r="E37" s="244">
        <v>0.09</v>
      </c>
      <c r="F37" s="281">
        <f t="shared" si="0"/>
        <v>0.92326499999999989</v>
      </c>
      <c r="G37" s="401">
        <f t="shared" si="1"/>
        <v>1.5387749999999999E-2</v>
      </c>
      <c r="H37" s="885"/>
    </row>
    <row r="38" spans="1:8" x14ac:dyDescent="0.25">
      <c r="A38" s="244" t="str">
        <f>Zones!B31</f>
        <v>Restroom_FloorG</v>
      </c>
      <c r="B38" s="284" t="s">
        <v>553</v>
      </c>
      <c r="C38" s="283">
        <f>Zones!I31*Zones!K31</f>
        <v>1156.0899999999999</v>
      </c>
      <c r="D38" s="282">
        <f>Zones!L31*Zones!K31</f>
        <v>0</v>
      </c>
      <c r="E38" s="244">
        <v>0</v>
      </c>
      <c r="F38" s="281">
        <f t="shared" si="0"/>
        <v>0</v>
      </c>
      <c r="G38" s="401">
        <f t="shared" si="1"/>
        <v>0</v>
      </c>
      <c r="H38" s="885"/>
    </row>
    <row r="39" spans="1:8" x14ac:dyDescent="0.25">
      <c r="A39" s="244" t="str">
        <f>Zones!B32</f>
        <v>Stair/Elevator_FloorG</v>
      </c>
      <c r="B39" s="284" t="s">
        <v>563</v>
      </c>
      <c r="C39" s="283">
        <f>Zones!I32*Zones!K32</f>
        <v>848.01</v>
      </c>
      <c r="D39" s="282">
        <f>Zones!L32*Zones!K32</f>
        <v>0</v>
      </c>
      <c r="E39" s="244">
        <v>0</v>
      </c>
      <c r="F39" s="281">
        <f t="shared" si="0"/>
        <v>0</v>
      </c>
      <c r="G39" s="401">
        <f t="shared" si="1"/>
        <v>0</v>
      </c>
      <c r="H39" s="885"/>
    </row>
    <row r="40" spans="1:8" x14ac:dyDescent="0.25">
      <c r="A40" s="244" t="str">
        <f>Zones!B33</f>
        <v>Corridor_W_FloorG</v>
      </c>
      <c r="B40" s="284" t="s">
        <v>563</v>
      </c>
      <c r="C40" s="283">
        <f>Zones!I33*Zones!K33</f>
        <v>1005.87</v>
      </c>
      <c r="D40" s="282">
        <f>Zones!L33*Zones!K33</f>
        <v>5.02935</v>
      </c>
      <c r="E40" s="244">
        <v>0</v>
      </c>
      <c r="F40" s="281">
        <f t="shared" si="0"/>
        <v>0</v>
      </c>
      <c r="G40" s="401">
        <f t="shared" si="1"/>
        <v>0</v>
      </c>
      <c r="H40" s="885"/>
    </row>
    <row r="41" spans="1:8" x14ac:dyDescent="0.25">
      <c r="A41" s="244" t="str">
        <f>Zones!B34</f>
        <v>Corridor_E_FloorG</v>
      </c>
      <c r="B41" s="284" t="s">
        <v>563</v>
      </c>
      <c r="C41" s="283">
        <f>Zones!I34*Zones!K34</f>
        <v>798.76</v>
      </c>
      <c r="D41" s="282">
        <f>Zones!L34*Zones!K34</f>
        <v>3.9938000000000002</v>
      </c>
      <c r="E41" s="244">
        <v>0</v>
      </c>
      <c r="F41" s="281">
        <f t="shared" si="0"/>
        <v>0</v>
      </c>
      <c r="G41" s="401">
        <f t="shared" si="1"/>
        <v>0</v>
      </c>
      <c r="H41" s="885"/>
    </row>
    <row r="42" spans="1:8" x14ac:dyDescent="0.25">
      <c r="A42" s="244" t="str">
        <f>Zones!B35</f>
        <v>Plenum_FloorG</v>
      </c>
      <c r="B42" s="284"/>
      <c r="C42" s="283">
        <f>Zones!I35*Zones!K35</f>
        <v>38352.97</v>
      </c>
      <c r="D42" s="282">
        <f>Zones!L35*Zones!K35</f>
        <v>0</v>
      </c>
      <c r="E42" s="244">
        <v>0</v>
      </c>
      <c r="F42" s="281">
        <f t="shared" si="0"/>
        <v>0</v>
      </c>
      <c r="G42" s="401">
        <f t="shared" si="1"/>
        <v>0</v>
      </c>
      <c r="H42" s="885"/>
    </row>
    <row r="43" spans="1:8" x14ac:dyDescent="0.25">
      <c r="A43" s="244" t="str">
        <f>Zones!B36</f>
        <v>Perimeter_Open_Office_N_FloorM</v>
      </c>
      <c r="B43" s="284" t="s">
        <v>563</v>
      </c>
      <c r="C43" s="283">
        <f>Zones!I36*Zones!K36</f>
        <v>71312.899999999994</v>
      </c>
      <c r="D43" s="282">
        <f>Zones!L36*Zones!K36</f>
        <v>356.56450000000001</v>
      </c>
      <c r="E43" s="244">
        <v>0.18</v>
      </c>
      <c r="F43" s="281">
        <f t="shared" si="0"/>
        <v>64.181610000000006</v>
      </c>
      <c r="G43" s="401">
        <f t="shared" si="1"/>
        <v>1.0696935000000001</v>
      </c>
      <c r="H43" s="885"/>
    </row>
    <row r="44" spans="1:8" x14ac:dyDescent="0.25">
      <c r="A44" s="244" t="str">
        <f>Zones!B37</f>
        <v>Perimeter_Open_Office_S_FloorM</v>
      </c>
      <c r="B44" s="284" t="s">
        <v>563</v>
      </c>
      <c r="C44" s="283">
        <f>Zones!I37*Zones!K37</f>
        <v>52373.7</v>
      </c>
      <c r="D44" s="282">
        <f>Zones!L37*Zones!K37</f>
        <v>261.86849999999998</v>
      </c>
      <c r="E44" s="244">
        <v>0.18</v>
      </c>
      <c r="F44" s="281">
        <f t="shared" si="0"/>
        <v>47.136329999999994</v>
      </c>
      <c r="G44" s="401">
        <f t="shared" si="1"/>
        <v>0.78560549999999985</v>
      </c>
      <c r="H44" s="885"/>
    </row>
    <row r="45" spans="1:8" x14ac:dyDescent="0.25">
      <c r="A45" s="244" t="str">
        <f>Zones!B38</f>
        <v>Perimeter_Open_Office_E_FloorM</v>
      </c>
      <c r="B45" s="284" t="s">
        <v>563</v>
      </c>
      <c r="C45" s="283">
        <f>Zones!I38*Zones!K38</f>
        <v>44704.399999999994</v>
      </c>
      <c r="D45" s="282">
        <f>Zones!L38*Zones!K38</f>
        <v>223.52199999999996</v>
      </c>
      <c r="E45" s="244">
        <v>0.18</v>
      </c>
      <c r="F45" s="281">
        <f t="shared" si="0"/>
        <v>40.233959999999989</v>
      </c>
      <c r="G45" s="401">
        <f t="shared" si="1"/>
        <v>0.67056599999999977</v>
      </c>
      <c r="H45" s="885"/>
    </row>
    <row r="46" spans="1:8" x14ac:dyDescent="0.25">
      <c r="A46" s="244" t="str">
        <f>Zones!B39</f>
        <v>Perimeter_Open_Office_W_FloorM</v>
      </c>
      <c r="B46" s="284" t="s">
        <v>563</v>
      </c>
      <c r="C46" s="283">
        <f>Zones!I39*Zones!K39</f>
        <v>44487.600000000006</v>
      </c>
      <c r="D46" s="282">
        <f>Zones!L39*Zones!K39</f>
        <v>222.43800000000005</v>
      </c>
      <c r="E46" s="244">
        <v>0.18</v>
      </c>
      <c r="F46" s="281">
        <f t="shared" si="0"/>
        <v>40.038840000000008</v>
      </c>
      <c r="G46" s="401">
        <f t="shared" si="1"/>
        <v>0.66731400000000007</v>
      </c>
      <c r="H46" s="885"/>
    </row>
    <row r="47" spans="1:8" x14ac:dyDescent="0.25">
      <c r="A47" s="244" t="str">
        <f>Zones!B40</f>
        <v>Perimeter_Enclosed_Office_NE_FloorM</v>
      </c>
      <c r="B47" s="284" t="s">
        <v>563</v>
      </c>
      <c r="C47" s="283">
        <f>Zones!I40*Zones!K40</f>
        <v>9173.7999999999993</v>
      </c>
      <c r="D47" s="282">
        <f>Zones!L40*Zones!K40</f>
        <v>45.869</v>
      </c>
      <c r="E47" s="244">
        <v>0.18</v>
      </c>
      <c r="F47" s="281">
        <f t="shared" si="0"/>
        <v>8.2564200000000003</v>
      </c>
      <c r="G47" s="401">
        <f t="shared" si="1"/>
        <v>0.13760700000000001</v>
      </c>
      <c r="H47" s="885"/>
    </row>
    <row r="48" spans="1:8" x14ac:dyDescent="0.25">
      <c r="A48" s="244" t="str">
        <f>Zones!B41</f>
        <v>Perimeter_Enclosed_Office_NW_FloorM</v>
      </c>
      <c r="B48" s="284" t="s">
        <v>563</v>
      </c>
      <c r="C48" s="283">
        <f>Zones!I41*Zones!K41</f>
        <v>11312.1</v>
      </c>
      <c r="D48" s="282">
        <f>Zones!L41*Zones!K41</f>
        <v>56.560500000000005</v>
      </c>
      <c r="E48" s="244">
        <v>0.18</v>
      </c>
      <c r="F48" s="281">
        <f t="shared" si="0"/>
        <v>10.18089</v>
      </c>
      <c r="G48" s="401">
        <f t="shared" si="1"/>
        <v>0.16968149999999999</v>
      </c>
      <c r="H48" s="885"/>
    </row>
    <row r="49" spans="1:8" x14ac:dyDescent="0.25">
      <c r="A49" s="244" t="str">
        <f>Zones!B42</f>
        <v>Perimeter_Enclosed_Office_SW_FloorM</v>
      </c>
      <c r="B49" s="284" t="s">
        <v>563</v>
      </c>
      <c r="C49" s="283">
        <f>Zones!I42*Zones!K42</f>
        <v>10104.9</v>
      </c>
      <c r="D49" s="282">
        <f>Zones!L42*Zones!K42</f>
        <v>50.524499999999996</v>
      </c>
      <c r="E49" s="244">
        <v>0.18</v>
      </c>
      <c r="F49" s="281">
        <f t="shared" si="0"/>
        <v>9.0944099999999981</v>
      </c>
      <c r="G49" s="401">
        <f t="shared" si="1"/>
        <v>0.15157349999999997</v>
      </c>
      <c r="H49" s="885"/>
    </row>
    <row r="50" spans="1:8" x14ac:dyDescent="0.25">
      <c r="A50" s="244" t="str">
        <f>Zones!B43</f>
        <v>Perimeter_Enclosed_Office_SE_FloorM</v>
      </c>
      <c r="B50" s="284" t="s">
        <v>563</v>
      </c>
      <c r="C50" s="283">
        <f>Zones!I43*Zones!K43</f>
        <v>10334.799999999999</v>
      </c>
      <c r="D50" s="282">
        <f>Zones!L43*Zones!K43</f>
        <v>51.673999999999999</v>
      </c>
      <c r="E50" s="244">
        <v>0.18</v>
      </c>
      <c r="F50" s="281">
        <f t="shared" si="0"/>
        <v>9.3013199999999987</v>
      </c>
      <c r="G50" s="401">
        <f t="shared" si="1"/>
        <v>0.15502199999999997</v>
      </c>
      <c r="H50" s="885"/>
    </row>
    <row r="51" spans="1:8" x14ac:dyDescent="0.25">
      <c r="A51" s="244" t="str">
        <f>Zones!B44</f>
        <v>Core_Enclosed_Office_FloorM</v>
      </c>
      <c r="B51" s="284" t="s">
        <v>563</v>
      </c>
      <c r="C51" s="283">
        <f>Zones!I44*Zones!K44</f>
        <v>32330</v>
      </c>
      <c r="D51" s="282">
        <f>Zones!L44*Zones!K44</f>
        <v>161.64999999999998</v>
      </c>
      <c r="E51" s="244">
        <v>0.18</v>
      </c>
      <c r="F51" s="281">
        <f t="shared" si="0"/>
        <v>29.096999999999994</v>
      </c>
      <c r="G51" s="401">
        <f t="shared" si="1"/>
        <v>0.48494999999999988</v>
      </c>
      <c r="H51" s="885"/>
    </row>
    <row r="52" spans="1:8" x14ac:dyDescent="0.25">
      <c r="A52" s="244" t="str">
        <f>Zones!B45</f>
        <v>Server_Room_FloorM</v>
      </c>
      <c r="B52" s="284" t="s">
        <v>563</v>
      </c>
      <c r="C52" s="283">
        <f>Zones!I45*Zones!K45</f>
        <v>4180</v>
      </c>
      <c r="D52" s="282">
        <f>Zones!L45*Zones!K45</f>
        <v>6.27</v>
      </c>
      <c r="E52" s="244">
        <v>0.18</v>
      </c>
      <c r="F52" s="281">
        <f t="shared" si="0"/>
        <v>1.1285999999999998</v>
      </c>
      <c r="G52" s="401">
        <f t="shared" si="1"/>
        <v>1.8809999999999997E-2</v>
      </c>
      <c r="H52" s="885"/>
    </row>
    <row r="53" spans="1:8" x14ac:dyDescent="0.25">
      <c r="A53" s="244" t="str">
        <f>Zones!B46</f>
        <v>Mech/Elec_FloorM</v>
      </c>
      <c r="B53" s="284" t="s">
        <v>563</v>
      </c>
      <c r="C53" s="283">
        <f>Zones!I46*Zones!K46</f>
        <v>10700</v>
      </c>
      <c r="D53" s="282">
        <f>Zones!L46*Zones!K46</f>
        <v>0</v>
      </c>
      <c r="E53" s="244">
        <v>0.18</v>
      </c>
      <c r="F53" s="281">
        <f t="shared" si="0"/>
        <v>0</v>
      </c>
      <c r="G53" s="401">
        <f t="shared" si="1"/>
        <v>0</v>
      </c>
      <c r="H53" s="885"/>
    </row>
    <row r="54" spans="1:8" x14ac:dyDescent="0.25">
      <c r="A54" s="244" t="str">
        <f>Zones!B47</f>
        <v>Conference_N_FloorM</v>
      </c>
      <c r="B54" s="284" t="s">
        <v>563</v>
      </c>
      <c r="C54" s="283">
        <f>Zones!I47*Zones!K47</f>
        <v>7898</v>
      </c>
      <c r="D54" s="282">
        <f>Zones!L47*Zones!K47</f>
        <v>260.63399999999996</v>
      </c>
      <c r="E54" s="244">
        <v>0.09</v>
      </c>
      <c r="F54" s="281">
        <f t="shared" si="0"/>
        <v>23.457059999999995</v>
      </c>
      <c r="G54" s="401">
        <f t="shared" si="1"/>
        <v>0.39095099999999994</v>
      </c>
      <c r="H54" s="885"/>
    </row>
    <row r="55" spans="1:8" x14ac:dyDescent="0.25">
      <c r="A55" s="244" t="str">
        <f>Zones!B48</f>
        <v>Conference_W_FloorM</v>
      </c>
      <c r="B55" s="284" t="s">
        <v>563</v>
      </c>
      <c r="C55" s="283">
        <f>Zones!I48*Zones!K48</f>
        <v>3364.4</v>
      </c>
      <c r="D55" s="282">
        <f>Zones!L48*Zones!K48</f>
        <v>111.0252</v>
      </c>
      <c r="E55" s="244">
        <v>0.09</v>
      </c>
      <c r="F55" s="281">
        <f t="shared" si="0"/>
        <v>9.9922679999999993</v>
      </c>
      <c r="G55" s="401">
        <f t="shared" si="1"/>
        <v>0.16653779999999999</v>
      </c>
      <c r="H55" s="885"/>
    </row>
    <row r="56" spans="1:8" x14ac:dyDescent="0.25">
      <c r="A56" s="244" t="str">
        <f>Zones!B49</f>
        <v>Conference_S_FloorM</v>
      </c>
      <c r="B56" s="284" t="s">
        <v>563</v>
      </c>
      <c r="C56" s="283">
        <f>Zones!I49*Zones!K49</f>
        <v>7638</v>
      </c>
      <c r="D56" s="282">
        <f>Zones!L49*Zones!K49</f>
        <v>252.05399999999997</v>
      </c>
      <c r="E56" s="244">
        <v>0.09</v>
      </c>
      <c r="F56" s="281">
        <f t="shared" si="0"/>
        <v>22.684859999999997</v>
      </c>
      <c r="G56" s="401">
        <f t="shared" si="1"/>
        <v>0.37808099999999994</v>
      </c>
      <c r="H56" s="885"/>
    </row>
    <row r="57" spans="1:8" x14ac:dyDescent="0.25">
      <c r="A57" s="244" t="str">
        <f>Zones!B50</f>
        <v>Conference_E_FloorM</v>
      </c>
      <c r="B57" s="284" t="s">
        <v>563</v>
      </c>
      <c r="C57" s="283">
        <f>Zones!I50*Zones!K50</f>
        <v>4332</v>
      </c>
      <c r="D57" s="282">
        <f>Zones!L50*Zones!K50</f>
        <v>142.95600000000002</v>
      </c>
      <c r="E57" s="244">
        <v>0.09</v>
      </c>
      <c r="F57" s="281">
        <f t="shared" si="0"/>
        <v>12.866040000000002</v>
      </c>
      <c r="G57" s="401">
        <f t="shared" si="1"/>
        <v>0.21443400000000004</v>
      </c>
      <c r="H57" s="885"/>
    </row>
    <row r="58" spans="1:8" x14ac:dyDescent="0.25">
      <c r="A58" s="244" t="str">
        <f>Zones!B51</f>
        <v>Break/FoorPrep_FloorM</v>
      </c>
      <c r="B58" s="284" t="s">
        <v>563</v>
      </c>
      <c r="C58" s="283">
        <f>Zones!I51*Zones!K51</f>
        <v>9100</v>
      </c>
      <c r="D58" s="282">
        <f>Zones!L51*Zones!K51</f>
        <v>300.3</v>
      </c>
      <c r="E58" s="244">
        <v>0.09</v>
      </c>
      <c r="F58" s="281">
        <f t="shared" si="0"/>
        <v>27.027000000000001</v>
      </c>
      <c r="G58" s="401">
        <f t="shared" si="1"/>
        <v>0.45045000000000002</v>
      </c>
      <c r="H58" s="885"/>
    </row>
    <row r="59" spans="1:8" x14ac:dyDescent="0.25">
      <c r="A59" s="244" t="str">
        <f>Zones!B52</f>
        <v>Storage_FloorM</v>
      </c>
      <c r="B59" s="284" t="s">
        <v>563</v>
      </c>
      <c r="C59" s="283">
        <f>Zones!I52*Zones!K52</f>
        <v>7380</v>
      </c>
      <c r="D59" s="282">
        <f>Zones!L52*Zones!K52</f>
        <v>0</v>
      </c>
      <c r="E59" s="244">
        <v>0</v>
      </c>
      <c r="F59" s="281">
        <f t="shared" si="0"/>
        <v>0</v>
      </c>
      <c r="G59" s="401">
        <f t="shared" si="1"/>
        <v>0</v>
      </c>
      <c r="H59" s="885"/>
    </row>
    <row r="60" spans="1:8" x14ac:dyDescent="0.25">
      <c r="A60" s="244" t="str">
        <f>Zones!B53</f>
        <v>Lobby/Lounge_FloorM</v>
      </c>
      <c r="B60" s="284" t="s">
        <v>553</v>
      </c>
      <c r="C60" s="283">
        <f>Zones!I53*Zones!K53</f>
        <v>6840</v>
      </c>
      <c r="D60" s="282">
        <f>Zones!L53*Zones!K53</f>
        <v>102.6</v>
      </c>
      <c r="E60" s="244">
        <v>0.09</v>
      </c>
      <c r="F60" s="281">
        <f t="shared" si="0"/>
        <v>9.234</v>
      </c>
      <c r="G60" s="401">
        <f t="shared" si="1"/>
        <v>0.15390000000000001</v>
      </c>
      <c r="H60" s="885"/>
    </row>
    <row r="61" spans="1:8" x14ac:dyDescent="0.25">
      <c r="A61" s="244" t="str">
        <f>Zones!B54</f>
        <v>Restroom_FloorM</v>
      </c>
      <c r="B61" s="284" t="s">
        <v>553</v>
      </c>
      <c r="C61" s="283">
        <f>Zones!I54*Zones!K54</f>
        <v>11550</v>
      </c>
      <c r="D61" s="282">
        <f>Zones!L54*Zones!K54</f>
        <v>0</v>
      </c>
      <c r="E61" s="244">
        <v>0</v>
      </c>
      <c r="F61" s="281">
        <f t="shared" si="0"/>
        <v>0</v>
      </c>
      <c r="G61" s="401">
        <f t="shared" si="1"/>
        <v>0</v>
      </c>
      <c r="H61" s="885"/>
    </row>
    <row r="62" spans="1:8" x14ac:dyDescent="0.25">
      <c r="A62" s="244" t="str">
        <f>Zones!B55</f>
        <v>Stair/Elevator_FloorM</v>
      </c>
      <c r="B62" s="284" t="s">
        <v>563</v>
      </c>
      <c r="C62" s="283">
        <f>Zones!I55*Zones!K55</f>
        <v>8480</v>
      </c>
      <c r="D62" s="282">
        <f>Zones!L55*Zones!K55</f>
        <v>0</v>
      </c>
      <c r="E62" s="244">
        <v>0</v>
      </c>
      <c r="F62" s="281">
        <f t="shared" si="0"/>
        <v>0</v>
      </c>
      <c r="G62" s="401">
        <f t="shared" si="1"/>
        <v>0</v>
      </c>
      <c r="H62" s="885"/>
    </row>
    <row r="63" spans="1:8" x14ac:dyDescent="0.25">
      <c r="A63" s="244" t="str">
        <f>Zones!B56</f>
        <v>Corridor_W_FloorM</v>
      </c>
      <c r="B63" s="284" t="s">
        <v>563</v>
      </c>
      <c r="C63" s="283">
        <f>Zones!I56*Zones!K56</f>
        <v>10058.799999999999</v>
      </c>
      <c r="D63" s="282">
        <f>Zones!L56*Zones!K56</f>
        <v>50.293999999999997</v>
      </c>
      <c r="E63" s="244">
        <v>0</v>
      </c>
      <c r="F63" s="281">
        <f t="shared" si="0"/>
        <v>0</v>
      </c>
      <c r="G63" s="401">
        <f t="shared" si="1"/>
        <v>0</v>
      </c>
      <c r="H63" s="885"/>
    </row>
    <row r="64" spans="1:8" x14ac:dyDescent="0.25">
      <c r="A64" s="244" t="str">
        <f>Zones!B57</f>
        <v>Corridor_E_FloorM</v>
      </c>
      <c r="B64" s="284" t="s">
        <v>563</v>
      </c>
      <c r="C64" s="283">
        <f>Zones!I57*Zones!K57</f>
        <v>5853.6</v>
      </c>
      <c r="D64" s="282">
        <f>Zones!L57*Zones!K57</f>
        <v>29.268000000000001</v>
      </c>
      <c r="E64" s="244">
        <v>0</v>
      </c>
      <c r="F64" s="281">
        <f t="shared" si="0"/>
        <v>0</v>
      </c>
      <c r="G64" s="401">
        <f t="shared" si="1"/>
        <v>0</v>
      </c>
      <c r="H64" s="885"/>
    </row>
    <row r="65" spans="1:8" x14ac:dyDescent="0.25">
      <c r="A65" s="244" t="str">
        <f>Zones!B58</f>
        <v>Plenum_FloorM</v>
      </c>
      <c r="B65" s="284"/>
      <c r="C65" s="283">
        <f>Zones!I58*Zones!K58</f>
        <v>383529.7</v>
      </c>
      <c r="D65" s="282">
        <f>Zones!L58*Zones!K58</f>
        <v>0</v>
      </c>
      <c r="E65" s="244">
        <v>0</v>
      </c>
      <c r="F65" s="281">
        <f t="shared" si="0"/>
        <v>0</v>
      </c>
      <c r="G65" s="401">
        <f t="shared" si="1"/>
        <v>0</v>
      </c>
      <c r="H65" s="885"/>
    </row>
    <row r="66" spans="1:8" x14ac:dyDescent="0.25">
      <c r="A66" s="244" t="str">
        <f>Zones!B59</f>
        <v>Perimeter_Open_Office_N_FloorT</v>
      </c>
      <c r="B66" s="284" t="s">
        <v>563</v>
      </c>
      <c r="C66" s="283">
        <f>Zones!I59*Zones!K59</f>
        <v>7131.29</v>
      </c>
      <c r="D66" s="282">
        <f>Zones!L59*Zones!K59</f>
        <v>35.65645</v>
      </c>
      <c r="E66" s="244">
        <v>0.18</v>
      </c>
      <c r="F66" s="281">
        <f t="shared" si="0"/>
        <v>6.4181609999999996</v>
      </c>
      <c r="G66" s="401">
        <f t="shared" si="1"/>
        <v>0.10696934999999999</v>
      </c>
      <c r="H66" s="885"/>
    </row>
    <row r="67" spans="1:8" x14ac:dyDescent="0.25">
      <c r="A67" s="244" t="str">
        <f>Zones!B60</f>
        <v>Perimeter_Open_Office_S_FloorT</v>
      </c>
      <c r="B67" s="284" t="s">
        <v>563</v>
      </c>
      <c r="C67" s="283">
        <f>Zones!I60*Zones!K60</f>
        <v>5237.37</v>
      </c>
      <c r="D67" s="282">
        <f>Zones!L60*Zones!K60</f>
        <v>26.18685</v>
      </c>
      <c r="E67" s="244">
        <v>0.18</v>
      </c>
      <c r="F67" s="281">
        <f t="shared" si="0"/>
        <v>4.7136329999999997</v>
      </c>
      <c r="G67" s="401">
        <f t="shared" si="1"/>
        <v>7.8560549999999993E-2</v>
      </c>
      <c r="H67" s="885"/>
    </row>
    <row r="68" spans="1:8" x14ac:dyDescent="0.25">
      <c r="A68" s="244" t="str">
        <f>Zones!B61</f>
        <v>Perimeter_Open_Office_E_FloorT</v>
      </c>
      <c r="B68" s="284" t="s">
        <v>563</v>
      </c>
      <c r="C68" s="283">
        <f>Zones!I61*Zones!K61</f>
        <v>4470.4399999999996</v>
      </c>
      <c r="D68" s="282">
        <f>Zones!L61*Zones!K61</f>
        <v>22.352199999999996</v>
      </c>
      <c r="E68" s="244">
        <v>0.18</v>
      </c>
      <c r="F68" s="281">
        <f t="shared" si="0"/>
        <v>4.0233959999999991</v>
      </c>
      <c r="G68" s="401">
        <f t="shared" si="1"/>
        <v>6.705659999999998E-2</v>
      </c>
      <c r="H68" s="885"/>
    </row>
    <row r="69" spans="1:8" x14ac:dyDescent="0.25">
      <c r="A69" s="244" t="str">
        <f>Zones!B62</f>
        <v>Perimeter_Open_Office_W_FloorT</v>
      </c>
      <c r="B69" s="284" t="s">
        <v>563</v>
      </c>
      <c r="C69" s="283">
        <f>Zones!I62*Zones!K62</f>
        <v>4448.76</v>
      </c>
      <c r="D69" s="282">
        <f>Zones!L62*Zones!K62</f>
        <v>22.243800000000004</v>
      </c>
      <c r="E69" s="244">
        <v>0.18</v>
      </c>
      <c r="F69" s="281">
        <f t="shared" si="0"/>
        <v>4.0038840000000002</v>
      </c>
      <c r="G69" s="401">
        <f t="shared" si="1"/>
        <v>6.673140000000001E-2</v>
      </c>
      <c r="H69" s="885"/>
    </row>
    <row r="70" spans="1:8" x14ac:dyDescent="0.25">
      <c r="A70" s="244" t="str">
        <f>Zones!B63</f>
        <v>Perimeter_Enclosed_Office_NE_FloorT</v>
      </c>
      <c r="B70" s="284" t="s">
        <v>563</v>
      </c>
      <c r="C70" s="283">
        <f>Zones!I63*Zones!K63</f>
        <v>917.38</v>
      </c>
      <c r="D70" s="282">
        <f>Zones!L63*Zones!K63</f>
        <v>4.5869</v>
      </c>
      <c r="E70" s="244">
        <v>0.18</v>
      </c>
      <c r="F70" s="281">
        <f t="shared" si="0"/>
        <v>0.82564199999999999</v>
      </c>
      <c r="G70" s="401">
        <f t="shared" si="1"/>
        <v>1.3760699999999999E-2</v>
      </c>
      <c r="H70" s="885"/>
    </row>
    <row r="71" spans="1:8" x14ac:dyDescent="0.25">
      <c r="A71" s="244" t="str">
        <f>Zones!B64</f>
        <v>Perimeter_Enclosed_Office_NW_FloorT</v>
      </c>
      <c r="B71" s="284" t="s">
        <v>563</v>
      </c>
      <c r="C71" s="283">
        <f>Zones!I64*Zones!K64</f>
        <v>1131.21</v>
      </c>
      <c r="D71" s="282">
        <f>Zones!L64*Zones!K64</f>
        <v>5.6560500000000005</v>
      </c>
      <c r="E71" s="244">
        <v>0.18</v>
      </c>
      <c r="F71" s="281">
        <f t="shared" si="0"/>
        <v>1.018089</v>
      </c>
      <c r="G71" s="401">
        <f t="shared" si="1"/>
        <v>1.6968150000000001E-2</v>
      </c>
      <c r="H71" s="885"/>
    </row>
    <row r="72" spans="1:8" x14ac:dyDescent="0.25">
      <c r="A72" s="244" t="str">
        <f>Zones!B65</f>
        <v>Perimeter_Enclosed_Office_SW_FloorT</v>
      </c>
      <c r="B72" s="284" t="s">
        <v>563</v>
      </c>
      <c r="C72" s="283">
        <f>Zones!I65*Zones!K65</f>
        <v>1010.49</v>
      </c>
      <c r="D72" s="282">
        <f>Zones!L65*Zones!K65</f>
        <v>5.0524499999999994</v>
      </c>
      <c r="E72" s="244">
        <v>0.18</v>
      </c>
      <c r="F72" s="281">
        <f t="shared" si="0"/>
        <v>0.90944099999999983</v>
      </c>
      <c r="G72" s="401">
        <f t="shared" si="1"/>
        <v>1.5157349999999997E-2</v>
      </c>
      <c r="H72" s="885"/>
    </row>
    <row r="73" spans="1:8" x14ac:dyDescent="0.25">
      <c r="A73" s="244" t="str">
        <f>Zones!B66</f>
        <v>Perimeter_Enclosed_Office_SE_FloorT</v>
      </c>
      <c r="B73" s="284" t="s">
        <v>563</v>
      </c>
      <c r="C73" s="283">
        <f>Zones!I66*Zones!K66</f>
        <v>1033.48</v>
      </c>
      <c r="D73" s="282">
        <f>Zones!L66*Zones!K66</f>
        <v>5.1673999999999998</v>
      </c>
      <c r="E73" s="244">
        <v>0.18</v>
      </c>
      <c r="F73" s="281">
        <f t="shared" si="0"/>
        <v>0.93013199999999996</v>
      </c>
      <c r="G73" s="401">
        <f t="shared" si="1"/>
        <v>1.5502199999999999E-2</v>
      </c>
      <c r="H73" s="885"/>
    </row>
    <row r="74" spans="1:8" x14ac:dyDescent="0.25">
      <c r="A74" s="244" t="str">
        <f>Zones!B67</f>
        <v>Core_Enclosed_Office_FloorT</v>
      </c>
      <c r="B74" s="284" t="s">
        <v>563</v>
      </c>
      <c r="C74" s="283">
        <f>Zones!I67*Zones!K67</f>
        <v>3233</v>
      </c>
      <c r="D74" s="282">
        <f>Zones!L67*Zones!K67</f>
        <v>16.164999999999999</v>
      </c>
      <c r="E74" s="244">
        <v>0.18</v>
      </c>
      <c r="F74" s="281">
        <f t="shared" si="0"/>
        <v>2.9097</v>
      </c>
      <c r="G74" s="401">
        <f t="shared" si="1"/>
        <v>4.8494999999999996E-2</v>
      </c>
      <c r="H74" s="885"/>
    </row>
    <row r="75" spans="1:8" x14ac:dyDescent="0.25">
      <c r="A75" s="244" t="str">
        <f>Zones!B68</f>
        <v>Server_Room_FloorT</v>
      </c>
      <c r="B75" s="284" t="s">
        <v>563</v>
      </c>
      <c r="C75" s="283">
        <f>Zones!I68*Zones!K68</f>
        <v>418</v>
      </c>
      <c r="D75" s="282">
        <f>Zones!L68*Zones!K68</f>
        <v>0.627</v>
      </c>
      <c r="E75" s="244">
        <v>0.18</v>
      </c>
      <c r="F75" s="281">
        <f t="shared" ref="F75:F88" si="2">D75*E75</f>
        <v>0.11286</v>
      </c>
      <c r="G75" s="401">
        <f t="shared" ref="G75:G88" si="3">F75/60</f>
        <v>1.8810000000000001E-3</v>
      </c>
      <c r="H75" s="885"/>
    </row>
    <row r="76" spans="1:8" x14ac:dyDescent="0.25">
      <c r="A76" s="244" t="str">
        <f>Zones!B69</f>
        <v>Mech/Elec_FloorT</v>
      </c>
      <c r="B76" s="284" t="s">
        <v>563</v>
      </c>
      <c r="C76" s="283">
        <f>Zones!I69*Zones!K69</f>
        <v>1070</v>
      </c>
      <c r="D76" s="282">
        <f>Zones!L69*Zones!K69</f>
        <v>0</v>
      </c>
      <c r="E76" s="244">
        <v>0.18</v>
      </c>
      <c r="F76" s="281">
        <f t="shared" si="2"/>
        <v>0</v>
      </c>
      <c r="G76" s="401">
        <f t="shared" si="3"/>
        <v>0</v>
      </c>
      <c r="H76" s="885"/>
    </row>
    <row r="77" spans="1:8" x14ac:dyDescent="0.25">
      <c r="A77" s="244" t="str">
        <f>Zones!B70</f>
        <v>Conference_N_FloorT</v>
      </c>
      <c r="B77" s="284" t="s">
        <v>563</v>
      </c>
      <c r="C77" s="283">
        <f>Zones!I70*Zones!K70</f>
        <v>789.8</v>
      </c>
      <c r="D77" s="282">
        <f>Zones!L70*Zones!K70</f>
        <v>26.063399999999998</v>
      </c>
      <c r="E77" s="244">
        <v>0.09</v>
      </c>
      <c r="F77" s="281">
        <f t="shared" si="2"/>
        <v>2.3457059999999998</v>
      </c>
      <c r="G77" s="401">
        <f t="shared" si="3"/>
        <v>3.9095100000000001E-2</v>
      </c>
      <c r="H77" s="885"/>
    </row>
    <row r="78" spans="1:8" x14ac:dyDescent="0.25">
      <c r="A78" s="244" t="str">
        <f>Zones!B71</f>
        <v>Conference_W_FloorT</v>
      </c>
      <c r="B78" s="284" t="s">
        <v>563</v>
      </c>
      <c r="C78" s="283">
        <f>Zones!I71*Zones!K71</f>
        <v>336.44</v>
      </c>
      <c r="D78" s="282">
        <f>Zones!L71*Zones!K71</f>
        <v>11.10252</v>
      </c>
      <c r="E78" s="244">
        <v>0.09</v>
      </c>
      <c r="F78" s="281">
        <f t="shared" si="2"/>
        <v>0.99922679999999997</v>
      </c>
      <c r="G78" s="401">
        <f t="shared" si="3"/>
        <v>1.665378E-2</v>
      </c>
      <c r="H78" s="885"/>
    </row>
    <row r="79" spans="1:8" x14ac:dyDescent="0.25">
      <c r="A79" s="244" t="str">
        <f>Zones!B72</f>
        <v>Conference_S_FloorT</v>
      </c>
      <c r="B79" s="284" t="s">
        <v>563</v>
      </c>
      <c r="C79" s="283">
        <f>Zones!I72*Zones!K72</f>
        <v>763.8</v>
      </c>
      <c r="D79" s="282">
        <f>Zones!L72*Zones!K72</f>
        <v>25.205399999999997</v>
      </c>
      <c r="E79" s="244">
        <v>0.09</v>
      </c>
      <c r="F79" s="281">
        <f t="shared" si="2"/>
        <v>2.2684859999999998</v>
      </c>
      <c r="G79" s="401">
        <f t="shared" si="3"/>
        <v>3.7808099999999997E-2</v>
      </c>
      <c r="H79" s="885"/>
    </row>
    <row r="80" spans="1:8" x14ac:dyDescent="0.25">
      <c r="A80" s="244" t="str">
        <f>Zones!B73</f>
        <v>Conference_E_FloorT</v>
      </c>
      <c r="B80" s="284" t="s">
        <v>563</v>
      </c>
      <c r="C80" s="283">
        <f>Zones!I73*Zones!K73</f>
        <v>433.2</v>
      </c>
      <c r="D80" s="282">
        <f>Zones!L73*Zones!K73</f>
        <v>14.2956</v>
      </c>
      <c r="E80" s="244">
        <v>0.09</v>
      </c>
      <c r="F80" s="281">
        <f t="shared" si="2"/>
        <v>1.2866040000000001</v>
      </c>
      <c r="G80" s="401">
        <f t="shared" si="3"/>
        <v>2.1443400000000001E-2</v>
      </c>
      <c r="H80" s="885"/>
    </row>
    <row r="81" spans="1:10" x14ac:dyDescent="0.25">
      <c r="A81" s="244" t="str">
        <f>Zones!B74</f>
        <v>BreakRoom/FoodPrep_FloorT</v>
      </c>
      <c r="B81" s="284" t="s">
        <v>563</v>
      </c>
      <c r="C81" s="283">
        <f>Zones!I74*Zones!K74</f>
        <v>910</v>
      </c>
      <c r="D81" s="282">
        <f>Zones!L74*Zones!K74</f>
        <v>30.03</v>
      </c>
      <c r="E81" s="641">
        <v>0.57999999999999996</v>
      </c>
      <c r="F81" s="281">
        <f t="shared" si="2"/>
        <v>17.417400000000001</v>
      </c>
      <c r="G81" s="401">
        <f t="shared" si="3"/>
        <v>0.29028999999999999</v>
      </c>
      <c r="H81" s="885"/>
    </row>
    <row r="82" spans="1:10" x14ac:dyDescent="0.25">
      <c r="A82" s="244" t="str">
        <f>Zones!B75</f>
        <v>Storage_FloorT</v>
      </c>
      <c r="B82" s="284" t="s">
        <v>563</v>
      </c>
      <c r="C82" s="283">
        <f>Zones!I75*Zones!K75</f>
        <v>738</v>
      </c>
      <c r="D82" s="282">
        <f>Zones!L75*Zones!K75</f>
        <v>0</v>
      </c>
      <c r="E82" s="244">
        <v>0</v>
      </c>
      <c r="F82" s="281">
        <f t="shared" si="2"/>
        <v>0</v>
      </c>
      <c r="G82" s="401">
        <f t="shared" si="3"/>
        <v>0</v>
      </c>
      <c r="H82" s="885"/>
    </row>
    <row r="83" spans="1:10" x14ac:dyDescent="0.25">
      <c r="A83" s="244" t="str">
        <f>Zones!B76</f>
        <v>Lobby/Lounge_FloorT</v>
      </c>
      <c r="B83" s="284" t="s">
        <v>553</v>
      </c>
      <c r="C83" s="283">
        <f>Zones!I76*Zones!K76</f>
        <v>684</v>
      </c>
      <c r="D83" s="282">
        <f>Zones!L76*Zones!K76</f>
        <v>10.26</v>
      </c>
      <c r="E83" s="244">
        <v>0.09</v>
      </c>
      <c r="F83" s="281">
        <f t="shared" si="2"/>
        <v>0.9234</v>
      </c>
      <c r="G83" s="401">
        <f t="shared" si="3"/>
        <v>1.5389999999999999E-2</v>
      </c>
      <c r="H83" s="885"/>
    </row>
    <row r="84" spans="1:10" x14ac:dyDescent="0.25">
      <c r="A84" s="244" t="str">
        <f>Zones!B77</f>
        <v>Restroom_FloorT</v>
      </c>
      <c r="B84" s="284" t="s">
        <v>553</v>
      </c>
      <c r="C84" s="283">
        <f>Zones!I77*Zones!K77</f>
        <v>1155</v>
      </c>
      <c r="D84" s="282">
        <f>Zones!L77*Zones!K77</f>
        <v>0</v>
      </c>
      <c r="E84" s="244">
        <v>0</v>
      </c>
      <c r="F84" s="281">
        <f t="shared" si="2"/>
        <v>0</v>
      </c>
      <c r="G84" s="401">
        <f t="shared" si="3"/>
        <v>0</v>
      </c>
      <c r="H84" s="885"/>
    </row>
    <row r="85" spans="1:10" x14ac:dyDescent="0.25">
      <c r="A85" s="244" t="str">
        <f>Zones!B78</f>
        <v>Stair/Elevator_FloorT</v>
      </c>
      <c r="B85" s="284" t="s">
        <v>563</v>
      </c>
      <c r="C85" s="283">
        <f>Zones!I78*Zones!K78</f>
        <v>848</v>
      </c>
      <c r="D85" s="282">
        <f>Zones!L78*Zones!K78</f>
        <v>0</v>
      </c>
      <c r="E85" s="244">
        <v>0</v>
      </c>
      <c r="F85" s="281">
        <f t="shared" si="2"/>
        <v>0</v>
      </c>
      <c r="G85" s="401">
        <f t="shared" si="3"/>
        <v>0</v>
      </c>
      <c r="H85" s="885"/>
    </row>
    <row r="86" spans="1:10" x14ac:dyDescent="0.25">
      <c r="A86" s="244" t="str">
        <f>Zones!B79</f>
        <v>Corridor_W_FloorT</v>
      </c>
      <c r="B86" s="284" t="s">
        <v>563</v>
      </c>
      <c r="C86" s="283">
        <f>Zones!I79*Zones!K79</f>
        <v>1005.88</v>
      </c>
      <c r="D86" s="282">
        <f>Zones!L79*Zones!K79</f>
        <v>5.0293999999999999</v>
      </c>
      <c r="E86" s="244">
        <v>0</v>
      </c>
      <c r="F86" s="281">
        <f t="shared" si="2"/>
        <v>0</v>
      </c>
      <c r="G86" s="401">
        <f t="shared" si="3"/>
        <v>0</v>
      </c>
      <c r="H86" s="885"/>
    </row>
    <row r="87" spans="1:10" x14ac:dyDescent="0.25">
      <c r="A87" s="244" t="str">
        <f>Zones!B80</f>
        <v>Corridor_E_FloorT</v>
      </c>
      <c r="B87" s="284" t="s">
        <v>563</v>
      </c>
      <c r="C87" s="283">
        <f>Zones!I80*Zones!K80</f>
        <v>585.36</v>
      </c>
      <c r="D87" s="282">
        <f>Zones!L80*Zones!K80</f>
        <v>2.9268000000000001</v>
      </c>
      <c r="E87" s="244">
        <v>0</v>
      </c>
      <c r="F87" s="281">
        <f t="shared" si="2"/>
        <v>0</v>
      </c>
      <c r="G87" s="401">
        <f t="shared" si="3"/>
        <v>0</v>
      </c>
      <c r="H87" s="885"/>
    </row>
    <row r="88" spans="1:10" x14ac:dyDescent="0.25">
      <c r="A88" s="243" t="str">
        <f>Zones!B81</f>
        <v>Plenum_FloorT</v>
      </c>
      <c r="B88" s="284"/>
      <c r="C88" s="283">
        <f>Zones!I81*Zones!K81</f>
        <v>38352.97</v>
      </c>
      <c r="D88" s="282">
        <f>Zones!L81*Zones!K81</f>
        <v>0</v>
      </c>
      <c r="E88" s="244">
        <v>0</v>
      </c>
      <c r="F88" s="281">
        <f t="shared" si="2"/>
        <v>0</v>
      </c>
      <c r="G88" s="401">
        <f t="shared" si="3"/>
        <v>0</v>
      </c>
      <c r="H88" s="885"/>
    </row>
    <row r="89" spans="1:10" ht="20.25" customHeight="1" x14ac:dyDescent="0.25">
      <c r="A89" s="642" t="s">
        <v>234</v>
      </c>
      <c r="B89" s="886" t="s">
        <v>565</v>
      </c>
      <c r="C89" s="886"/>
      <c r="D89" s="886"/>
      <c r="E89" s="886"/>
      <c r="F89" s="643">
        <f>_xlfn.LET(
  _xlpm.g,SUMIF($B$10:$B$88,"Gas*",$F$10:$F$88),
  _xlpm.e,SUMIF($B$10:$B$88,"Electric*",$F$10:$F$88),
  IF(AND(_xlpm.g&gt;0,_xlpm.e&gt;0),_xlpm.g,IF(_xlpm.g&gt;0,MAX(75,_xlpm.g),0)))</f>
        <v>484.00907225999998</v>
      </c>
      <c r="G89" s="449"/>
      <c r="H89" s="887" t="s">
        <v>566</v>
      </c>
    </row>
    <row r="90" spans="1:10" ht="19.5" customHeight="1" x14ac:dyDescent="0.25">
      <c r="A90" s="642" t="s">
        <v>233</v>
      </c>
      <c r="B90" s="886" t="s">
        <v>567</v>
      </c>
      <c r="C90" s="886"/>
      <c r="D90" s="886"/>
      <c r="E90" s="886"/>
      <c r="F90" s="643">
        <f>_xlfn.LET(
  _xlpm.g,SUMIF($B$10:$B$88,"Gas*",$F$10:$F$88),
  _xlpm.e,SUMIF($B$10:$B$88,"Electric*",$F$10:$F$88),
  IF(AND(_xlpm.g&gt;0,_xlpm.e&gt;0),_xlpm.e,IF(_xlpm.e&gt;0,MAX(75,_xlpm.e),0)))</f>
        <v>0</v>
      </c>
      <c r="G90" s="449"/>
      <c r="H90" s="887"/>
    </row>
    <row r="91" spans="1:10" ht="19.5" customHeight="1" x14ac:dyDescent="0.25">
      <c r="A91" s="644"/>
      <c r="B91" s="644"/>
      <c r="C91" s="644"/>
      <c r="D91" s="644"/>
      <c r="E91" s="644"/>
      <c r="F91" s="645"/>
      <c r="G91" s="460"/>
      <c r="H91" s="646"/>
    </row>
    <row r="92" spans="1:10" s="402" customFormat="1" ht="14.4" x14ac:dyDescent="0.3">
      <c r="A92" s="597" t="s">
        <v>568</v>
      </c>
      <c r="B92" s="647">
        <f>MAX(1,ROUNDUP(MAX(30,$F$89*$B$98)/MAX($E$122:$E$140),0))</f>
        <v>2</v>
      </c>
      <c r="C92" s="648" t="s">
        <v>569</v>
      </c>
      <c r="D92"/>
      <c r="E92"/>
      <c r="F92"/>
      <c r="G92"/>
      <c r="H92"/>
      <c r="I92"/>
      <c r="J92"/>
    </row>
    <row r="93" spans="1:10" s="402" customFormat="1" ht="14.4" x14ac:dyDescent="0.3">
      <c r="A93" s="597" t="s">
        <v>570</v>
      </c>
      <c r="B93" s="649">
        <f>MAX(30,IF($F$89&gt;0,$F$89,$F$90)*$B$98)</f>
        <v>193.603628904</v>
      </c>
      <c r="C93" s="597" t="s">
        <v>571</v>
      </c>
      <c r="D93"/>
      <c r="E93"/>
      <c r="F93"/>
      <c r="G93"/>
      <c r="H93"/>
      <c r="I93"/>
      <c r="J93"/>
    </row>
    <row r="94" spans="1:10" s="402" customFormat="1" ht="28.8" x14ac:dyDescent="0.3">
      <c r="A94" s="650" t="s">
        <v>572</v>
      </c>
      <c r="B94" s="651">
        <f>MAX($E$122:$E$140)</f>
        <v>125</v>
      </c>
      <c r="C94" s="652" t="s">
        <v>573</v>
      </c>
      <c r="D94"/>
      <c r="E94"/>
      <c r="F94"/>
      <c r="G94"/>
      <c r="H94"/>
      <c r="I94"/>
      <c r="J94"/>
    </row>
    <row r="95" spans="1:10" s="402" customFormat="1" ht="15" customHeight="1" x14ac:dyDescent="0.3">
      <c r="A95" s="653" t="s">
        <v>574</v>
      </c>
      <c r="B95" s="654">
        <v>135</v>
      </c>
      <c r="C95" s="655" t="s">
        <v>575</v>
      </c>
      <c r="D95" s="403"/>
      <c r="E95" s="403"/>
      <c r="F95"/>
      <c r="G95"/>
      <c r="H95"/>
      <c r="I95"/>
      <c r="J95"/>
    </row>
    <row r="96" spans="1:10" s="402" customFormat="1" ht="15" customHeight="1" x14ac:dyDescent="0.3">
      <c r="A96" s="403" t="s">
        <v>576</v>
      </c>
      <c r="B96" s="656">
        <v>0.6</v>
      </c>
      <c r="C96" s="655" t="s">
        <v>577</v>
      </c>
      <c r="D96" s="404"/>
      <c r="E96" s="404"/>
      <c r="F96"/>
      <c r="G96"/>
      <c r="H96"/>
      <c r="I96"/>
      <c r="J96"/>
    </row>
    <row r="97" spans="1:15" s="402" customFormat="1" ht="14.4" x14ac:dyDescent="0.3">
      <c r="A97" s="657" t="s">
        <v>578</v>
      </c>
      <c r="B97" s="658">
        <v>8.2876999999999992</v>
      </c>
      <c r="C97" s="655" t="s">
        <v>577</v>
      </c>
      <c r="D97" s="655"/>
      <c r="E97" s="655"/>
      <c r="F97"/>
      <c r="G97"/>
      <c r="H97"/>
      <c r="I97"/>
      <c r="J97"/>
    </row>
    <row r="98" spans="1:15" s="402" customFormat="1" ht="14.4" x14ac:dyDescent="0.3">
      <c r="A98" s="402" t="s">
        <v>579</v>
      </c>
      <c r="B98" s="405">
        <v>0.4</v>
      </c>
      <c r="C98" s="406" t="s">
        <v>580</v>
      </c>
      <c r="D98" s="406"/>
      <c r="F98" s="406"/>
      <c r="G98" s="406"/>
    </row>
    <row r="99" spans="1:15" s="402" customFormat="1" ht="25.5" customHeight="1" x14ac:dyDescent="0.25">
      <c r="A99" s="888" t="s">
        <v>581</v>
      </c>
      <c r="B99" s="889"/>
      <c r="C99" s="889"/>
      <c r="D99" s="889"/>
      <c r="E99" s="889"/>
      <c r="F99" s="889"/>
      <c r="G99" s="889"/>
      <c r="H99" s="889"/>
      <c r="I99" s="889"/>
      <c r="J99" s="889"/>
      <c r="K99" s="889"/>
      <c r="L99" s="889"/>
      <c r="M99" s="889"/>
      <c r="N99" s="889"/>
      <c r="O99" s="889"/>
    </row>
    <row r="100" spans="1:15" s="402" customFormat="1" ht="52.8" x14ac:dyDescent="0.25">
      <c r="A100" s="659" t="s">
        <v>582</v>
      </c>
      <c r="B100" s="659" t="s">
        <v>583</v>
      </c>
      <c r="C100" s="659" t="s">
        <v>584</v>
      </c>
      <c r="D100" s="659" t="s">
        <v>585</v>
      </c>
      <c r="E100" s="659" t="s">
        <v>586</v>
      </c>
      <c r="F100" s="659" t="s">
        <v>587</v>
      </c>
      <c r="G100" s="659" t="s">
        <v>588</v>
      </c>
      <c r="H100" s="878" t="s">
        <v>589</v>
      </c>
      <c r="I100" s="879"/>
      <c r="J100" s="880" t="s">
        <v>590</v>
      </c>
      <c r="K100" s="880"/>
      <c r="L100" s="660" t="s">
        <v>591</v>
      </c>
      <c r="M100" s="660" t="s">
        <v>592</v>
      </c>
      <c r="N100" s="660" t="s">
        <v>593</v>
      </c>
      <c r="O100" s="660" t="s">
        <v>594</v>
      </c>
    </row>
    <row r="101" spans="1:15" s="402" customFormat="1" x14ac:dyDescent="0.25">
      <c r="A101" s="661" t="s">
        <v>595</v>
      </c>
      <c r="B101" s="661" t="s">
        <v>596</v>
      </c>
      <c r="C101" s="662">
        <v>47.9</v>
      </c>
      <c r="D101" s="663">
        <f>$F$89/$B$92*($B$95-C101)*$B$97</f>
        <v>174693.0725847687</v>
      </c>
      <c r="E101" s="663">
        <f>D101*$B$96</f>
        <v>104815.84355086122</v>
      </c>
      <c r="F101" s="663" cm="1">
        <f t="array" ref="F101">_xlfn.LET(_xlpm.x,_xlfn.XLOOKUP(E101/$C$3,$A$122:$A$152,$A$122:$A$152,"",1),IF(_xlpm.x="",ROUNDUP(E101/$C$3,0),_xlpm.x))</f>
        <v>145000</v>
      </c>
      <c r="G101" s="663" cm="1">
        <f t="array" ref="G101">_xlfn.LET(_xlpm.v,MAX(30,$F$89/$B$92*$B$98),_xlpm.x,_xlfn.XLOOKUP(_xlpm.v,$E$122:$E$140,$E$122:$E$140,"",1),IF(_xlpm.x="",ROUNDUP(_xlpm.v,0),_xlpm.x))</f>
        <v>100</v>
      </c>
      <c r="H101" s="663">
        <f>(F101/800)+110*SQRT(G101)</f>
        <v>1281.25</v>
      </c>
      <c r="I101" s="663" t="s">
        <v>597</v>
      </c>
      <c r="J101" s="664">
        <f t="shared" ref="J101:J116" si="4">H101/70</f>
        <v>18.303571428571427</v>
      </c>
      <c r="K101" s="665" t="s">
        <v>598</v>
      </c>
      <c r="L101" s="881" t="s">
        <v>599</v>
      </c>
      <c r="M101" s="666">
        <f t="shared" ref="M101:M116" si="5">$B$92*G101</f>
        <v>200</v>
      </c>
      <c r="N101" s="667">
        <f t="shared" ref="N101:N116" si="6">$B$92*F101</f>
        <v>290000</v>
      </c>
      <c r="O101" s="668">
        <f t="shared" ref="O101:O116" si="7">$B$92*J101</f>
        <v>36.607142857142854</v>
      </c>
    </row>
    <row r="102" spans="1:15" s="402" customFormat="1" x14ac:dyDescent="0.25">
      <c r="A102" s="661" t="s">
        <v>595</v>
      </c>
      <c r="B102" s="661" t="s">
        <v>600</v>
      </c>
      <c r="C102" s="662">
        <v>50.8</v>
      </c>
      <c r="D102" s="663">
        <f t="shared" ref="D102:D116" si="8">$F$89/$B$92*($B$95-C102)*$B$97</f>
        <v>168876.65570192339</v>
      </c>
      <c r="E102" s="663">
        <f t="shared" ref="E102:E116" si="9">D102*$B$96</f>
        <v>101325.99342115402</v>
      </c>
      <c r="F102" s="663">
        <f t="shared" ref="F102:F116" si="10">_xlfn.LET(_xlpm.x,_xlfn.XLOOKUP(E102/$C$3,$A$122:$A$152,$A$122:$A$152,"",1),IF(_xlpm.x="",ROUNDUP(E102/$C$3,0),_xlpm.x))</f>
        <v>130000</v>
      </c>
      <c r="G102" s="663">
        <f t="shared" ref="G102:G116" si="11">_xlfn.LET(_xlpm.v,MAX(30,$F$89/$B$92*$B$98),_xlpm.x,_xlfn.XLOOKUP(_xlpm.v,$E$122:$E$140,$E$122:$E$140,"",1),IF(_xlpm.x="",ROUNDUP(_xlpm.v,0),_xlpm.x))</f>
        <v>100</v>
      </c>
      <c r="H102" s="663">
        <f t="shared" ref="H102:H116" si="12">(F102/800)+110*SQRT(G102)</f>
        <v>1262.5</v>
      </c>
      <c r="I102" s="663" t="s">
        <v>597</v>
      </c>
      <c r="J102" s="664">
        <f t="shared" si="4"/>
        <v>18.035714285714285</v>
      </c>
      <c r="K102" s="665" t="s">
        <v>598</v>
      </c>
      <c r="L102" s="882"/>
      <c r="M102" s="666">
        <f t="shared" si="5"/>
        <v>200</v>
      </c>
      <c r="N102" s="667">
        <f t="shared" si="6"/>
        <v>260000</v>
      </c>
      <c r="O102" s="668">
        <f t="shared" si="7"/>
        <v>36.071428571428569</v>
      </c>
    </row>
    <row r="103" spans="1:15" s="402" customFormat="1" x14ac:dyDescent="0.25">
      <c r="A103" s="661" t="s">
        <v>595</v>
      </c>
      <c r="B103" s="661" t="s">
        <v>601</v>
      </c>
      <c r="C103" s="662">
        <v>52.2</v>
      </c>
      <c r="D103" s="663">
        <f t="shared" si="8"/>
        <v>166068.73031020493</v>
      </c>
      <c r="E103" s="663">
        <f t="shared" si="9"/>
        <v>99641.238186122951</v>
      </c>
      <c r="F103" s="663">
        <f t="shared" si="10"/>
        <v>125000</v>
      </c>
      <c r="G103" s="663">
        <f t="shared" si="11"/>
        <v>100</v>
      </c>
      <c r="H103" s="663">
        <f t="shared" si="12"/>
        <v>1256.25</v>
      </c>
      <c r="I103" s="663" t="s">
        <v>597</v>
      </c>
      <c r="J103" s="664">
        <f t="shared" si="4"/>
        <v>17.946428571428573</v>
      </c>
      <c r="K103" s="665" t="s">
        <v>598</v>
      </c>
      <c r="L103" s="882"/>
      <c r="M103" s="666">
        <f t="shared" si="5"/>
        <v>200</v>
      </c>
      <c r="N103" s="667">
        <f t="shared" si="6"/>
        <v>250000</v>
      </c>
      <c r="O103" s="668">
        <f t="shared" si="7"/>
        <v>35.892857142857146</v>
      </c>
    </row>
    <row r="104" spans="1:15" s="402" customFormat="1" x14ac:dyDescent="0.25">
      <c r="A104" s="661" t="s">
        <v>595</v>
      </c>
      <c r="B104" s="661" t="s">
        <v>602</v>
      </c>
      <c r="C104" s="662">
        <v>52.7</v>
      </c>
      <c r="D104" s="663">
        <f t="shared" si="8"/>
        <v>165065.89981316263</v>
      </c>
      <c r="E104" s="663">
        <f t="shared" si="9"/>
        <v>99039.539887897568</v>
      </c>
      <c r="F104" s="663">
        <f t="shared" si="10"/>
        <v>125000</v>
      </c>
      <c r="G104" s="663">
        <f t="shared" si="11"/>
        <v>100</v>
      </c>
      <c r="H104" s="663">
        <f t="shared" si="12"/>
        <v>1256.25</v>
      </c>
      <c r="I104" s="663" t="s">
        <v>597</v>
      </c>
      <c r="J104" s="664">
        <f t="shared" si="4"/>
        <v>17.946428571428573</v>
      </c>
      <c r="K104" s="665" t="s">
        <v>598</v>
      </c>
      <c r="L104" s="882"/>
      <c r="M104" s="666">
        <f t="shared" si="5"/>
        <v>200</v>
      </c>
      <c r="N104" s="667">
        <f t="shared" si="6"/>
        <v>250000</v>
      </c>
      <c r="O104" s="668">
        <f t="shared" si="7"/>
        <v>35.892857142857146</v>
      </c>
    </row>
    <row r="105" spans="1:15" s="402" customFormat="1" x14ac:dyDescent="0.25">
      <c r="A105" s="661" t="s">
        <v>595</v>
      </c>
      <c r="B105" s="661" t="s">
        <v>603</v>
      </c>
      <c r="C105" s="662">
        <v>51.6</v>
      </c>
      <c r="D105" s="663">
        <f t="shared" si="8"/>
        <v>167272.12690665573</v>
      </c>
      <c r="E105" s="663">
        <f t="shared" si="9"/>
        <v>100363.27614399344</v>
      </c>
      <c r="F105" s="663">
        <f t="shared" si="10"/>
        <v>130000</v>
      </c>
      <c r="G105" s="663">
        <f t="shared" si="11"/>
        <v>100</v>
      </c>
      <c r="H105" s="663">
        <f t="shared" si="12"/>
        <v>1262.5</v>
      </c>
      <c r="I105" s="663" t="s">
        <v>597</v>
      </c>
      <c r="J105" s="664">
        <f t="shared" si="4"/>
        <v>18.035714285714285</v>
      </c>
      <c r="K105" s="665" t="s">
        <v>598</v>
      </c>
      <c r="L105" s="882"/>
      <c r="M105" s="666">
        <f t="shared" si="5"/>
        <v>200</v>
      </c>
      <c r="N105" s="667">
        <f t="shared" si="6"/>
        <v>260000</v>
      </c>
      <c r="O105" s="668">
        <f t="shared" si="7"/>
        <v>36.071428571428569</v>
      </c>
    </row>
    <row r="106" spans="1:15" s="402" customFormat="1" x14ac:dyDescent="0.25">
      <c r="A106" s="661" t="s">
        <v>595</v>
      </c>
      <c r="B106" s="661" t="s">
        <v>604</v>
      </c>
      <c r="C106" s="662">
        <v>56.8</v>
      </c>
      <c r="D106" s="663">
        <f t="shared" si="8"/>
        <v>156842.68973741579</v>
      </c>
      <c r="E106" s="663">
        <f t="shared" si="9"/>
        <v>94105.613842449471</v>
      </c>
      <c r="F106" s="663">
        <f t="shared" si="10"/>
        <v>120000</v>
      </c>
      <c r="G106" s="663">
        <f t="shared" si="11"/>
        <v>100</v>
      </c>
      <c r="H106" s="663">
        <f t="shared" si="12"/>
        <v>1250</v>
      </c>
      <c r="I106" s="663" t="s">
        <v>597</v>
      </c>
      <c r="J106" s="664">
        <f t="shared" si="4"/>
        <v>17.857142857142858</v>
      </c>
      <c r="K106" s="665" t="s">
        <v>598</v>
      </c>
      <c r="L106" s="882"/>
      <c r="M106" s="666">
        <f t="shared" si="5"/>
        <v>200</v>
      </c>
      <c r="N106" s="667">
        <f t="shared" si="6"/>
        <v>240000</v>
      </c>
      <c r="O106" s="668">
        <f t="shared" si="7"/>
        <v>35.714285714285715</v>
      </c>
    </row>
    <row r="107" spans="1:15" s="402" customFormat="1" x14ac:dyDescent="0.25">
      <c r="A107" s="661" t="s">
        <v>595</v>
      </c>
      <c r="B107" s="661" t="s">
        <v>605</v>
      </c>
      <c r="C107" s="662">
        <v>58.4</v>
      </c>
      <c r="D107" s="663">
        <f t="shared" si="8"/>
        <v>153633.63214688041</v>
      </c>
      <c r="E107" s="663">
        <f t="shared" si="9"/>
        <v>92180.179288128245</v>
      </c>
      <c r="F107" s="663">
        <f t="shared" si="10"/>
        <v>120000</v>
      </c>
      <c r="G107" s="663">
        <f t="shared" si="11"/>
        <v>100</v>
      </c>
      <c r="H107" s="663">
        <f t="shared" si="12"/>
        <v>1250</v>
      </c>
      <c r="I107" s="663" t="s">
        <v>597</v>
      </c>
      <c r="J107" s="664">
        <f t="shared" si="4"/>
        <v>17.857142857142858</v>
      </c>
      <c r="K107" s="665" t="s">
        <v>598</v>
      </c>
      <c r="L107" s="882"/>
      <c r="M107" s="666">
        <f t="shared" si="5"/>
        <v>200</v>
      </c>
      <c r="N107" s="667">
        <f t="shared" si="6"/>
        <v>240000</v>
      </c>
      <c r="O107" s="668">
        <f t="shared" si="7"/>
        <v>35.714285714285715</v>
      </c>
    </row>
    <row r="108" spans="1:15" s="402" customFormat="1" x14ac:dyDescent="0.25">
      <c r="A108" s="661" t="s">
        <v>595</v>
      </c>
      <c r="B108" s="661" t="s">
        <v>606</v>
      </c>
      <c r="C108" s="662">
        <v>58.4</v>
      </c>
      <c r="D108" s="663">
        <f t="shared" si="8"/>
        <v>153633.63214688041</v>
      </c>
      <c r="E108" s="663">
        <f t="shared" si="9"/>
        <v>92180.179288128245</v>
      </c>
      <c r="F108" s="663">
        <f t="shared" si="10"/>
        <v>120000</v>
      </c>
      <c r="G108" s="663">
        <f t="shared" si="11"/>
        <v>100</v>
      </c>
      <c r="H108" s="663">
        <f t="shared" si="12"/>
        <v>1250</v>
      </c>
      <c r="I108" s="663" t="s">
        <v>597</v>
      </c>
      <c r="J108" s="664">
        <f t="shared" si="4"/>
        <v>17.857142857142858</v>
      </c>
      <c r="K108" s="665" t="s">
        <v>598</v>
      </c>
      <c r="L108" s="882"/>
      <c r="M108" s="666">
        <f t="shared" si="5"/>
        <v>200</v>
      </c>
      <c r="N108" s="667">
        <f t="shared" si="6"/>
        <v>240000</v>
      </c>
      <c r="O108" s="668">
        <f t="shared" si="7"/>
        <v>35.714285714285715</v>
      </c>
    </row>
    <row r="109" spans="1:15" s="402" customFormat="1" x14ac:dyDescent="0.25">
      <c r="A109" s="661" t="s">
        <v>595</v>
      </c>
      <c r="B109" s="661" t="s">
        <v>607</v>
      </c>
      <c r="C109" s="662">
        <v>57.6</v>
      </c>
      <c r="D109" s="663">
        <f t="shared" si="8"/>
        <v>155238.1609421481</v>
      </c>
      <c r="E109" s="663">
        <f t="shared" si="9"/>
        <v>93142.896565288858</v>
      </c>
      <c r="F109" s="663">
        <f t="shared" si="10"/>
        <v>120000</v>
      </c>
      <c r="G109" s="663">
        <f t="shared" si="11"/>
        <v>100</v>
      </c>
      <c r="H109" s="663">
        <f t="shared" si="12"/>
        <v>1250</v>
      </c>
      <c r="I109" s="663" t="s">
        <v>597</v>
      </c>
      <c r="J109" s="664">
        <f t="shared" si="4"/>
        <v>17.857142857142858</v>
      </c>
      <c r="K109" s="665" t="s">
        <v>598</v>
      </c>
      <c r="L109" s="882"/>
      <c r="M109" s="666">
        <f t="shared" si="5"/>
        <v>200</v>
      </c>
      <c r="N109" s="667">
        <f t="shared" si="6"/>
        <v>240000</v>
      </c>
      <c r="O109" s="668">
        <f t="shared" si="7"/>
        <v>35.714285714285715</v>
      </c>
    </row>
    <row r="110" spans="1:15" s="402" customFormat="1" x14ac:dyDescent="0.25">
      <c r="A110" s="661" t="s">
        <v>595</v>
      </c>
      <c r="B110" s="661" t="s">
        <v>312</v>
      </c>
      <c r="C110" s="662">
        <v>57.1</v>
      </c>
      <c r="D110" s="663">
        <f t="shared" si="8"/>
        <v>156240.9914391904</v>
      </c>
      <c r="E110" s="663">
        <f t="shared" si="9"/>
        <v>93744.594863514241</v>
      </c>
      <c r="F110" s="663">
        <f t="shared" si="10"/>
        <v>120000</v>
      </c>
      <c r="G110" s="663">
        <f t="shared" si="11"/>
        <v>100</v>
      </c>
      <c r="H110" s="663">
        <f t="shared" si="12"/>
        <v>1250</v>
      </c>
      <c r="I110" s="663" t="s">
        <v>597</v>
      </c>
      <c r="J110" s="664">
        <f t="shared" si="4"/>
        <v>17.857142857142858</v>
      </c>
      <c r="K110" s="665" t="s">
        <v>598</v>
      </c>
      <c r="L110" s="882"/>
      <c r="M110" s="666">
        <f t="shared" si="5"/>
        <v>200</v>
      </c>
      <c r="N110" s="667">
        <f t="shared" si="6"/>
        <v>240000</v>
      </c>
      <c r="O110" s="668">
        <f t="shared" si="7"/>
        <v>35.714285714285715</v>
      </c>
    </row>
    <row r="111" spans="1:15" s="402" customFormat="1" x14ac:dyDescent="0.25">
      <c r="A111" s="661" t="s">
        <v>595</v>
      </c>
      <c r="B111" s="661" t="s">
        <v>313</v>
      </c>
      <c r="C111" s="662">
        <v>50.5</v>
      </c>
      <c r="D111" s="663">
        <f t="shared" si="8"/>
        <v>169478.35400014877</v>
      </c>
      <c r="E111" s="663">
        <f t="shared" si="9"/>
        <v>101687.01240008925</v>
      </c>
      <c r="F111" s="663">
        <f t="shared" si="10"/>
        <v>130000</v>
      </c>
      <c r="G111" s="663">
        <f t="shared" si="11"/>
        <v>100</v>
      </c>
      <c r="H111" s="663">
        <f t="shared" si="12"/>
        <v>1262.5</v>
      </c>
      <c r="I111" s="663" t="s">
        <v>597</v>
      </c>
      <c r="J111" s="664">
        <f t="shared" si="4"/>
        <v>18.035714285714285</v>
      </c>
      <c r="K111" s="665" t="s">
        <v>598</v>
      </c>
      <c r="L111" s="882"/>
      <c r="M111" s="666">
        <f t="shared" si="5"/>
        <v>200</v>
      </c>
      <c r="N111" s="667">
        <f t="shared" si="6"/>
        <v>260000</v>
      </c>
      <c r="O111" s="668">
        <f t="shared" si="7"/>
        <v>36.071428571428569</v>
      </c>
    </row>
    <row r="112" spans="1:15" s="402" customFormat="1" x14ac:dyDescent="0.25">
      <c r="A112" s="661" t="s">
        <v>595</v>
      </c>
      <c r="B112" s="661" t="s">
        <v>314</v>
      </c>
      <c r="C112" s="662">
        <v>51.4</v>
      </c>
      <c r="D112" s="663">
        <f t="shared" si="8"/>
        <v>167673.25910547259</v>
      </c>
      <c r="E112" s="663">
        <f t="shared" si="9"/>
        <v>100603.95546328355</v>
      </c>
      <c r="F112" s="663">
        <f t="shared" si="10"/>
        <v>130000</v>
      </c>
      <c r="G112" s="663">
        <f t="shared" si="11"/>
        <v>100</v>
      </c>
      <c r="H112" s="663">
        <f t="shared" si="12"/>
        <v>1262.5</v>
      </c>
      <c r="I112" s="663" t="s">
        <v>597</v>
      </c>
      <c r="J112" s="664">
        <f t="shared" si="4"/>
        <v>18.035714285714285</v>
      </c>
      <c r="K112" s="665" t="s">
        <v>598</v>
      </c>
      <c r="L112" s="882"/>
      <c r="M112" s="666">
        <f t="shared" si="5"/>
        <v>200</v>
      </c>
      <c r="N112" s="667">
        <f t="shared" si="6"/>
        <v>260000</v>
      </c>
      <c r="O112" s="668">
        <f t="shared" si="7"/>
        <v>36.071428571428569</v>
      </c>
    </row>
    <row r="113" spans="1:15" s="402" customFormat="1" x14ac:dyDescent="0.25">
      <c r="A113" s="661" t="s">
        <v>595</v>
      </c>
      <c r="B113" s="661" t="s">
        <v>315</v>
      </c>
      <c r="C113" s="662">
        <v>51.7</v>
      </c>
      <c r="D113" s="663">
        <f t="shared" si="8"/>
        <v>167071.56080724724</v>
      </c>
      <c r="E113" s="663">
        <f t="shared" si="9"/>
        <v>100242.93648434833</v>
      </c>
      <c r="F113" s="663">
        <f t="shared" si="10"/>
        <v>130000</v>
      </c>
      <c r="G113" s="663">
        <f t="shared" si="11"/>
        <v>100</v>
      </c>
      <c r="H113" s="663">
        <f t="shared" si="12"/>
        <v>1262.5</v>
      </c>
      <c r="I113" s="663" t="s">
        <v>597</v>
      </c>
      <c r="J113" s="664">
        <f t="shared" si="4"/>
        <v>18.035714285714285</v>
      </c>
      <c r="K113" s="665" t="s">
        <v>598</v>
      </c>
      <c r="L113" s="882"/>
      <c r="M113" s="666">
        <f t="shared" si="5"/>
        <v>200</v>
      </c>
      <c r="N113" s="667">
        <f t="shared" si="6"/>
        <v>260000</v>
      </c>
      <c r="O113" s="668">
        <f t="shared" si="7"/>
        <v>36.071428571428569</v>
      </c>
    </row>
    <row r="114" spans="1:15" s="402" customFormat="1" x14ac:dyDescent="0.25">
      <c r="A114" s="661" t="s">
        <v>595</v>
      </c>
      <c r="B114" s="661" t="s">
        <v>316</v>
      </c>
      <c r="C114" s="662">
        <v>50.1</v>
      </c>
      <c r="D114" s="663">
        <f t="shared" si="8"/>
        <v>170280.61839778261</v>
      </c>
      <c r="E114" s="663">
        <f t="shared" si="9"/>
        <v>102168.37103866956</v>
      </c>
      <c r="F114" s="663">
        <f t="shared" si="10"/>
        <v>130000</v>
      </c>
      <c r="G114" s="663">
        <f t="shared" si="11"/>
        <v>100</v>
      </c>
      <c r="H114" s="663">
        <f t="shared" si="12"/>
        <v>1262.5</v>
      </c>
      <c r="I114" s="663" t="s">
        <v>597</v>
      </c>
      <c r="J114" s="664">
        <f t="shared" si="4"/>
        <v>18.035714285714285</v>
      </c>
      <c r="K114" s="665" t="s">
        <v>598</v>
      </c>
      <c r="L114" s="882"/>
      <c r="M114" s="666">
        <f t="shared" si="5"/>
        <v>200</v>
      </c>
      <c r="N114" s="667">
        <f t="shared" si="6"/>
        <v>260000</v>
      </c>
      <c r="O114" s="668">
        <f t="shared" si="7"/>
        <v>36.071428571428569</v>
      </c>
    </row>
    <row r="115" spans="1:15" s="402" customFormat="1" x14ac:dyDescent="0.25">
      <c r="A115" s="661" t="s">
        <v>595</v>
      </c>
      <c r="B115" s="661" t="s">
        <v>317</v>
      </c>
      <c r="C115" s="662">
        <v>63.2</v>
      </c>
      <c r="D115" s="663">
        <f t="shared" si="8"/>
        <v>144006.45937527434</v>
      </c>
      <c r="E115" s="663">
        <f t="shared" si="9"/>
        <v>86403.875625164597</v>
      </c>
      <c r="F115" s="663">
        <f t="shared" si="10"/>
        <v>120000</v>
      </c>
      <c r="G115" s="663">
        <f t="shared" si="11"/>
        <v>100</v>
      </c>
      <c r="H115" s="663">
        <f t="shared" si="12"/>
        <v>1250</v>
      </c>
      <c r="I115" s="663" t="s">
        <v>597</v>
      </c>
      <c r="J115" s="664">
        <f t="shared" si="4"/>
        <v>17.857142857142858</v>
      </c>
      <c r="K115" s="665" t="s">
        <v>598</v>
      </c>
      <c r="L115" s="882"/>
      <c r="M115" s="666">
        <f t="shared" si="5"/>
        <v>200</v>
      </c>
      <c r="N115" s="667">
        <f t="shared" si="6"/>
        <v>240000</v>
      </c>
      <c r="O115" s="668">
        <f t="shared" si="7"/>
        <v>35.714285714285715</v>
      </c>
    </row>
    <row r="116" spans="1:15" s="402" customFormat="1" x14ac:dyDescent="0.25">
      <c r="A116" s="661" t="s">
        <v>595</v>
      </c>
      <c r="B116" s="661" t="s">
        <v>318</v>
      </c>
      <c r="C116" s="662">
        <v>41.4</v>
      </c>
      <c r="D116" s="663">
        <f t="shared" si="8"/>
        <v>187729.86904631864</v>
      </c>
      <c r="E116" s="663">
        <f t="shared" si="9"/>
        <v>112637.92142779118</v>
      </c>
      <c r="F116" s="663">
        <f t="shared" si="10"/>
        <v>145000</v>
      </c>
      <c r="G116" s="663">
        <f t="shared" si="11"/>
        <v>100</v>
      </c>
      <c r="H116" s="663">
        <f t="shared" si="12"/>
        <v>1281.25</v>
      </c>
      <c r="I116" s="663" t="s">
        <v>597</v>
      </c>
      <c r="J116" s="664">
        <f t="shared" si="4"/>
        <v>18.303571428571427</v>
      </c>
      <c r="K116" s="665" t="s">
        <v>598</v>
      </c>
      <c r="L116" s="883"/>
      <c r="M116" s="666">
        <f t="shared" si="5"/>
        <v>200</v>
      </c>
      <c r="N116" s="667">
        <f t="shared" si="6"/>
        <v>290000</v>
      </c>
      <c r="O116" s="668">
        <f t="shared" si="7"/>
        <v>36.607142857142854</v>
      </c>
    </row>
    <row r="117" spans="1:15" s="402" customFormat="1" ht="14.4" x14ac:dyDescent="0.3">
      <c r="C117" s="406"/>
      <c r="D117" s="406"/>
      <c r="F117" s="406"/>
      <c r="G117" s="406"/>
    </row>
    <row r="118" spans="1:15" s="402" customFormat="1" ht="14.4" x14ac:dyDescent="0.3">
      <c r="C118" s="406"/>
      <c r="D118" s="406"/>
      <c r="F118" s="406"/>
      <c r="G118" s="406"/>
    </row>
    <row r="119" spans="1:15" s="402" customFormat="1" ht="14.4" x14ac:dyDescent="0.3">
      <c r="C119" s="406"/>
      <c r="D119" s="406"/>
      <c r="F119" s="406"/>
      <c r="G119" s="406"/>
    </row>
    <row r="120" spans="1:15" s="402" customFormat="1" ht="24.75" customHeight="1" x14ac:dyDescent="0.25">
      <c r="A120" s="884" t="s">
        <v>608</v>
      </c>
      <c r="B120" s="884"/>
      <c r="C120" s="884"/>
      <c r="D120" s="884"/>
      <c r="E120" s="884"/>
      <c r="F120" s="884"/>
      <c r="G120" s="884"/>
      <c r="H120" s="884"/>
    </row>
    <row r="121" spans="1:15" s="407" customFormat="1" ht="23.25" customHeight="1" x14ac:dyDescent="0.25">
      <c r="A121" s="669" t="s">
        <v>609</v>
      </c>
      <c r="B121" s="442" t="s">
        <v>610</v>
      </c>
      <c r="C121" s="443" t="s">
        <v>611</v>
      </c>
      <c r="D121" s="444" t="s">
        <v>612</v>
      </c>
      <c r="E121" s="670" t="s">
        <v>613</v>
      </c>
      <c r="F121" s="444" t="s">
        <v>614</v>
      </c>
      <c r="G121" s="445" t="s">
        <v>615</v>
      </c>
      <c r="H121" s="446" t="s">
        <v>616</v>
      </c>
      <c r="I121" s="459" t="str">
        <f>HYPERLINK("#'Note'!A1","Sources and links → Note tab")</f>
        <v>Sources and links → Note tab</v>
      </c>
    </row>
    <row r="122" spans="1:15" s="402" customFormat="1" ht="13.8" x14ac:dyDescent="0.25">
      <c r="A122" s="671">
        <v>60000</v>
      </c>
      <c r="B122" s="447" t="s">
        <v>617</v>
      </c>
      <c r="C122" s="672">
        <v>1.5</v>
      </c>
      <c r="D122" s="673">
        <v>5118</v>
      </c>
      <c r="E122" s="674">
        <v>34</v>
      </c>
      <c r="F122" s="674" t="s">
        <v>618</v>
      </c>
      <c r="G122" s="674">
        <v>6</v>
      </c>
      <c r="H122" s="675" t="s">
        <v>617</v>
      </c>
    </row>
    <row r="123" spans="1:15" s="402" customFormat="1" ht="13.8" x14ac:dyDescent="0.25">
      <c r="A123" s="676">
        <v>75100</v>
      </c>
      <c r="B123" s="448" t="s">
        <v>617</v>
      </c>
      <c r="C123" s="677">
        <v>2</v>
      </c>
      <c r="D123" s="678">
        <v>6824</v>
      </c>
      <c r="E123" s="679">
        <v>35</v>
      </c>
      <c r="F123" s="679" t="s">
        <v>617</v>
      </c>
      <c r="G123" s="679">
        <v>10</v>
      </c>
      <c r="H123" s="680" t="s">
        <v>617</v>
      </c>
    </row>
    <row r="124" spans="1:15" s="402" customFormat="1" ht="13.8" x14ac:dyDescent="0.25">
      <c r="A124" s="676">
        <v>76000</v>
      </c>
      <c r="B124" s="448" t="s">
        <v>619</v>
      </c>
      <c r="C124" s="677">
        <v>3</v>
      </c>
      <c r="D124" s="678">
        <v>10236</v>
      </c>
      <c r="E124" s="679">
        <v>48</v>
      </c>
      <c r="F124" s="679" t="s">
        <v>617</v>
      </c>
      <c r="G124" s="679">
        <v>15</v>
      </c>
      <c r="H124" s="680" t="s">
        <v>617</v>
      </c>
    </row>
    <row r="125" spans="1:15" s="402" customFormat="1" ht="13.8" x14ac:dyDescent="0.25">
      <c r="A125" s="676">
        <v>80000</v>
      </c>
      <c r="B125" s="448" t="s">
        <v>617</v>
      </c>
      <c r="C125" s="677">
        <v>4.5</v>
      </c>
      <c r="D125" s="678">
        <v>15355</v>
      </c>
      <c r="E125" s="679">
        <v>50</v>
      </c>
      <c r="F125" s="679" t="s">
        <v>619</v>
      </c>
      <c r="G125" s="679">
        <v>20</v>
      </c>
      <c r="H125" s="680" t="s">
        <v>617</v>
      </c>
    </row>
    <row r="126" spans="1:15" s="402" customFormat="1" ht="13.8" x14ac:dyDescent="0.25">
      <c r="A126" s="676">
        <v>99900</v>
      </c>
      <c r="B126" s="448" t="s">
        <v>618</v>
      </c>
      <c r="C126" s="677">
        <v>6</v>
      </c>
      <c r="D126" s="678">
        <v>20473</v>
      </c>
      <c r="E126" s="679">
        <v>55</v>
      </c>
      <c r="F126" s="679" t="s">
        <v>618</v>
      </c>
      <c r="G126" s="679">
        <v>28</v>
      </c>
      <c r="H126" s="680" t="s">
        <v>617</v>
      </c>
    </row>
    <row r="127" spans="1:15" s="402" customFormat="1" ht="13.8" x14ac:dyDescent="0.25">
      <c r="A127" s="676">
        <v>100000</v>
      </c>
      <c r="B127" s="448" t="s">
        <v>619</v>
      </c>
      <c r="C127" s="677">
        <v>8</v>
      </c>
      <c r="D127" s="678">
        <v>27297</v>
      </c>
      <c r="E127" s="679">
        <v>60</v>
      </c>
      <c r="F127" s="679" t="s">
        <v>618</v>
      </c>
      <c r="G127" s="679">
        <v>30</v>
      </c>
      <c r="H127" s="680" t="s">
        <v>617</v>
      </c>
    </row>
    <row r="128" spans="1:15" s="402" customFormat="1" ht="13.8" x14ac:dyDescent="0.25">
      <c r="A128" s="676">
        <v>120000</v>
      </c>
      <c r="B128" s="448" t="s">
        <v>618</v>
      </c>
      <c r="C128" s="677">
        <v>9</v>
      </c>
      <c r="D128" s="678">
        <v>30709</v>
      </c>
      <c r="E128" s="679">
        <v>65</v>
      </c>
      <c r="F128" s="679" t="s">
        <v>619</v>
      </c>
      <c r="G128" s="679">
        <v>36</v>
      </c>
      <c r="H128" s="680" t="s">
        <v>617</v>
      </c>
    </row>
    <row r="129" spans="1:8" s="402" customFormat="1" ht="13.8" x14ac:dyDescent="0.25">
      <c r="A129" s="676">
        <v>125000</v>
      </c>
      <c r="B129" s="448" t="s">
        <v>619</v>
      </c>
      <c r="C129" s="677">
        <v>10</v>
      </c>
      <c r="D129" s="678">
        <v>34121</v>
      </c>
      <c r="E129" s="679">
        <v>72</v>
      </c>
      <c r="F129" s="679" t="s">
        <v>617</v>
      </c>
      <c r="G129" s="679">
        <v>40</v>
      </c>
      <c r="H129" s="680" t="s">
        <v>617</v>
      </c>
    </row>
    <row r="130" spans="1:8" s="402" customFormat="1" ht="13.8" x14ac:dyDescent="0.25">
      <c r="A130" s="676">
        <v>130000</v>
      </c>
      <c r="B130" s="448" t="s">
        <v>619</v>
      </c>
      <c r="C130" s="677">
        <v>12</v>
      </c>
      <c r="D130" s="678">
        <v>40946</v>
      </c>
      <c r="E130" s="679">
        <v>75</v>
      </c>
      <c r="F130" s="679" t="s">
        <v>619</v>
      </c>
      <c r="G130" s="679">
        <v>47</v>
      </c>
      <c r="H130" s="680" t="s">
        <v>617</v>
      </c>
    </row>
    <row r="131" spans="1:8" s="402" customFormat="1" ht="13.8" x14ac:dyDescent="0.25">
      <c r="A131" s="676">
        <v>145000</v>
      </c>
      <c r="B131" s="448" t="s">
        <v>618</v>
      </c>
      <c r="C131" s="677">
        <v>12.1</v>
      </c>
      <c r="D131" s="678">
        <v>41287</v>
      </c>
      <c r="E131" s="679">
        <v>76</v>
      </c>
      <c r="F131" s="679" t="s">
        <v>617</v>
      </c>
      <c r="G131" s="679">
        <v>50</v>
      </c>
      <c r="H131" s="680" t="s">
        <v>617</v>
      </c>
    </row>
    <row r="132" spans="1:8" s="402" customFormat="1" ht="13.8" x14ac:dyDescent="0.25">
      <c r="A132" s="676">
        <v>150000</v>
      </c>
      <c r="B132" s="448" t="s">
        <v>618</v>
      </c>
      <c r="C132" s="677">
        <v>18</v>
      </c>
      <c r="D132" s="678">
        <v>61419</v>
      </c>
      <c r="E132" s="679">
        <v>80</v>
      </c>
      <c r="F132" s="679" t="s">
        <v>619</v>
      </c>
      <c r="G132" s="679">
        <v>65</v>
      </c>
      <c r="H132" s="680" t="s">
        <v>617</v>
      </c>
    </row>
    <row r="133" spans="1:8" s="402" customFormat="1" x14ac:dyDescent="0.25">
      <c r="A133" s="676">
        <v>156000</v>
      </c>
      <c r="B133" s="681" t="s">
        <v>617</v>
      </c>
      <c r="C133" s="677">
        <v>24</v>
      </c>
      <c r="D133" s="678">
        <v>81891</v>
      </c>
      <c r="E133" s="679">
        <v>82</v>
      </c>
      <c r="F133" s="679" t="s">
        <v>617</v>
      </c>
      <c r="G133" s="679">
        <v>80</v>
      </c>
      <c r="H133" s="680" t="s">
        <v>617</v>
      </c>
    </row>
    <row r="134" spans="1:8" s="402" customFormat="1" x14ac:dyDescent="0.25">
      <c r="A134" s="676">
        <v>160000</v>
      </c>
      <c r="B134" s="681" t="s">
        <v>619</v>
      </c>
      <c r="C134" s="677">
        <v>27</v>
      </c>
      <c r="D134" s="678">
        <v>92128</v>
      </c>
      <c r="E134" s="679">
        <v>85</v>
      </c>
      <c r="F134" s="679" t="s">
        <v>617</v>
      </c>
      <c r="G134" s="679">
        <v>85</v>
      </c>
      <c r="H134" s="680" t="s">
        <v>617</v>
      </c>
    </row>
    <row r="135" spans="1:8" s="402" customFormat="1" x14ac:dyDescent="0.25">
      <c r="A135" s="676">
        <v>175000</v>
      </c>
      <c r="B135" s="681" t="s">
        <v>618</v>
      </c>
      <c r="C135" s="677">
        <v>36</v>
      </c>
      <c r="D135" s="678">
        <v>122837</v>
      </c>
      <c r="E135" s="679">
        <v>90</v>
      </c>
      <c r="F135" s="679" t="s">
        <v>619</v>
      </c>
      <c r="G135" s="679">
        <v>105</v>
      </c>
      <c r="H135" s="680" t="s">
        <v>617</v>
      </c>
    </row>
    <row r="136" spans="1:8" s="402" customFormat="1" x14ac:dyDescent="0.25">
      <c r="A136" s="676">
        <v>180000</v>
      </c>
      <c r="B136" s="681" t="s">
        <v>617</v>
      </c>
      <c r="C136" s="677">
        <v>54</v>
      </c>
      <c r="D136" s="678">
        <v>184256</v>
      </c>
      <c r="E136" s="679">
        <v>91</v>
      </c>
      <c r="F136" s="679" t="s">
        <v>617</v>
      </c>
      <c r="G136" s="679">
        <v>120</v>
      </c>
      <c r="H136" s="680" t="s">
        <v>617</v>
      </c>
    </row>
    <row r="137" spans="1:8" s="402" customFormat="1" x14ac:dyDescent="0.25">
      <c r="A137" s="676">
        <v>199000</v>
      </c>
      <c r="B137" s="681" t="s">
        <v>618</v>
      </c>
      <c r="C137" s="677"/>
      <c r="D137" s="679"/>
      <c r="E137" s="679">
        <v>100</v>
      </c>
      <c r="F137" s="679" t="s">
        <v>619</v>
      </c>
      <c r="G137" s="679"/>
      <c r="H137" s="680"/>
    </row>
    <row r="138" spans="1:8" s="402" customFormat="1" x14ac:dyDescent="0.25">
      <c r="A138" s="676">
        <v>199900</v>
      </c>
      <c r="B138" s="681" t="s">
        <v>619</v>
      </c>
      <c r="C138" s="677"/>
      <c r="D138" s="679"/>
      <c r="E138" s="679">
        <v>110</v>
      </c>
      <c r="F138" s="679" t="s">
        <v>618</v>
      </c>
      <c r="G138" s="679"/>
      <c r="H138" s="680"/>
    </row>
    <row r="139" spans="1:8" s="402" customFormat="1" x14ac:dyDescent="0.25">
      <c r="A139" s="676">
        <v>200000</v>
      </c>
      <c r="B139" s="681" t="s">
        <v>618</v>
      </c>
      <c r="C139" s="677"/>
      <c r="D139" s="679"/>
      <c r="E139" s="679">
        <v>119</v>
      </c>
      <c r="F139" s="679" t="s">
        <v>619</v>
      </c>
      <c r="G139" s="679"/>
      <c r="H139" s="680"/>
    </row>
    <row r="140" spans="1:8" s="402" customFormat="1" x14ac:dyDescent="0.25">
      <c r="A140" s="676">
        <v>250000</v>
      </c>
      <c r="B140" s="681" t="s">
        <v>619</v>
      </c>
      <c r="C140" s="682"/>
      <c r="D140" s="683"/>
      <c r="E140" s="683">
        <v>125</v>
      </c>
      <c r="F140" s="683" t="s">
        <v>618</v>
      </c>
      <c r="G140" s="683"/>
      <c r="H140" s="684"/>
    </row>
    <row r="141" spans="1:8" s="402" customFormat="1" ht="14.4" x14ac:dyDescent="0.25">
      <c r="A141" s="676">
        <v>251000</v>
      </c>
      <c r="B141" s="681" t="s">
        <v>618</v>
      </c>
      <c r="C141" s="408"/>
      <c r="D141" s="408"/>
      <c r="E141" s="409"/>
      <c r="F141" s="408"/>
      <c r="G141" s="408"/>
    </row>
    <row r="142" spans="1:8" s="402" customFormat="1" ht="14.4" x14ac:dyDescent="0.25">
      <c r="A142" s="676">
        <v>270000</v>
      </c>
      <c r="B142" s="681" t="s">
        <v>617</v>
      </c>
      <c r="C142" s="408"/>
      <c r="D142" s="408"/>
      <c r="E142" s="409"/>
      <c r="F142" s="408"/>
      <c r="G142" s="408"/>
    </row>
    <row r="143" spans="1:8" s="402" customFormat="1" ht="14.4" x14ac:dyDescent="0.25">
      <c r="A143" s="676">
        <v>285000</v>
      </c>
      <c r="B143" s="681" t="s">
        <v>618</v>
      </c>
      <c r="C143" s="408"/>
      <c r="D143" s="408"/>
      <c r="E143" s="409"/>
      <c r="F143" s="408"/>
      <c r="G143" s="408"/>
    </row>
    <row r="144" spans="1:8" s="402" customFormat="1" ht="14.4" x14ac:dyDescent="0.25">
      <c r="A144" s="676">
        <v>300000</v>
      </c>
      <c r="B144" s="681" t="s">
        <v>619</v>
      </c>
      <c r="C144" s="408"/>
      <c r="D144" s="408"/>
      <c r="E144" s="409"/>
      <c r="F144" s="408"/>
      <c r="G144" s="408"/>
    </row>
    <row r="145" spans="1:7" s="402" customFormat="1" ht="14.4" x14ac:dyDescent="0.25">
      <c r="A145" s="676">
        <v>320000</v>
      </c>
      <c r="B145" s="681" t="s">
        <v>618</v>
      </c>
      <c r="C145" s="408"/>
      <c r="D145" s="408"/>
      <c r="E145" s="409"/>
      <c r="F145" s="408"/>
      <c r="G145" s="408"/>
    </row>
    <row r="146" spans="1:7" s="402" customFormat="1" ht="14.4" x14ac:dyDescent="0.25">
      <c r="A146" s="676">
        <v>360000</v>
      </c>
      <c r="B146" s="681" t="s">
        <v>617</v>
      </c>
      <c r="C146" s="408"/>
      <c r="D146" s="408"/>
      <c r="E146" s="409"/>
      <c r="F146" s="408"/>
      <c r="G146" s="408"/>
    </row>
    <row r="147" spans="1:7" s="402" customFormat="1" ht="14.4" x14ac:dyDescent="0.25">
      <c r="A147" s="676">
        <v>398000</v>
      </c>
      <c r="B147" s="681" t="s">
        <v>618</v>
      </c>
      <c r="C147" s="408"/>
      <c r="D147" s="408"/>
      <c r="E147" s="409"/>
      <c r="F147" s="408"/>
      <c r="G147" s="408"/>
    </row>
    <row r="148" spans="1:7" s="402" customFormat="1" ht="14.4" x14ac:dyDescent="0.25">
      <c r="A148" s="676">
        <v>399000</v>
      </c>
      <c r="B148" s="681" t="s">
        <v>618</v>
      </c>
      <c r="C148" s="408"/>
      <c r="D148" s="408"/>
      <c r="E148" s="409"/>
      <c r="F148" s="408"/>
      <c r="G148" s="408"/>
    </row>
    <row r="149" spans="1:7" s="402" customFormat="1" ht="14.4" x14ac:dyDescent="0.25">
      <c r="A149" s="676">
        <v>399900</v>
      </c>
      <c r="B149" s="681" t="s">
        <v>619</v>
      </c>
      <c r="C149" s="408"/>
      <c r="D149" s="408"/>
      <c r="E149" s="409"/>
      <c r="F149" s="408"/>
      <c r="G149" s="408"/>
    </row>
    <row r="150" spans="1:7" s="402" customFormat="1" ht="14.4" x14ac:dyDescent="0.25">
      <c r="A150" s="676">
        <v>499900</v>
      </c>
      <c r="B150" s="681" t="s">
        <v>617</v>
      </c>
      <c r="C150" s="408"/>
      <c r="D150" s="408"/>
      <c r="E150" s="409"/>
      <c r="F150" s="408"/>
      <c r="G150" s="408"/>
    </row>
    <row r="151" spans="1:7" s="402" customFormat="1" ht="14.4" x14ac:dyDescent="0.25">
      <c r="A151" s="676">
        <v>550000</v>
      </c>
      <c r="B151" s="681" t="s">
        <v>617</v>
      </c>
      <c r="C151" s="408"/>
      <c r="D151" s="408"/>
      <c r="E151" s="409"/>
      <c r="F151" s="408"/>
      <c r="G151" s="408"/>
    </row>
    <row r="152" spans="1:7" s="402" customFormat="1" ht="14.4" x14ac:dyDescent="0.25">
      <c r="A152" s="685">
        <v>715000</v>
      </c>
      <c r="B152" s="686" t="s">
        <v>617</v>
      </c>
      <c r="C152" s="408"/>
      <c r="D152" s="408"/>
      <c r="E152" s="409"/>
      <c r="F152" s="408"/>
      <c r="G152" s="408"/>
    </row>
    <row r="153" spans="1:7" customFormat="1" ht="14.4" x14ac:dyDescent="0.3"/>
    <row r="154" spans="1:7" customFormat="1" ht="14.4" x14ac:dyDescent="0.3"/>
    <row r="155" spans="1:7" customFormat="1" ht="14.4" x14ac:dyDescent="0.3"/>
    <row r="156" spans="1:7" customFormat="1" ht="14.4" hidden="1" x14ac:dyDescent="0.3"/>
    <row r="157" spans="1:7" customFormat="1" ht="14.4" x14ac:dyDescent="0.3"/>
    <row r="158" spans="1:7" customFormat="1" ht="14.4" x14ac:dyDescent="0.3"/>
    <row r="159" spans="1:7" customFormat="1" ht="14.4" x14ac:dyDescent="0.3"/>
    <row r="160" spans="1:7" customFormat="1" ht="14.4" x14ac:dyDescent="0.3"/>
    <row r="161" spans="1:1" x14ac:dyDescent="0.25">
      <c r="A161" s="245"/>
    </row>
    <row r="162" spans="1:1" x14ac:dyDescent="0.25">
      <c r="A162" s="245"/>
    </row>
    <row r="163" spans="1:1" x14ac:dyDescent="0.25">
      <c r="A163" s="245"/>
    </row>
    <row r="164" spans="1:1" x14ac:dyDescent="0.25">
      <c r="A164" s="245"/>
    </row>
    <row r="165" spans="1:1" x14ac:dyDescent="0.25">
      <c r="A165" s="245"/>
    </row>
    <row r="166" spans="1:1" x14ac:dyDescent="0.25">
      <c r="A166" s="245"/>
    </row>
    <row r="167" spans="1:1" x14ac:dyDescent="0.25">
      <c r="A167" s="245"/>
    </row>
    <row r="168" spans="1:1" x14ac:dyDescent="0.25">
      <c r="A168" s="245"/>
    </row>
    <row r="169" spans="1:1" x14ac:dyDescent="0.25">
      <c r="A169" s="245"/>
    </row>
    <row r="170" spans="1:1" x14ac:dyDescent="0.25">
      <c r="A170" s="245"/>
    </row>
    <row r="171" spans="1:1" x14ac:dyDescent="0.25">
      <c r="A171" s="245"/>
    </row>
  </sheetData>
  <mergeCells count="11">
    <mergeCell ref="A1:G1"/>
    <mergeCell ref="H100:I100"/>
    <mergeCell ref="J100:K100"/>
    <mergeCell ref="L101:L116"/>
    <mergeCell ref="A120:H120"/>
    <mergeCell ref="A8:H8"/>
    <mergeCell ref="H10:H88"/>
    <mergeCell ref="B89:E89"/>
    <mergeCell ref="H89:H90"/>
    <mergeCell ref="B90:E90"/>
    <mergeCell ref="A99:O9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28"/>
  <sheetViews>
    <sheetView zoomScaleNormal="100" workbookViewId="0">
      <selection sqref="A1:H1"/>
    </sheetView>
  </sheetViews>
  <sheetFormatPr defaultColWidth="8.6640625" defaultRowHeight="13.2" x14ac:dyDescent="0.25"/>
  <cols>
    <col min="1" max="1" width="46.88671875" style="5" customWidth="1"/>
    <col min="2" max="2" width="19" style="5" customWidth="1"/>
    <col min="3" max="3" width="26.5546875" style="5" customWidth="1"/>
    <col min="4" max="4" width="26.44140625" style="5" customWidth="1"/>
    <col min="5" max="5" width="21.33203125" style="5" customWidth="1"/>
    <col min="6" max="6" width="25.88671875" style="5" customWidth="1"/>
    <col min="7" max="7" width="32.5546875" style="5" customWidth="1"/>
    <col min="8" max="8" width="42.44140625" style="5" customWidth="1"/>
    <col min="9" max="9" width="13.33203125" style="5" customWidth="1"/>
    <col min="10" max="10" width="24" style="5" customWidth="1"/>
    <col min="11" max="11" width="10.5546875" style="5" customWidth="1"/>
    <col min="12" max="12" width="11.44140625" style="5" customWidth="1"/>
    <col min="13" max="13" width="10.5546875" style="5" customWidth="1"/>
    <col min="14" max="14" width="13.33203125" style="5" customWidth="1"/>
    <col min="15" max="15" width="9.6640625" style="5" customWidth="1"/>
    <col min="16" max="16" width="9.44140625" style="5" customWidth="1"/>
    <col min="17" max="17" width="12.6640625" style="5" customWidth="1"/>
    <col min="18" max="18" width="14.6640625" style="5" customWidth="1"/>
    <col min="19" max="19" width="20.6640625" style="5" customWidth="1"/>
    <col min="20" max="20" width="19.6640625" style="5" customWidth="1"/>
    <col min="21" max="26" width="8.6640625" style="5"/>
    <col min="27" max="27" width="13.6640625" style="5" bestFit="1" customWidth="1"/>
    <col min="28" max="16384" width="8.6640625" style="5"/>
  </cols>
  <sheetData>
    <row r="1" spans="1:8" ht="25.95" customHeight="1" x14ac:dyDescent="0.25">
      <c r="A1" s="894" t="str">
        <f>"Interior Lighting - " &amp; Prototype!A2</f>
        <v>Interior Lighting - OfficeLarge</v>
      </c>
      <c r="B1" s="799"/>
      <c r="C1" s="799"/>
      <c r="D1" s="799"/>
      <c r="E1" s="799"/>
      <c r="F1" s="799"/>
      <c r="G1" s="799"/>
      <c r="H1" s="799"/>
    </row>
    <row r="2" spans="1:8" ht="25.95" customHeight="1" x14ac:dyDescent="0.25">
      <c r="A2" s="895" t="s">
        <v>189</v>
      </c>
      <c r="B2" s="896" t="s">
        <v>620</v>
      </c>
      <c r="C2" s="896"/>
      <c r="D2" s="896"/>
      <c r="E2" s="896" t="s">
        <v>329</v>
      </c>
      <c r="F2" s="896"/>
      <c r="G2" s="896"/>
      <c r="H2" s="896" t="s">
        <v>347</v>
      </c>
    </row>
    <row r="3" spans="1:8" ht="26.4" x14ac:dyDescent="0.25">
      <c r="A3" s="895"/>
      <c r="B3" s="519" t="s">
        <v>621</v>
      </c>
      <c r="C3" s="519" t="s">
        <v>622</v>
      </c>
      <c r="D3" s="519" t="s">
        <v>372</v>
      </c>
      <c r="E3" s="519" t="s">
        <v>623</v>
      </c>
      <c r="F3" s="519" t="s">
        <v>622</v>
      </c>
      <c r="G3" s="519" t="s">
        <v>372</v>
      </c>
      <c r="H3" s="896"/>
    </row>
    <row r="4" spans="1:8" ht="27.6" customHeight="1" x14ac:dyDescent="0.25">
      <c r="A4" s="504" t="s">
        <v>141</v>
      </c>
      <c r="B4" s="504">
        <v>0.6</v>
      </c>
      <c r="C4" s="687">
        <v>0.1</v>
      </c>
      <c r="D4" s="891" t="s">
        <v>624</v>
      </c>
      <c r="E4" s="687">
        <v>0.75</v>
      </c>
      <c r="F4" s="687" t="s">
        <v>226</v>
      </c>
      <c r="G4" s="798" t="s">
        <v>625</v>
      </c>
      <c r="H4" s="687" t="s">
        <v>626</v>
      </c>
    </row>
    <row r="5" spans="1:8" ht="39.6" customHeight="1" x14ac:dyDescent="0.25">
      <c r="A5" s="504" t="s">
        <v>161</v>
      </c>
      <c r="B5" s="504">
        <v>0.75</v>
      </c>
      <c r="C5" s="274"/>
      <c r="D5" s="892"/>
      <c r="E5" s="687">
        <v>1.4</v>
      </c>
      <c r="F5" s="275"/>
      <c r="G5" s="798"/>
      <c r="H5" s="275"/>
    </row>
    <row r="6" spans="1:8" ht="16.2" customHeight="1" x14ac:dyDescent="0.25">
      <c r="A6" s="504" t="s">
        <v>210</v>
      </c>
      <c r="B6" s="504">
        <v>0.7</v>
      </c>
      <c r="C6" s="688">
        <v>0.25</v>
      </c>
      <c r="D6" s="892"/>
      <c r="E6" s="687">
        <v>1.5</v>
      </c>
      <c r="F6" s="687">
        <v>0.5</v>
      </c>
      <c r="G6" s="798"/>
      <c r="H6" s="275"/>
    </row>
    <row r="7" spans="1:8" ht="16.2" customHeight="1" x14ac:dyDescent="0.25">
      <c r="A7" s="276" t="s">
        <v>205</v>
      </c>
      <c r="B7" s="504">
        <v>0.45</v>
      </c>
      <c r="C7" s="274"/>
      <c r="D7" s="892"/>
      <c r="E7" s="687">
        <v>0.8</v>
      </c>
      <c r="F7" s="275"/>
      <c r="G7" s="798"/>
      <c r="H7" s="275"/>
    </row>
    <row r="8" spans="1:8" ht="16.2" customHeight="1" x14ac:dyDescent="0.25">
      <c r="A8" s="504" t="s">
        <v>165</v>
      </c>
      <c r="B8" s="504">
        <v>0.4</v>
      </c>
      <c r="C8" s="274"/>
      <c r="D8" s="892"/>
      <c r="E8" s="687">
        <v>0.6</v>
      </c>
      <c r="F8" s="275"/>
      <c r="G8" s="798"/>
      <c r="H8" s="275"/>
    </row>
    <row r="9" spans="1:8" ht="16.2" customHeight="1" x14ac:dyDescent="0.25">
      <c r="A9" s="504" t="s">
        <v>158</v>
      </c>
      <c r="B9" s="504">
        <v>0.4</v>
      </c>
      <c r="C9" s="274"/>
      <c r="D9" s="892"/>
      <c r="E9" s="687">
        <v>0.7</v>
      </c>
      <c r="F9" s="275"/>
      <c r="G9" s="798"/>
      <c r="H9" s="275"/>
    </row>
    <row r="10" spans="1:8" ht="16.2" customHeight="1" x14ac:dyDescent="0.25">
      <c r="A10" s="276" t="s">
        <v>152</v>
      </c>
      <c r="B10" s="504">
        <v>1.1000000000000001</v>
      </c>
      <c r="C10" s="274"/>
      <c r="D10" s="892"/>
      <c r="E10" s="505">
        <v>1.1000000000000001</v>
      </c>
      <c r="F10" s="275"/>
      <c r="G10" s="798"/>
      <c r="H10" s="275"/>
    </row>
    <row r="11" spans="1:8" ht="16.2" customHeight="1" x14ac:dyDescent="0.25">
      <c r="A11" s="276" t="s">
        <v>186</v>
      </c>
      <c r="B11" s="687">
        <v>0.75</v>
      </c>
      <c r="C11" s="274"/>
      <c r="D11" s="892"/>
      <c r="E11" s="687">
        <v>1.71</v>
      </c>
      <c r="F11" s="275"/>
      <c r="G11" s="798"/>
      <c r="H11" s="275"/>
    </row>
    <row r="12" spans="1:8" ht="16.2" customHeight="1" x14ac:dyDescent="0.3">
      <c r="A12" s="504" t="s">
        <v>168</v>
      </c>
      <c r="B12" s="687">
        <v>0.65</v>
      </c>
      <c r="C12" s="274"/>
      <c r="D12" s="892"/>
      <c r="E12" s="277">
        <v>0.65</v>
      </c>
      <c r="F12" s="275"/>
      <c r="G12" s="798"/>
      <c r="H12" s="275"/>
    </row>
    <row r="13" spans="1:8" ht="24" customHeight="1" x14ac:dyDescent="0.25">
      <c r="A13" s="278" t="s">
        <v>163</v>
      </c>
      <c r="B13" s="504">
        <v>0.55000000000000004</v>
      </c>
      <c r="C13" s="688">
        <f>0.5*0.25</f>
        <v>0.125</v>
      </c>
      <c r="D13" s="892"/>
      <c r="E13" s="504" t="s">
        <v>627</v>
      </c>
      <c r="F13" s="537">
        <f>0.5*0.5</f>
        <v>0.25</v>
      </c>
      <c r="G13" s="798"/>
      <c r="H13" s="687" t="s">
        <v>626</v>
      </c>
    </row>
    <row r="14" spans="1:8" ht="16.2" customHeight="1" x14ac:dyDescent="0.25">
      <c r="A14" s="280" t="s">
        <v>200</v>
      </c>
      <c r="B14" s="504">
        <v>0.95</v>
      </c>
      <c r="C14" s="274"/>
      <c r="D14" s="892"/>
      <c r="E14" s="504">
        <v>1.6</v>
      </c>
      <c r="F14" s="275"/>
      <c r="G14" s="798"/>
      <c r="H14" s="275"/>
    </row>
    <row r="15" spans="1:8" ht="16.2" customHeight="1" x14ac:dyDescent="0.3">
      <c r="A15" s="504" t="s">
        <v>172</v>
      </c>
      <c r="B15" s="279">
        <v>0.6</v>
      </c>
      <c r="C15" s="274"/>
      <c r="D15" s="892"/>
      <c r="E15" s="277">
        <v>0.6</v>
      </c>
      <c r="F15" s="275"/>
      <c r="G15" s="798"/>
      <c r="H15" s="275"/>
    </row>
    <row r="16" spans="1:8" ht="16.2" customHeight="1" x14ac:dyDescent="0.25">
      <c r="A16" s="504" t="s">
        <v>174</v>
      </c>
      <c r="B16" s="504">
        <v>0.4</v>
      </c>
      <c r="C16" s="274"/>
      <c r="D16" s="892"/>
      <c r="E16" s="505">
        <v>0.6</v>
      </c>
      <c r="F16" s="275"/>
      <c r="G16" s="798"/>
      <c r="H16" s="275"/>
    </row>
    <row r="17" spans="1:8" ht="16.2" customHeight="1" x14ac:dyDescent="0.25">
      <c r="A17" s="504" t="s">
        <v>225</v>
      </c>
      <c r="B17" s="274"/>
      <c r="C17" s="274"/>
      <c r="D17" s="893"/>
      <c r="E17" s="504"/>
      <c r="F17" s="275"/>
      <c r="G17" s="798"/>
      <c r="H17" s="504"/>
    </row>
    <row r="18" spans="1:8" ht="13.2" customHeight="1" x14ac:dyDescent="0.25">
      <c r="B18" s="20"/>
      <c r="C18" s="20"/>
      <c r="D18" s="20"/>
    </row>
    <row r="19" spans="1:8" ht="13.2" customHeight="1" x14ac:dyDescent="0.25">
      <c r="B19" s="20"/>
      <c r="C19" s="20"/>
      <c r="D19" s="20"/>
    </row>
    <row r="20" spans="1:8" ht="13.2" customHeight="1" x14ac:dyDescent="0.25">
      <c r="B20" s="890" t="s">
        <v>628</v>
      </c>
      <c r="C20" s="890"/>
      <c r="D20" s="20"/>
    </row>
    <row r="21" spans="1:8" ht="13.2" customHeight="1" x14ac:dyDescent="0.25">
      <c r="B21" s="95">
        <v>2025</v>
      </c>
      <c r="C21" s="95">
        <v>2013</v>
      </c>
      <c r="D21" s="20"/>
    </row>
    <row r="22" spans="1:8" ht="13.2" customHeight="1" x14ac:dyDescent="0.25">
      <c r="A22" s="174" t="s">
        <v>629</v>
      </c>
      <c r="B22" s="175">
        <v>0.6</v>
      </c>
      <c r="C22" s="175">
        <v>0.8</v>
      </c>
      <c r="D22" s="5" t="s">
        <v>630</v>
      </c>
    </row>
    <row r="23" spans="1:8" ht="13.2" customHeight="1" x14ac:dyDescent="0.25">
      <c r="B23" s="20"/>
      <c r="C23" s="20"/>
      <c r="D23" s="20"/>
    </row>
    <row r="24" spans="1:8" ht="13.2" customHeight="1" x14ac:dyDescent="0.25">
      <c r="B24" s="20"/>
      <c r="C24" s="20"/>
      <c r="D24" s="20"/>
    </row>
    <row r="25" spans="1:8" ht="13.2" customHeight="1" x14ac:dyDescent="0.25">
      <c r="B25" s="20"/>
      <c r="C25" s="20"/>
      <c r="D25" s="20"/>
    </row>
    <row r="26" spans="1:8" ht="13.2" customHeight="1" x14ac:dyDescent="0.25">
      <c r="B26" s="20"/>
      <c r="C26" s="20"/>
      <c r="D26" s="20"/>
    </row>
    <row r="27" spans="1:8" s="21" customFormat="1" hidden="1" x14ac:dyDescent="0.25">
      <c r="A27" s="21" t="s">
        <v>416</v>
      </c>
      <c r="E27" s="22"/>
      <c r="F27" s="24"/>
    </row>
    <row r="28" spans="1:8" ht="17.7" customHeight="1" x14ac:dyDescent="0.25"/>
  </sheetData>
  <mergeCells count="8">
    <mergeCell ref="B20:C20"/>
    <mergeCell ref="D4:D17"/>
    <mergeCell ref="A1:H1"/>
    <mergeCell ref="A2:A3"/>
    <mergeCell ref="B2:D2"/>
    <mergeCell ref="E2:G2"/>
    <mergeCell ref="H2:H3"/>
    <mergeCell ref="G4:G17"/>
  </mergeCells>
  <phoneticPr fontId="6"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B96A833-5746-4457-A429-1536899A012D}">
          <x14:formula1>
            <xm:f>Data!$A$2:$A$200</xm:f>
          </x14:formula1>
          <xm:sqref>A10:A11 A7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31"/>
  <sheetViews>
    <sheetView zoomScaleNormal="100" workbookViewId="0">
      <selection sqref="A1:D1"/>
    </sheetView>
  </sheetViews>
  <sheetFormatPr defaultColWidth="8.6640625" defaultRowHeight="13.2" x14ac:dyDescent="0.25"/>
  <cols>
    <col min="1" max="1" width="27.5546875" style="5" customWidth="1"/>
    <col min="2" max="2" width="38.88671875" style="5" customWidth="1"/>
    <col min="3" max="3" width="19.44140625" style="5" customWidth="1"/>
    <col min="4" max="4" width="19.33203125" style="5" customWidth="1"/>
    <col min="5" max="5" width="24.6640625" style="5" customWidth="1"/>
    <col min="6" max="6" width="17.109375" style="5" customWidth="1"/>
    <col min="7" max="7" width="17.5546875" style="5" customWidth="1"/>
    <col min="8" max="8" width="15.5546875" style="5" customWidth="1"/>
    <col min="9" max="9" width="13.33203125" style="5" customWidth="1"/>
    <col min="10" max="16384" width="8.6640625" style="5"/>
  </cols>
  <sheetData>
    <row r="1" spans="1:7" ht="25.2" customHeight="1" x14ac:dyDescent="0.25">
      <c r="A1" s="897" t="str">
        <f>"Exterior Lighting - "&amp;Prototype!A2</f>
        <v>Exterior Lighting - OfficeLarge</v>
      </c>
      <c r="B1" s="897"/>
      <c r="C1" s="897"/>
      <c r="D1" s="897"/>
    </row>
    <row r="2" spans="1:7" ht="37.200000000000003" customHeight="1" x14ac:dyDescent="0.25">
      <c r="A2" s="37" t="s">
        <v>631</v>
      </c>
      <c r="B2" s="37" t="s">
        <v>632</v>
      </c>
      <c r="C2" s="37" t="s">
        <v>633</v>
      </c>
      <c r="D2" s="37" t="s">
        <v>372</v>
      </c>
    </row>
    <row r="3" spans="1:7" ht="22.2" customHeight="1" x14ac:dyDescent="0.25">
      <c r="A3" s="38">
        <f>G16</f>
        <v>15580.751375999993</v>
      </c>
      <c r="B3" s="38">
        <f>G17</f>
        <v>1548.9949329999999</v>
      </c>
      <c r="C3" s="38">
        <f>A3+B3</f>
        <v>17129.746308999995</v>
      </c>
      <c r="D3" s="174" t="s">
        <v>634</v>
      </c>
    </row>
    <row r="4" spans="1:7" ht="22.2" customHeight="1" x14ac:dyDescent="0.25">
      <c r="A4" s="55"/>
      <c r="B4" s="55"/>
      <c r="C4" s="55"/>
    </row>
    <row r="5" spans="1:7" ht="22.2" customHeight="1" x14ac:dyDescent="0.25">
      <c r="A5" s="55"/>
      <c r="B5" s="55"/>
      <c r="C5" s="55"/>
    </row>
    <row r="6" spans="1:7" ht="13.95" customHeight="1" x14ac:dyDescent="0.25">
      <c r="A6" s="67"/>
      <c r="B6" s="67"/>
      <c r="C6" s="67"/>
    </row>
    <row r="8" spans="1:7" ht="15.6" x14ac:dyDescent="0.25">
      <c r="A8" s="897" t="s">
        <v>635</v>
      </c>
      <c r="B8" s="897"/>
      <c r="C8" s="897"/>
      <c r="D8" s="897"/>
      <c r="E8" s="897"/>
      <c r="F8" s="897"/>
      <c r="G8" s="897"/>
    </row>
    <row r="9" spans="1:7" ht="39.6" x14ac:dyDescent="0.25">
      <c r="A9" s="259" t="s">
        <v>636</v>
      </c>
      <c r="B9" s="899" t="s">
        <v>637</v>
      </c>
      <c r="C9" s="900"/>
      <c r="D9" s="260" t="s">
        <v>638</v>
      </c>
      <c r="E9" s="260" t="s">
        <v>639</v>
      </c>
      <c r="F9" s="260" t="s">
        <v>638</v>
      </c>
      <c r="G9" s="260" t="s">
        <v>640</v>
      </c>
    </row>
    <row r="10" spans="1:7" x14ac:dyDescent="0.25">
      <c r="A10" s="14" t="s">
        <v>641</v>
      </c>
      <c r="B10" s="14"/>
      <c r="C10" s="261"/>
      <c r="D10" s="174"/>
      <c r="E10" s="174">
        <v>200</v>
      </c>
      <c r="F10" s="174" t="s">
        <v>642</v>
      </c>
      <c r="G10" s="262">
        <f>$E10</f>
        <v>200</v>
      </c>
    </row>
    <row r="11" spans="1:7" ht="52.8" x14ac:dyDescent="0.25">
      <c r="A11" s="15" t="s">
        <v>643</v>
      </c>
      <c r="B11" s="689" t="s">
        <v>644</v>
      </c>
      <c r="C11" s="263">
        <f>B23/250*400</f>
        <v>797702.70399999968</v>
      </c>
      <c r="D11" s="174" t="s">
        <v>645</v>
      </c>
      <c r="E11" s="174">
        <v>1.9E-2</v>
      </c>
      <c r="F11" s="174" t="s">
        <v>646</v>
      </c>
      <c r="G11" s="262">
        <f>$E11*C11</f>
        <v>15156.351375999993</v>
      </c>
    </row>
    <row r="12" spans="1:7" x14ac:dyDescent="0.25">
      <c r="A12" s="14" t="s">
        <v>647</v>
      </c>
      <c r="B12" s="264" t="s">
        <v>648</v>
      </c>
      <c r="C12" s="265">
        <v>4</v>
      </c>
      <c r="D12" s="174" t="s">
        <v>649</v>
      </c>
      <c r="E12" s="174">
        <v>15</v>
      </c>
      <c r="F12" s="174" t="s">
        <v>650</v>
      </c>
      <c r="G12" s="262">
        <f>E12*C12</f>
        <v>60</v>
      </c>
    </row>
    <row r="13" spans="1:7" ht="48.75" customHeight="1" x14ac:dyDescent="0.25">
      <c r="A13" s="14" t="s">
        <v>651</v>
      </c>
      <c r="B13" s="690" t="s">
        <v>652</v>
      </c>
      <c r="C13" s="266">
        <f>B23*0.1</f>
        <v>49856.418999999987</v>
      </c>
      <c r="D13" s="174" t="s">
        <v>645</v>
      </c>
      <c r="E13" s="174">
        <v>7.0000000000000001E-3</v>
      </c>
      <c r="F13" s="174" t="s">
        <v>646</v>
      </c>
      <c r="G13" s="267">
        <f>E13*C13</f>
        <v>348.99493299999989</v>
      </c>
    </row>
    <row r="14" spans="1:7" ht="92.4" x14ac:dyDescent="0.25">
      <c r="A14" s="14" t="s">
        <v>653</v>
      </c>
      <c r="B14" s="264" t="s">
        <v>654</v>
      </c>
      <c r="C14" s="266">
        <f>B22*0.5*30</f>
        <v>12000</v>
      </c>
      <c r="D14" s="174" t="s">
        <v>645</v>
      </c>
      <c r="E14" s="174">
        <v>0.1</v>
      </c>
      <c r="F14" s="174" t="s">
        <v>646</v>
      </c>
      <c r="G14" s="267">
        <f>E14*C14</f>
        <v>1200</v>
      </c>
    </row>
    <row r="15" spans="1:7" x14ac:dyDescent="0.25">
      <c r="A15" s="271" t="s">
        <v>655</v>
      </c>
      <c r="B15" s="272" t="s">
        <v>656</v>
      </c>
      <c r="C15" s="273">
        <f>1200</f>
        <v>1200</v>
      </c>
      <c r="D15" s="472" t="s">
        <v>645</v>
      </c>
      <c r="E15" s="472">
        <v>0.13700000000000001</v>
      </c>
      <c r="F15" s="472" t="s">
        <v>646</v>
      </c>
      <c r="G15" s="267">
        <f>E15*C15</f>
        <v>164.4</v>
      </c>
    </row>
    <row r="16" spans="1:7" x14ac:dyDescent="0.25">
      <c r="A16" s="898" t="s">
        <v>657</v>
      </c>
      <c r="B16" s="898"/>
      <c r="C16" s="898"/>
      <c r="D16" s="898"/>
      <c r="E16" s="898"/>
      <c r="F16" s="898"/>
      <c r="G16" s="268">
        <f>G11+G10+G12+G15</f>
        <v>15580.751375999993</v>
      </c>
    </row>
    <row r="17" spans="1:7" x14ac:dyDescent="0.25">
      <c r="A17" s="898" t="s">
        <v>658</v>
      </c>
      <c r="B17" s="898"/>
      <c r="C17" s="898"/>
      <c r="D17" s="898"/>
      <c r="E17" s="898"/>
      <c r="F17" s="898"/>
      <c r="G17" s="268">
        <f>G13+G14</f>
        <v>1548.9949329999999</v>
      </c>
    </row>
    <row r="18" spans="1:7" x14ac:dyDescent="0.25">
      <c r="A18" s="898" t="s">
        <v>234</v>
      </c>
      <c r="B18" s="898"/>
      <c r="C18" s="898"/>
      <c r="D18" s="898"/>
      <c r="E18" s="898"/>
      <c r="F18" s="898"/>
      <c r="G18" s="268">
        <f>G16+G17</f>
        <v>17129.746308999995</v>
      </c>
    </row>
    <row r="19" spans="1:7" x14ac:dyDescent="0.25">
      <c r="A19" s="55"/>
      <c r="B19" s="55"/>
      <c r="C19" s="55"/>
    </row>
    <row r="20" spans="1:7" x14ac:dyDescent="0.25">
      <c r="A20" s="5" t="s">
        <v>659</v>
      </c>
      <c r="C20" s="55"/>
    </row>
    <row r="21" spans="1:7" x14ac:dyDescent="0.25">
      <c r="C21" s="453" t="s">
        <v>660</v>
      </c>
      <c r="D21" s="454" t="s">
        <v>661</v>
      </c>
      <c r="E21" s="455" t="s">
        <v>662</v>
      </c>
    </row>
    <row r="22" spans="1:7" x14ac:dyDescent="0.25">
      <c r="A22" s="5" t="s">
        <v>663</v>
      </c>
      <c r="B22" s="410">
        <f>(240+160)*2</f>
        <v>800</v>
      </c>
      <c r="C22" s="450" t="s">
        <v>209</v>
      </c>
      <c r="D22" s="451" t="s">
        <v>664</v>
      </c>
      <c r="E22" s="452" t="s">
        <v>665</v>
      </c>
    </row>
    <row r="23" spans="1:7" x14ac:dyDescent="0.25">
      <c r="A23" s="5" t="s">
        <v>666</v>
      </c>
      <c r="B23" s="269">
        <f>Zones!I82</f>
        <v>498564.18999999983</v>
      </c>
      <c r="C23" s="450" t="s">
        <v>194</v>
      </c>
      <c r="D23" s="451" t="s">
        <v>667</v>
      </c>
      <c r="E23" s="452" t="s">
        <v>668</v>
      </c>
    </row>
    <row r="24" spans="1:7" x14ac:dyDescent="0.25">
      <c r="A24" s="5" t="s">
        <v>669</v>
      </c>
      <c r="B24" s="410">
        <v>12</v>
      </c>
      <c r="C24" s="450" t="s">
        <v>670</v>
      </c>
      <c r="D24" s="451" t="s">
        <v>671</v>
      </c>
      <c r="E24" s="452" t="s">
        <v>672</v>
      </c>
    </row>
    <row r="25" spans="1:7" x14ac:dyDescent="0.25">
      <c r="A25" s="5" t="s">
        <v>673</v>
      </c>
      <c r="B25" s="410">
        <v>13</v>
      </c>
      <c r="C25" s="450" t="s">
        <v>674</v>
      </c>
      <c r="D25" s="451" t="s">
        <v>671</v>
      </c>
      <c r="E25" s="452" t="s">
        <v>672</v>
      </c>
    </row>
    <row r="26" spans="1:7" x14ac:dyDescent="0.25">
      <c r="C26" s="456" t="s">
        <v>234</v>
      </c>
      <c r="D26" s="457"/>
      <c r="E26" s="458" t="s">
        <v>675</v>
      </c>
    </row>
    <row r="31" spans="1:7" ht="12" customHeight="1" x14ac:dyDescent="0.25"/>
  </sheetData>
  <mergeCells count="6">
    <mergeCell ref="A1:D1"/>
    <mergeCell ref="A18:F18"/>
    <mergeCell ref="A16:F16"/>
    <mergeCell ref="A17:F17"/>
    <mergeCell ref="A8:G8"/>
    <mergeCell ref="B9:C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K51"/>
  <sheetViews>
    <sheetView zoomScaleNormal="100" workbookViewId="0">
      <selection sqref="A1:E1"/>
    </sheetView>
  </sheetViews>
  <sheetFormatPr defaultColWidth="8.6640625" defaultRowHeight="12.75" customHeight="1" x14ac:dyDescent="0.25"/>
  <cols>
    <col min="1" max="1" width="49" style="5" customWidth="1"/>
    <col min="2" max="2" width="27.44140625" style="5" customWidth="1"/>
    <col min="3" max="3" width="23.44140625" style="5" customWidth="1"/>
    <col min="4" max="4" width="27.5546875" style="5" customWidth="1"/>
    <col min="5" max="5" width="50.33203125" style="5" customWidth="1"/>
    <col min="6" max="6" width="50" style="5" customWidth="1"/>
    <col min="7" max="7" width="26.109375" style="5" customWidth="1"/>
    <col min="8" max="8" width="20.109375" style="5" customWidth="1"/>
    <col min="9" max="9" width="21.5546875" style="5" customWidth="1"/>
    <col min="10" max="10" width="14.33203125" style="5" customWidth="1"/>
    <col min="11" max="11" width="42.33203125" style="5" customWidth="1"/>
    <col min="12" max="12" width="10.5546875" style="5" bestFit="1" customWidth="1"/>
    <col min="13" max="16384" width="8.6640625" style="5"/>
  </cols>
  <sheetData>
    <row r="1" spans="1:6" ht="23.4" customHeight="1" x14ac:dyDescent="0.25">
      <c r="A1" s="897" t="str">
        <f>"Equipment - "&amp;Prototype!A2</f>
        <v>Equipment - OfficeLarge</v>
      </c>
      <c r="B1" s="897"/>
      <c r="C1" s="897"/>
      <c r="D1" s="897"/>
      <c r="E1" s="897"/>
    </row>
    <row r="2" spans="1:6" ht="33.6" customHeight="1" x14ac:dyDescent="0.25">
      <c r="A2" s="150" t="s">
        <v>189</v>
      </c>
      <c r="B2" s="150" t="s">
        <v>676</v>
      </c>
      <c r="C2" s="150" t="s">
        <v>677</v>
      </c>
      <c r="D2" s="150" t="s">
        <v>678</v>
      </c>
      <c r="E2" s="522" t="s">
        <v>372</v>
      </c>
    </row>
    <row r="3" spans="1:6" ht="56.25" customHeight="1" x14ac:dyDescent="0.25">
      <c r="A3" s="159" t="s">
        <v>141</v>
      </c>
      <c r="B3" s="174">
        <v>0.7</v>
      </c>
      <c r="C3" s="95"/>
      <c r="D3" s="252"/>
      <c r="E3" s="537" t="s">
        <v>679</v>
      </c>
    </row>
    <row r="4" spans="1:6" ht="21" customHeight="1" x14ac:dyDescent="0.25">
      <c r="A4" s="160" t="s">
        <v>152</v>
      </c>
      <c r="B4" s="174">
        <v>45</v>
      </c>
      <c r="C4" s="251"/>
      <c r="D4" s="252"/>
      <c r="E4" s="520" t="s">
        <v>87</v>
      </c>
    </row>
    <row r="5" spans="1:6" ht="35.4" customHeight="1" x14ac:dyDescent="0.25">
      <c r="A5" s="160" t="s">
        <v>186</v>
      </c>
      <c r="B5" s="174">
        <v>20</v>
      </c>
      <c r="C5" s="251"/>
      <c r="D5" s="252"/>
      <c r="E5" s="175" t="s">
        <v>680</v>
      </c>
    </row>
    <row r="6" spans="1:6" ht="21" customHeight="1" x14ac:dyDescent="0.25">
      <c r="A6" s="160" t="s">
        <v>158</v>
      </c>
      <c r="B6" s="174">
        <v>0.5</v>
      </c>
      <c r="C6" s="251"/>
      <c r="D6" s="252"/>
      <c r="E6" s="901" t="s">
        <v>681</v>
      </c>
    </row>
    <row r="7" spans="1:6" ht="21" customHeight="1" x14ac:dyDescent="0.25">
      <c r="A7" s="160" t="s">
        <v>163</v>
      </c>
      <c r="B7" s="534">
        <v>1</v>
      </c>
      <c r="C7" s="251"/>
      <c r="D7" s="252"/>
      <c r="E7" s="902"/>
    </row>
    <row r="8" spans="1:6" ht="21" customHeight="1" x14ac:dyDescent="0.25">
      <c r="A8" s="160" t="s">
        <v>161</v>
      </c>
      <c r="B8" s="534">
        <v>1</v>
      </c>
      <c r="C8" s="251"/>
      <c r="D8" s="252"/>
      <c r="E8" s="902"/>
    </row>
    <row r="9" spans="1:6" ht="21" customHeight="1" x14ac:dyDescent="0.25">
      <c r="A9" s="160" t="s">
        <v>165</v>
      </c>
      <c r="B9" s="174">
        <v>0.2</v>
      </c>
      <c r="C9" s="251"/>
      <c r="D9" s="252"/>
      <c r="E9" s="902"/>
    </row>
    <row r="10" spans="1:6" ht="21" customHeight="1" x14ac:dyDescent="0.25">
      <c r="A10" s="160" t="s">
        <v>205</v>
      </c>
      <c r="B10" s="174">
        <v>0.5</v>
      </c>
      <c r="C10" s="251"/>
      <c r="D10" s="252"/>
      <c r="E10" s="902"/>
    </row>
    <row r="11" spans="1:6" ht="21" customHeight="1" x14ac:dyDescent="0.25">
      <c r="A11" s="160" t="s">
        <v>200</v>
      </c>
      <c r="B11" s="174">
        <v>1.5</v>
      </c>
      <c r="C11" s="251"/>
      <c r="D11" s="252"/>
      <c r="E11" s="902"/>
    </row>
    <row r="12" spans="1:6" ht="21" customHeight="1" x14ac:dyDescent="0.25">
      <c r="A12" s="160" t="s">
        <v>210</v>
      </c>
      <c r="B12" s="174">
        <v>0.5</v>
      </c>
      <c r="C12" s="251"/>
      <c r="D12" s="252"/>
      <c r="E12" s="902"/>
    </row>
    <row r="13" spans="1:6" ht="21" customHeight="1" x14ac:dyDescent="0.25">
      <c r="A13" s="160" t="s">
        <v>168</v>
      </c>
      <c r="B13" s="174">
        <v>0</v>
      </c>
      <c r="C13" s="251"/>
      <c r="D13" s="252"/>
      <c r="E13" s="902"/>
    </row>
    <row r="14" spans="1:6" ht="18" customHeight="1" x14ac:dyDescent="0.25">
      <c r="A14" s="160" t="s">
        <v>172</v>
      </c>
      <c r="B14" s="95">
        <v>0</v>
      </c>
      <c r="D14" s="521"/>
      <c r="E14" s="902"/>
      <c r="F14" s="59"/>
    </row>
    <row r="15" spans="1:6" ht="22.95" customHeight="1" x14ac:dyDescent="0.25">
      <c r="A15" s="160" t="s">
        <v>174</v>
      </c>
      <c r="B15" s="174">
        <v>0</v>
      </c>
      <c r="C15" s="174"/>
      <c r="D15" s="175"/>
      <c r="E15" s="902"/>
      <c r="F15" s="59"/>
    </row>
    <row r="16" spans="1:6" ht="18" customHeight="1" x14ac:dyDescent="0.25">
      <c r="A16" s="14" t="s">
        <v>225</v>
      </c>
      <c r="B16" s="95">
        <v>0</v>
      </c>
      <c r="C16" s="174"/>
      <c r="D16" s="175"/>
      <c r="E16" s="903"/>
      <c r="F16" s="59"/>
    </row>
    <row r="17" spans="1:11" ht="18" customHeight="1" x14ac:dyDescent="0.25">
      <c r="A17" s="514" t="s">
        <v>682</v>
      </c>
      <c r="B17" s="71"/>
      <c r="C17" s="173"/>
      <c r="D17" s="413"/>
      <c r="E17" s="173"/>
    </row>
    <row r="18" spans="1:11" ht="18" customHeight="1" x14ac:dyDescent="0.25">
      <c r="A18" s="514"/>
      <c r="B18" s="71"/>
      <c r="C18" s="173"/>
      <c r="D18" s="413"/>
      <c r="E18" s="173"/>
    </row>
    <row r="19" spans="1:11" ht="18" customHeight="1" x14ac:dyDescent="0.3">
      <c r="A19" s="904" t="s">
        <v>683</v>
      </c>
      <c r="B19" s="905"/>
      <c r="C19" s="905"/>
      <c r="D19" s="905"/>
      <c r="E19" s="905"/>
      <c r="F19" s="905"/>
      <c r="G19" s="905"/>
      <c r="H19" s="905"/>
      <c r="I19" s="905"/>
      <c r="J19" s="905"/>
      <c r="K19" s="905"/>
    </row>
    <row r="20" spans="1:11" ht="46.5" customHeight="1" x14ac:dyDescent="0.25">
      <c r="A20" s="411" t="s">
        <v>301</v>
      </c>
      <c r="B20" s="411" t="s">
        <v>684</v>
      </c>
      <c r="C20" s="411" t="s">
        <v>685</v>
      </c>
      <c r="D20" s="411" t="s">
        <v>686</v>
      </c>
      <c r="E20" s="411" t="s">
        <v>687</v>
      </c>
      <c r="F20" s="411" t="s">
        <v>688</v>
      </c>
      <c r="G20" s="411" t="s">
        <v>689</v>
      </c>
      <c r="H20" s="411" t="s">
        <v>690</v>
      </c>
      <c r="I20" s="411" t="s">
        <v>691</v>
      </c>
      <c r="J20" s="411" t="s">
        <v>692</v>
      </c>
      <c r="K20" s="411" t="s">
        <v>347</v>
      </c>
    </row>
    <row r="21" spans="1:11" ht="51.6" customHeight="1" x14ac:dyDescent="0.25">
      <c r="A21" s="691" t="s">
        <v>329</v>
      </c>
      <c r="B21" s="691" t="s">
        <v>693</v>
      </c>
      <c r="C21" s="691">
        <v>12</v>
      </c>
      <c r="D21" s="692">
        <v>1.1399999999999999</v>
      </c>
      <c r="E21" s="692">
        <v>0.33</v>
      </c>
      <c r="F21" s="691" t="s">
        <v>694</v>
      </c>
      <c r="G21" s="692">
        <f>ROUND(INDEX($C:$C,MATCH("Annual energy consumption of the elevator - Existing",$B:$B,0))/INDEX($C:$C,MATCH("Equivalent full load hours",$B:$B,0))*1000,2)</f>
        <v>109218.18</v>
      </c>
      <c r="H21" s="692">
        <f>ROUND(C21*INDEX($C:$C,MATCH("Cab fan airflow",$B:$B,0))*E21,2)</f>
        <v>990</v>
      </c>
      <c r="I21" s="692">
        <f>ROUND(C21*INDEX($C:$C,MATCH("Cab floor area",$B:$B,0))*D21,2)</f>
        <v>409.03</v>
      </c>
      <c r="J21" s="692">
        <f>ROUND(SUM(G21:I21),2)</f>
        <v>110617.21</v>
      </c>
      <c r="K21" s="691" t="s">
        <v>695</v>
      </c>
    </row>
    <row r="22" spans="1:11" ht="60.75" customHeight="1" x14ac:dyDescent="0.25">
      <c r="A22" s="691" t="s">
        <v>388</v>
      </c>
      <c r="B22" s="691" t="s">
        <v>696</v>
      </c>
      <c r="C22" s="691">
        <v>12</v>
      </c>
      <c r="D22" s="692">
        <v>0.6</v>
      </c>
      <c r="E22" s="692">
        <v>0.33</v>
      </c>
      <c r="F22" s="691" t="s">
        <v>697</v>
      </c>
      <c r="G22" s="692">
        <f>ROUND(INDEX($C:$C,MATCH("Annual energy consumption of the elevator - New Construction",$B:$B,0))/INDEX($C:$C,MATCH("Equivalent full load hours",$B:$B,0))*1000,2)</f>
        <v>67919.520000000004</v>
      </c>
      <c r="H22" s="692">
        <f>ROUND(C22*INDEX($C:$C,MATCH("Cab fan airflow",$B:$B,0))*E22,2)</f>
        <v>990</v>
      </c>
      <c r="I22" s="692">
        <f>ROUND(C22*INDEX($C:$C,MATCH("Cab floor area",$B:$B,0))*D22,2)</f>
        <v>215.28</v>
      </c>
      <c r="J22" s="692">
        <f>ROUND(SUM(G22:I22),2)</f>
        <v>69124.800000000003</v>
      </c>
      <c r="K22" s="691" t="s">
        <v>698</v>
      </c>
    </row>
    <row r="23" spans="1:11" ht="23.4" customHeight="1" x14ac:dyDescent="0.3">
      <c r="A23"/>
      <c r="B23"/>
      <c r="C23"/>
      <c r="D23"/>
      <c r="E23"/>
      <c r="F23"/>
      <c r="G23"/>
      <c r="H23"/>
      <c r="I23"/>
      <c r="J23"/>
      <c r="K23"/>
    </row>
    <row r="24" spans="1:11" ht="18" customHeight="1" x14ac:dyDescent="0.3">
      <c r="A24"/>
      <c r="B24"/>
      <c r="C24"/>
      <c r="D24"/>
      <c r="E24"/>
      <c r="F24"/>
      <c r="G24"/>
      <c r="H24"/>
      <c r="I24"/>
      <c r="J24"/>
      <c r="K24"/>
    </row>
    <row r="25" spans="1:11" ht="18" customHeight="1" x14ac:dyDescent="0.3">
      <c r="A25" s="906" t="s">
        <v>699</v>
      </c>
      <c r="B25" s="907"/>
      <c r="C25" s="907"/>
      <c r="D25" s="907"/>
      <c r="E25" s="907"/>
      <c r="F25"/>
      <c r="G25"/>
      <c r="H25"/>
      <c r="I25"/>
      <c r="J25"/>
      <c r="K25"/>
    </row>
    <row r="26" spans="1:11" ht="18" customHeight="1" x14ac:dyDescent="0.3">
      <c r="A26" s="411" t="s">
        <v>700</v>
      </c>
      <c r="B26" s="411" t="s">
        <v>701</v>
      </c>
      <c r="C26" s="411" t="s">
        <v>92</v>
      </c>
      <c r="D26" s="411" t="s">
        <v>702</v>
      </c>
      <c r="E26" s="411" t="s">
        <v>372</v>
      </c>
      <c r="F26"/>
      <c r="G26"/>
      <c r="H26"/>
      <c r="I26"/>
      <c r="J26"/>
      <c r="K26"/>
    </row>
    <row r="27" spans="1:11" ht="13.2" customHeight="1" x14ac:dyDescent="0.3">
      <c r="A27" s="908" t="s">
        <v>696</v>
      </c>
      <c r="B27" s="691" t="s">
        <v>703</v>
      </c>
      <c r="C27" s="691">
        <v>541612.96</v>
      </c>
      <c r="D27" s="691" t="s">
        <v>704</v>
      </c>
      <c r="E27" s="691" t="s">
        <v>705</v>
      </c>
      <c r="F27"/>
      <c r="G27"/>
      <c r="H27"/>
      <c r="I27"/>
      <c r="J27"/>
      <c r="K27"/>
    </row>
    <row r="28" spans="1:11" ht="43.2" x14ac:dyDescent="0.3">
      <c r="A28" s="908"/>
      <c r="B28" s="691" t="s">
        <v>706</v>
      </c>
      <c r="C28" s="691">
        <v>336812.92</v>
      </c>
      <c r="D28" s="691" t="s">
        <v>704</v>
      </c>
      <c r="E28" s="691" t="s">
        <v>705</v>
      </c>
      <c r="F28"/>
      <c r="G28"/>
      <c r="H28"/>
      <c r="I28"/>
      <c r="J28"/>
      <c r="K28"/>
    </row>
    <row r="29" spans="1:11" ht="28.8" x14ac:dyDescent="0.3">
      <c r="A29" s="691" t="s">
        <v>707</v>
      </c>
      <c r="B29" s="691" t="s">
        <v>708</v>
      </c>
      <c r="C29" s="691" t="s">
        <v>709</v>
      </c>
      <c r="D29" s="691" t="s">
        <v>710</v>
      </c>
      <c r="E29" s="691" t="s">
        <v>711</v>
      </c>
      <c r="F29"/>
      <c r="G29"/>
      <c r="H29"/>
      <c r="I29"/>
      <c r="J29"/>
      <c r="K29"/>
    </row>
    <row r="30" spans="1:11" ht="28.8" x14ac:dyDescent="0.3">
      <c r="A30" s="691" t="s">
        <v>712</v>
      </c>
      <c r="B30" s="691" t="s">
        <v>713</v>
      </c>
      <c r="C30" s="691" t="s">
        <v>714</v>
      </c>
      <c r="D30" s="691" t="s">
        <v>710</v>
      </c>
      <c r="E30" s="691" t="s">
        <v>711</v>
      </c>
      <c r="F30"/>
      <c r="G30"/>
      <c r="H30"/>
      <c r="I30"/>
      <c r="J30"/>
      <c r="K30"/>
    </row>
    <row r="31" spans="1:11" ht="14.4" x14ac:dyDescent="0.3">
      <c r="A31" s="691" t="s">
        <v>715</v>
      </c>
      <c r="B31" s="691" t="s">
        <v>716</v>
      </c>
      <c r="C31" s="691">
        <v>1361</v>
      </c>
      <c r="D31" s="691" t="s">
        <v>717</v>
      </c>
      <c r="E31" s="691" t="s">
        <v>718</v>
      </c>
      <c r="F31"/>
      <c r="G31"/>
      <c r="H31"/>
      <c r="I31"/>
      <c r="J31"/>
      <c r="K31"/>
    </row>
    <row r="32" spans="1:11" ht="28.8" x14ac:dyDescent="0.3">
      <c r="A32" s="691" t="s">
        <v>719</v>
      </c>
      <c r="B32" s="691" t="s">
        <v>720</v>
      </c>
      <c r="C32" s="691">
        <v>29.9</v>
      </c>
      <c r="D32" s="691" t="s">
        <v>721</v>
      </c>
      <c r="E32" s="691" t="s">
        <v>722</v>
      </c>
      <c r="F32"/>
      <c r="G32"/>
      <c r="H32"/>
      <c r="I32"/>
      <c r="J32"/>
      <c r="K32"/>
    </row>
    <row r="33" spans="1:11" ht="14.4" x14ac:dyDescent="0.3">
      <c r="A33" s="691" t="s">
        <v>723</v>
      </c>
      <c r="B33" s="691" t="s">
        <v>724</v>
      </c>
      <c r="C33" s="691">
        <v>250</v>
      </c>
      <c r="D33" s="691" t="s">
        <v>725</v>
      </c>
      <c r="E33" s="691" t="s">
        <v>726</v>
      </c>
      <c r="F33"/>
      <c r="G33"/>
      <c r="H33"/>
      <c r="I33"/>
      <c r="J33"/>
      <c r="K33"/>
    </row>
    <row r="34" spans="1:11" ht="14.4" x14ac:dyDescent="0.3">
      <c r="A34" s="691" t="s">
        <v>727</v>
      </c>
      <c r="B34" s="691" t="s">
        <v>728</v>
      </c>
      <c r="C34" s="691">
        <v>4</v>
      </c>
      <c r="D34" s="691" t="s">
        <v>226</v>
      </c>
      <c r="E34" s="691" t="s">
        <v>729</v>
      </c>
      <c r="F34"/>
      <c r="G34"/>
      <c r="H34"/>
      <c r="I34"/>
      <c r="J34"/>
      <c r="K34"/>
    </row>
    <row r="35" spans="1:11" ht="14.4" x14ac:dyDescent="0.3">
      <c r="A35" s="691" t="s">
        <v>730</v>
      </c>
      <c r="B35" s="691" t="s">
        <v>731</v>
      </c>
      <c r="C35" s="691">
        <v>260</v>
      </c>
      <c r="D35" s="691" t="s">
        <v>732</v>
      </c>
      <c r="E35" s="691" t="s">
        <v>729</v>
      </c>
      <c r="F35"/>
      <c r="G35"/>
      <c r="H35"/>
      <c r="I35"/>
      <c r="J35"/>
      <c r="K35"/>
    </row>
    <row r="36" spans="1:11" ht="14.4" x14ac:dyDescent="0.3">
      <c r="A36" s="691" t="s">
        <v>733</v>
      </c>
      <c r="B36" s="691" t="s">
        <v>734</v>
      </c>
      <c r="C36" s="691">
        <v>13</v>
      </c>
      <c r="D36" s="691" t="s">
        <v>735</v>
      </c>
      <c r="E36" s="691" t="s">
        <v>736</v>
      </c>
      <c r="F36"/>
      <c r="G36"/>
      <c r="H36"/>
      <c r="I36"/>
      <c r="J36"/>
      <c r="K36"/>
    </row>
    <row r="37" spans="1:11" ht="14.4" x14ac:dyDescent="0.3">
      <c r="A37" s="691" t="s">
        <v>737</v>
      </c>
      <c r="B37" s="691" t="s">
        <v>738</v>
      </c>
      <c r="C37" s="691">
        <v>3.96</v>
      </c>
      <c r="D37" s="691" t="s">
        <v>739</v>
      </c>
      <c r="E37" s="691" t="s">
        <v>736</v>
      </c>
      <c r="F37"/>
      <c r="G37"/>
      <c r="H37"/>
      <c r="I37"/>
      <c r="J37"/>
      <c r="K37"/>
    </row>
    <row r="38" spans="1:11" ht="14.4" x14ac:dyDescent="0.3">
      <c r="A38" s="691" t="s">
        <v>740</v>
      </c>
      <c r="B38" s="691" t="s">
        <v>741</v>
      </c>
      <c r="C38" s="691">
        <v>2.5</v>
      </c>
      <c r="D38" s="691" t="s">
        <v>742</v>
      </c>
      <c r="E38" s="691" t="s">
        <v>729</v>
      </c>
      <c r="F38"/>
      <c r="G38"/>
      <c r="H38"/>
      <c r="I38"/>
      <c r="J38"/>
      <c r="K38"/>
    </row>
    <row r="39" spans="1:11" ht="14.4" x14ac:dyDescent="0.3">
      <c r="A39" s="691" t="s">
        <v>743</v>
      </c>
      <c r="B39" s="691" t="s">
        <v>744</v>
      </c>
      <c r="C39" s="691">
        <v>750</v>
      </c>
      <c r="D39" s="691" t="s">
        <v>745</v>
      </c>
      <c r="E39" s="691" t="s">
        <v>729</v>
      </c>
      <c r="F39"/>
      <c r="G39"/>
      <c r="H39"/>
      <c r="I39"/>
      <c r="J39"/>
      <c r="K39"/>
    </row>
    <row r="40" spans="1:11" ht="28.8" x14ac:dyDescent="0.3">
      <c r="A40" s="691" t="s">
        <v>746</v>
      </c>
      <c r="B40" s="691" t="s">
        <v>747</v>
      </c>
      <c r="C40" s="691">
        <v>0.44</v>
      </c>
      <c r="D40" s="691" t="s">
        <v>748</v>
      </c>
      <c r="E40" s="691" t="s">
        <v>749</v>
      </c>
      <c r="F40"/>
      <c r="G40"/>
      <c r="H40"/>
      <c r="I40"/>
      <c r="J40"/>
      <c r="K40"/>
    </row>
    <row r="41" spans="1:11" ht="14.4" x14ac:dyDescent="0.3">
      <c r="A41" s="691" t="s">
        <v>750</v>
      </c>
      <c r="B41" s="691" t="s">
        <v>751</v>
      </c>
      <c r="C41" s="691">
        <v>1</v>
      </c>
      <c r="D41" s="691" t="s">
        <v>752</v>
      </c>
      <c r="E41" s="691" t="s">
        <v>753</v>
      </c>
      <c r="F41"/>
      <c r="G41"/>
      <c r="H41"/>
      <c r="I41"/>
      <c r="J41"/>
      <c r="K41"/>
    </row>
    <row r="42" spans="1:11" ht="14.4" x14ac:dyDescent="0.3">
      <c r="A42" s="691" t="s">
        <v>754</v>
      </c>
      <c r="B42" s="691" t="s">
        <v>755</v>
      </c>
      <c r="C42" s="691">
        <v>1.25</v>
      </c>
      <c r="D42" s="691" t="s">
        <v>756</v>
      </c>
      <c r="E42" s="691" t="s">
        <v>753</v>
      </c>
      <c r="F42"/>
      <c r="G42"/>
      <c r="H42"/>
      <c r="I42"/>
      <c r="J42"/>
      <c r="K42"/>
    </row>
    <row r="43" spans="1:11" ht="14.4" x14ac:dyDescent="0.3">
      <c r="A43" s="691" t="s">
        <v>757</v>
      </c>
      <c r="B43" s="691" t="s">
        <v>758</v>
      </c>
      <c r="C43" s="691">
        <v>8</v>
      </c>
      <c r="D43" s="691" t="s">
        <v>759</v>
      </c>
      <c r="E43" s="691" t="s">
        <v>753</v>
      </c>
      <c r="F43"/>
      <c r="G43"/>
      <c r="H43"/>
      <c r="I43"/>
      <c r="J43"/>
      <c r="K43"/>
    </row>
    <row r="44" spans="1:11" ht="28.8" x14ac:dyDescent="0.3">
      <c r="A44" s="691" t="s">
        <v>760</v>
      </c>
      <c r="B44" s="691" t="s">
        <v>761</v>
      </c>
      <c r="C44" s="691">
        <v>22.65</v>
      </c>
      <c r="D44" s="691" t="s">
        <v>762</v>
      </c>
      <c r="E44" s="691" t="s">
        <v>763</v>
      </c>
      <c r="F44"/>
      <c r="G44"/>
      <c r="H44"/>
      <c r="I44"/>
      <c r="J44"/>
      <c r="K44"/>
    </row>
    <row r="45" spans="1:11" ht="14.4" x14ac:dyDescent="0.3">
      <c r="A45" s="691" t="s">
        <v>764</v>
      </c>
      <c r="B45" s="691" t="s">
        <v>765</v>
      </c>
      <c r="C45" s="691">
        <v>20.36</v>
      </c>
      <c r="D45" s="691" t="s">
        <v>766</v>
      </c>
      <c r="E45" s="691" t="s">
        <v>767</v>
      </c>
      <c r="F45"/>
      <c r="G45"/>
      <c r="H45"/>
      <c r="I45"/>
      <c r="J45"/>
      <c r="K45"/>
    </row>
    <row r="46" spans="1:11" ht="14.4" x14ac:dyDescent="0.3">
      <c r="A46" s="691" t="s">
        <v>768</v>
      </c>
      <c r="B46" s="691" t="s">
        <v>769</v>
      </c>
      <c r="C46" s="691">
        <v>19.760000000000002</v>
      </c>
      <c r="D46" s="691" t="s">
        <v>770</v>
      </c>
      <c r="E46" s="691" t="s">
        <v>771</v>
      </c>
      <c r="F46"/>
      <c r="G46"/>
      <c r="H46"/>
      <c r="I46"/>
      <c r="J46"/>
      <c r="K46"/>
    </row>
    <row r="47" spans="1:11" ht="14.4" x14ac:dyDescent="0.3">
      <c r="A47" s="691" t="s">
        <v>772</v>
      </c>
      <c r="B47" s="691" t="s">
        <v>773</v>
      </c>
      <c r="C47" s="691">
        <v>7657.14</v>
      </c>
      <c r="D47" s="691" t="s">
        <v>774</v>
      </c>
      <c r="E47" s="691" t="s">
        <v>775</v>
      </c>
      <c r="F47"/>
      <c r="G47"/>
      <c r="H47"/>
      <c r="I47"/>
      <c r="J47"/>
      <c r="K47"/>
    </row>
    <row r="48" spans="1:11" ht="42.6" customHeight="1" x14ac:dyDescent="0.3">
      <c r="A48" s="691" t="s">
        <v>776</v>
      </c>
      <c r="B48" s="691" t="s">
        <v>776</v>
      </c>
      <c r="C48" s="691">
        <v>40</v>
      </c>
      <c r="D48" s="691" t="s">
        <v>777</v>
      </c>
      <c r="E48" s="691" t="s">
        <v>778</v>
      </c>
      <c r="F48"/>
      <c r="G48"/>
      <c r="H48"/>
      <c r="I48"/>
      <c r="J48"/>
      <c r="K48"/>
    </row>
    <row r="49" spans="1:11" ht="14.4" x14ac:dyDescent="0.3">
      <c r="A49" s="691" t="s">
        <v>779</v>
      </c>
      <c r="B49" s="691" t="s">
        <v>780</v>
      </c>
      <c r="C49" s="691">
        <f>Schedules!AD70</f>
        <v>4959</v>
      </c>
      <c r="D49" s="691" t="s">
        <v>781</v>
      </c>
      <c r="E49" s="691" t="s">
        <v>782</v>
      </c>
      <c r="F49"/>
      <c r="G49"/>
      <c r="H49"/>
      <c r="I49"/>
      <c r="J49"/>
      <c r="K49"/>
    </row>
    <row r="51" spans="1:11" ht="13.95" customHeight="1" x14ac:dyDescent="0.25"/>
  </sheetData>
  <mergeCells count="5">
    <mergeCell ref="A1:E1"/>
    <mergeCell ref="E6:E16"/>
    <mergeCell ref="A19:K19"/>
    <mergeCell ref="A25:E25"/>
    <mergeCell ref="A27:A28"/>
  </mergeCells>
  <phoneticPr fontId="6"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FC03F74-0C0C-4594-B4DD-73866CAE7ACA}">
          <x14:formula1>
            <xm:f>Data!$A$2:$A$200</xm:f>
          </x14:formula1>
          <xm:sqref>A3:A10 A12:A15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124"/>
  <sheetViews>
    <sheetView zoomScaleNormal="100" workbookViewId="0">
      <pane xSplit="5" ySplit="3" topLeftCell="F4" activePane="bottomRight" state="frozen"/>
      <selection pane="topRight" activeCell="F1" sqref="F1"/>
      <selection pane="bottomLeft" activeCell="A4" sqref="A4"/>
      <selection pane="bottomRight" sqref="A1:AC1"/>
    </sheetView>
  </sheetViews>
  <sheetFormatPr defaultColWidth="9.33203125" defaultRowHeight="11.4" x14ac:dyDescent="0.3"/>
  <cols>
    <col min="1" max="1" width="23.6640625" style="39" customWidth="1"/>
    <col min="2" max="2" width="23.5546875" style="39" customWidth="1"/>
    <col min="3" max="3" width="15.33203125" style="39" customWidth="1"/>
    <col min="4" max="4" width="18.88671875" style="39" customWidth="1"/>
    <col min="5" max="5" width="9.33203125" style="39"/>
    <col min="6" max="29" width="5.6640625" style="39" customWidth="1"/>
    <col min="30" max="16384" width="9.33203125" style="39"/>
  </cols>
  <sheetData>
    <row r="1" spans="1:39" ht="24" customHeight="1" x14ac:dyDescent="0.3">
      <c r="A1" s="877" t="str">
        <f>"Schedules - "&amp;Prototype!A2</f>
        <v>Schedules - OfficeLarge</v>
      </c>
      <c r="B1" s="877"/>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974"/>
      <c r="AD1" s="46"/>
      <c r="AE1" s="46"/>
      <c r="AF1" s="46"/>
      <c r="AG1" s="46"/>
      <c r="AH1" s="46"/>
      <c r="AI1" s="47"/>
      <c r="AJ1" s="47"/>
      <c r="AK1" s="47"/>
    </row>
    <row r="2" spans="1:39" ht="24" customHeight="1" x14ac:dyDescent="0.3">
      <c r="A2" s="975" t="s">
        <v>783</v>
      </c>
      <c r="B2" s="975" t="s">
        <v>130</v>
      </c>
      <c r="C2" s="975" t="s">
        <v>784</v>
      </c>
      <c r="D2" s="975" t="s">
        <v>372</v>
      </c>
      <c r="E2" s="976" t="s">
        <v>785</v>
      </c>
      <c r="F2" s="980" t="s">
        <v>786</v>
      </c>
      <c r="G2" s="981"/>
      <c r="H2" s="981"/>
      <c r="I2" s="981"/>
      <c r="J2" s="981"/>
      <c r="K2" s="981"/>
      <c r="L2" s="981"/>
      <c r="M2" s="981"/>
      <c r="N2" s="981"/>
      <c r="O2" s="981"/>
      <c r="P2" s="981"/>
      <c r="Q2" s="981"/>
      <c r="R2" s="981"/>
      <c r="S2" s="981"/>
      <c r="T2" s="981"/>
      <c r="U2" s="981"/>
      <c r="V2" s="981"/>
      <c r="W2" s="981"/>
      <c r="X2" s="981"/>
      <c r="Y2" s="981"/>
      <c r="Z2" s="981"/>
      <c r="AA2" s="981"/>
      <c r="AB2" s="981"/>
      <c r="AC2" s="982"/>
      <c r="AD2" s="46"/>
      <c r="AE2" s="46"/>
      <c r="AF2" s="46"/>
      <c r="AG2" s="46"/>
      <c r="AH2" s="46"/>
      <c r="AI2" s="47"/>
      <c r="AJ2" s="47"/>
      <c r="AK2" s="47"/>
    </row>
    <row r="3" spans="1:39" ht="25.2" customHeight="1" x14ac:dyDescent="0.3">
      <c r="A3" s="976"/>
      <c r="B3" s="976"/>
      <c r="C3" s="976"/>
      <c r="D3" s="976"/>
      <c r="E3" s="983"/>
      <c r="F3" s="523">
        <v>1</v>
      </c>
      <c r="G3" s="523">
        <v>2</v>
      </c>
      <c r="H3" s="523">
        <v>3</v>
      </c>
      <c r="I3" s="523">
        <v>4</v>
      </c>
      <c r="J3" s="523">
        <v>5</v>
      </c>
      <c r="K3" s="523">
        <v>6</v>
      </c>
      <c r="L3" s="523">
        <v>7</v>
      </c>
      <c r="M3" s="523">
        <v>8</v>
      </c>
      <c r="N3" s="523">
        <v>9</v>
      </c>
      <c r="O3" s="523">
        <v>10</v>
      </c>
      <c r="P3" s="523">
        <v>11</v>
      </c>
      <c r="Q3" s="523">
        <v>12</v>
      </c>
      <c r="R3" s="523">
        <v>13</v>
      </c>
      <c r="S3" s="523">
        <v>14</v>
      </c>
      <c r="T3" s="523">
        <v>15</v>
      </c>
      <c r="U3" s="523">
        <v>16</v>
      </c>
      <c r="V3" s="523">
        <v>17</v>
      </c>
      <c r="W3" s="523">
        <v>18</v>
      </c>
      <c r="X3" s="523">
        <v>19</v>
      </c>
      <c r="Y3" s="523">
        <v>20</v>
      </c>
      <c r="Z3" s="523">
        <v>21</v>
      </c>
      <c r="AA3" s="523">
        <v>22</v>
      </c>
      <c r="AB3" s="523">
        <v>23</v>
      </c>
      <c r="AC3" s="523">
        <v>24</v>
      </c>
      <c r="AD3" s="47"/>
      <c r="AE3" s="47"/>
      <c r="AF3" s="47"/>
      <c r="AG3" s="47"/>
      <c r="AH3" s="47"/>
      <c r="AI3" s="47"/>
      <c r="AJ3" s="47"/>
      <c r="AK3" s="47"/>
    </row>
    <row r="4" spans="1:39" ht="25.2" customHeight="1" x14ac:dyDescent="0.3">
      <c r="A4" s="916" t="s">
        <v>787</v>
      </c>
      <c r="B4" s="927" t="s">
        <v>144</v>
      </c>
      <c r="C4" s="922" t="s">
        <v>788</v>
      </c>
      <c r="D4" s="924" t="s">
        <v>789</v>
      </c>
      <c r="E4" s="191" t="s">
        <v>790</v>
      </c>
      <c r="F4" s="192">
        <v>0</v>
      </c>
      <c r="G4" s="192">
        <v>0</v>
      </c>
      <c r="H4" s="192">
        <v>0</v>
      </c>
      <c r="I4" s="192">
        <v>0</v>
      </c>
      <c r="J4" s="192">
        <v>0</v>
      </c>
      <c r="K4" s="192">
        <v>0</v>
      </c>
      <c r="L4" s="192">
        <v>0.1</v>
      </c>
      <c r="M4" s="192">
        <v>0.2</v>
      </c>
      <c r="N4" s="192">
        <v>0.95</v>
      </c>
      <c r="O4" s="192">
        <v>0.95</v>
      </c>
      <c r="P4" s="192">
        <v>0.95</v>
      </c>
      <c r="Q4" s="192">
        <v>0.95</v>
      </c>
      <c r="R4" s="192">
        <v>0.5</v>
      </c>
      <c r="S4" s="192">
        <v>0.95</v>
      </c>
      <c r="T4" s="192">
        <v>0.95</v>
      </c>
      <c r="U4" s="192">
        <v>0.95</v>
      </c>
      <c r="V4" s="192">
        <v>0.95</v>
      </c>
      <c r="W4" s="192">
        <v>0.3</v>
      </c>
      <c r="X4" s="192">
        <v>0.1</v>
      </c>
      <c r="Y4" s="192">
        <v>0.1</v>
      </c>
      <c r="Z4" s="192">
        <v>0.1</v>
      </c>
      <c r="AA4" s="192">
        <v>0.1</v>
      </c>
      <c r="AB4" s="192">
        <v>0.05</v>
      </c>
      <c r="AC4" s="193">
        <v>0.05</v>
      </c>
      <c r="AD4" s="47"/>
      <c r="AE4" s="47"/>
      <c r="AF4" s="47"/>
      <c r="AG4" s="47"/>
      <c r="AH4" s="47"/>
      <c r="AI4" s="47"/>
      <c r="AJ4" s="47"/>
      <c r="AK4" s="47"/>
    </row>
    <row r="5" spans="1:39" ht="33" customHeight="1" x14ac:dyDescent="0.3">
      <c r="A5" s="958"/>
      <c r="B5" s="928"/>
      <c r="C5" s="912"/>
      <c r="D5" s="925"/>
      <c r="E5" s="194" t="s">
        <v>791</v>
      </c>
      <c r="F5" s="195">
        <v>0</v>
      </c>
      <c r="G5" s="195">
        <v>0</v>
      </c>
      <c r="H5" s="195">
        <v>0</v>
      </c>
      <c r="I5" s="195">
        <v>0</v>
      </c>
      <c r="J5" s="195">
        <v>0</v>
      </c>
      <c r="K5" s="195">
        <v>0</v>
      </c>
      <c r="L5" s="196">
        <v>0.05</v>
      </c>
      <c r="M5" s="196">
        <v>0.05</v>
      </c>
      <c r="N5" s="196">
        <v>0.05</v>
      </c>
      <c r="O5" s="196">
        <v>0.05</v>
      </c>
      <c r="P5" s="196">
        <v>0.05</v>
      </c>
      <c r="Q5" s="196">
        <v>0.05</v>
      </c>
      <c r="R5" s="196">
        <v>0.05</v>
      </c>
      <c r="S5" s="196">
        <v>0.05</v>
      </c>
      <c r="T5" s="196">
        <v>0.05</v>
      </c>
      <c r="U5" s="196">
        <v>0.05</v>
      </c>
      <c r="V5" s="196">
        <v>0.05</v>
      </c>
      <c r="W5" s="196">
        <v>0.05</v>
      </c>
      <c r="X5" s="195">
        <v>0</v>
      </c>
      <c r="Y5" s="195">
        <v>0</v>
      </c>
      <c r="Z5" s="195">
        <v>0</v>
      </c>
      <c r="AA5" s="195">
        <v>0</v>
      </c>
      <c r="AB5" s="195">
        <v>0</v>
      </c>
      <c r="AC5" s="198">
        <v>0</v>
      </c>
      <c r="AD5" s="47"/>
      <c r="AE5" s="47"/>
      <c r="AF5" s="47"/>
      <c r="AG5" s="47"/>
      <c r="AH5" s="47"/>
      <c r="AI5" s="47"/>
      <c r="AJ5" s="47"/>
      <c r="AK5" s="47"/>
    </row>
    <row r="6" spans="1:39" ht="33" customHeight="1" x14ac:dyDescent="0.3">
      <c r="A6" s="961"/>
      <c r="B6" s="929"/>
      <c r="C6" s="923"/>
      <c r="D6" s="984"/>
      <c r="E6" s="199" t="s">
        <v>792</v>
      </c>
      <c r="F6" s="200">
        <v>0</v>
      </c>
      <c r="G6" s="200">
        <v>0</v>
      </c>
      <c r="H6" s="200">
        <v>0</v>
      </c>
      <c r="I6" s="200">
        <v>0</v>
      </c>
      <c r="J6" s="200">
        <v>0</v>
      </c>
      <c r="K6" s="200">
        <v>0</v>
      </c>
      <c r="L6" s="200">
        <v>0.05</v>
      </c>
      <c r="M6" s="200">
        <v>0.05</v>
      </c>
      <c r="N6" s="200">
        <v>0.05</v>
      </c>
      <c r="O6" s="200">
        <v>0.05</v>
      </c>
      <c r="P6" s="200">
        <v>0.05</v>
      </c>
      <c r="Q6" s="200">
        <v>0.05</v>
      </c>
      <c r="R6" s="200">
        <v>0.05</v>
      </c>
      <c r="S6" s="200">
        <v>0.05</v>
      </c>
      <c r="T6" s="200">
        <v>0.05</v>
      </c>
      <c r="U6" s="200">
        <v>0.05</v>
      </c>
      <c r="V6" s="200">
        <v>0.05</v>
      </c>
      <c r="W6" s="200">
        <v>0.05</v>
      </c>
      <c r="X6" s="200">
        <v>0</v>
      </c>
      <c r="Y6" s="200">
        <v>0</v>
      </c>
      <c r="Z6" s="200">
        <v>0</v>
      </c>
      <c r="AA6" s="200">
        <v>0</v>
      </c>
      <c r="AB6" s="200">
        <v>0</v>
      </c>
      <c r="AC6" s="201">
        <v>0</v>
      </c>
      <c r="AD6" s="47"/>
      <c r="AE6" s="47"/>
      <c r="AF6" s="47"/>
      <c r="AG6" s="47"/>
      <c r="AH6" s="47"/>
      <c r="AI6" s="47"/>
      <c r="AJ6" s="47"/>
      <c r="AK6" s="47"/>
    </row>
    <row r="7" spans="1:39" ht="38.700000000000003" customHeight="1" x14ac:dyDescent="0.3">
      <c r="A7" s="916" t="str">
        <f>A4</f>
        <v xml:space="preserve">All zones except for Server Rooms, Storage, Stairway, and Mechanical_Electrical </v>
      </c>
      <c r="B7" s="927" t="s">
        <v>144</v>
      </c>
      <c r="C7" s="930" t="s">
        <v>793</v>
      </c>
      <c r="D7" s="924" t="s">
        <v>794</v>
      </c>
      <c r="E7" s="202" t="s">
        <v>790</v>
      </c>
      <c r="F7" s="192">
        <v>0.05</v>
      </c>
      <c r="G7" s="192">
        <v>0.05</v>
      </c>
      <c r="H7" s="192">
        <v>0.05</v>
      </c>
      <c r="I7" s="192">
        <v>0.05</v>
      </c>
      <c r="J7" s="192">
        <v>0.05</v>
      </c>
      <c r="K7" s="255">
        <v>0.1</v>
      </c>
      <c r="L7" s="255">
        <v>0.1</v>
      </c>
      <c r="M7" s="255">
        <v>0.3</v>
      </c>
      <c r="N7" s="255">
        <v>0.65</v>
      </c>
      <c r="O7" s="255">
        <v>0.65</v>
      </c>
      <c r="P7" s="255">
        <v>0.65</v>
      </c>
      <c r="Q7" s="255">
        <v>0.65</v>
      </c>
      <c r="R7" s="255">
        <v>0.65</v>
      </c>
      <c r="S7" s="255">
        <v>0.65</v>
      </c>
      <c r="T7" s="255">
        <v>0.65</v>
      </c>
      <c r="U7" s="255">
        <v>0.65</v>
      </c>
      <c r="V7" s="255">
        <v>0.65</v>
      </c>
      <c r="W7" s="255">
        <v>0.35</v>
      </c>
      <c r="X7" s="255">
        <v>0.3</v>
      </c>
      <c r="Y7" s="255">
        <v>0.3</v>
      </c>
      <c r="Z7" s="192">
        <v>0.2</v>
      </c>
      <c r="AA7" s="192">
        <v>0.2</v>
      </c>
      <c r="AB7" s="192">
        <v>0.1</v>
      </c>
      <c r="AC7" s="193">
        <v>0.05</v>
      </c>
      <c r="AD7" s="47"/>
      <c r="AE7" s="47"/>
      <c r="AF7" s="47"/>
      <c r="AG7" s="47"/>
      <c r="AH7" s="47"/>
      <c r="AI7" s="47"/>
      <c r="AJ7" s="47"/>
      <c r="AK7" s="47"/>
      <c r="AM7" s="57"/>
    </row>
    <row r="8" spans="1:39" ht="38.700000000000003" customHeight="1" x14ac:dyDescent="0.3">
      <c r="A8" s="958"/>
      <c r="B8" s="928"/>
      <c r="C8" s="912"/>
      <c r="D8" s="925"/>
      <c r="E8" s="203" t="s">
        <v>791</v>
      </c>
      <c r="F8" s="195">
        <v>0.05</v>
      </c>
      <c r="G8" s="195">
        <v>0.05</v>
      </c>
      <c r="H8" s="195">
        <v>0.05</v>
      </c>
      <c r="I8" s="195">
        <v>0.05</v>
      </c>
      <c r="J8" s="195">
        <v>0.05</v>
      </c>
      <c r="K8" s="197">
        <v>0.05</v>
      </c>
      <c r="L8" s="197">
        <v>0.15</v>
      </c>
      <c r="M8" s="197">
        <v>0.15</v>
      </c>
      <c r="N8" s="197">
        <v>0.15</v>
      </c>
      <c r="O8" s="197">
        <v>0.15</v>
      </c>
      <c r="P8" s="197">
        <v>0.15</v>
      </c>
      <c r="Q8" s="197">
        <v>0.15</v>
      </c>
      <c r="R8" s="197">
        <v>0.15</v>
      </c>
      <c r="S8" s="197">
        <v>0.15</v>
      </c>
      <c r="T8" s="197">
        <v>0.15</v>
      </c>
      <c r="U8" s="197">
        <v>0.15</v>
      </c>
      <c r="V8" s="197">
        <v>0.15</v>
      </c>
      <c r="W8" s="197">
        <v>0.15</v>
      </c>
      <c r="X8" s="195">
        <v>0.05</v>
      </c>
      <c r="Y8" s="195">
        <v>0.05</v>
      </c>
      <c r="Z8" s="195">
        <v>0.05</v>
      </c>
      <c r="AA8" s="195">
        <v>0.05</v>
      </c>
      <c r="AB8" s="195">
        <v>0.05</v>
      </c>
      <c r="AC8" s="198">
        <v>0.05</v>
      </c>
      <c r="AD8" s="47"/>
      <c r="AE8" s="47"/>
      <c r="AF8" s="47"/>
      <c r="AG8" s="47"/>
      <c r="AH8" s="47"/>
      <c r="AI8" s="47"/>
      <c r="AJ8" s="47"/>
      <c r="AK8" s="47"/>
      <c r="AM8" s="57"/>
    </row>
    <row r="9" spans="1:39" ht="38.700000000000003" customHeight="1" thickBot="1" x14ac:dyDescent="0.35">
      <c r="A9" s="961"/>
      <c r="B9" s="929"/>
      <c r="C9" s="923"/>
      <c r="D9" s="926"/>
      <c r="E9" s="204" t="s">
        <v>792</v>
      </c>
      <c r="F9" s="205">
        <v>0.05</v>
      </c>
      <c r="G9" s="205">
        <v>0.05</v>
      </c>
      <c r="H9" s="205">
        <v>0.05</v>
      </c>
      <c r="I9" s="205">
        <v>0.05</v>
      </c>
      <c r="J9" s="205">
        <v>0.05</v>
      </c>
      <c r="K9" s="205">
        <v>0.05</v>
      </c>
      <c r="L9" s="693">
        <v>0.15</v>
      </c>
      <c r="M9" s="693">
        <v>0.15</v>
      </c>
      <c r="N9" s="693">
        <v>0.15</v>
      </c>
      <c r="O9" s="693">
        <v>0.15</v>
      </c>
      <c r="P9" s="693">
        <v>0.15</v>
      </c>
      <c r="Q9" s="693">
        <v>0.15</v>
      </c>
      <c r="R9" s="693">
        <v>0.15</v>
      </c>
      <c r="S9" s="693">
        <v>0.15</v>
      </c>
      <c r="T9" s="693">
        <v>0.15</v>
      </c>
      <c r="U9" s="693">
        <v>0.15</v>
      </c>
      <c r="V9" s="693">
        <v>0.15</v>
      </c>
      <c r="W9" s="693">
        <v>0.15</v>
      </c>
      <c r="X9" s="205">
        <v>0.05</v>
      </c>
      <c r="Y9" s="205">
        <v>0.05</v>
      </c>
      <c r="Z9" s="205">
        <v>0.05</v>
      </c>
      <c r="AA9" s="205">
        <v>0.05</v>
      </c>
      <c r="AB9" s="205">
        <v>0.05</v>
      </c>
      <c r="AC9" s="206">
        <v>0.05</v>
      </c>
      <c r="AD9" s="47"/>
      <c r="AE9" s="47"/>
      <c r="AF9" s="47"/>
      <c r="AG9" s="47"/>
      <c r="AH9" s="47"/>
      <c r="AI9" s="47"/>
      <c r="AJ9" s="47"/>
      <c r="AK9" s="47"/>
      <c r="AM9" s="57"/>
    </row>
    <row r="10" spans="1:39" ht="36" customHeight="1" x14ac:dyDescent="0.3">
      <c r="A10" s="916" t="str">
        <f>A7</f>
        <v xml:space="preserve">All zones except for Server Rooms, Storage, Stairway, and Mechanical_Electrical </v>
      </c>
      <c r="B10" s="927" t="s">
        <v>144</v>
      </c>
      <c r="C10" s="930" t="s">
        <v>795</v>
      </c>
      <c r="D10" s="977" t="s">
        <v>796</v>
      </c>
      <c r="E10" s="202" t="s">
        <v>790</v>
      </c>
      <c r="F10" s="207">
        <v>0.45</v>
      </c>
      <c r="G10" s="207">
        <v>0.45</v>
      </c>
      <c r="H10" s="207">
        <v>0.45</v>
      </c>
      <c r="I10" s="207">
        <v>0.45</v>
      </c>
      <c r="J10" s="207">
        <v>0.45</v>
      </c>
      <c r="K10" s="207">
        <v>0.45</v>
      </c>
      <c r="L10" s="207">
        <v>0.45</v>
      </c>
      <c r="M10" s="207">
        <v>0.74</v>
      </c>
      <c r="N10" s="207">
        <v>0.87</v>
      </c>
      <c r="O10" s="207">
        <v>0.9</v>
      </c>
      <c r="P10" s="207">
        <v>0.9</v>
      </c>
      <c r="Q10" s="207">
        <v>0.9</v>
      </c>
      <c r="R10" s="207">
        <v>0.9</v>
      </c>
      <c r="S10" s="207">
        <v>0.9</v>
      </c>
      <c r="T10" s="207">
        <v>0.9</v>
      </c>
      <c r="U10" s="207">
        <v>0.9</v>
      </c>
      <c r="V10" s="207">
        <v>0.9</v>
      </c>
      <c r="W10" s="207">
        <v>0.7</v>
      </c>
      <c r="X10" s="207">
        <v>0.5</v>
      </c>
      <c r="Y10" s="207">
        <v>0.5</v>
      </c>
      <c r="Z10" s="207">
        <v>0.5</v>
      </c>
      <c r="AA10" s="207">
        <v>0.45</v>
      </c>
      <c r="AB10" s="207">
        <v>0.45</v>
      </c>
      <c r="AC10" s="208">
        <v>0.45</v>
      </c>
      <c r="AD10" s="48"/>
      <c r="AE10" s="47"/>
      <c r="AF10" s="47"/>
      <c r="AG10" s="47"/>
      <c r="AH10" s="47"/>
      <c r="AI10" s="47"/>
      <c r="AJ10" s="47"/>
      <c r="AK10" s="47"/>
      <c r="AM10" s="57"/>
    </row>
    <row r="11" spans="1:39" ht="36" customHeight="1" x14ac:dyDescent="0.3">
      <c r="A11" s="958"/>
      <c r="B11" s="928"/>
      <c r="C11" s="912"/>
      <c r="D11" s="978"/>
      <c r="E11" s="203" t="s">
        <v>791</v>
      </c>
      <c r="F11" s="209">
        <v>0.43</v>
      </c>
      <c r="G11" s="209">
        <v>0.43</v>
      </c>
      <c r="H11" s="209">
        <v>0.43</v>
      </c>
      <c r="I11" s="209">
        <v>0.43</v>
      </c>
      <c r="J11" s="209">
        <v>0.43</v>
      </c>
      <c r="K11" s="209">
        <v>0.43</v>
      </c>
      <c r="L11" s="209">
        <v>0.43</v>
      </c>
      <c r="M11" s="209">
        <v>0.43</v>
      </c>
      <c r="N11" s="209">
        <v>0.43</v>
      </c>
      <c r="O11" s="209">
        <v>0.43</v>
      </c>
      <c r="P11" s="209">
        <v>0.43</v>
      </c>
      <c r="Q11" s="209">
        <v>0.43</v>
      </c>
      <c r="R11" s="209">
        <v>0.43</v>
      </c>
      <c r="S11" s="209">
        <v>0.43</v>
      </c>
      <c r="T11" s="209">
        <v>0.43</v>
      </c>
      <c r="U11" s="209">
        <v>0.43</v>
      </c>
      <c r="V11" s="209">
        <v>0.43</v>
      </c>
      <c r="W11" s="209">
        <v>0.43</v>
      </c>
      <c r="X11" s="209">
        <v>0.43</v>
      </c>
      <c r="Y11" s="209">
        <v>0.43</v>
      </c>
      <c r="Z11" s="209">
        <v>0.43</v>
      </c>
      <c r="AA11" s="209">
        <v>0.43</v>
      </c>
      <c r="AB11" s="209">
        <v>0.43</v>
      </c>
      <c r="AC11" s="210">
        <v>0.43</v>
      </c>
      <c r="AD11" s="48"/>
      <c r="AE11" s="47"/>
      <c r="AF11" s="47"/>
      <c r="AG11" s="47"/>
      <c r="AH11" s="47"/>
      <c r="AI11" s="47"/>
      <c r="AJ11" s="47"/>
      <c r="AK11" s="47"/>
      <c r="AM11" s="57"/>
    </row>
    <row r="12" spans="1:39" ht="36" customHeight="1" thickBot="1" x14ac:dyDescent="0.35">
      <c r="A12" s="961"/>
      <c r="B12" s="929"/>
      <c r="C12" s="923"/>
      <c r="D12" s="979"/>
      <c r="E12" s="211" t="s">
        <v>792</v>
      </c>
      <c r="F12" s="212">
        <v>0.43</v>
      </c>
      <c r="G12" s="212">
        <v>0.43</v>
      </c>
      <c r="H12" s="212">
        <v>0.43</v>
      </c>
      <c r="I12" s="212">
        <v>0.43</v>
      </c>
      <c r="J12" s="212">
        <v>0.43</v>
      </c>
      <c r="K12" s="212">
        <v>0.43</v>
      </c>
      <c r="L12" s="212">
        <v>0.43</v>
      </c>
      <c r="M12" s="212">
        <v>0.43</v>
      </c>
      <c r="N12" s="212">
        <v>0.43</v>
      </c>
      <c r="O12" s="212">
        <v>0.43</v>
      </c>
      <c r="P12" s="212">
        <v>0.43</v>
      </c>
      <c r="Q12" s="212">
        <v>0.43</v>
      </c>
      <c r="R12" s="212">
        <v>0.43</v>
      </c>
      <c r="S12" s="212">
        <v>0.43</v>
      </c>
      <c r="T12" s="212">
        <v>0.43</v>
      </c>
      <c r="U12" s="212">
        <v>0.43</v>
      </c>
      <c r="V12" s="212">
        <v>0.43</v>
      </c>
      <c r="W12" s="212">
        <v>0.43</v>
      </c>
      <c r="X12" s="212">
        <v>0.43</v>
      </c>
      <c r="Y12" s="212">
        <v>0.43</v>
      </c>
      <c r="Z12" s="212">
        <v>0.43</v>
      </c>
      <c r="AA12" s="212">
        <v>0.43</v>
      </c>
      <c r="AB12" s="212">
        <v>0.43</v>
      </c>
      <c r="AC12" s="213">
        <v>0.43</v>
      </c>
      <c r="AD12" s="48"/>
      <c r="AE12" s="47"/>
      <c r="AF12" s="47"/>
      <c r="AG12" s="47"/>
      <c r="AH12" s="47"/>
      <c r="AI12" s="47"/>
      <c r="AJ12" s="47"/>
      <c r="AK12" s="47"/>
      <c r="AM12" s="57"/>
    </row>
    <row r="13" spans="1:39" ht="36" customHeight="1" x14ac:dyDescent="0.3">
      <c r="A13" s="916" t="str">
        <f>A4</f>
        <v xml:space="preserve">All zones except for Server Rooms, Storage, Stairway, and Mechanical_Electrical </v>
      </c>
      <c r="B13" s="927" t="s">
        <v>144</v>
      </c>
      <c r="C13" s="930" t="s">
        <v>797</v>
      </c>
      <c r="D13" s="924" t="s">
        <v>798</v>
      </c>
      <c r="E13" s="214" t="s">
        <v>790</v>
      </c>
      <c r="F13" s="215">
        <v>0</v>
      </c>
      <c r="G13" s="215">
        <v>0</v>
      </c>
      <c r="H13" s="215">
        <v>0</v>
      </c>
      <c r="I13" s="215">
        <v>0</v>
      </c>
      <c r="J13" s="215">
        <v>0</v>
      </c>
      <c r="K13" s="215">
        <v>1</v>
      </c>
      <c r="L13" s="215">
        <v>1</v>
      </c>
      <c r="M13" s="215">
        <v>1</v>
      </c>
      <c r="N13" s="215">
        <v>1</v>
      </c>
      <c r="O13" s="215">
        <v>1</v>
      </c>
      <c r="P13" s="215">
        <v>1</v>
      </c>
      <c r="Q13" s="215">
        <v>1</v>
      </c>
      <c r="R13" s="215">
        <v>1</v>
      </c>
      <c r="S13" s="215">
        <v>1</v>
      </c>
      <c r="T13" s="215">
        <v>1</v>
      </c>
      <c r="U13" s="215">
        <v>1</v>
      </c>
      <c r="V13" s="215">
        <v>1</v>
      </c>
      <c r="W13" s="215">
        <v>1</v>
      </c>
      <c r="X13" s="215">
        <v>1</v>
      </c>
      <c r="Y13" s="215">
        <v>1</v>
      </c>
      <c r="Z13" s="215">
        <v>1</v>
      </c>
      <c r="AA13" s="215">
        <v>1</v>
      </c>
      <c r="AB13" s="215">
        <v>1</v>
      </c>
      <c r="AC13" s="216">
        <v>1</v>
      </c>
      <c r="AD13" s="48"/>
      <c r="AE13" s="47"/>
      <c r="AF13" s="47"/>
      <c r="AG13" s="47"/>
      <c r="AH13" s="47"/>
      <c r="AI13" s="47"/>
      <c r="AJ13" s="47"/>
      <c r="AK13" s="47"/>
      <c r="AM13" s="57"/>
    </row>
    <row r="14" spans="1:39" ht="36" customHeight="1" x14ac:dyDescent="0.3">
      <c r="A14" s="958"/>
      <c r="B14" s="928"/>
      <c r="C14" s="912"/>
      <c r="D14" s="925"/>
      <c r="E14" s="203" t="s">
        <v>791</v>
      </c>
      <c r="F14" s="195">
        <v>0</v>
      </c>
      <c r="G14" s="195">
        <v>0</v>
      </c>
      <c r="H14" s="195">
        <v>0</v>
      </c>
      <c r="I14" s="195">
        <v>0</v>
      </c>
      <c r="J14" s="195">
        <v>0</v>
      </c>
      <c r="K14" s="414">
        <v>0</v>
      </c>
      <c r="L14" s="414">
        <v>0</v>
      </c>
      <c r="M14" s="414">
        <v>0</v>
      </c>
      <c r="N14" s="414">
        <v>0</v>
      </c>
      <c r="O14" s="414">
        <v>0</v>
      </c>
      <c r="P14" s="414">
        <v>0</v>
      </c>
      <c r="Q14" s="414">
        <v>0</v>
      </c>
      <c r="R14" s="414">
        <v>0</v>
      </c>
      <c r="S14" s="414">
        <v>0</v>
      </c>
      <c r="T14" s="414">
        <v>0</v>
      </c>
      <c r="U14" s="414">
        <v>0</v>
      </c>
      <c r="V14" s="414">
        <v>0</v>
      </c>
      <c r="W14" s="414">
        <v>0</v>
      </c>
      <c r="X14" s="414">
        <v>0</v>
      </c>
      <c r="Y14" s="195">
        <v>0</v>
      </c>
      <c r="Z14" s="195">
        <v>0</v>
      </c>
      <c r="AA14" s="195">
        <v>0</v>
      </c>
      <c r="AB14" s="195">
        <v>0</v>
      </c>
      <c r="AC14" s="198">
        <v>0</v>
      </c>
      <c r="AD14" s="48"/>
      <c r="AE14" s="47"/>
      <c r="AF14" s="47"/>
      <c r="AG14" s="47"/>
      <c r="AH14" s="47"/>
      <c r="AI14" s="47"/>
      <c r="AJ14" s="47"/>
      <c r="AK14" s="47"/>
      <c r="AM14" s="57"/>
    </row>
    <row r="15" spans="1:39" ht="36" customHeight="1" x14ac:dyDescent="0.3">
      <c r="A15" s="961"/>
      <c r="B15" s="928"/>
      <c r="C15" s="912"/>
      <c r="D15" s="925"/>
      <c r="E15" s="204" t="s">
        <v>792</v>
      </c>
      <c r="F15" s="200">
        <v>0</v>
      </c>
      <c r="G15" s="200">
        <v>0</v>
      </c>
      <c r="H15" s="200">
        <v>0</v>
      </c>
      <c r="I15" s="200">
        <v>0</v>
      </c>
      <c r="J15" s="200">
        <v>0</v>
      </c>
      <c r="K15" s="200">
        <v>0</v>
      </c>
      <c r="L15" s="200">
        <v>0</v>
      </c>
      <c r="M15" s="200">
        <v>0</v>
      </c>
      <c r="N15" s="200">
        <v>0</v>
      </c>
      <c r="O15" s="200">
        <v>0</v>
      </c>
      <c r="P15" s="200">
        <v>0</v>
      </c>
      <c r="Q15" s="200">
        <v>0</v>
      </c>
      <c r="R15" s="200">
        <v>0</v>
      </c>
      <c r="S15" s="200">
        <v>0</v>
      </c>
      <c r="T15" s="200">
        <v>0</v>
      </c>
      <c r="U15" s="200">
        <v>0</v>
      </c>
      <c r="V15" s="200">
        <v>0</v>
      </c>
      <c r="W15" s="200">
        <v>0</v>
      </c>
      <c r="X15" s="200">
        <v>0</v>
      </c>
      <c r="Y15" s="200">
        <v>0</v>
      </c>
      <c r="Z15" s="200">
        <v>0</v>
      </c>
      <c r="AA15" s="200">
        <v>0</v>
      </c>
      <c r="AB15" s="200">
        <v>0</v>
      </c>
      <c r="AC15" s="201">
        <v>0</v>
      </c>
      <c r="AD15" s="48"/>
      <c r="AE15" s="47"/>
      <c r="AF15" s="47"/>
      <c r="AG15" s="47"/>
      <c r="AH15" s="47"/>
      <c r="AI15" s="47"/>
      <c r="AJ15" s="47"/>
      <c r="AK15" s="47"/>
      <c r="AM15" s="57"/>
    </row>
    <row r="16" spans="1:39" ht="36" customHeight="1" x14ac:dyDescent="0.3">
      <c r="A16" s="985" t="str">
        <f>A4</f>
        <v xml:space="preserve">All zones except for Server Rooms, Storage, Stairway, and Mechanical_Electrical </v>
      </c>
      <c r="B16" s="931" t="s">
        <v>144</v>
      </c>
      <c r="C16" s="933" t="s">
        <v>799</v>
      </c>
      <c r="D16" s="936" t="s">
        <v>794</v>
      </c>
      <c r="E16" s="387" t="s">
        <v>790</v>
      </c>
      <c r="F16" s="388">
        <v>0.05</v>
      </c>
      <c r="G16" s="388">
        <v>0.05</v>
      </c>
      <c r="H16" s="388">
        <v>0.05</v>
      </c>
      <c r="I16" s="388">
        <v>0.05</v>
      </c>
      <c r="J16" s="388">
        <v>0.05</v>
      </c>
      <c r="K16" s="388">
        <v>0.08</v>
      </c>
      <c r="L16" s="388">
        <v>7.0000000000000007E-2</v>
      </c>
      <c r="M16" s="388">
        <v>0.19</v>
      </c>
      <c r="N16" s="388">
        <v>0.35</v>
      </c>
      <c r="O16" s="388">
        <v>0.38</v>
      </c>
      <c r="P16" s="388">
        <v>0.39</v>
      </c>
      <c r="Q16" s="388">
        <v>0.47</v>
      </c>
      <c r="R16" s="388">
        <v>0.56999999999999995</v>
      </c>
      <c r="S16" s="388">
        <v>0.54</v>
      </c>
      <c r="T16" s="388">
        <v>0.34</v>
      </c>
      <c r="U16" s="388">
        <v>0.33</v>
      </c>
      <c r="V16" s="388">
        <v>0.44</v>
      </c>
      <c r="W16" s="388">
        <v>0.26</v>
      </c>
      <c r="X16" s="388">
        <v>0.21</v>
      </c>
      <c r="Y16" s="388">
        <v>0.15</v>
      </c>
      <c r="Z16" s="388">
        <v>0.17</v>
      </c>
      <c r="AA16" s="388">
        <v>0.08</v>
      </c>
      <c r="AB16" s="388">
        <v>0.05</v>
      </c>
      <c r="AC16" s="389">
        <v>0.05</v>
      </c>
      <c r="AD16" s="48"/>
      <c r="AE16" s="47"/>
      <c r="AF16" s="47"/>
      <c r="AG16" s="47"/>
      <c r="AH16" s="47"/>
      <c r="AI16" s="47"/>
      <c r="AJ16" s="47"/>
      <c r="AK16" s="47"/>
      <c r="AM16" s="57"/>
    </row>
    <row r="17" spans="1:39" ht="36" customHeight="1" x14ac:dyDescent="0.3">
      <c r="A17" s="986"/>
      <c r="B17" s="928"/>
      <c r="C17" s="934"/>
      <c r="D17" s="914"/>
      <c r="E17" s="386" t="s">
        <v>791</v>
      </c>
      <c r="F17" s="385">
        <v>0.04</v>
      </c>
      <c r="G17" s="385">
        <v>0.04</v>
      </c>
      <c r="H17" s="385">
        <v>0.04</v>
      </c>
      <c r="I17" s="385">
        <v>0.04</v>
      </c>
      <c r="J17" s="385">
        <v>0.04</v>
      </c>
      <c r="K17" s="385">
        <v>7.0000000000000007E-2</v>
      </c>
      <c r="L17" s="385">
        <v>0.04</v>
      </c>
      <c r="M17" s="385">
        <v>0.04</v>
      </c>
      <c r="N17" s="385">
        <v>0.04</v>
      </c>
      <c r="O17" s="385">
        <v>0.04</v>
      </c>
      <c r="P17" s="385">
        <v>0.04</v>
      </c>
      <c r="Q17" s="385">
        <v>0.06</v>
      </c>
      <c r="R17" s="385">
        <v>0.06</v>
      </c>
      <c r="S17" s="385">
        <v>0.09</v>
      </c>
      <c r="T17" s="385">
        <v>0.06</v>
      </c>
      <c r="U17" s="385">
        <v>0.04</v>
      </c>
      <c r="V17" s="385">
        <v>0.04</v>
      </c>
      <c r="W17" s="385">
        <v>0.04</v>
      </c>
      <c r="X17" s="385">
        <v>0.04</v>
      </c>
      <c r="Y17" s="385">
        <v>0.04</v>
      </c>
      <c r="Z17" s="385">
        <v>0.04</v>
      </c>
      <c r="AA17" s="385">
        <v>7.0000000000000007E-2</v>
      </c>
      <c r="AB17" s="385">
        <v>0.04</v>
      </c>
      <c r="AC17" s="390">
        <v>0.04</v>
      </c>
      <c r="AD17" s="48"/>
      <c r="AE17" s="47"/>
      <c r="AF17" s="47"/>
      <c r="AG17" s="47"/>
      <c r="AH17" s="47"/>
      <c r="AI17" s="47"/>
      <c r="AJ17" s="47"/>
      <c r="AK17" s="47"/>
      <c r="AM17" s="57"/>
    </row>
    <row r="18" spans="1:39" ht="36" customHeight="1" x14ac:dyDescent="0.3">
      <c r="A18" s="987"/>
      <c r="B18" s="932"/>
      <c r="C18" s="935"/>
      <c r="D18" s="937"/>
      <c r="E18" s="391" t="s">
        <v>792</v>
      </c>
      <c r="F18" s="392">
        <v>0.04</v>
      </c>
      <c r="G18" s="392">
        <v>0.04</v>
      </c>
      <c r="H18" s="392">
        <v>0.04</v>
      </c>
      <c r="I18" s="392">
        <v>0.04</v>
      </c>
      <c r="J18" s="392">
        <v>0.04</v>
      </c>
      <c r="K18" s="392">
        <v>7.0000000000000007E-2</v>
      </c>
      <c r="L18" s="392">
        <v>0.04</v>
      </c>
      <c r="M18" s="392">
        <v>0.04</v>
      </c>
      <c r="N18" s="392">
        <v>0.04</v>
      </c>
      <c r="O18" s="392">
        <v>0.04</v>
      </c>
      <c r="P18" s="392">
        <v>0.04</v>
      </c>
      <c r="Q18" s="392">
        <v>0.06</v>
      </c>
      <c r="R18" s="392">
        <v>0.06</v>
      </c>
      <c r="S18" s="392">
        <v>0.09</v>
      </c>
      <c r="T18" s="392">
        <v>0.06</v>
      </c>
      <c r="U18" s="392">
        <v>0.04</v>
      </c>
      <c r="V18" s="392">
        <v>0.04</v>
      </c>
      <c r="W18" s="392">
        <v>0.04</v>
      </c>
      <c r="X18" s="392">
        <v>0.04</v>
      </c>
      <c r="Y18" s="392">
        <v>0.04</v>
      </c>
      <c r="Z18" s="392">
        <v>0.04</v>
      </c>
      <c r="AA18" s="392">
        <v>7.0000000000000007E-2</v>
      </c>
      <c r="AB18" s="392">
        <v>0.04</v>
      </c>
      <c r="AC18" s="393">
        <v>0.04</v>
      </c>
      <c r="AD18" s="48"/>
      <c r="AE18" s="47"/>
      <c r="AF18" s="47"/>
      <c r="AG18" s="47"/>
      <c r="AH18" s="47"/>
      <c r="AI18" s="47"/>
      <c r="AJ18" s="47"/>
      <c r="AK18" s="47"/>
      <c r="AM18" s="57"/>
    </row>
    <row r="19" spans="1:39" ht="36" customHeight="1" x14ac:dyDescent="0.3">
      <c r="A19" s="988" t="str">
        <f>A4</f>
        <v xml:space="preserve">All zones except for Server Rooms, Storage, Stairway, and Mechanical_Electrical </v>
      </c>
      <c r="B19" s="928" t="s">
        <v>144</v>
      </c>
      <c r="C19" s="949" t="s">
        <v>349</v>
      </c>
      <c r="D19" s="951" t="s">
        <v>800</v>
      </c>
      <c r="E19" s="214" t="s">
        <v>790</v>
      </c>
      <c r="F19" s="215">
        <v>1</v>
      </c>
      <c r="G19" s="215">
        <v>1</v>
      </c>
      <c r="H19" s="215">
        <v>1</v>
      </c>
      <c r="I19" s="215">
        <v>1</v>
      </c>
      <c r="J19" s="215">
        <v>1</v>
      </c>
      <c r="K19" s="215">
        <v>0.25</v>
      </c>
      <c r="L19" s="215">
        <v>0.25</v>
      </c>
      <c r="M19" s="215">
        <v>0.25</v>
      </c>
      <c r="N19" s="215">
        <v>0.25</v>
      </c>
      <c r="O19" s="215">
        <v>0.25</v>
      </c>
      <c r="P19" s="215">
        <v>0.25</v>
      </c>
      <c r="Q19" s="215">
        <v>0.25</v>
      </c>
      <c r="R19" s="215">
        <v>0.25</v>
      </c>
      <c r="S19" s="215">
        <v>0.25</v>
      </c>
      <c r="T19" s="215">
        <v>0.25</v>
      </c>
      <c r="U19" s="215">
        <v>0.25</v>
      </c>
      <c r="V19" s="215">
        <v>0.25</v>
      </c>
      <c r="W19" s="215">
        <v>0.25</v>
      </c>
      <c r="X19" s="215">
        <v>0.25</v>
      </c>
      <c r="Y19" s="215">
        <v>0.25</v>
      </c>
      <c r="Z19" s="215">
        <v>0.25</v>
      </c>
      <c r="AA19" s="215">
        <v>0.25</v>
      </c>
      <c r="AB19" s="215">
        <v>0.25</v>
      </c>
      <c r="AC19" s="216">
        <v>0.25</v>
      </c>
      <c r="AD19" s="48"/>
      <c r="AE19" s="47"/>
      <c r="AF19" s="47"/>
      <c r="AG19" s="47"/>
      <c r="AH19" s="47"/>
      <c r="AI19" s="47"/>
      <c r="AJ19" s="47"/>
      <c r="AK19" s="47"/>
      <c r="AM19" s="57"/>
    </row>
    <row r="20" spans="1:39" ht="36" customHeight="1" x14ac:dyDescent="0.3">
      <c r="A20" s="958"/>
      <c r="B20" s="928"/>
      <c r="C20" s="934"/>
      <c r="D20" s="914"/>
      <c r="E20" s="203" t="s">
        <v>791</v>
      </c>
      <c r="F20" s="195">
        <v>1</v>
      </c>
      <c r="G20" s="195">
        <v>1</v>
      </c>
      <c r="H20" s="195">
        <v>1</v>
      </c>
      <c r="I20" s="195">
        <v>1</v>
      </c>
      <c r="J20" s="195">
        <v>1</v>
      </c>
      <c r="K20" s="197">
        <v>1</v>
      </c>
      <c r="L20" s="197">
        <v>1</v>
      </c>
      <c r="M20" s="197">
        <v>1</v>
      </c>
      <c r="N20" s="197">
        <v>1</v>
      </c>
      <c r="O20" s="197">
        <v>1</v>
      </c>
      <c r="P20" s="197">
        <v>1</v>
      </c>
      <c r="Q20" s="197">
        <v>1</v>
      </c>
      <c r="R20" s="197">
        <v>1</v>
      </c>
      <c r="S20" s="197">
        <v>1</v>
      </c>
      <c r="T20" s="197">
        <v>1</v>
      </c>
      <c r="U20" s="197">
        <v>1</v>
      </c>
      <c r="V20" s="197">
        <v>1</v>
      </c>
      <c r="W20" s="197">
        <v>1</v>
      </c>
      <c r="X20" s="197">
        <v>1</v>
      </c>
      <c r="Y20" s="195">
        <v>1</v>
      </c>
      <c r="Z20" s="195">
        <v>1</v>
      </c>
      <c r="AA20" s="195">
        <v>1</v>
      </c>
      <c r="AB20" s="195">
        <v>1</v>
      </c>
      <c r="AC20" s="198">
        <v>1</v>
      </c>
      <c r="AD20" s="48"/>
      <c r="AE20" s="47"/>
      <c r="AF20" s="47"/>
      <c r="AG20" s="47"/>
      <c r="AH20" s="47"/>
      <c r="AI20" s="47"/>
      <c r="AJ20" s="47"/>
      <c r="AK20" s="47"/>
      <c r="AM20" s="57"/>
    </row>
    <row r="21" spans="1:39" ht="36" customHeight="1" thickBot="1" x14ac:dyDescent="0.35">
      <c r="A21" s="961"/>
      <c r="B21" s="929"/>
      <c r="C21" s="950"/>
      <c r="D21" s="915"/>
      <c r="E21" s="204" t="s">
        <v>792</v>
      </c>
      <c r="F21" s="200">
        <v>1</v>
      </c>
      <c r="G21" s="200">
        <v>1</v>
      </c>
      <c r="H21" s="200">
        <v>1</v>
      </c>
      <c r="I21" s="200">
        <v>1</v>
      </c>
      <c r="J21" s="200">
        <v>1</v>
      </c>
      <c r="K21" s="200">
        <v>1</v>
      </c>
      <c r="L21" s="200">
        <v>1</v>
      </c>
      <c r="M21" s="200">
        <v>1</v>
      </c>
      <c r="N21" s="200">
        <v>1</v>
      </c>
      <c r="O21" s="200">
        <v>1</v>
      </c>
      <c r="P21" s="200">
        <v>1</v>
      </c>
      <c r="Q21" s="200">
        <v>1</v>
      </c>
      <c r="R21" s="200">
        <v>1</v>
      </c>
      <c r="S21" s="200">
        <v>1</v>
      </c>
      <c r="T21" s="200">
        <v>1</v>
      </c>
      <c r="U21" s="200">
        <v>1</v>
      </c>
      <c r="V21" s="200">
        <v>1</v>
      </c>
      <c r="W21" s="200">
        <v>1</v>
      </c>
      <c r="X21" s="200">
        <v>1</v>
      </c>
      <c r="Y21" s="200">
        <v>1</v>
      </c>
      <c r="Z21" s="200">
        <v>1</v>
      </c>
      <c r="AA21" s="200">
        <v>1</v>
      </c>
      <c r="AB21" s="200">
        <v>1</v>
      </c>
      <c r="AC21" s="201">
        <v>1</v>
      </c>
      <c r="AD21" s="48"/>
      <c r="AE21" s="47"/>
      <c r="AF21" s="47"/>
      <c r="AG21" s="47"/>
      <c r="AH21" s="47"/>
      <c r="AI21" s="47"/>
      <c r="AJ21" s="47"/>
      <c r="AK21" s="47"/>
      <c r="AM21" s="57"/>
    </row>
    <row r="22" spans="1:39" ht="36" customHeight="1" x14ac:dyDescent="0.3">
      <c r="A22" s="916" t="str">
        <f t="shared" ref="A22" si="0">A7</f>
        <v xml:space="preserve">All zones except for Server Rooms, Storage, Stairway, and Mechanical_Electrical </v>
      </c>
      <c r="B22" s="927" t="s">
        <v>144</v>
      </c>
      <c r="C22" s="943" t="s">
        <v>801</v>
      </c>
      <c r="D22" s="952"/>
      <c r="E22" s="176" t="s">
        <v>790</v>
      </c>
      <c r="F22" s="223">
        <f>IF((F13=1),Thermostat!$C$3,Thermostat!$C$4)</f>
        <v>60</v>
      </c>
      <c r="G22" s="223">
        <f>IF((G13=1),Thermostat!$C$3,Thermostat!$C$4)</f>
        <v>60</v>
      </c>
      <c r="H22" s="223">
        <f>IF((H13=1),Thermostat!$C$3,Thermostat!$C$4)</f>
        <v>60</v>
      </c>
      <c r="I22" s="223">
        <f>IF((I13=1),Thermostat!$C$3,Thermostat!$C$4)</f>
        <v>60</v>
      </c>
      <c r="J22" s="223">
        <f>IF((J13=1),Thermostat!$C$3,Thermostat!$C$4)</f>
        <v>60</v>
      </c>
      <c r="K22" s="223">
        <f>IF((K13=1),Thermostat!$C$3,Thermostat!$C$4)</f>
        <v>70</v>
      </c>
      <c r="L22" s="223">
        <f>IF((L13=1),Thermostat!$C$3,Thermostat!$C$4)</f>
        <v>70</v>
      </c>
      <c r="M22" s="223">
        <f>IF((M13=1),Thermostat!$C$3,Thermostat!$C$4)</f>
        <v>70</v>
      </c>
      <c r="N22" s="223">
        <f>IF((N13=1),Thermostat!$C$3,Thermostat!$C$4)</f>
        <v>70</v>
      </c>
      <c r="O22" s="223">
        <f>IF((O13=1),Thermostat!$C$3,Thermostat!$C$4)</f>
        <v>70</v>
      </c>
      <c r="P22" s="223">
        <f>IF((P13=1),Thermostat!$C$3,Thermostat!$C$4)</f>
        <v>70</v>
      </c>
      <c r="Q22" s="223">
        <f>IF((Q13=1),Thermostat!$C$3,Thermostat!$C$4)</f>
        <v>70</v>
      </c>
      <c r="R22" s="223">
        <f>IF((R13=1),Thermostat!$C$3,Thermostat!$C$4)</f>
        <v>70</v>
      </c>
      <c r="S22" s="223">
        <f>IF((S13=1),Thermostat!$C$3,Thermostat!$C$4)</f>
        <v>70</v>
      </c>
      <c r="T22" s="223">
        <f>IF((T13=1),Thermostat!$C$3,Thermostat!$C$4)</f>
        <v>70</v>
      </c>
      <c r="U22" s="223">
        <f>IF((U13=1),Thermostat!$C$3,Thermostat!$C$4)</f>
        <v>70</v>
      </c>
      <c r="V22" s="223">
        <f>IF((V13=1),Thermostat!$C$3,Thermostat!$C$4)</f>
        <v>70</v>
      </c>
      <c r="W22" s="223">
        <f>IF((W13=1),Thermostat!$C$3,Thermostat!$C$4)</f>
        <v>70</v>
      </c>
      <c r="X22" s="223">
        <f>IF((X13=1),Thermostat!$C$3,Thermostat!$C$4)</f>
        <v>70</v>
      </c>
      <c r="Y22" s="223">
        <f>IF((Y13=1),Thermostat!$C$3,Thermostat!$C$4)</f>
        <v>70</v>
      </c>
      <c r="Z22" s="223">
        <f>IF((Z13=1),Thermostat!$C$3,Thermostat!$C$4)</f>
        <v>70</v>
      </c>
      <c r="AA22" s="223">
        <f>IF((AA13=1),Thermostat!$C$3,Thermostat!$C$4)</f>
        <v>70</v>
      </c>
      <c r="AB22" s="223">
        <f>IF((AB13=1),Thermostat!$C$3,Thermostat!$C$4)</f>
        <v>70</v>
      </c>
      <c r="AC22" s="224">
        <f>IF((AC13=1),Thermostat!$C$3,Thermostat!$C$4)</f>
        <v>70</v>
      </c>
      <c r="AD22" s="48"/>
      <c r="AE22" s="47"/>
      <c r="AF22" s="47"/>
      <c r="AG22" s="47"/>
      <c r="AH22" s="47"/>
      <c r="AI22" s="47"/>
      <c r="AJ22" s="47"/>
      <c r="AK22" s="47"/>
      <c r="AM22" s="57"/>
    </row>
    <row r="23" spans="1:39" ht="36" customHeight="1" x14ac:dyDescent="0.3">
      <c r="A23" s="958"/>
      <c r="B23" s="928"/>
      <c r="C23" s="944"/>
      <c r="D23" s="953"/>
      <c r="E23" s="177" t="s">
        <v>791</v>
      </c>
      <c r="F23" s="225">
        <f>IF((F14=1),Thermostat!$C$3,Thermostat!$C$4)</f>
        <v>60</v>
      </c>
      <c r="G23" s="225">
        <f>IF((G14=1),Thermostat!$C$3,Thermostat!$C$4)</f>
        <v>60</v>
      </c>
      <c r="H23" s="225">
        <f>IF((H14=1),Thermostat!$C$3,Thermostat!$C$4)</f>
        <v>60</v>
      </c>
      <c r="I23" s="225">
        <f>IF((I14=1),Thermostat!$C$3,Thermostat!$C$4)</f>
        <v>60</v>
      </c>
      <c r="J23" s="225">
        <f>IF((J14=1),Thermostat!$C$3,Thermostat!$C$4)</f>
        <v>60</v>
      </c>
      <c r="K23" s="225">
        <f>IF((K14=1),Thermostat!$C$3,Thermostat!$C$4)</f>
        <v>60</v>
      </c>
      <c r="L23" s="225">
        <f>IF((L14=1),Thermostat!$C$3,Thermostat!$C$4)</f>
        <v>60</v>
      </c>
      <c r="M23" s="225">
        <f>IF((M14=1),Thermostat!$C$3,Thermostat!$C$4)</f>
        <v>60</v>
      </c>
      <c r="N23" s="225">
        <f>IF((N14=1),Thermostat!$C$3,Thermostat!$C$4)</f>
        <v>60</v>
      </c>
      <c r="O23" s="225">
        <f>IF((O14=1),Thermostat!$C$3,Thermostat!$C$4)</f>
        <v>60</v>
      </c>
      <c r="P23" s="225">
        <f>IF((P14=1),Thermostat!$C$3,Thermostat!$C$4)</f>
        <v>60</v>
      </c>
      <c r="Q23" s="225">
        <f>IF((Q14=1),Thermostat!$C$3,Thermostat!$C$4)</f>
        <v>60</v>
      </c>
      <c r="R23" s="225">
        <f>IF((R14=1),Thermostat!$C$3,Thermostat!$C$4)</f>
        <v>60</v>
      </c>
      <c r="S23" s="225">
        <f>IF((S14=1),Thermostat!$C$3,Thermostat!$C$4)</f>
        <v>60</v>
      </c>
      <c r="T23" s="225">
        <f>IF((T14=1),Thermostat!$C$3,Thermostat!$C$4)</f>
        <v>60</v>
      </c>
      <c r="U23" s="225">
        <f>IF((U14=1),Thermostat!$C$3,Thermostat!$C$4)</f>
        <v>60</v>
      </c>
      <c r="V23" s="225">
        <f>IF((V14=1),Thermostat!$C$3,Thermostat!$C$4)</f>
        <v>60</v>
      </c>
      <c r="W23" s="225">
        <f>IF((W14=1),Thermostat!$C$3,Thermostat!$C$4)</f>
        <v>60</v>
      </c>
      <c r="X23" s="225">
        <f>IF((X14=1),Thermostat!$C$3,Thermostat!$C$4)</f>
        <v>60</v>
      </c>
      <c r="Y23" s="225">
        <f>IF((Y14=1),Thermostat!$C$3,Thermostat!$C$4)</f>
        <v>60</v>
      </c>
      <c r="Z23" s="225">
        <f>IF((Z14=1),Thermostat!$C$3,Thermostat!$C$4)</f>
        <v>60</v>
      </c>
      <c r="AA23" s="225">
        <f>IF((AA14=1),Thermostat!$C$3,Thermostat!$C$4)</f>
        <v>60</v>
      </c>
      <c r="AB23" s="225">
        <f>IF((AB14=1),Thermostat!$C$3,Thermostat!$C$4)</f>
        <v>60</v>
      </c>
      <c r="AC23" s="226">
        <f>IF((AC14=1),Thermostat!$C$3,Thermostat!$C$4)</f>
        <v>60</v>
      </c>
      <c r="AD23" s="48"/>
      <c r="AE23" s="47"/>
      <c r="AF23" s="47"/>
      <c r="AG23" s="47"/>
      <c r="AH23" s="47"/>
      <c r="AI23" s="47"/>
      <c r="AJ23" s="47"/>
      <c r="AK23" s="47"/>
      <c r="AM23" s="57"/>
    </row>
    <row r="24" spans="1:39" ht="36" customHeight="1" thickBot="1" x14ac:dyDescent="0.35">
      <c r="A24" s="961"/>
      <c r="B24" s="929"/>
      <c r="C24" s="945"/>
      <c r="D24" s="954"/>
      <c r="E24" s="178" t="s">
        <v>792</v>
      </c>
      <c r="F24" s="227">
        <f>IF((F15=1),Thermostat!$C$3,Thermostat!$C$4)</f>
        <v>60</v>
      </c>
      <c r="G24" s="227">
        <f>IF((G15=1),Thermostat!$C$3,Thermostat!$C$4)</f>
        <v>60</v>
      </c>
      <c r="H24" s="227">
        <f>IF((H15=1),Thermostat!$C$3,Thermostat!$C$4)</f>
        <v>60</v>
      </c>
      <c r="I24" s="227">
        <f>IF((I15=1),Thermostat!$C$3,Thermostat!$C$4)</f>
        <v>60</v>
      </c>
      <c r="J24" s="227">
        <f>IF((J15=1),Thermostat!$C$3,Thermostat!$C$4)</f>
        <v>60</v>
      </c>
      <c r="K24" s="227">
        <f>IF((K15=1),Thermostat!$C$3,Thermostat!$C$4)</f>
        <v>60</v>
      </c>
      <c r="L24" s="227">
        <f>IF((L15=1),Thermostat!$C$3,Thermostat!$C$4)</f>
        <v>60</v>
      </c>
      <c r="M24" s="227">
        <f>IF((M15=1),Thermostat!$C$3,Thermostat!$C$4)</f>
        <v>60</v>
      </c>
      <c r="N24" s="227">
        <f>IF((N15=1),Thermostat!$C$3,Thermostat!$C$4)</f>
        <v>60</v>
      </c>
      <c r="O24" s="227">
        <f>IF((O15=1),Thermostat!$C$3,Thermostat!$C$4)</f>
        <v>60</v>
      </c>
      <c r="P24" s="227">
        <f>IF((P15=1),Thermostat!$C$3,Thermostat!$C$4)</f>
        <v>60</v>
      </c>
      <c r="Q24" s="227">
        <f>IF((Q15=1),Thermostat!$C$3,Thermostat!$C$4)</f>
        <v>60</v>
      </c>
      <c r="R24" s="227">
        <f>IF((R15=1),Thermostat!$C$3,Thermostat!$C$4)</f>
        <v>60</v>
      </c>
      <c r="S24" s="227">
        <f>IF((S15=1),Thermostat!$C$3,Thermostat!$C$4)</f>
        <v>60</v>
      </c>
      <c r="T24" s="227">
        <f>IF((T15=1),Thermostat!$C$3,Thermostat!$C$4)</f>
        <v>60</v>
      </c>
      <c r="U24" s="227">
        <f>IF((U15=1),Thermostat!$C$3,Thermostat!$C$4)</f>
        <v>60</v>
      </c>
      <c r="V24" s="227">
        <f>IF((V15=1),Thermostat!$C$3,Thermostat!$C$4)</f>
        <v>60</v>
      </c>
      <c r="W24" s="227">
        <f>IF((W15=1),Thermostat!$C$3,Thermostat!$C$4)</f>
        <v>60</v>
      </c>
      <c r="X24" s="227">
        <f>IF((X15=1),Thermostat!$C$3,Thermostat!$C$4)</f>
        <v>60</v>
      </c>
      <c r="Y24" s="227">
        <f>IF((Y15=1),Thermostat!$C$3,Thermostat!$C$4)</f>
        <v>60</v>
      </c>
      <c r="Z24" s="227">
        <f>IF((Z15=1),Thermostat!$C$3,Thermostat!$C$4)</f>
        <v>60</v>
      </c>
      <c r="AA24" s="227">
        <f>IF((AA15=1),Thermostat!$C$3,Thermostat!$C$4)</f>
        <v>60</v>
      </c>
      <c r="AB24" s="227">
        <f>IF((AB15=1),Thermostat!$C$3,Thermostat!$C$4)</f>
        <v>60</v>
      </c>
      <c r="AC24" s="228">
        <f>IF((AC15=1),Thermostat!$C$3,Thermostat!$C$4)</f>
        <v>60</v>
      </c>
      <c r="AD24" s="48"/>
      <c r="AE24" s="47"/>
      <c r="AF24" s="47"/>
      <c r="AG24" s="47"/>
      <c r="AH24" s="47"/>
      <c r="AI24" s="47"/>
      <c r="AJ24" s="47"/>
      <c r="AK24" s="47"/>
      <c r="AM24" s="57"/>
    </row>
    <row r="25" spans="1:39" ht="36" customHeight="1" x14ac:dyDescent="0.3">
      <c r="A25" s="916" t="str">
        <f t="shared" ref="A25" si="1">A10</f>
        <v xml:space="preserve">All zones except for Server Rooms, Storage, Stairway, and Mechanical_Electrical </v>
      </c>
      <c r="B25" s="927" t="s">
        <v>144</v>
      </c>
      <c r="C25" s="943" t="s">
        <v>802</v>
      </c>
      <c r="D25" s="946"/>
      <c r="E25" s="229" t="s">
        <v>790</v>
      </c>
      <c r="F25" s="230" t="str">
        <f>IF((F13=1),Thermostat!$C$5,Thermostat!$C$6)</f>
        <v>85*</v>
      </c>
      <c r="G25" s="230" t="str">
        <f>IF((G13=1),Thermostat!$C$5,Thermostat!$C$6)</f>
        <v>85*</v>
      </c>
      <c r="H25" s="230" t="str">
        <f>IF((H13=1),Thermostat!$C$5,Thermostat!$C$6)</f>
        <v>85*</v>
      </c>
      <c r="I25" s="230" t="str">
        <f>IF((I13=1),Thermostat!$C$5,Thermostat!$C$6)</f>
        <v>85*</v>
      </c>
      <c r="J25" s="230" t="str">
        <f>IF((J13=1),Thermostat!$C$5,Thermostat!$C$6)</f>
        <v>85*</v>
      </c>
      <c r="K25" s="230">
        <f>IF((K13=1),Thermostat!$C$5,Thermostat!$C$6)</f>
        <v>75</v>
      </c>
      <c r="L25" s="230">
        <f>IF((L13=1),Thermostat!$C$5,Thermostat!$C$6)</f>
        <v>75</v>
      </c>
      <c r="M25" s="230">
        <f>IF((M13=1),Thermostat!$C$5,Thermostat!$C$6)</f>
        <v>75</v>
      </c>
      <c r="N25" s="230">
        <f>IF((N13=1),Thermostat!$C$5,Thermostat!$C$6)</f>
        <v>75</v>
      </c>
      <c r="O25" s="230">
        <f>IF((O13=1),Thermostat!$C$5,Thermostat!$C$6)</f>
        <v>75</v>
      </c>
      <c r="P25" s="230">
        <f>IF((P13=1),Thermostat!$C$5,Thermostat!$C$6)</f>
        <v>75</v>
      </c>
      <c r="Q25" s="230">
        <f>IF((Q13=1),Thermostat!$C$5,Thermostat!$C$6)</f>
        <v>75</v>
      </c>
      <c r="R25" s="230">
        <f>IF((R13=1),Thermostat!$C$5,Thermostat!$C$6)</f>
        <v>75</v>
      </c>
      <c r="S25" s="230">
        <f>IF((S13=1),Thermostat!$C$5,Thermostat!$C$6)</f>
        <v>75</v>
      </c>
      <c r="T25" s="230">
        <f>IF((T13=1),Thermostat!$C$5,Thermostat!$C$6)</f>
        <v>75</v>
      </c>
      <c r="U25" s="230">
        <f>IF((U13=1),Thermostat!$C$5,Thermostat!$C$6)</f>
        <v>75</v>
      </c>
      <c r="V25" s="230">
        <f>IF((V13=1),Thermostat!$C$5,Thermostat!$C$6)</f>
        <v>75</v>
      </c>
      <c r="W25" s="230">
        <f>IF((W13=1),Thermostat!$C$5,Thermostat!$C$6)</f>
        <v>75</v>
      </c>
      <c r="X25" s="230">
        <f>IF((X13=1),Thermostat!$C$5,Thermostat!$C$6)</f>
        <v>75</v>
      </c>
      <c r="Y25" s="230">
        <f>IF((Y13=1),Thermostat!$C$5,Thermostat!$C$6)</f>
        <v>75</v>
      </c>
      <c r="Z25" s="230">
        <f>IF((Z13=1),Thermostat!$C$5,Thermostat!$C$6)</f>
        <v>75</v>
      </c>
      <c r="AA25" s="230">
        <f>IF((AA13=1),Thermostat!$C$5,Thermostat!$C$6)</f>
        <v>75</v>
      </c>
      <c r="AB25" s="230">
        <f>IF((AB13=1),Thermostat!$C$5,Thermostat!$C$6)</f>
        <v>75</v>
      </c>
      <c r="AC25" s="231">
        <f>IF((AC13=1),Thermostat!$C$5,Thermostat!$C$6)</f>
        <v>75</v>
      </c>
      <c r="AD25" s="48"/>
      <c r="AE25" s="47"/>
      <c r="AF25" s="47"/>
      <c r="AG25" s="47"/>
      <c r="AH25" s="47"/>
      <c r="AI25" s="47"/>
      <c r="AJ25" s="47"/>
      <c r="AK25" s="47"/>
      <c r="AM25" s="57"/>
    </row>
    <row r="26" spans="1:39" ht="36" customHeight="1" x14ac:dyDescent="0.3">
      <c r="A26" s="958"/>
      <c r="B26" s="928"/>
      <c r="C26" s="944"/>
      <c r="D26" s="947"/>
      <c r="E26" s="177" t="s">
        <v>791</v>
      </c>
      <c r="F26" s="225" t="str">
        <f>IF((F14=1),Thermostat!$C$5,Thermostat!$C$6)</f>
        <v>85*</v>
      </c>
      <c r="G26" s="225" t="str">
        <f>IF((G14=1),Thermostat!$C$5,Thermostat!$C$6)</f>
        <v>85*</v>
      </c>
      <c r="H26" s="225" t="str">
        <f>IF((H14=1),Thermostat!$C$5,Thermostat!$C$6)</f>
        <v>85*</v>
      </c>
      <c r="I26" s="225" t="str">
        <f>IF((I14=1),Thermostat!$C$5,Thermostat!$C$6)</f>
        <v>85*</v>
      </c>
      <c r="J26" s="225" t="str">
        <f>IF((J14=1),Thermostat!$C$5,Thermostat!$C$6)</f>
        <v>85*</v>
      </c>
      <c r="K26" s="225" t="str">
        <f>IF((K14=1),Thermostat!$C$5,Thermostat!$C$6)</f>
        <v>85*</v>
      </c>
      <c r="L26" s="225" t="str">
        <f>IF((L14=1),Thermostat!$C$5,Thermostat!$C$6)</f>
        <v>85*</v>
      </c>
      <c r="M26" s="225" t="str">
        <f>IF((M14=1),Thermostat!$C$5,Thermostat!$C$6)</f>
        <v>85*</v>
      </c>
      <c r="N26" s="225" t="str">
        <f>IF((N14=1),Thermostat!$C$5,Thermostat!$C$6)</f>
        <v>85*</v>
      </c>
      <c r="O26" s="225" t="str">
        <f>IF((O14=1),Thermostat!$C$5,Thermostat!$C$6)</f>
        <v>85*</v>
      </c>
      <c r="P26" s="225" t="str">
        <f>IF((P14=1),Thermostat!$C$5,Thermostat!$C$6)</f>
        <v>85*</v>
      </c>
      <c r="Q26" s="225" t="str">
        <f>IF((Q14=1),Thermostat!$C$5,Thermostat!$C$6)</f>
        <v>85*</v>
      </c>
      <c r="R26" s="225" t="str">
        <f>IF((R14=1),Thermostat!$C$5,Thermostat!$C$6)</f>
        <v>85*</v>
      </c>
      <c r="S26" s="225" t="str">
        <f>IF((S14=1),Thermostat!$C$5,Thermostat!$C$6)</f>
        <v>85*</v>
      </c>
      <c r="T26" s="225" t="str">
        <f>IF((T14=1),Thermostat!$C$5,Thermostat!$C$6)</f>
        <v>85*</v>
      </c>
      <c r="U26" s="225" t="str">
        <f>IF((U14=1),Thermostat!$C$5,Thermostat!$C$6)</f>
        <v>85*</v>
      </c>
      <c r="V26" s="225" t="str">
        <f>IF((V14=1),Thermostat!$C$5,Thermostat!$C$6)</f>
        <v>85*</v>
      </c>
      <c r="W26" s="225" t="str">
        <f>IF((W14=1),Thermostat!$C$5,Thermostat!$C$6)</f>
        <v>85*</v>
      </c>
      <c r="X26" s="225" t="str">
        <f>IF((X14=1),Thermostat!$C$5,Thermostat!$C$6)</f>
        <v>85*</v>
      </c>
      <c r="Y26" s="225" t="str">
        <f>IF((Y14=1),Thermostat!$C$5,Thermostat!$C$6)</f>
        <v>85*</v>
      </c>
      <c r="Z26" s="225" t="str">
        <f>IF((Z14=1),Thermostat!$C$5,Thermostat!$C$6)</f>
        <v>85*</v>
      </c>
      <c r="AA26" s="225" t="str">
        <f>IF((AA14=1),Thermostat!$C$5,Thermostat!$C$6)</f>
        <v>85*</v>
      </c>
      <c r="AB26" s="225" t="str">
        <f>IF((AB14=1),Thermostat!$C$5,Thermostat!$C$6)</f>
        <v>85*</v>
      </c>
      <c r="AC26" s="226" t="str">
        <f>IF((AC14=1),Thermostat!$C$5,Thermostat!$C$6)</f>
        <v>85*</v>
      </c>
      <c r="AD26" s="48"/>
      <c r="AE26" s="47"/>
      <c r="AF26" s="47"/>
      <c r="AG26" s="47"/>
      <c r="AH26" s="47"/>
      <c r="AI26" s="47"/>
      <c r="AJ26" s="47"/>
      <c r="AK26" s="47"/>
      <c r="AM26" s="57"/>
    </row>
    <row r="27" spans="1:39" ht="36" customHeight="1" thickBot="1" x14ac:dyDescent="0.35">
      <c r="A27" s="959"/>
      <c r="B27" s="942"/>
      <c r="C27" s="945"/>
      <c r="D27" s="948"/>
      <c r="E27" s="178" t="s">
        <v>792</v>
      </c>
      <c r="F27" s="227" t="str">
        <f>IF((F15=1),Thermostat!$C$5,Thermostat!$C$6)</f>
        <v>85*</v>
      </c>
      <c r="G27" s="227" t="str">
        <f>IF((G15=1),Thermostat!$C$5,Thermostat!$C$6)</f>
        <v>85*</v>
      </c>
      <c r="H27" s="227" t="str">
        <f>IF((H15=1),Thermostat!$C$5,Thermostat!$C$6)</f>
        <v>85*</v>
      </c>
      <c r="I27" s="227" t="str">
        <f>IF((I15=1),Thermostat!$C$5,Thermostat!$C$6)</f>
        <v>85*</v>
      </c>
      <c r="J27" s="227" t="str">
        <f>IF((J15=1),Thermostat!$C$5,Thermostat!$C$6)</f>
        <v>85*</v>
      </c>
      <c r="K27" s="227" t="str">
        <f>IF((K15=1),Thermostat!$C$5,Thermostat!$C$6)</f>
        <v>85*</v>
      </c>
      <c r="L27" s="227" t="str">
        <f>IF((L15=1),Thermostat!$C$5,Thermostat!$C$6)</f>
        <v>85*</v>
      </c>
      <c r="M27" s="227" t="str">
        <f>IF((M15=1),Thermostat!$C$5,Thermostat!$C$6)</f>
        <v>85*</v>
      </c>
      <c r="N27" s="227" t="str">
        <f>IF((N15=1),Thermostat!$C$5,Thermostat!$C$6)</f>
        <v>85*</v>
      </c>
      <c r="O27" s="227" t="str">
        <f>IF((O15=1),Thermostat!$C$5,Thermostat!$C$6)</f>
        <v>85*</v>
      </c>
      <c r="P27" s="227" t="str">
        <f>IF((P15=1),Thermostat!$C$5,Thermostat!$C$6)</f>
        <v>85*</v>
      </c>
      <c r="Q27" s="227" t="str">
        <f>IF((Q15=1),Thermostat!$C$5,Thermostat!$C$6)</f>
        <v>85*</v>
      </c>
      <c r="R27" s="227" t="str">
        <f>IF((R15=1),Thermostat!$C$5,Thermostat!$C$6)</f>
        <v>85*</v>
      </c>
      <c r="S27" s="227" t="str">
        <f>IF((S15=1),Thermostat!$C$5,Thermostat!$C$6)</f>
        <v>85*</v>
      </c>
      <c r="T27" s="227" t="str">
        <f>IF((T15=1),Thermostat!$C$5,Thermostat!$C$6)</f>
        <v>85*</v>
      </c>
      <c r="U27" s="227" t="str">
        <f>IF((U15=1),Thermostat!$C$5,Thermostat!$C$6)</f>
        <v>85*</v>
      </c>
      <c r="V27" s="227" t="str">
        <f>IF((V15=1),Thermostat!$C$5,Thermostat!$C$6)</f>
        <v>85*</v>
      </c>
      <c r="W27" s="227" t="str">
        <f>IF((W15=1),Thermostat!$C$5,Thermostat!$C$6)</f>
        <v>85*</v>
      </c>
      <c r="X27" s="227" t="str">
        <f>IF((X15=1),Thermostat!$C$5,Thermostat!$C$6)</f>
        <v>85*</v>
      </c>
      <c r="Y27" s="227" t="str">
        <f>IF((Y15=1),Thermostat!$C$5,Thermostat!$C$6)</f>
        <v>85*</v>
      </c>
      <c r="Z27" s="227" t="str">
        <f>IF((Z15=1),Thermostat!$C$5,Thermostat!$C$6)</f>
        <v>85*</v>
      </c>
      <c r="AA27" s="227" t="str">
        <f>IF((AA15=1),Thermostat!$C$5,Thermostat!$C$6)</f>
        <v>85*</v>
      </c>
      <c r="AB27" s="227" t="str">
        <f>IF((AB15=1),Thermostat!$C$5,Thermostat!$C$6)</f>
        <v>85*</v>
      </c>
      <c r="AC27" s="228" t="str">
        <f>IF((AC15=1),Thermostat!$C$5,Thermostat!$C$6)</f>
        <v>85*</v>
      </c>
      <c r="AD27" s="48"/>
      <c r="AE27" s="47"/>
      <c r="AF27" s="47"/>
      <c r="AG27" s="47"/>
      <c r="AH27" s="47"/>
      <c r="AI27" s="47"/>
      <c r="AJ27" s="47"/>
      <c r="AK27" s="47"/>
      <c r="AM27" s="57"/>
    </row>
    <row r="28" spans="1:39" ht="31.2" customHeight="1" thickBot="1" x14ac:dyDescent="0.35">
      <c r="A28" s="955" t="s">
        <v>155</v>
      </c>
      <c r="B28" s="956"/>
      <c r="C28" s="956"/>
      <c r="D28" s="956"/>
      <c r="E28" s="956"/>
      <c r="F28" s="956"/>
      <c r="G28" s="956"/>
      <c r="H28" s="956"/>
      <c r="I28" s="956"/>
      <c r="J28" s="956"/>
      <c r="K28" s="956"/>
      <c r="L28" s="956"/>
      <c r="M28" s="956"/>
      <c r="N28" s="956"/>
      <c r="O28" s="956"/>
      <c r="P28" s="956"/>
      <c r="Q28" s="956"/>
      <c r="R28" s="956"/>
      <c r="S28" s="956"/>
      <c r="T28" s="956"/>
      <c r="U28" s="956"/>
      <c r="V28" s="956"/>
      <c r="W28" s="956"/>
      <c r="X28" s="956"/>
      <c r="Y28" s="956"/>
      <c r="Z28" s="956"/>
      <c r="AA28" s="956"/>
      <c r="AB28" s="956"/>
      <c r="AC28" s="957"/>
      <c r="AD28" s="47"/>
      <c r="AE28" s="47"/>
      <c r="AF28" s="47"/>
      <c r="AG28" s="47"/>
      <c r="AH28" s="47"/>
      <c r="AI28" s="47"/>
      <c r="AJ28" s="47"/>
    </row>
    <row r="29" spans="1:39" ht="36" customHeight="1" x14ac:dyDescent="0.3">
      <c r="A29" s="916" t="s">
        <v>506</v>
      </c>
      <c r="B29" s="927" t="s">
        <v>155</v>
      </c>
      <c r="C29" s="918" t="s">
        <v>788</v>
      </c>
      <c r="D29" s="920" t="s">
        <v>803</v>
      </c>
      <c r="E29" s="191" t="s">
        <v>790</v>
      </c>
      <c r="F29" s="192">
        <v>0</v>
      </c>
      <c r="G29" s="192">
        <v>0</v>
      </c>
      <c r="H29" s="192">
        <v>0</v>
      </c>
      <c r="I29" s="192">
        <v>0</v>
      </c>
      <c r="J29" s="192">
        <v>0.05</v>
      </c>
      <c r="K29" s="192">
        <v>0.1</v>
      </c>
      <c r="L29" s="192">
        <v>0.25</v>
      </c>
      <c r="M29" s="192">
        <v>0.65</v>
      </c>
      <c r="N29" s="192">
        <v>0.65</v>
      </c>
      <c r="O29" s="192">
        <v>0.65</v>
      </c>
      <c r="P29" s="192">
        <v>0.65</v>
      </c>
      <c r="Q29" s="192">
        <v>0.6</v>
      </c>
      <c r="R29" s="192">
        <v>0.6</v>
      </c>
      <c r="S29" s="192">
        <v>0.65</v>
      </c>
      <c r="T29" s="192">
        <v>0.65</v>
      </c>
      <c r="U29" s="192">
        <v>0.65</v>
      </c>
      <c r="V29" s="192">
        <v>0.65</v>
      </c>
      <c r="W29" s="192">
        <v>0.4</v>
      </c>
      <c r="X29" s="192">
        <v>0.25</v>
      </c>
      <c r="Y29" s="192">
        <v>0.1</v>
      </c>
      <c r="Z29" s="192">
        <v>0.05</v>
      </c>
      <c r="AA29" s="192">
        <v>0.05</v>
      </c>
      <c r="AB29" s="192">
        <v>0.05</v>
      </c>
      <c r="AC29" s="193">
        <v>0</v>
      </c>
      <c r="AD29" s="47"/>
      <c r="AE29" s="47"/>
      <c r="AF29" s="47"/>
      <c r="AG29" s="47"/>
      <c r="AH29" s="47"/>
      <c r="AI29" s="47"/>
      <c r="AJ29" s="47"/>
      <c r="AK29" s="47"/>
    </row>
    <row r="30" spans="1:39" ht="36" customHeight="1" x14ac:dyDescent="0.3">
      <c r="A30" s="958"/>
      <c r="B30" s="928"/>
      <c r="C30" s="934"/>
      <c r="D30" s="914"/>
      <c r="E30" s="194" t="s">
        <v>791</v>
      </c>
      <c r="F30" s="195">
        <v>0</v>
      </c>
      <c r="G30" s="195">
        <v>0</v>
      </c>
      <c r="H30" s="195">
        <v>0</v>
      </c>
      <c r="I30" s="195">
        <v>0</v>
      </c>
      <c r="J30" s="195">
        <v>0</v>
      </c>
      <c r="K30" s="195">
        <v>0</v>
      </c>
      <c r="L30" s="196">
        <v>0</v>
      </c>
      <c r="M30" s="196">
        <v>0.05</v>
      </c>
      <c r="N30" s="196">
        <v>0.05</v>
      </c>
      <c r="O30" s="196">
        <v>0.05</v>
      </c>
      <c r="P30" s="196">
        <v>0.05</v>
      </c>
      <c r="Q30" s="196">
        <v>0.05</v>
      </c>
      <c r="R30" s="196">
        <v>0.05</v>
      </c>
      <c r="S30" s="196">
        <v>0.05</v>
      </c>
      <c r="T30" s="196">
        <v>0.05</v>
      </c>
      <c r="U30" s="196">
        <v>0.05</v>
      </c>
      <c r="V30" s="196">
        <v>0.05</v>
      </c>
      <c r="W30" s="196">
        <v>0.05</v>
      </c>
      <c r="X30" s="197">
        <v>0.05</v>
      </c>
      <c r="Y30" s="195">
        <v>0.05</v>
      </c>
      <c r="Z30" s="195">
        <v>0</v>
      </c>
      <c r="AA30" s="195">
        <v>0</v>
      </c>
      <c r="AB30" s="195">
        <v>0</v>
      </c>
      <c r="AC30" s="198">
        <v>0</v>
      </c>
      <c r="AD30" s="47"/>
      <c r="AE30" s="47"/>
      <c r="AF30" s="47"/>
      <c r="AG30" s="47"/>
      <c r="AH30" s="47"/>
      <c r="AI30" s="47"/>
      <c r="AJ30" s="47"/>
      <c r="AK30" s="47"/>
    </row>
    <row r="31" spans="1:39" ht="36" customHeight="1" thickBot="1" x14ac:dyDescent="0.35">
      <c r="A31" s="961"/>
      <c r="B31" s="942"/>
      <c r="C31" s="950"/>
      <c r="D31" s="915"/>
      <c r="E31" s="199" t="s">
        <v>792</v>
      </c>
      <c r="F31" s="200">
        <v>0</v>
      </c>
      <c r="G31" s="200">
        <v>0</v>
      </c>
      <c r="H31" s="200">
        <v>0</v>
      </c>
      <c r="I31" s="200">
        <v>0</v>
      </c>
      <c r="J31" s="200">
        <v>0</v>
      </c>
      <c r="K31" s="200">
        <v>0</v>
      </c>
      <c r="L31" s="200">
        <v>0</v>
      </c>
      <c r="M31" s="200">
        <v>0.05</v>
      </c>
      <c r="N31" s="200">
        <v>0.05</v>
      </c>
      <c r="O31" s="200">
        <v>0.05</v>
      </c>
      <c r="P31" s="200">
        <v>0.05</v>
      </c>
      <c r="Q31" s="200">
        <v>0.05</v>
      </c>
      <c r="R31" s="200">
        <v>0.05</v>
      </c>
      <c r="S31" s="200">
        <v>0.05</v>
      </c>
      <c r="T31" s="200">
        <v>0.05</v>
      </c>
      <c r="U31" s="200">
        <v>0.05</v>
      </c>
      <c r="V31" s="200">
        <v>0.05</v>
      </c>
      <c r="W31" s="200">
        <v>0.05</v>
      </c>
      <c r="X31" s="200">
        <v>0.05</v>
      </c>
      <c r="Y31" s="200">
        <v>0.05</v>
      </c>
      <c r="Z31" s="200">
        <v>0</v>
      </c>
      <c r="AA31" s="200">
        <v>0</v>
      </c>
      <c r="AB31" s="200">
        <v>0</v>
      </c>
      <c r="AC31" s="201">
        <v>0</v>
      </c>
      <c r="AD31" s="47"/>
      <c r="AE31" s="47"/>
      <c r="AF31" s="47"/>
      <c r="AG31" s="47"/>
      <c r="AH31" s="47"/>
      <c r="AI31" s="47"/>
      <c r="AJ31" s="47"/>
      <c r="AK31" s="47"/>
    </row>
    <row r="32" spans="1:39" ht="36" customHeight="1" x14ac:dyDescent="0.3">
      <c r="A32" s="916" t="str">
        <f>A29</f>
        <v>Server rooms</v>
      </c>
      <c r="B32" s="927" t="str">
        <f>B29</f>
        <v>Data</v>
      </c>
      <c r="C32" s="918" t="s">
        <v>793</v>
      </c>
      <c r="D32" s="920" t="s">
        <v>803</v>
      </c>
      <c r="E32" s="232" t="s">
        <v>790</v>
      </c>
      <c r="F32" s="192">
        <v>0.05</v>
      </c>
      <c r="G32" s="192">
        <v>0.05</v>
      </c>
      <c r="H32" s="192">
        <v>0.05</v>
      </c>
      <c r="I32" s="192">
        <v>0.05</v>
      </c>
      <c r="J32" s="192">
        <v>0.1</v>
      </c>
      <c r="K32" s="192">
        <v>0.2</v>
      </c>
      <c r="L32" s="192">
        <v>0.4</v>
      </c>
      <c r="M32" s="192">
        <v>0.7</v>
      </c>
      <c r="N32" s="192">
        <v>0.8</v>
      </c>
      <c r="O32" s="192">
        <v>0.85</v>
      </c>
      <c r="P32" s="192">
        <v>0.85</v>
      </c>
      <c r="Q32" s="192">
        <v>0.85</v>
      </c>
      <c r="R32" s="192">
        <v>0.85</v>
      </c>
      <c r="S32" s="192">
        <v>0.85</v>
      </c>
      <c r="T32" s="192">
        <v>0.85</v>
      </c>
      <c r="U32" s="192">
        <v>0.85</v>
      </c>
      <c r="V32" s="192">
        <v>0.85</v>
      </c>
      <c r="W32" s="192">
        <v>0.8</v>
      </c>
      <c r="X32" s="192">
        <v>0.35</v>
      </c>
      <c r="Y32" s="192">
        <v>0.1</v>
      </c>
      <c r="Z32" s="192">
        <v>0.1</v>
      </c>
      <c r="AA32" s="192">
        <v>0.1</v>
      </c>
      <c r="AB32" s="192">
        <v>0.1</v>
      </c>
      <c r="AC32" s="193">
        <v>0.1</v>
      </c>
      <c r="AD32" s="47"/>
      <c r="AE32" s="47"/>
      <c r="AF32" s="47"/>
      <c r="AG32" s="47"/>
      <c r="AH32" s="47"/>
      <c r="AI32" s="47"/>
      <c r="AJ32" s="47"/>
      <c r="AK32" s="47"/>
      <c r="AM32" s="57"/>
    </row>
    <row r="33" spans="1:39" ht="36" customHeight="1" x14ac:dyDescent="0.3">
      <c r="A33" s="958"/>
      <c r="B33" s="928"/>
      <c r="C33" s="934"/>
      <c r="D33" s="914"/>
      <c r="E33" s="203" t="s">
        <v>791</v>
      </c>
      <c r="F33" s="195">
        <v>0.05</v>
      </c>
      <c r="G33" s="195">
        <v>0.05</v>
      </c>
      <c r="H33" s="195">
        <v>0.05</v>
      </c>
      <c r="I33" s="195">
        <v>0.05</v>
      </c>
      <c r="J33" s="195">
        <v>0.05</v>
      </c>
      <c r="K33" s="195">
        <v>0.1</v>
      </c>
      <c r="L33" s="197">
        <v>0.1</v>
      </c>
      <c r="M33" s="197">
        <v>0.15</v>
      </c>
      <c r="N33" s="197">
        <v>0.15</v>
      </c>
      <c r="O33" s="197">
        <v>0.15</v>
      </c>
      <c r="P33" s="197">
        <v>0.15</v>
      </c>
      <c r="Q33" s="197">
        <v>0.15</v>
      </c>
      <c r="R33" s="197">
        <v>0.15</v>
      </c>
      <c r="S33" s="197">
        <v>0.15</v>
      </c>
      <c r="T33" s="197">
        <v>0.15</v>
      </c>
      <c r="U33" s="197">
        <v>0.15</v>
      </c>
      <c r="V33" s="197">
        <v>0.15</v>
      </c>
      <c r="W33" s="197">
        <v>0.1</v>
      </c>
      <c r="X33" s="195">
        <v>0.1</v>
      </c>
      <c r="Y33" s="195">
        <v>0.1</v>
      </c>
      <c r="Z33" s="197">
        <v>0.05</v>
      </c>
      <c r="AA33" s="197">
        <v>0.05</v>
      </c>
      <c r="AB33" s="197">
        <v>0.05</v>
      </c>
      <c r="AC33" s="257">
        <v>0.05</v>
      </c>
      <c r="AD33" s="47"/>
      <c r="AE33" s="47"/>
      <c r="AF33" s="47"/>
      <c r="AG33" s="47"/>
      <c r="AH33" s="47"/>
      <c r="AI33" s="47"/>
      <c r="AJ33" s="47"/>
      <c r="AK33" s="47"/>
      <c r="AM33" s="57"/>
    </row>
    <row r="34" spans="1:39" ht="36" customHeight="1" thickBot="1" x14ac:dyDescent="0.35">
      <c r="A34" s="961"/>
      <c r="B34" s="942"/>
      <c r="C34" s="950"/>
      <c r="D34" s="915"/>
      <c r="E34" s="233" t="s">
        <v>792</v>
      </c>
      <c r="F34" s="205">
        <v>0.05</v>
      </c>
      <c r="G34" s="205">
        <v>0.05</v>
      </c>
      <c r="H34" s="205">
        <v>0.05</v>
      </c>
      <c r="I34" s="205">
        <v>0.05</v>
      </c>
      <c r="J34" s="205">
        <v>0.05</v>
      </c>
      <c r="K34" s="205">
        <v>0.1</v>
      </c>
      <c r="L34" s="256">
        <v>0.1</v>
      </c>
      <c r="M34" s="256">
        <v>0.15</v>
      </c>
      <c r="N34" s="256">
        <v>0.15</v>
      </c>
      <c r="O34" s="256">
        <v>0.15</v>
      </c>
      <c r="P34" s="256">
        <v>0.15</v>
      </c>
      <c r="Q34" s="256">
        <v>0.15</v>
      </c>
      <c r="R34" s="256">
        <v>0.15</v>
      </c>
      <c r="S34" s="256">
        <v>0.15</v>
      </c>
      <c r="T34" s="256">
        <v>0.15</v>
      </c>
      <c r="U34" s="256">
        <v>0.15</v>
      </c>
      <c r="V34" s="256">
        <v>0.15</v>
      </c>
      <c r="W34" s="256">
        <v>0.1</v>
      </c>
      <c r="X34" s="205">
        <v>0.1</v>
      </c>
      <c r="Y34" s="205">
        <v>0.1</v>
      </c>
      <c r="Z34" s="256">
        <v>0.05</v>
      </c>
      <c r="AA34" s="256">
        <v>0.05</v>
      </c>
      <c r="AB34" s="256">
        <v>0.05</v>
      </c>
      <c r="AC34" s="258">
        <v>0.05</v>
      </c>
      <c r="AD34" s="47"/>
      <c r="AE34" s="47"/>
      <c r="AF34" s="47"/>
      <c r="AG34" s="47"/>
      <c r="AH34" s="47"/>
      <c r="AI34" s="47"/>
      <c r="AJ34" s="47"/>
      <c r="AK34" s="47"/>
      <c r="AM34" s="57"/>
    </row>
    <row r="35" spans="1:39" ht="36" customHeight="1" x14ac:dyDescent="0.3">
      <c r="A35" s="916" t="str">
        <f>A29</f>
        <v>Server rooms</v>
      </c>
      <c r="B35" s="927" t="str">
        <f>B29</f>
        <v>Data</v>
      </c>
      <c r="C35" s="918" t="s">
        <v>797</v>
      </c>
      <c r="D35" s="920" t="s">
        <v>804</v>
      </c>
      <c r="E35" s="214" t="s">
        <v>790</v>
      </c>
      <c r="F35" s="215">
        <v>1</v>
      </c>
      <c r="G35" s="215">
        <v>1</v>
      </c>
      <c r="H35" s="215">
        <v>1</v>
      </c>
      <c r="I35" s="215">
        <v>1</v>
      </c>
      <c r="J35" s="215">
        <v>1</v>
      </c>
      <c r="K35" s="215">
        <v>1</v>
      </c>
      <c r="L35" s="215">
        <v>1</v>
      </c>
      <c r="M35" s="215">
        <v>1</v>
      </c>
      <c r="N35" s="215">
        <v>1</v>
      </c>
      <c r="O35" s="215">
        <v>1</v>
      </c>
      <c r="P35" s="215">
        <v>1</v>
      </c>
      <c r="Q35" s="215">
        <v>1</v>
      </c>
      <c r="R35" s="215">
        <v>1</v>
      </c>
      <c r="S35" s="215">
        <v>1</v>
      </c>
      <c r="T35" s="215">
        <v>1</v>
      </c>
      <c r="U35" s="215">
        <v>1</v>
      </c>
      <c r="V35" s="215">
        <v>1</v>
      </c>
      <c r="W35" s="215">
        <v>1</v>
      </c>
      <c r="X35" s="215">
        <v>1</v>
      </c>
      <c r="Y35" s="215">
        <v>1</v>
      </c>
      <c r="Z35" s="215">
        <v>1</v>
      </c>
      <c r="AA35" s="215">
        <v>1</v>
      </c>
      <c r="AB35" s="215">
        <v>1</v>
      </c>
      <c r="AC35" s="216">
        <v>1</v>
      </c>
      <c r="AD35" s="48"/>
      <c r="AE35" s="47"/>
      <c r="AF35" s="47"/>
      <c r="AG35" s="47"/>
      <c r="AH35" s="47"/>
      <c r="AI35" s="47"/>
      <c r="AJ35" s="47"/>
      <c r="AK35" s="47"/>
      <c r="AM35" s="57"/>
    </row>
    <row r="36" spans="1:39" ht="36" customHeight="1" x14ac:dyDescent="0.3">
      <c r="A36" s="958"/>
      <c r="B36" s="928"/>
      <c r="C36" s="934"/>
      <c r="D36" s="914"/>
      <c r="E36" s="203" t="s">
        <v>791</v>
      </c>
      <c r="F36" s="195">
        <v>1</v>
      </c>
      <c r="G36" s="195">
        <v>1</v>
      </c>
      <c r="H36" s="195">
        <v>1</v>
      </c>
      <c r="I36" s="195">
        <v>1</v>
      </c>
      <c r="J36" s="195">
        <v>1</v>
      </c>
      <c r="K36" s="195">
        <v>1</v>
      </c>
      <c r="L36" s="195">
        <v>1</v>
      </c>
      <c r="M36" s="195">
        <v>1</v>
      </c>
      <c r="N36" s="195">
        <v>1</v>
      </c>
      <c r="O36" s="195">
        <v>1</v>
      </c>
      <c r="P36" s="195">
        <v>1</v>
      </c>
      <c r="Q36" s="195">
        <v>1</v>
      </c>
      <c r="R36" s="195">
        <v>1</v>
      </c>
      <c r="S36" s="195">
        <v>1</v>
      </c>
      <c r="T36" s="195">
        <v>1</v>
      </c>
      <c r="U36" s="195">
        <v>1</v>
      </c>
      <c r="V36" s="195">
        <v>1</v>
      </c>
      <c r="W36" s="195">
        <v>1</v>
      </c>
      <c r="X36" s="195">
        <v>1</v>
      </c>
      <c r="Y36" s="195">
        <v>1</v>
      </c>
      <c r="Z36" s="195">
        <v>1</v>
      </c>
      <c r="AA36" s="195">
        <v>1</v>
      </c>
      <c r="AB36" s="195">
        <v>1</v>
      </c>
      <c r="AC36" s="198">
        <v>1</v>
      </c>
      <c r="AD36" s="48"/>
      <c r="AE36" s="47"/>
      <c r="AF36" s="47"/>
      <c r="AG36" s="47"/>
      <c r="AH36" s="47"/>
      <c r="AI36" s="47"/>
      <c r="AJ36" s="47"/>
      <c r="AK36" s="47"/>
      <c r="AM36" s="57"/>
    </row>
    <row r="37" spans="1:39" ht="36" customHeight="1" thickBot="1" x14ac:dyDescent="0.35">
      <c r="A37" s="961"/>
      <c r="B37" s="942"/>
      <c r="C37" s="997"/>
      <c r="D37" s="921"/>
      <c r="E37" s="211" t="s">
        <v>792</v>
      </c>
      <c r="F37" s="205">
        <v>1</v>
      </c>
      <c r="G37" s="205">
        <v>1</v>
      </c>
      <c r="H37" s="205">
        <v>1</v>
      </c>
      <c r="I37" s="205">
        <v>1</v>
      </c>
      <c r="J37" s="205">
        <v>1</v>
      </c>
      <c r="K37" s="205">
        <v>1</v>
      </c>
      <c r="L37" s="205">
        <v>1</v>
      </c>
      <c r="M37" s="205">
        <v>1</v>
      </c>
      <c r="N37" s="205">
        <v>1</v>
      </c>
      <c r="O37" s="205">
        <v>1</v>
      </c>
      <c r="P37" s="205">
        <v>1</v>
      </c>
      <c r="Q37" s="205">
        <v>1</v>
      </c>
      <c r="R37" s="205">
        <v>1</v>
      </c>
      <c r="S37" s="205">
        <v>1</v>
      </c>
      <c r="T37" s="205">
        <v>1</v>
      </c>
      <c r="U37" s="205">
        <v>1</v>
      </c>
      <c r="V37" s="205">
        <v>1</v>
      </c>
      <c r="W37" s="205">
        <v>1</v>
      </c>
      <c r="X37" s="205">
        <v>1</v>
      </c>
      <c r="Y37" s="205">
        <v>1</v>
      </c>
      <c r="Z37" s="205">
        <v>1</v>
      </c>
      <c r="AA37" s="205">
        <v>1</v>
      </c>
      <c r="AB37" s="205">
        <v>1</v>
      </c>
      <c r="AC37" s="206">
        <v>1</v>
      </c>
      <c r="AD37" s="48"/>
      <c r="AE37" s="47"/>
      <c r="AF37" s="47"/>
      <c r="AG37" s="47"/>
      <c r="AH37" s="47"/>
      <c r="AI37" s="47"/>
      <c r="AJ37" s="47"/>
      <c r="AK37" s="47"/>
      <c r="AM37" s="57"/>
    </row>
    <row r="38" spans="1:39" ht="36" customHeight="1" x14ac:dyDescent="0.3">
      <c r="A38" s="916" t="str">
        <f>A29</f>
        <v>Server rooms</v>
      </c>
      <c r="B38" s="927" t="str">
        <f>B29</f>
        <v>Data</v>
      </c>
      <c r="C38" s="949" t="s">
        <v>799</v>
      </c>
      <c r="D38" s="951" t="s">
        <v>805</v>
      </c>
      <c r="E38" s="214" t="s">
        <v>790</v>
      </c>
      <c r="F38" s="217">
        <v>0</v>
      </c>
      <c r="G38" s="217">
        <v>0</v>
      </c>
      <c r="H38" s="217">
        <v>0</v>
      </c>
      <c r="I38" s="217">
        <v>0</v>
      </c>
      <c r="J38" s="217">
        <v>0.1</v>
      </c>
      <c r="K38" s="217">
        <v>0.1</v>
      </c>
      <c r="L38" s="217">
        <v>0.5</v>
      </c>
      <c r="M38" s="217">
        <v>0.5</v>
      </c>
      <c r="N38" s="217">
        <v>0.5</v>
      </c>
      <c r="O38" s="217">
        <v>0.5</v>
      </c>
      <c r="P38" s="217">
        <v>0.7</v>
      </c>
      <c r="Q38" s="217">
        <v>0.9</v>
      </c>
      <c r="R38" s="217">
        <v>0.9</v>
      </c>
      <c r="S38" s="217">
        <v>0.5</v>
      </c>
      <c r="T38" s="217">
        <v>0.5</v>
      </c>
      <c r="U38" s="217">
        <v>0.7</v>
      </c>
      <c r="V38" s="217">
        <v>0.5</v>
      </c>
      <c r="W38" s="217">
        <v>0.5</v>
      </c>
      <c r="X38" s="217">
        <v>0.5</v>
      </c>
      <c r="Y38" s="217">
        <v>0.1</v>
      </c>
      <c r="Z38" s="217">
        <v>0.1</v>
      </c>
      <c r="AA38" s="217">
        <v>0.1</v>
      </c>
      <c r="AB38" s="217">
        <v>0.1</v>
      </c>
      <c r="AC38" s="218">
        <v>0</v>
      </c>
      <c r="AD38" s="48"/>
      <c r="AE38" s="47"/>
      <c r="AF38" s="47"/>
      <c r="AG38" s="47"/>
      <c r="AH38" s="47"/>
      <c r="AI38" s="47"/>
      <c r="AJ38" s="47"/>
      <c r="AK38" s="47"/>
      <c r="AM38" s="57"/>
    </row>
    <row r="39" spans="1:39" ht="36" customHeight="1" x14ac:dyDescent="0.3">
      <c r="A39" s="958"/>
      <c r="B39" s="928"/>
      <c r="C39" s="934"/>
      <c r="D39" s="914"/>
      <c r="E39" s="203" t="s">
        <v>791</v>
      </c>
      <c r="F39" s="219">
        <v>0</v>
      </c>
      <c r="G39" s="219">
        <v>0</v>
      </c>
      <c r="H39" s="219">
        <v>0</v>
      </c>
      <c r="I39" s="219">
        <v>0</v>
      </c>
      <c r="J39" s="219">
        <v>0</v>
      </c>
      <c r="K39" s="219">
        <v>0</v>
      </c>
      <c r="L39" s="219">
        <v>0</v>
      </c>
      <c r="M39" s="219">
        <v>0</v>
      </c>
      <c r="N39" s="219">
        <v>0</v>
      </c>
      <c r="O39" s="219">
        <v>0</v>
      </c>
      <c r="P39" s="219">
        <v>0</v>
      </c>
      <c r="Q39" s="219">
        <v>0</v>
      </c>
      <c r="R39" s="219">
        <v>0</v>
      </c>
      <c r="S39" s="219">
        <v>0</v>
      </c>
      <c r="T39" s="219">
        <v>0</v>
      </c>
      <c r="U39" s="219">
        <v>0</v>
      </c>
      <c r="V39" s="219">
        <v>0</v>
      </c>
      <c r="W39" s="219">
        <v>0</v>
      </c>
      <c r="X39" s="219">
        <v>0</v>
      </c>
      <c r="Y39" s="219">
        <v>0</v>
      </c>
      <c r="Z39" s="219">
        <v>0</v>
      </c>
      <c r="AA39" s="219">
        <v>0</v>
      </c>
      <c r="AB39" s="219">
        <v>0</v>
      </c>
      <c r="AC39" s="220">
        <v>0</v>
      </c>
      <c r="AD39" s="48"/>
      <c r="AE39" s="47"/>
      <c r="AF39" s="47"/>
      <c r="AG39" s="47"/>
      <c r="AH39" s="47"/>
      <c r="AI39" s="47"/>
      <c r="AJ39" s="47"/>
      <c r="AK39" s="47"/>
      <c r="AM39" s="57"/>
    </row>
    <row r="40" spans="1:39" ht="36" customHeight="1" thickBot="1" x14ac:dyDescent="0.35">
      <c r="A40" s="961"/>
      <c r="B40" s="942"/>
      <c r="C40" s="962"/>
      <c r="D40" s="915"/>
      <c r="E40" s="211" t="s">
        <v>792</v>
      </c>
      <c r="F40" s="221">
        <v>0</v>
      </c>
      <c r="G40" s="221">
        <v>0</v>
      </c>
      <c r="H40" s="221">
        <v>0</v>
      </c>
      <c r="I40" s="221">
        <v>0</v>
      </c>
      <c r="J40" s="221">
        <v>0</v>
      </c>
      <c r="K40" s="221">
        <v>0</v>
      </c>
      <c r="L40" s="221">
        <v>0</v>
      </c>
      <c r="M40" s="221">
        <v>0</v>
      </c>
      <c r="N40" s="221">
        <v>0</v>
      </c>
      <c r="O40" s="221">
        <v>0</v>
      </c>
      <c r="P40" s="221">
        <v>0</v>
      </c>
      <c r="Q40" s="221">
        <v>0</v>
      </c>
      <c r="R40" s="221">
        <v>0</v>
      </c>
      <c r="S40" s="221">
        <v>0</v>
      </c>
      <c r="T40" s="221">
        <v>0</v>
      </c>
      <c r="U40" s="221">
        <v>0</v>
      </c>
      <c r="V40" s="221">
        <v>0</v>
      </c>
      <c r="W40" s="221">
        <v>0</v>
      </c>
      <c r="X40" s="221">
        <v>0</v>
      </c>
      <c r="Y40" s="221">
        <v>0</v>
      </c>
      <c r="Z40" s="221">
        <v>0</v>
      </c>
      <c r="AA40" s="221">
        <v>0</v>
      </c>
      <c r="AB40" s="221">
        <v>0</v>
      </c>
      <c r="AC40" s="222">
        <v>0</v>
      </c>
      <c r="AD40" s="48"/>
      <c r="AE40" s="47"/>
      <c r="AF40" s="47"/>
      <c r="AG40" s="47"/>
      <c r="AH40" s="47"/>
      <c r="AI40" s="47"/>
      <c r="AJ40" s="47"/>
      <c r="AK40" s="47"/>
      <c r="AM40" s="57"/>
    </row>
    <row r="41" spans="1:39" ht="36" customHeight="1" x14ac:dyDescent="0.3">
      <c r="A41" s="916" t="str">
        <f>A29</f>
        <v>Server rooms</v>
      </c>
      <c r="B41" s="927" t="str">
        <f>B29</f>
        <v>Data</v>
      </c>
      <c r="C41" s="911" t="s">
        <v>349</v>
      </c>
      <c r="D41" s="920" t="s">
        <v>804</v>
      </c>
      <c r="E41" s="202" t="s">
        <v>790</v>
      </c>
      <c r="F41" s="215">
        <v>0.25</v>
      </c>
      <c r="G41" s="215">
        <v>0.25</v>
      </c>
      <c r="H41" s="215">
        <v>0.25</v>
      </c>
      <c r="I41" s="215">
        <v>0.25</v>
      </c>
      <c r="J41" s="215">
        <v>0.25</v>
      </c>
      <c r="K41" s="215">
        <v>0.25</v>
      </c>
      <c r="L41" s="215">
        <v>0.25</v>
      </c>
      <c r="M41" s="215">
        <v>0.25</v>
      </c>
      <c r="N41" s="215">
        <v>0.25</v>
      </c>
      <c r="O41" s="215">
        <v>0.25</v>
      </c>
      <c r="P41" s="215">
        <v>0.25</v>
      </c>
      <c r="Q41" s="215">
        <v>0.25</v>
      </c>
      <c r="R41" s="215">
        <v>0.25</v>
      </c>
      <c r="S41" s="215">
        <v>0.25</v>
      </c>
      <c r="T41" s="215">
        <v>0.25</v>
      </c>
      <c r="U41" s="215">
        <v>0.25</v>
      </c>
      <c r="V41" s="215">
        <v>0.25</v>
      </c>
      <c r="W41" s="215">
        <v>0.25</v>
      </c>
      <c r="X41" s="215">
        <v>0.25</v>
      </c>
      <c r="Y41" s="215">
        <v>0.25</v>
      </c>
      <c r="Z41" s="215">
        <v>0.25</v>
      </c>
      <c r="AA41" s="215">
        <v>0.25</v>
      </c>
      <c r="AB41" s="215">
        <v>0.25</v>
      </c>
      <c r="AC41" s="216">
        <v>0.25</v>
      </c>
      <c r="AD41" s="48"/>
      <c r="AE41" s="47"/>
      <c r="AF41" s="47"/>
      <c r="AG41" s="47"/>
      <c r="AH41" s="47"/>
      <c r="AI41" s="47"/>
      <c r="AJ41" s="47"/>
      <c r="AK41" s="47"/>
      <c r="AM41" s="57"/>
    </row>
    <row r="42" spans="1:39" ht="36" customHeight="1" x14ac:dyDescent="0.3">
      <c r="A42" s="958"/>
      <c r="B42" s="928"/>
      <c r="C42" s="934"/>
      <c r="D42" s="914"/>
      <c r="E42" s="203" t="s">
        <v>791</v>
      </c>
      <c r="F42" s="195">
        <v>0.25</v>
      </c>
      <c r="G42" s="195">
        <v>0.25</v>
      </c>
      <c r="H42" s="195">
        <v>0.25</v>
      </c>
      <c r="I42" s="195">
        <v>0.25</v>
      </c>
      <c r="J42" s="195">
        <v>0.25</v>
      </c>
      <c r="K42" s="195">
        <v>0.25</v>
      </c>
      <c r="L42" s="195">
        <v>0.25</v>
      </c>
      <c r="M42" s="195">
        <v>0.25</v>
      </c>
      <c r="N42" s="195">
        <v>0.25</v>
      </c>
      <c r="O42" s="195">
        <v>0.25</v>
      </c>
      <c r="P42" s="195">
        <v>0.25</v>
      </c>
      <c r="Q42" s="195">
        <v>0.25</v>
      </c>
      <c r="R42" s="195">
        <v>0.25</v>
      </c>
      <c r="S42" s="195">
        <v>0.25</v>
      </c>
      <c r="T42" s="195">
        <v>0.25</v>
      </c>
      <c r="U42" s="195">
        <v>0.25</v>
      </c>
      <c r="V42" s="195">
        <v>0.25</v>
      </c>
      <c r="W42" s="195">
        <v>0.25</v>
      </c>
      <c r="X42" s="195">
        <v>0.25</v>
      </c>
      <c r="Y42" s="195">
        <v>0.25</v>
      </c>
      <c r="Z42" s="195">
        <v>0.25</v>
      </c>
      <c r="AA42" s="195">
        <v>0.25</v>
      </c>
      <c r="AB42" s="195">
        <v>0.25</v>
      </c>
      <c r="AC42" s="198">
        <v>0.25</v>
      </c>
      <c r="AD42" s="48"/>
      <c r="AE42" s="47"/>
      <c r="AF42" s="47"/>
      <c r="AG42" s="47"/>
      <c r="AH42" s="47"/>
      <c r="AI42" s="47"/>
      <c r="AJ42" s="47"/>
      <c r="AK42" s="47"/>
      <c r="AM42" s="57"/>
    </row>
    <row r="43" spans="1:39" ht="36" customHeight="1" thickBot="1" x14ac:dyDescent="0.35">
      <c r="A43" s="961"/>
      <c r="B43" s="942"/>
      <c r="C43" s="950"/>
      <c r="D43" s="921"/>
      <c r="E43" s="204" t="s">
        <v>792</v>
      </c>
      <c r="F43" s="200">
        <v>0.25</v>
      </c>
      <c r="G43" s="200">
        <v>0.25</v>
      </c>
      <c r="H43" s="200">
        <v>0.25</v>
      </c>
      <c r="I43" s="200">
        <v>0.25</v>
      </c>
      <c r="J43" s="200">
        <v>0.25</v>
      </c>
      <c r="K43" s="200">
        <v>0.25</v>
      </c>
      <c r="L43" s="200">
        <v>0.25</v>
      </c>
      <c r="M43" s="200">
        <v>0.25</v>
      </c>
      <c r="N43" s="200">
        <v>0.25</v>
      </c>
      <c r="O43" s="200">
        <v>0.25</v>
      </c>
      <c r="P43" s="200">
        <v>0.25</v>
      </c>
      <c r="Q43" s="200">
        <v>0.25</v>
      </c>
      <c r="R43" s="200">
        <v>0.25</v>
      </c>
      <c r="S43" s="200">
        <v>0.25</v>
      </c>
      <c r="T43" s="200">
        <v>0.25</v>
      </c>
      <c r="U43" s="200">
        <v>0.25</v>
      </c>
      <c r="V43" s="200">
        <v>0.25</v>
      </c>
      <c r="W43" s="200">
        <v>0.25</v>
      </c>
      <c r="X43" s="200">
        <v>0.25</v>
      </c>
      <c r="Y43" s="200">
        <v>0.25</v>
      </c>
      <c r="Z43" s="200">
        <v>0.25</v>
      </c>
      <c r="AA43" s="200">
        <v>0.25</v>
      </c>
      <c r="AB43" s="200">
        <v>0.25</v>
      </c>
      <c r="AC43" s="201">
        <v>0.25</v>
      </c>
      <c r="AD43" s="48"/>
      <c r="AE43" s="47"/>
      <c r="AF43" s="47"/>
      <c r="AG43" s="47"/>
      <c r="AH43" s="47"/>
      <c r="AI43" s="47"/>
      <c r="AJ43" s="47"/>
      <c r="AK43" s="47"/>
      <c r="AM43" s="57"/>
    </row>
    <row r="44" spans="1:39" ht="36" customHeight="1" x14ac:dyDescent="0.3">
      <c r="A44" s="916" t="str">
        <f>A29</f>
        <v>Server rooms</v>
      </c>
      <c r="B44" s="927" t="str">
        <f>B29</f>
        <v>Data</v>
      </c>
      <c r="C44" s="943" t="s">
        <v>802</v>
      </c>
      <c r="D44" s="913" t="s">
        <v>806</v>
      </c>
      <c r="E44" s="176" t="s">
        <v>790</v>
      </c>
      <c r="F44" s="223">
        <f>Thermostat!$C$7</f>
        <v>80</v>
      </c>
      <c r="G44" s="223">
        <f>Thermostat!$C$7</f>
        <v>80</v>
      </c>
      <c r="H44" s="223">
        <f>Thermostat!$C$7</f>
        <v>80</v>
      </c>
      <c r="I44" s="223">
        <f>Thermostat!$C$7</f>
        <v>80</v>
      </c>
      <c r="J44" s="223">
        <f>Thermostat!$C$7</f>
        <v>80</v>
      </c>
      <c r="K44" s="223">
        <f>Thermostat!$C$7</f>
        <v>80</v>
      </c>
      <c r="L44" s="223">
        <f>Thermostat!$C$7</f>
        <v>80</v>
      </c>
      <c r="M44" s="223">
        <f>Thermostat!$C$7</f>
        <v>80</v>
      </c>
      <c r="N44" s="223">
        <f>Thermostat!$C$7</f>
        <v>80</v>
      </c>
      <c r="O44" s="223">
        <f>Thermostat!$C$7</f>
        <v>80</v>
      </c>
      <c r="P44" s="223">
        <f>Thermostat!$C$7</f>
        <v>80</v>
      </c>
      <c r="Q44" s="223">
        <f>Thermostat!$C$7</f>
        <v>80</v>
      </c>
      <c r="R44" s="223">
        <f>Thermostat!$C$7</f>
        <v>80</v>
      </c>
      <c r="S44" s="223">
        <f>Thermostat!$C$7</f>
        <v>80</v>
      </c>
      <c r="T44" s="223">
        <f>Thermostat!$C$7</f>
        <v>80</v>
      </c>
      <c r="U44" s="223">
        <f>Thermostat!$C$7</f>
        <v>80</v>
      </c>
      <c r="V44" s="223">
        <f>Thermostat!$C$7</f>
        <v>80</v>
      </c>
      <c r="W44" s="223">
        <f>Thermostat!$C$7</f>
        <v>80</v>
      </c>
      <c r="X44" s="223">
        <f>Thermostat!$C$7</f>
        <v>80</v>
      </c>
      <c r="Y44" s="223">
        <f>Thermostat!$C$7</f>
        <v>80</v>
      </c>
      <c r="Z44" s="223">
        <f>Thermostat!$C$7</f>
        <v>80</v>
      </c>
      <c r="AA44" s="223">
        <f>Thermostat!$C$7</f>
        <v>80</v>
      </c>
      <c r="AB44" s="223">
        <f>Thermostat!$C$7</f>
        <v>80</v>
      </c>
      <c r="AC44" s="224">
        <f>Thermostat!$C$7</f>
        <v>80</v>
      </c>
      <c r="AD44" s="48"/>
      <c r="AE44" s="47"/>
      <c r="AF44" s="47"/>
      <c r="AG44" s="47"/>
      <c r="AH44" s="47"/>
      <c r="AI44" s="47"/>
      <c r="AJ44" s="47"/>
      <c r="AK44" s="47"/>
      <c r="AM44" s="57"/>
    </row>
    <row r="45" spans="1:39" ht="36" customHeight="1" x14ac:dyDescent="0.3">
      <c r="A45" s="958"/>
      <c r="B45" s="928"/>
      <c r="C45" s="944"/>
      <c r="D45" s="914"/>
      <c r="E45" s="177" t="s">
        <v>791</v>
      </c>
      <c r="F45" s="225">
        <f>Thermostat!$C$7</f>
        <v>80</v>
      </c>
      <c r="G45" s="225">
        <f>Thermostat!$C$7</f>
        <v>80</v>
      </c>
      <c r="H45" s="225">
        <f>Thermostat!$C$7</f>
        <v>80</v>
      </c>
      <c r="I45" s="225">
        <f>Thermostat!$C$7</f>
        <v>80</v>
      </c>
      <c r="J45" s="225">
        <f>Thermostat!$C$7</f>
        <v>80</v>
      </c>
      <c r="K45" s="225">
        <f>Thermostat!$C$7</f>
        <v>80</v>
      </c>
      <c r="L45" s="225">
        <f>Thermostat!$C$7</f>
        <v>80</v>
      </c>
      <c r="M45" s="225">
        <f>Thermostat!$C$7</f>
        <v>80</v>
      </c>
      <c r="N45" s="225">
        <f>Thermostat!$C$7</f>
        <v>80</v>
      </c>
      <c r="O45" s="225">
        <f>Thermostat!$C$7</f>
        <v>80</v>
      </c>
      <c r="P45" s="225">
        <f>Thermostat!$C$7</f>
        <v>80</v>
      </c>
      <c r="Q45" s="225">
        <f>Thermostat!$C$7</f>
        <v>80</v>
      </c>
      <c r="R45" s="225">
        <f>Thermostat!$C$7</f>
        <v>80</v>
      </c>
      <c r="S45" s="225">
        <f>Thermostat!$C$7</f>
        <v>80</v>
      </c>
      <c r="T45" s="225">
        <f>Thermostat!$C$7</f>
        <v>80</v>
      </c>
      <c r="U45" s="225">
        <f>Thermostat!$C$7</f>
        <v>80</v>
      </c>
      <c r="V45" s="225">
        <f>Thermostat!$C$7</f>
        <v>80</v>
      </c>
      <c r="W45" s="225">
        <f>Thermostat!$C$7</f>
        <v>80</v>
      </c>
      <c r="X45" s="225">
        <f>Thermostat!$C$7</f>
        <v>80</v>
      </c>
      <c r="Y45" s="225">
        <f>Thermostat!$C$7</f>
        <v>80</v>
      </c>
      <c r="Z45" s="225">
        <f>Thermostat!$C$7</f>
        <v>80</v>
      </c>
      <c r="AA45" s="225">
        <f>Thermostat!$C$7</f>
        <v>80</v>
      </c>
      <c r="AB45" s="225">
        <f>Thermostat!$C$7</f>
        <v>80</v>
      </c>
      <c r="AC45" s="226">
        <f>Thermostat!$C$7</f>
        <v>80</v>
      </c>
      <c r="AD45" s="48"/>
      <c r="AE45" s="47"/>
      <c r="AF45" s="47"/>
      <c r="AG45" s="47"/>
      <c r="AH45" s="47"/>
      <c r="AI45" s="47"/>
      <c r="AJ45" s="47"/>
      <c r="AK45" s="47"/>
      <c r="AM45" s="57"/>
    </row>
    <row r="46" spans="1:39" ht="36" customHeight="1" thickBot="1" x14ac:dyDescent="0.35">
      <c r="A46" s="959"/>
      <c r="B46" s="942"/>
      <c r="C46" s="945"/>
      <c r="D46" s="960"/>
      <c r="E46" s="178" t="s">
        <v>792</v>
      </c>
      <c r="F46" s="227">
        <f>Thermostat!$C$7</f>
        <v>80</v>
      </c>
      <c r="G46" s="227">
        <f>Thermostat!$C$7</f>
        <v>80</v>
      </c>
      <c r="H46" s="227">
        <f>Thermostat!$C$7</f>
        <v>80</v>
      </c>
      <c r="I46" s="227">
        <f>Thermostat!$C$7</f>
        <v>80</v>
      </c>
      <c r="J46" s="227">
        <f>Thermostat!$C$7</f>
        <v>80</v>
      </c>
      <c r="K46" s="227">
        <f>Thermostat!$C$7</f>
        <v>80</v>
      </c>
      <c r="L46" s="227">
        <f>Thermostat!$C$7</f>
        <v>80</v>
      </c>
      <c r="M46" s="227">
        <f>Thermostat!$C$7</f>
        <v>80</v>
      </c>
      <c r="N46" s="227">
        <f>Thermostat!$C$7</f>
        <v>80</v>
      </c>
      <c r="O46" s="227">
        <f>Thermostat!$C$7</f>
        <v>80</v>
      </c>
      <c r="P46" s="227">
        <f>Thermostat!$C$7</f>
        <v>80</v>
      </c>
      <c r="Q46" s="227">
        <f>Thermostat!$C$7</f>
        <v>80</v>
      </c>
      <c r="R46" s="227">
        <f>Thermostat!$C$7</f>
        <v>80</v>
      </c>
      <c r="S46" s="227">
        <f>Thermostat!$C$7</f>
        <v>80</v>
      </c>
      <c r="T46" s="227">
        <f>Thermostat!$C$7</f>
        <v>80</v>
      </c>
      <c r="U46" s="227">
        <f>Thermostat!$C$7</f>
        <v>80</v>
      </c>
      <c r="V46" s="227">
        <f>Thermostat!$C$7</f>
        <v>80</v>
      </c>
      <c r="W46" s="227">
        <f>Thermostat!$C$7</f>
        <v>80</v>
      </c>
      <c r="X46" s="227">
        <f>Thermostat!$C$7</f>
        <v>80</v>
      </c>
      <c r="Y46" s="227">
        <f>Thermostat!$C$7</f>
        <v>80</v>
      </c>
      <c r="Z46" s="227">
        <f>Thermostat!$C$7</f>
        <v>80</v>
      </c>
      <c r="AA46" s="227">
        <f>Thermostat!$C$7</f>
        <v>80</v>
      </c>
      <c r="AB46" s="227">
        <f>Thermostat!$C$7</f>
        <v>80</v>
      </c>
      <c r="AC46" s="228">
        <f>Thermostat!$C$7</f>
        <v>80</v>
      </c>
      <c r="AD46" s="48"/>
      <c r="AE46" s="47"/>
      <c r="AF46" s="47"/>
      <c r="AG46" s="47"/>
      <c r="AH46" s="47"/>
      <c r="AI46" s="47"/>
      <c r="AJ46" s="47"/>
      <c r="AK46" s="47"/>
      <c r="AM46" s="57"/>
    </row>
    <row r="47" spans="1:39" ht="36" customHeight="1" x14ac:dyDescent="0.3">
      <c r="A47" s="1010" t="s">
        <v>509</v>
      </c>
      <c r="B47" s="1011"/>
      <c r="C47" s="1011"/>
      <c r="D47" s="1011"/>
      <c r="E47" s="1011"/>
      <c r="F47" s="1011"/>
      <c r="G47" s="1011"/>
      <c r="H47" s="1011"/>
      <c r="I47" s="1011"/>
      <c r="J47" s="1011"/>
      <c r="K47" s="1011"/>
      <c r="L47" s="1011"/>
      <c r="M47" s="1011"/>
      <c r="N47" s="1011"/>
      <c r="O47" s="1011"/>
      <c r="P47" s="1011"/>
      <c r="Q47" s="1011"/>
      <c r="R47" s="1011"/>
      <c r="S47" s="1011"/>
      <c r="T47" s="1011"/>
      <c r="U47" s="1011"/>
      <c r="V47" s="1011"/>
      <c r="W47" s="1011"/>
      <c r="X47" s="1011"/>
      <c r="Y47" s="1011"/>
      <c r="Z47" s="1011"/>
      <c r="AA47" s="1011"/>
      <c r="AB47" s="1011"/>
      <c r="AC47" s="1012"/>
      <c r="AD47" s="48"/>
      <c r="AE47" s="47"/>
      <c r="AF47" s="47"/>
      <c r="AG47" s="47"/>
      <c r="AH47" s="47"/>
      <c r="AI47" s="47"/>
      <c r="AJ47" s="47"/>
      <c r="AK47" s="47"/>
      <c r="AM47" s="57"/>
    </row>
    <row r="48" spans="1:39" ht="36" customHeight="1" x14ac:dyDescent="0.3">
      <c r="A48" s="1013" t="s">
        <v>509</v>
      </c>
      <c r="B48" s="1017" t="s">
        <v>159</v>
      </c>
      <c r="C48" s="1019" t="s">
        <v>788</v>
      </c>
      <c r="D48" s="920" t="s">
        <v>807</v>
      </c>
      <c r="E48" s="694" t="s">
        <v>790</v>
      </c>
      <c r="F48" s="695">
        <v>0</v>
      </c>
      <c r="G48" s="695">
        <v>0</v>
      </c>
      <c r="H48" s="695">
        <v>0</v>
      </c>
      <c r="I48" s="695">
        <v>0</v>
      </c>
      <c r="J48" s="695">
        <v>0</v>
      </c>
      <c r="K48" s="695">
        <v>0</v>
      </c>
      <c r="L48" s="695">
        <v>0.1</v>
      </c>
      <c r="M48" s="695">
        <v>0.2</v>
      </c>
      <c r="N48" s="695">
        <v>0.95</v>
      </c>
      <c r="O48" s="695">
        <v>0.95</v>
      </c>
      <c r="P48" s="695">
        <v>0.95</v>
      </c>
      <c r="Q48" s="695">
        <v>0.95</v>
      </c>
      <c r="R48" s="695">
        <v>0.5</v>
      </c>
      <c r="S48" s="695">
        <v>0.95</v>
      </c>
      <c r="T48" s="695">
        <v>0.95</v>
      </c>
      <c r="U48" s="695">
        <v>0.95</v>
      </c>
      <c r="V48" s="695">
        <v>0.95</v>
      </c>
      <c r="W48" s="695">
        <v>0.3</v>
      </c>
      <c r="X48" s="695">
        <v>0.1</v>
      </c>
      <c r="Y48" s="695">
        <v>0.1</v>
      </c>
      <c r="Z48" s="695">
        <v>0.1</v>
      </c>
      <c r="AA48" s="695">
        <v>0.1</v>
      </c>
      <c r="AB48" s="695">
        <v>0.05</v>
      </c>
      <c r="AC48" s="696">
        <v>0.05</v>
      </c>
      <c r="AD48" s="48"/>
      <c r="AE48" s="47"/>
      <c r="AF48" s="47"/>
      <c r="AG48" s="47"/>
      <c r="AH48" s="47"/>
      <c r="AI48" s="47"/>
      <c r="AJ48" s="47"/>
      <c r="AK48" s="47"/>
      <c r="AM48" s="57"/>
    </row>
    <row r="49" spans="1:39" ht="36" customHeight="1" x14ac:dyDescent="0.3">
      <c r="A49" s="1014"/>
      <c r="B49" s="1018"/>
      <c r="C49" s="1020"/>
      <c r="D49" s="914"/>
      <c r="E49" s="697" t="s">
        <v>791</v>
      </c>
      <c r="F49" s="698">
        <v>0</v>
      </c>
      <c r="G49" s="698">
        <v>0</v>
      </c>
      <c r="H49" s="698">
        <v>0</v>
      </c>
      <c r="I49" s="698">
        <v>0</v>
      </c>
      <c r="J49" s="698">
        <v>0</v>
      </c>
      <c r="K49" s="698">
        <v>0</v>
      </c>
      <c r="L49" s="196">
        <v>0.05</v>
      </c>
      <c r="M49" s="196">
        <v>0.05</v>
      </c>
      <c r="N49" s="196">
        <v>0.05</v>
      </c>
      <c r="O49" s="196">
        <v>0.05</v>
      </c>
      <c r="P49" s="196">
        <v>0.05</v>
      </c>
      <c r="Q49" s="196">
        <v>0.05</v>
      </c>
      <c r="R49" s="196">
        <v>0.05</v>
      </c>
      <c r="S49" s="196">
        <v>0.05</v>
      </c>
      <c r="T49" s="196">
        <v>0.05</v>
      </c>
      <c r="U49" s="196">
        <v>0.05</v>
      </c>
      <c r="V49" s="196">
        <v>0.05</v>
      </c>
      <c r="W49" s="196">
        <v>0.05</v>
      </c>
      <c r="X49" s="698">
        <v>0</v>
      </c>
      <c r="Y49" s="698">
        <v>0</v>
      </c>
      <c r="Z49" s="698">
        <v>0</v>
      </c>
      <c r="AA49" s="698">
        <v>0</v>
      </c>
      <c r="AB49" s="698">
        <v>0</v>
      </c>
      <c r="AC49" s="699">
        <v>0</v>
      </c>
      <c r="AD49" s="48"/>
      <c r="AE49" s="47"/>
      <c r="AF49" s="47"/>
      <c r="AG49" s="47"/>
      <c r="AH49" s="47"/>
      <c r="AI49" s="47"/>
      <c r="AJ49" s="47"/>
      <c r="AK49" s="47"/>
      <c r="AM49" s="57"/>
    </row>
    <row r="50" spans="1:39" ht="36" customHeight="1" x14ac:dyDescent="0.3">
      <c r="A50" s="1015"/>
      <c r="B50" s="1018"/>
      <c r="C50" s="1021"/>
      <c r="D50" s="915"/>
      <c r="E50" s="700" t="s">
        <v>792</v>
      </c>
      <c r="F50" s="701">
        <v>0</v>
      </c>
      <c r="G50" s="701">
        <v>0</v>
      </c>
      <c r="H50" s="701">
        <v>0</v>
      </c>
      <c r="I50" s="701">
        <v>0</v>
      </c>
      <c r="J50" s="701">
        <v>0</v>
      </c>
      <c r="K50" s="701">
        <v>0</v>
      </c>
      <c r="L50" s="701">
        <v>0.05</v>
      </c>
      <c r="M50" s="701">
        <v>0.05</v>
      </c>
      <c r="N50" s="701">
        <v>0.05</v>
      </c>
      <c r="O50" s="701">
        <v>0.05</v>
      </c>
      <c r="P50" s="701">
        <v>0.05</v>
      </c>
      <c r="Q50" s="701">
        <v>0.05</v>
      </c>
      <c r="R50" s="701">
        <v>0.05</v>
      </c>
      <c r="S50" s="701">
        <v>0.05</v>
      </c>
      <c r="T50" s="701">
        <v>0.05</v>
      </c>
      <c r="U50" s="701">
        <v>0.05</v>
      </c>
      <c r="V50" s="701">
        <v>0.05</v>
      </c>
      <c r="W50" s="701">
        <v>0.05</v>
      </c>
      <c r="X50" s="701">
        <v>0</v>
      </c>
      <c r="Y50" s="701">
        <v>0</v>
      </c>
      <c r="Z50" s="701">
        <v>0</v>
      </c>
      <c r="AA50" s="701">
        <v>0</v>
      </c>
      <c r="AB50" s="701">
        <v>0</v>
      </c>
      <c r="AC50" s="702">
        <v>0</v>
      </c>
      <c r="AD50" s="48"/>
      <c r="AE50" s="47"/>
      <c r="AF50" s="47"/>
      <c r="AG50" s="47"/>
      <c r="AH50" s="47"/>
      <c r="AI50" s="47"/>
      <c r="AJ50" s="47"/>
      <c r="AK50" s="47"/>
      <c r="AM50" s="57"/>
    </row>
    <row r="51" spans="1:39" ht="36" customHeight="1" x14ac:dyDescent="0.3">
      <c r="A51" s="1013" t="str">
        <f>A48</f>
        <v>Storage, Stairway, and Mechanical_Electrical</v>
      </c>
      <c r="B51" s="1017" t="str">
        <f>B48</f>
        <v>Ancillary</v>
      </c>
      <c r="C51" s="1019" t="s">
        <v>793</v>
      </c>
      <c r="D51" s="920" t="s">
        <v>807</v>
      </c>
      <c r="E51" s="703" t="s">
        <v>790</v>
      </c>
      <c r="F51" s="695">
        <v>0.05</v>
      </c>
      <c r="G51" s="695">
        <v>0.05</v>
      </c>
      <c r="H51" s="695">
        <v>0.05</v>
      </c>
      <c r="I51" s="695">
        <v>0.05</v>
      </c>
      <c r="J51" s="695">
        <v>0.05</v>
      </c>
      <c r="K51" s="704">
        <v>0.1</v>
      </c>
      <c r="L51" s="704">
        <v>0.1</v>
      </c>
      <c r="M51" s="704">
        <v>0.3</v>
      </c>
      <c r="N51" s="704">
        <v>0.65</v>
      </c>
      <c r="O51" s="704">
        <v>0.65</v>
      </c>
      <c r="P51" s="704">
        <v>0.65</v>
      </c>
      <c r="Q51" s="704">
        <v>0.65</v>
      </c>
      <c r="R51" s="704">
        <v>0.65</v>
      </c>
      <c r="S51" s="704">
        <v>0.65</v>
      </c>
      <c r="T51" s="704">
        <v>0.65</v>
      </c>
      <c r="U51" s="704">
        <v>0.65</v>
      </c>
      <c r="V51" s="704">
        <v>0.65</v>
      </c>
      <c r="W51" s="704">
        <v>0.35</v>
      </c>
      <c r="X51" s="704">
        <v>0.3</v>
      </c>
      <c r="Y51" s="704">
        <v>0.3</v>
      </c>
      <c r="Z51" s="695">
        <v>0.2</v>
      </c>
      <c r="AA51" s="695">
        <v>0.2</v>
      </c>
      <c r="AB51" s="695">
        <v>0.1</v>
      </c>
      <c r="AC51" s="696">
        <v>0.05</v>
      </c>
      <c r="AD51" s="48"/>
      <c r="AE51" s="47"/>
      <c r="AF51" s="47"/>
      <c r="AG51" s="47"/>
      <c r="AH51" s="47"/>
      <c r="AI51" s="47"/>
      <c r="AJ51" s="47"/>
      <c r="AK51" s="47"/>
      <c r="AM51" s="57"/>
    </row>
    <row r="52" spans="1:39" ht="36" customHeight="1" x14ac:dyDescent="0.3">
      <c r="A52" s="1014"/>
      <c r="B52" s="1018"/>
      <c r="C52" s="1020"/>
      <c r="D52" s="914"/>
      <c r="E52" s="705" t="s">
        <v>791</v>
      </c>
      <c r="F52" s="698">
        <v>0.05</v>
      </c>
      <c r="G52" s="698">
        <v>0.05</v>
      </c>
      <c r="H52" s="698">
        <v>0.05</v>
      </c>
      <c r="I52" s="698">
        <v>0.05</v>
      </c>
      <c r="J52" s="698">
        <v>0.05</v>
      </c>
      <c r="K52" s="698">
        <v>0.05</v>
      </c>
      <c r="L52" s="698">
        <v>0.15</v>
      </c>
      <c r="M52" s="698">
        <v>0.15</v>
      </c>
      <c r="N52" s="698">
        <v>0.15</v>
      </c>
      <c r="O52" s="698">
        <v>0.15</v>
      </c>
      <c r="P52" s="698">
        <v>0.15</v>
      </c>
      <c r="Q52" s="698">
        <v>0.15</v>
      </c>
      <c r="R52" s="698">
        <v>0.15</v>
      </c>
      <c r="S52" s="698">
        <v>0.15</v>
      </c>
      <c r="T52" s="698">
        <v>0.15</v>
      </c>
      <c r="U52" s="698">
        <v>0.15</v>
      </c>
      <c r="V52" s="698">
        <v>0.15</v>
      </c>
      <c r="W52" s="698">
        <v>0.15</v>
      </c>
      <c r="X52" s="698">
        <v>0.05</v>
      </c>
      <c r="Y52" s="698">
        <v>0.05</v>
      </c>
      <c r="Z52" s="698">
        <v>0.05</v>
      </c>
      <c r="AA52" s="698">
        <v>0.05</v>
      </c>
      <c r="AB52" s="698">
        <v>0.05</v>
      </c>
      <c r="AC52" s="699">
        <v>0.05</v>
      </c>
      <c r="AD52" s="48"/>
      <c r="AE52" s="47"/>
      <c r="AF52" s="47"/>
      <c r="AG52" s="47"/>
      <c r="AH52" s="47"/>
      <c r="AI52" s="47"/>
      <c r="AJ52" s="47"/>
      <c r="AK52" s="47"/>
      <c r="AM52" s="57"/>
    </row>
    <row r="53" spans="1:39" ht="36" customHeight="1" thickBot="1" x14ac:dyDescent="0.35">
      <c r="A53" s="1015"/>
      <c r="B53" s="1018"/>
      <c r="C53" s="1021"/>
      <c r="D53" s="915"/>
      <c r="E53" s="706" t="s">
        <v>792</v>
      </c>
      <c r="F53" s="693">
        <v>0.05</v>
      </c>
      <c r="G53" s="693">
        <v>0.05</v>
      </c>
      <c r="H53" s="693">
        <v>0.05</v>
      </c>
      <c r="I53" s="693">
        <v>0.05</v>
      </c>
      <c r="J53" s="693">
        <v>0.05</v>
      </c>
      <c r="K53" s="693">
        <v>0.05</v>
      </c>
      <c r="L53" s="707">
        <v>0.15</v>
      </c>
      <c r="M53" s="707">
        <v>0.15</v>
      </c>
      <c r="N53" s="707">
        <v>0.15</v>
      </c>
      <c r="O53" s="707">
        <v>0.15</v>
      </c>
      <c r="P53" s="707">
        <v>0.15</v>
      </c>
      <c r="Q53" s="707">
        <v>0.15</v>
      </c>
      <c r="R53" s="707">
        <v>0.15</v>
      </c>
      <c r="S53" s="707">
        <v>0.15</v>
      </c>
      <c r="T53" s="707">
        <v>0.15</v>
      </c>
      <c r="U53" s="707">
        <v>0.15</v>
      </c>
      <c r="V53" s="707">
        <v>0.15</v>
      </c>
      <c r="W53" s="707">
        <v>0.15</v>
      </c>
      <c r="X53" s="693">
        <v>0.05</v>
      </c>
      <c r="Y53" s="693">
        <v>0.05</v>
      </c>
      <c r="Z53" s="693">
        <v>0.05</v>
      </c>
      <c r="AA53" s="693">
        <v>0.05</v>
      </c>
      <c r="AB53" s="693">
        <v>0.05</v>
      </c>
      <c r="AC53" s="708">
        <v>0.05</v>
      </c>
      <c r="AD53" s="48"/>
      <c r="AE53" s="47"/>
      <c r="AF53" s="47"/>
      <c r="AG53" s="47"/>
      <c r="AH53" s="47"/>
      <c r="AI53" s="47"/>
      <c r="AJ53" s="47"/>
      <c r="AK53" s="47"/>
      <c r="AM53" s="57"/>
    </row>
    <row r="54" spans="1:39" ht="36" customHeight="1" x14ac:dyDescent="0.3">
      <c r="A54" s="1013" t="str">
        <f>A48</f>
        <v>Storage, Stairway, and Mechanical_Electrical</v>
      </c>
      <c r="B54" s="1017" t="str">
        <f>B48</f>
        <v>Ancillary</v>
      </c>
      <c r="C54" s="1019" t="s">
        <v>797</v>
      </c>
      <c r="D54" s="924" t="s">
        <v>807</v>
      </c>
      <c r="E54" s="709" t="s">
        <v>790</v>
      </c>
      <c r="F54" s="710">
        <v>0</v>
      </c>
      <c r="G54" s="710">
        <v>0</v>
      </c>
      <c r="H54" s="710">
        <v>0</v>
      </c>
      <c r="I54" s="710">
        <v>0</v>
      </c>
      <c r="J54" s="710">
        <v>0</v>
      </c>
      <c r="K54" s="710">
        <v>1</v>
      </c>
      <c r="L54" s="710">
        <v>1</v>
      </c>
      <c r="M54" s="710">
        <v>1</v>
      </c>
      <c r="N54" s="710">
        <v>1</v>
      </c>
      <c r="O54" s="710">
        <v>1</v>
      </c>
      <c r="P54" s="710">
        <v>1</v>
      </c>
      <c r="Q54" s="710">
        <v>1</v>
      </c>
      <c r="R54" s="710">
        <v>1</v>
      </c>
      <c r="S54" s="710">
        <v>1</v>
      </c>
      <c r="T54" s="710">
        <v>1</v>
      </c>
      <c r="U54" s="710">
        <v>1</v>
      </c>
      <c r="V54" s="710">
        <v>1</v>
      </c>
      <c r="W54" s="710">
        <v>1</v>
      </c>
      <c r="X54" s="710">
        <v>1</v>
      </c>
      <c r="Y54" s="710">
        <v>1</v>
      </c>
      <c r="Z54" s="710">
        <v>1</v>
      </c>
      <c r="AA54" s="710">
        <v>1</v>
      </c>
      <c r="AB54" s="710">
        <v>1</v>
      </c>
      <c r="AC54" s="711">
        <v>1</v>
      </c>
      <c r="AD54" s="48"/>
      <c r="AE54" s="47"/>
      <c r="AF54" s="47"/>
      <c r="AG54" s="47"/>
      <c r="AH54" s="47"/>
      <c r="AI54" s="47"/>
      <c r="AJ54" s="47"/>
      <c r="AK54" s="47"/>
      <c r="AM54" s="57"/>
    </row>
    <row r="55" spans="1:39" ht="36" customHeight="1" x14ac:dyDescent="0.3">
      <c r="A55" s="1014"/>
      <c r="B55" s="1018"/>
      <c r="C55" s="1020"/>
      <c r="D55" s="925"/>
      <c r="E55" s="705" t="s">
        <v>791</v>
      </c>
      <c r="F55" s="701">
        <v>0</v>
      </c>
      <c r="G55" s="701">
        <v>0</v>
      </c>
      <c r="H55" s="701">
        <v>0</v>
      </c>
      <c r="I55" s="701">
        <v>0</v>
      </c>
      <c r="J55" s="701">
        <v>0</v>
      </c>
      <c r="K55" s="196">
        <v>0</v>
      </c>
      <c r="L55" s="196">
        <v>0</v>
      </c>
      <c r="M55" s="196">
        <v>0</v>
      </c>
      <c r="N55" s="196">
        <v>0</v>
      </c>
      <c r="O55" s="196">
        <v>0</v>
      </c>
      <c r="P55" s="196">
        <v>0</v>
      </c>
      <c r="Q55" s="196">
        <v>0</v>
      </c>
      <c r="R55" s="196">
        <v>0</v>
      </c>
      <c r="S55" s="196">
        <v>0</v>
      </c>
      <c r="T55" s="196">
        <v>0</v>
      </c>
      <c r="U55" s="196">
        <v>0</v>
      </c>
      <c r="V55" s="196">
        <v>0</v>
      </c>
      <c r="W55" s="196">
        <v>0</v>
      </c>
      <c r="X55" s="196">
        <v>0</v>
      </c>
      <c r="Y55" s="701">
        <v>0</v>
      </c>
      <c r="Z55" s="701">
        <v>0</v>
      </c>
      <c r="AA55" s="701">
        <v>0</v>
      </c>
      <c r="AB55" s="701">
        <v>0</v>
      </c>
      <c r="AC55" s="702">
        <v>0</v>
      </c>
      <c r="AD55" s="48"/>
      <c r="AE55" s="47"/>
      <c r="AF55" s="47"/>
      <c r="AG55" s="47"/>
      <c r="AH55" s="47"/>
      <c r="AI55" s="47"/>
      <c r="AJ55" s="47"/>
      <c r="AK55" s="47"/>
      <c r="AM55" s="57"/>
    </row>
    <row r="56" spans="1:39" ht="36" customHeight="1" thickBot="1" x14ac:dyDescent="0.35">
      <c r="A56" s="1016"/>
      <c r="B56" s="1022"/>
      <c r="C56" s="1034"/>
      <c r="D56" s="984"/>
      <c r="E56" s="712" t="s">
        <v>792</v>
      </c>
      <c r="F56" s="707">
        <v>0</v>
      </c>
      <c r="G56" s="707">
        <v>0</v>
      </c>
      <c r="H56" s="707">
        <v>0</v>
      </c>
      <c r="I56" s="707">
        <v>0</v>
      </c>
      <c r="J56" s="707">
        <v>0</v>
      </c>
      <c r="K56" s="707">
        <v>0</v>
      </c>
      <c r="L56" s="707">
        <v>0</v>
      </c>
      <c r="M56" s="707">
        <v>0</v>
      </c>
      <c r="N56" s="707">
        <v>0</v>
      </c>
      <c r="O56" s="707">
        <v>0</v>
      </c>
      <c r="P56" s="707">
        <v>0</v>
      </c>
      <c r="Q56" s="707">
        <v>0</v>
      </c>
      <c r="R56" s="707">
        <v>0</v>
      </c>
      <c r="S56" s="707">
        <v>0</v>
      </c>
      <c r="T56" s="707">
        <v>0</v>
      </c>
      <c r="U56" s="707">
        <v>0</v>
      </c>
      <c r="V56" s="707">
        <v>0</v>
      </c>
      <c r="W56" s="707">
        <v>0</v>
      </c>
      <c r="X56" s="707">
        <v>0</v>
      </c>
      <c r="Y56" s="707">
        <v>0</v>
      </c>
      <c r="Z56" s="707">
        <v>0</v>
      </c>
      <c r="AA56" s="707">
        <v>0</v>
      </c>
      <c r="AB56" s="707">
        <v>0</v>
      </c>
      <c r="AC56" s="713">
        <v>0</v>
      </c>
      <c r="AD56" s="48"/>
      <c r="AE56" s="47"/>
      <c r="AF56" s="47"/>
      <c r="AG56" s="47"/>
      <c r="AH56" s="47"/>
      <c r="AI56" s="47"/>
      <c r="AJ56" s="47"/>
      <c r="AK56" s="47"/>
      <c r="AM56" s="57"/>
    </row>
    <row r="57" spans="1:39" ht="36" customHeight="1" x14ac:dyDescent="0.3">
      <c r="A57" s="1035" t="str">
        <f>A48</f>
        <v>Storage, Stairway, and Mechanical_Electrical</v>
      </c>
      <c r="B57" s="1018" t="str">
        <f>B48</f>
        <v>Ancillary</v>
      </c>
      <c r="C57" s="1037" t="s">
        <v>799</v>
      </c>
      <c r="D57" s="1039" t="s">
        <v>808</v>
      </c>
      <c r="E57" s="709" t="s">
        <v>790</v>
      </c>
      <c r="F57" s="714">
        <v>0.05</v>
      </c>
      <c r="G57" s="714">
        <v>0.05</v>
      </c>
      <c r="H57" s="714">
        <v>0.05</v>
      </c>
      <c r="I57" s="714">
        <v>0.05</v>
      </c>
      <c r="J57" s="714">
        <v>0.05</v>
      </c>
      <c r="K57" s="714">
        <v>0.08</v>
      </c>
      <c r="L57" s="714">
        <v>7.0000000000000007E-2</v>
      </c>
      <c r="M57" s="714">
        <v>0.19</v>
      </c>
      <c r="N57" s="714">
        <v>0.35</v>
      </c>
      <c r="O57" s="714">
        <v>0.38</v>
      </c>
      <c r="P57" s="714">
        <v>0.39</v>
      </c>
      <c r="Q57" s="714">
        <v>0.47</v>
      </c>
      <c r="R57" s="714">
        <v>0.56999999999999995</v>
      </c>
      <c r="S57" s="714">
        <v>0.54</v>
      </c>
      <c r="T57" s="714">
        <v>0.34</v>
      </c>
      <c r="U57" s="714">
        <v>0.33</v>
      </c>
      <c r="V57" s="714">
        <v>0.44</v>
      </c>
      <c r="W57" s="714">
        <v>0.26</v>
      </c>
      <c r="X57" s="714">
        <v>0.21</v>
      </c>
      <c r="Y57" s="714">
        <v>0.15</v>
      </c>
      <c r="Z57" s="714">
        <v>0.17</v>
      </c>
      <c r="AA57" s="714">
        <v>0.08</v>
      </c>
      <c r="AB57" s="714">
        <v>0.05</v>
      </c>
      <c r="AC57" s="715">
        <v>0.05</v>
      </c>
      <c r="AD57" s="48"/>
      <c r="AE57" s="47"/>
      <c r="AF57" s="47"/>
      <c r="AG57" s="47"/>
      <c r="AH57" s="47"/>
      <c r="AI57" s="47"/>
      <c r="AJ57" s="47"/>
      <c r="AK57" s="47"/>
      <c r="AM57" s="57"/>
    </row>
    <row r="58" spans="1:39" ht="36" customHeight="1" x14ac:dyDescent="0.3">
      <c r="A58" s="1014"/>
      <c r="B58" s="1018"/>
      <c r="C58" s="1020"/>
      <c r="D58" s="1032"/>
      <c r="E58" s="705" t="s">
        <v>791</v>
      </c>
      <c r="F58" s="716">
        <v>0.04</v>
      </c>
      <c r="G58" s="716">
        <v>0.04</v>
      </c>
      <c r="H58" s="716">
        <v>0.04</v>
      </c>
      <c r="I58" s="716">
        <v>0.04</v>
      </c>
      <c r="J58" s="716">
        <v>0.04</v>
      </c>
      <c r="K58" s="716">
        <v>7.0000000000000007E-2</v>
      </c>
      <c r="L58" s="716">
        <v>0.04</v>
      </c>
      <c r="M58" s="716">
        <v>0.04</v>
      </c>
      <c r="N58" s="716">
        <v>0.04</v>
      </c>
      <c r="O58" s="716">
        <v>0.04</v>
      </c>
      <c r="P58" s="716">
        <v>0.04</v>
      </c>
      <c r="Q58" s="716">
        <v>0.06</v>
      </c>
      <c r="R58" s="716">
        <v>0.06</v>
      </c>
      <c r="S58" s="716">
        <v>0.09</v>
      </c>
      <c r="T58" s="716">
        <v>0.06</v>
      </c>
      <c r="U58" s="716">
        <v>0.04</v>
      </c>
      <c r="V58" s="716">
        <v>0.04</v>
      </c>
      <c r="W58" s="716">
        <v>0.04</v>
      </c>
      <c r="X58" s="716">
        <v>0.04</v>
      </c>
      <c r="Y58" s="716">
        <v>0.04</v>
      </c>
      <c r="Z58" s="716">
        <v>0.04</v>
      </c>
      <c r="AA58" s="716">
        <v>7.0000000000000007E-2</v>
      </c>
      <c r="AB58" s="716">
        <v>0.04</v>
      </c>
      <c r="AC58" s="717">
        <v>0.04</v>
      </c>
      <c r="AD58" s="48"/>
      <c r="AE58" s="47"/>
      <c r="AF58" s="47"/>
      <c r="AG58" s="47"/>
      <c r="AH58" s="47"/>
      <c r="AI58" s="47"/>
      <c r="AJ58" s="47"/>
      <c r="AK58" s="47"/>
      <c r="AM58" s="57"/>
    </row>
    <row r="59" spans="1:39" ht="36" customHeight="1" x14ac:dyDescent="0.3">
      <c r="A59" s="1015"/>
      <c r="B59" s="1036"/>
      <c r="C59" s="1038"/>
      <c r="D59" s="1040"/>
      <c r="E59" s="718" t="s">
        <v>792</v>
      </c>
      <c r="F59" s="719">
        <v>0.04</v>
      </c>
      <c r="G59" s="719">
        <v>0.04</v>
      </c>
      <c r="H59" s="719">
        <v>0.04</v>
      </c>
      <c r="I59" s="719">
        <v>0.04</v>
      </c>
      <c r="J59" s="719">
        <v>0.04</v>
      </c>
      <c r="K59" s="719">
        <v>7.0000000000000007E-2</v>
      </c>
      <c r="L59" s="719">
        <v>0.04</v>
      </c>
      <c r="M59" s="719">
        <v>0.04</v>
      </c>
      <c r="N59" s="719">
        <v>0.04</v>
      </c>
      <c r="O59" s="719">
        <v>0.04</v>
      </c>
      <c r="P59" s="719">
        <v>0.04</v>
      </c>
      <c r="Q59" s="719">
        <v>0.06</v>
      </c>
      <c r="R59" s="719">
        <v>0.06</v>
      </c>
      <c r="S59" s="719">
        <v>0.09</v>
      </c>
      <c r="T59" s="719">
        <v>0.06</v>
      </c>
      <c r="U59" s="719">
        <v>0.04</v>
      </c>
      <c r="V59" s="719">
        <v>0.04</v>
      </c>
      <c r="W59" s="719">
        <v>0.04</v>
      </c>
      <c r="X59" s="719">
        <v>0.04</v>
      </c>
      <c r="Y59" s="719">
        <v>0.04</v>
      </c>
      <c r="Z59" s="719">
        <v>0.04</v>
      </c>
      <c r="AA59" s="719">
        <v>7.0000000000000007E-2</v>
      </c>
      <c r="AB59" s="719">
        <v>0.04</v>
      </c>
      <c r="AC59" s="720">
        <v>0.04</v>
      </c>
      <c r="AD59" s="48"/>
      <c r="AE59" s="47"/>
      <c r="AF59" s="47"/>
      <c r="AG59" s="47"/>
      <c r="AH59" s="47"/>
      <c r="AI59" s="47"/>
      <c r="AJ59" s="47"/>
      <c r="AK59" s="47"/>
      <c r="AM59" s="57"/>
    </row>
    <row r="60" spans="1:39" ht="36" customHeight="1" x14ac:dyDescent="0.3">
      <c r="A60" s="1013" t="str">
        <f>A48</f>
        <v>Storage, Stairway, and Mechanical_Electrical</v>
      </c>
      <c r="B60" s="1017" t="str">
        <f>B48</f>
        <v>Ancillary</v>
      </c>
      <c r="C60" s="1041" t="s">
        <v>349</v>
      </c>
      <c r="D60" s="1042" t="s">
        <v>794</v>
      </c>
      <c r="E60" s="721" t="s">
        <v>790</v>
      </c>
      <c r="F60" s="215">
        <v>1</v>
      </c>
      <c r="G60" s="215">
        <v>1</v>
      </c>
      <c r="H60" s="215">
        <v>1</v>
      </c>
      <c r="I60" s="215">
        <v>1</v>
      </c>
      <c r="J60" s="710">
        <v>1</v>
      </c>
      <c r="K60" s="710">
        <v>0.25</v>
      </c>
      <c r="L60" s="710">
        <v>0.25</v>
      </c>
      <c r="M60" s="710">
        <v>0.25</v>
      </c>
      <c r="N60" s="710">
        <v>0.25</v>
      </c>
      <c r="O60" s="710">
        <v>0.25</v>
      </c>
      <c r="P60" s="710">
        <v>0.25</v>
      </c>
      <c r="Q60" s="710">
        <v>0.25</v>
      </c>
      <c r="R60" s="710">
        <v>0.25</v>
      </c>
      <c r="S60" s="710">
        <v>0.25</v>
      </c>
      <c r="T60" s="710">
        <v>0.25</v>
      </c>
      <c r="U60" s="710">
        <v>0.25</v>
      </c>
      <c r="V60" s="710">
        <v>0.25</v>
      </c>
      <c r="W60" s="710">
        <v>0.25</v>
      </c>
      <c r="X60" s="710">
        <v>0.25</v>
      </c>
      <c r="Y60" s="710">
        <v>0.25</v>
      </c>
      <c r="Z60" s="710">
        <v>0.25</v>
      </c>
      <c r="AA60" s="710">
        <v>0.25</v>
      </c>
      <c r="AB60" s="710">
        <v>0.25</v>
      </c>
      <c r="AC60" s="711">
        <v>0.25</v>
      </c>
      <c r="AD60" s="48"/>
      <c r="AE60" s="47"/>
      <c r="AF60" s="47"/>
      <c r="AG60" s="47"/>
      <c r="AH60" s="47"/>
      <c r="AI60" s="47"/>
      <c r="AJ60" s="47"/>
      <c r="AK60" s="47"/>
      <c r="AM60" s="57"/>
    </row>
    <row r="61" spans="1:39" ht="36" customHeight="1" x14ac:dyDescent="0.3">
      <c r="A61" s="1014"/>
      <c r="B61" s="1018"/>
      <c r="C61" s="1020"/>
      <c r="D61" s="1032"/>
      <c r="E61" s="705" t="s">
        <v>791</v>
      </c>
      <c r="F61" s="195">
        <v>1</v>
      </c>
      <c r="G61" s="195">
        <v>1</v>
      </c>
      <c r="H61" s="195">
        <v>1</v>
      </c>
      <c r="I61" s="195">
        <v>1</v>
      </c>
      <c r="J61" s="698">
        <v>1</v>
      </c>
      <c r="K61" s="197">
        <v>1</v>
      </c>
      <c r="L61" s="197">
        <v>1</v>
      </c>
      <c r="M61" s="197">
        <v>1</v>
      </c>
      <c r="N61" s="197">
        <v>1</v>
      </c>
      <c r="O61" s="197">
        <v>1</v>
      </c>
      <c r="P61" s="197">
        <v>1</v>
      </c>
      <c r="Q61" s="197">
        <v>1</v>
      </c>
      <c r="R61" s="197">
        <v>1</v>
      </c>
      <c r="S61" s="197">
        <v>1</v>
      </c>
      <c r="T61" s="197">
        <v>1</v>
      </c>
      <c r="U61" s="197">
        <v>1</v>
      </c>
      <c r="V61" s="197">
        <v>1</v>
      </c>
      <c r="W61" s="197">
        <v>1</v>
      </c>
      <c r="X61" s="197">
        <v>1</v>
      </c>
      <c r="Y61" s="698">
        <v>1</v>
      </c>
      <c r="Z61" s="698">
        <v>1</v>
      </c>
      <c r="AA61" s="698">
        <v>1</v>
      </c>
      <c r="AB61" s="698">
        <v>1</v>
      </c>
      <c r="AC61" s="699">
        <v>1</v>
      </c>
      <c r="AD61" s="48"/>
      <c r="AE61" s="47"/>
      <c r="AF61" s="47"/>
      <c r="AG61" s="47"/>
      <c r="AH61" s="47"/>
      <c r="AI61" s="47"/>
      <c r="AJ61" s="47"/>
      <c r="AK61" s="47"/>
      <c r="AM61" s="57"/>
    </row>
    <row r="62" spans="1:39" ht="36" customHeight="1" x14ac:dyDescent="0.3">
      <c r="A62" s="1015"/>
      <c r="B62" s="1036"/>
      <c r="C62" s="1021"/>
      <c r="D62" s="1043"/>
      <c r="E62" s="722" t="s">
        <v>792</v>
      </c>
      <c r="F62" s="200">
        <v>1</v>
      </c>
      <c r="G62" s="200">
        <v>1</v>
      </c>
      <c r="H62" s="200">
        <v>1</v>
      </c>
      <c r="I62" s="200">
        <v>1</v>
      </c>
      <c r="J62" s="701">
        <v>1</v>
      </c>
      <c r="K62" s="701">
        <v>1</v>
      </c>
      <c r="L62" s="701">
        <v>1</v>
      </c>
      <c r="M62" s="701">
        <v>1</v>
      </c>
      <c r="N62" s="701">
        <v>1</v>
      </c>
      <c r="O62" s="701">
        <v>1</v>
      </c>
      <c r="P62" s="701">
        <v>1</v>
      </c>
      <c r="Q62" s="701">
        <v>1</v>
      </c>
      <c r="R62" s="701">
        <v>1</v>
      </c>
      <c r="S62" s="701">
        <v>1</v>
      </c>
      <c r="T62" s="701">
        <v>1</v>
      </c>
      <c r="U62" s="701">
        <v>1</v>
      </c>
      <c r="V62" s="701">
        <v>1</v>
      </c>
      <c r="W62" s="701">
        <v>1</v>
      </c>
      <c r="X62" s="701">
        <v>1</v>
      </c>
      <c r="Y62" s="701">
        <v>1</v>
      </c>
      <c r="Z62" s="701">
        <v>1</v>
      </c>
      <c r="AA62" s="701">
        <v>1</v>
      </c>
      <c r="AB62" s="701">
        <v>1</v>
      </c>
      <c r="AC62" s="702">
        <v>1</v>
      </c>
      <c r="AD62" s="48"/>
      <c r="AE62" s="47"/>
      <c r="AF62" s="47"/>
      <c r="AG62" s="47"/>
      <c r="AH62" s="47"/>
      <c r="AI62" s="47"/>
      <c r="AJ62" s="47"/>
      <c r="AK62" s="47"/>
      <c r="AM62" s="57"/>
    </row>
    <row r="63" spans="1:39" ht="36" customHeight="1" x14ac:dyDescent="0.3">
      <c r="A63" s="1023" t="str">
        <f>A51</f>
        <v>Storage, Stairway, and Mechanical_Electrical</v>
      </c>
      <c r="B63" s="1026" t="str">
        <f>B51</f>
        <v>Ancillary</v>
      </c>
      <c r="C63" s="1045" t="s">
        <v>801</v>
      </c>
      <c r="D63" s="1045" t="s">
        <v>378</v>
      </c>
      <c r="E63" s="723" t="s">
        <v>790</v>
      </c>
      <c r="F63" s="724">
        <v>60</v>
      </c>
      <c r="G63" s="724">
        <v>60</v>
      </c>
      <c r="H63" s="724">
        <v>60</v>
      </c>
      <c r="I63" s="724">
        <v>60</v>
      </c>
      <c r="J63" s="724">
        <v>60</v>
      </c>
      <c r="K63" s="724">
        <v>60</v>
      </c>
      <c r="L63" s="724">
        <v>60</v>
      </c>
      <c r="M63" s="724">
        <v>60</v>
      </c>
      <c r="N63" s="724">
        <v>60</v>
      </c>
      <c r="O63" s="724">
        <v>60</v>
      </c>
      <c r="P63" s="724">
        <v>60</v>
      </c>
      <c r="Q63" s="724">
        <v>60</v>
      </c>
      <c r="R63" s="724">
        <v>60</v>
      </c>
      <c r="S63" s="724">
        <v>60</v>
      </c>
      <c r="T63" s="724">
        <v>60</v>
      </c>
      <c r="U63" s="724">
        <v>60</v>
      </c>
      <c r="V63" s="724">
        <v>60</v>
      </c>
      <c r="W63" s="724">
        <v>60</v>
      </c>
      <c r="X63" s="724">
        <v>60</v>
      </c>
      <c r="Y63" s="724">
        <v>60</v>
      </c>
      <c r="Z63" s="724">
        <v>60</v>
      </c>
      <c r="AA63" s="724">
        <v>60</v>
      </c>
      <c r="AB63" s="724">
        <v>60</v>
      </c>
      <c r="AC63" s="725">
        <v>60</v>
      </c>
      <c r="AD63" s="48"/>
      <c r="AE63" s="47"/>
      <c r="AF63" s="47"/>
      <c r="AG63" s="47"/>
      <c r="AH63" s="47"/>
      <c r="AI63" s="47"/>
      <c r="AJ63" s="47"/>
      <c r="AK63" s="47"/>
      <c r="AM63" s="57"/>
    </row>
    <row r="64" spans="1:39" ht="36" customHeight="1" x14ac:dyDescent="0.3">
      <c r="A64" s="1024"/>
      <c r="B64" s="1018"/>
      <c r="C64" s="1046"/>
      <c r="D64" s="1046"/>
      <c r="E64" s="726" t="s">
        <v>791</v>
      </c>
      <c r="F64" s="727">
        <v>60</v>
      </c>
      <c r="G64" s="727">
        <v>60</v>
      </c>
      <c r="H64" s="727">
        <v>60</v>
      </c>
      <c r="I64" s="727">
        <v>60</v>
      </c>
      <c r="J64" s="727">
        <v>60</v>
      </c>
      <c r="K64" s="727">
        <v>60</v>
      </c>
      <c r="L64" s="727">
        <v>60</v>
      </c>
      <c r="M64" s="727">
        <v>60</v>
      </c>
      <c r="N64" s="727">
        <v>60</v>
      </c>
      <c r="O64" s="727">
        <v>60</v>
      </c>
      <c r="P64" s="727">
        <v>60</v>
      </c>
      <c r="Q64" s="727">
        <v>60</v>
      </c>
      <c r="R64" s="727">
        <v>60</v>
      </c>
      <c r="S64" s="727">
        <v>60</v>
      </c>
      <c r="T64" s="727">
        <v>60</v>
      </c>
      <c r="U64" s="727">
        <v>60</v>
      </c>
      <c r="V64" s="727">
        <v>60</v>
      </c>
      <c r="W64" s="727">
        <v>60</v>
      </c>
      <c r="X64" s="727">
        <v>60</v>
      </c>
      <c r="Y64" s="727">
        <v>60</v>
      </c>
      <c r="Z64" s="727">
        <v>60</v>
      </c>
      <c r="AA64" s="727">
        <v>60</v>
      </c>
      <c r="AB64" s="727">
        <v>60</v>
      </c>
      <c r="AC64" s="728">
        <v>60</v>
      </c>
      <c r="AD64" s="48"/>
      <c r="AE64" s="47"/>
      <c r="AF64" s="47"/>
      <c r="AG64" s="47"/>
      <c r="AH64" s="47"/>
      <c r="AI64" s="47"/>
      <c r="AJ64" s="47"/>
      <c r="AK64" s="47"/>
      <c r="AM64" s="57"/>
    </row>
    <row r="65" spans="1:39" ht="36" customHeight="1" x14ac:dyDescent="0.3">
      <c r="A65" s="1044"/>
      <c r="B65" s="1018"/>
      <c r="C65" s="1047"/>
      <c r="D65" s="1047"/>
      <c r="E65" s="729" t="s">
        <v>792</v>
      </c>
      <c r="F65" s="730">
        <v>60</v>
      </c>
      <c r="G65" s="730">
        <v>60</v>
      </c>
      <c r="H65" s="730">
        <v>60</v>
      </c>
      <c r="I65" s="730">
        <v>60</v>
      </c>
      <c r="J65" s="730">
        <v>60</v>
      </c>
      <c r="K65" s="730">
        <v>60</v>
      </c>
      <c r="L65" s="730">
        <v>60</v>
      </c>
      <c r="M65" s="730">
        <v>60</v>
      </c>
      <c r="N65" s="730">
        <v>60</v>
      </c>
      <c r="O65" s="730">
        <v>60</v>
      </c>
      <c r="P65" s="730">
        <v>60</v>
      </c>
      <c r="Q65" s="730">
        <v>60</v>
      </c>
      <c r="R65" s="730">
        <v>60</v>
      </c>
      <c r="S65" s="730">
        <v>60</v>
      </c>
      <c r="T65" s="730">
        <v>60</v>
      </c>
      <c r="U65" s="730">
        <v>60</v>
      </c>
      <c r="V65" s="730">
        <v>60</v>
      </c>
      <c r="W65" s="730">
        <v>60</v>
      </c>
      <c r="X65" s="730">
        <v>60</v>
      </c>
      <c r="Y65" s="730">
        <v>60</v>
      </c>
      <c r="Z65" s="730">
        <v>60</v>
      </c>
      <c r="AA65" s="730">
        <v>60</v>
      </c>
      <c r="AB65" s="730">
        <v>60</v>
      </c>
      <c r="AC65" s="731">
        <v>60</v>
      </c>
      <c r="AD65" s="48"/>
      <c r="AE65" s="47"/>
      <c r="AF65" s="47"/>
      <c r="AG65" s="47"/>
      <c r="AH65" s="47"/>
      <c r="AI65" s="47"/>
      <c r="AJ65" s="47"/>
      <c r="AK65" s="47"/>
      <c r="AM65" s="57"/>
    </row>
    <row r="66" spans="1:39" ht="31.2" customHeight="1" x14ac:dyDescent="0.3">
      <c r="A66" s="1023" t="str">
        <f>A48</f>
        <v>Storage, Stairway, and Mechanical_Electrical</v>
      </c>
      <c r="B66" s="1026" t="str">
        <f>B48</f>
        <v>Ancillary</v>
      </c>
      <c r="C66" s="1028" t="s">
        <v>802</v>
      </c>
      <c r="D66" s="1031" t="s">
        <v>378</v>
      </c>
      <c r="E66" s="723" t="s">
        <v>790</v>
      </c>
      <c r="F66" s="724">
        <v>85</v>
      </c>
      <c r="G66" s="724">
        <v>85</v>
      </c>
      <c r="H66" s="724">
        <v>85</v>
      </c>
      <c r="I66" s="724">
        <v>85</v>
      </c>
      <c r="J66" s="724">
        <v>85</v>
      </c>
      <c r="K66" s="724">
        <v>85</v>
      </c>
      <c r="L66" s="724">
        <v>85</v>
      </c>
      <c r="M66" s="724">
        <v>85</v>
      </c>
      <c r="N66" s="724">
        <v>85</v>
      </c>
      <c r="O66" s="724">
        <v>85</v>
      </c>
      <c r="P66" s="724">
        <v>85</v>
      </c>
      <c r="Q66" s="724">
        <v>85</v>
      </c>
      <c r="R66" s="724">
        <v>85</v>
      </c>
      <c r="S66" s="724">
        <v>85</v>
      </c>
      <c r="T66" s="724">
        <v>85</v>
      </c>
      <c r="U66" s="724">
        <v>85</v>
      </c>
      <c r="V66" s="724">
        <v>85</v>
      </c>
      <c r="W66" s="724">
        <v>85</v>
      </c>
      <c r="X66" s="724">
        <v>85</v>
      </c>
      <c r="Y66" s="724">
        <v>85</v>
      </c>
      <c r="Z66" s="724">
        <v>85</v>
      </c>
      <c r="AA66" s="724">
        <v>85</v>
      </c>
      <c r="AB66" s="724">
        <v>85</v>
      </c>
      <c r="AC66" s="725">
        <v>85</v>
      </c>
    </row>
    <row r="67" spans="1:39" ht="31.2" customHeight="1" x14ac:dyDescent="0.3">
      <c r="A67" s="1024"/>
      <c r="B67" s="1018"/>
      <c r="C67" s="1029"/>
      <c r="D67" s="1032"/>
      <c r="E67" s="726" t="s">
        <v>791</v>
      </c>
      <c r="F67" s="727">
        <v>85</v>
      </c>
      <c r="G67" s="727">
        <v>85</v>
      </c>
      <c r="H67" s="727">
        <v>85</v>
      </c>
      <c r="I67" s="727">
        <v>85</v>
      </c>
      <c r="J67" s="727">
        <v>85</v>
      </c>
      <c r="K67" s="727">
        <v>85</v>
      </c>
      <c r="L67" s="727">
        <v>85</v>
      </c>
      <c r="M67" s="727">
        <v>85</v>
      </c>
      <c r="N67" s="727">
        <v>85</v>
      </c>
      <c r="O67" s="727">
        <v>85</v>
      </c>
      <c r="P67" s="727">
        <v>85</v>
      </c>
      <c r="Q67" s="727">
        <v>85</v>
      </c>
      <c r="R67" s="727">
        <v>85</v>
      </c>
      <c r="S67" s="727">
        <v>85</v>
      </c>
      <c r="T67" s="727">
        <v>85</v>
      </c>
      <c r="U67" s="727">
        <v>85</v>
      </c>
      <c r="V67" s="727">
        <v>85</v>
      </c>
      <c r="W67" s="727">
        <v>85</v>
      </c>
      <c r="X67" s="727">
        <v>85</v>
      </c>
      <c r="Y67" s="727">
        <v>85</v>
      </c>
      <c r="Z67" s="727">
        <v>85</v>
      </c>
      <c r="AA67" s="727">
        <v>85</v>
      </c>
      <c r="AB67" s="727">
        <v>85</v>
      </c>
      <c r="AC67" s="728">
        <v>85</v>
      </c>
    </row>
    <row r="68" spans="1:39" ht="31.2" customHeight="1" x14ac:dyDescent="0.3">
      <c r="A68" s="1025"/>
      <c r="B68" s="1027"/>
      <c r="C68" s="1030"/>
      <c r="D68" s="1033"/>
      <c r="E68" s="732" t="s">
        <v>792</v>
      </c>
      <c r="F68" s="733">
        <v>85</v>
      </c>
      <c r="G68" s="733">
        <v>85</v>
      </c>
      <c r="H68" s="733">
        <v>85</v>
      </c>
      <c r="I68" s="733">
        <v>85</v>
      </c>
      <c r="J68" s="733">
        <v>85</v>
      </c>
      <c r="K68" s="733">
        <v>85</v>
      </c>
      <c r="L68" s="733">
        <v>85</v>
      </c>
      <c r="M68" s="733">
        <v>85</v>
      </c>
      <c r="N68" s="733">
        <v>85</v>
      </c>
      <c r="O68" s="733">
        <v>85</v>
      </c>
      <c r="P68" s="733">
        <v>85</v>
      </c>
      <c r="Q68" s="733">
        <v>85</v>
      </c>
      <c r="R68" s="733">
        <v>85</v>
      </c>
      <c r="S68" s="733">
        <v>85</v>
      </c>
      <c r="T68" s="733">
        <v>85</v>
      </c>
      <c r="U68" s="733">
        <v>85</v>
      </c>
      <c r="V68" s="733">
        <v>85</v>
      </c>
      <c r="W68" s="733">
        <v>85</v>
      </c>
      <c r="X68" s="733">
        <v>85</v>
      </c>
      <c r="Y68" s="733">
        <v>85</v>
      </c>
      <c r="Z68" s="733">
        <v>85</v>
      </c>
      <c r="AA68" s="733">
        <v>85</v>
      </c>
      <c r="AB68" s="733">
        <v>85</v>
      </c>
      <c r="AC68" s="734">
        <v>85</v>
      </c>
    </row>
    <row r="69" spans="1:39" ht="31.2" customHeight="1" x14ac:dyDescent="0.3">
      <c r="A69" s="955" t="s">
        <v>809</v>
      </c>
      <c r="B69" s="956"/>
      <c r="C69" s="956"/>
      <c r="D69" s="956"/>
      <c r="E69" s="956"/>
      <c r="F69" s="956"/>
      <c r="G69" s="956"/>
      <c r="H69" s="956"/>
      <c r="I69" s="956"/>
      <c r="J69" s="956"/>
      <c r="K69" s="956"/>
      <c r="L69" s="956"/>
      <c r="M69" s="956"/>
      <c r="N69" s="956"/>
      <c r="O69" s="956"/>
      <c r="P69" s="956"/>
      <c r="Q69" s="956"/>
      <c r="R69" s="956"/>
      <c r="S69" s="956"/>
      <c r="T69" s="956"/>
      <c r="U69" s="956"/>
      <c r="V69" s="956"/>
      <c r="W69" s="956"/>
      <c r="X69" s="956"/>
      <c r="Y69" s="956"/>
      <c r="Z69" s="956"/>
      <c r="AA69" s="956"/>
      <c r="AB69" s="956"/>
      <c r="AC69" s="957"/>
      <c r="AD69" s="370" t="s">
        <v>779</v>
      </c>
    </row>
    <row r="70" spans="1:39" ht="37.200000000000003" customHeight="1" x14ac:dyDescent="0.3">
      <c r="A70" s="985"/>
      <c r="B70" s="1007" t="s">
        <v>125</v>
      </c>
      <c r="C70" s="933" t="s">
        <v>683</v>
      </c>
      <c r="D70" s="924" t="s">
        <v>810</v>
      </c>
      <c r="E70" s="232" t="s">
        <v>790</v>
      </c>
      <c r="F70" s="288">
        <v>0</v>
      </c>
      <c r="G70" s="288">
        <v>0</v>
      </c>
      <c r="H70" s="288">
        <v>0</v>
      </c>
      <c r="I70" s="288">
        <v>0</v>
      </c>
      <c r="J70" s="288">
        <v>0</v>
      </c>
      <c r="K70" s="288">
        <v>1</v>
      </c>
      <c r="L70" s="288">
        <v>1</v>
      </c>
      <c r="M70" s="288">
        <v>1</v>
      </c>
      <c r="N70" s="288">
        <v>1</v>
      </c>
      <c r="O70" s="288">
        <v>1</v>
      </c>
      <c r="P70" s="288">
        <v>1</v>
      </c>
      <c r="Q70" s="288">
        <v>1</v>
      </c>
      <c r="R70" s="288">
        <v>1</v>
      </c>
      <c r="S70" s="288">
        <v>1</v>
      </c>
      <c r="T70" s="288">
        <v>1</v>
      </c>
      <c r="U70" s="288">
        <v>1</v>
      </c>
      <c r="V70" s="288">
        <v>1</v>
      </c>
      <c r="W70" s="288">
        <v>1</v>
      </c>
      <c r="X70" s="288">
        <v>1</v>
      </c>
      <c r="Y70" s="288">
        <v>1</v>
      </c>
      <c r="Z70" s="288">
        <v>1</v>
      </c>
      <c r="AA70" s="288">
        <v>1</v>
      </c>
      <c r="AB70" s="288">
        <v>1</v>
      </c>
      <c r="AC70" s="289">
        <v>1</v>
      </c>
      <c r="AD70" s="39">
        <f>SUM(F70:AC70)*261+ SUM(F71:AC71)*52+ SUM(F72:AC72)*52</f>
        <v>4959</v>
      </c>
    </row>
    <row r="71" spans="1:39" ht="37.200000000000003" customHeight="1" x14ac:dyDescent="0.3">
      <c r="A71" s="986"/>
      <c r="B71" s="990"/>
      <c r="C71" s="912"/>
      <c r="D71" s="925"/>
      <c r="E71" s="203" t="s">
        <v>791</v>
      </c>
      <c r="F71" s="253">
        <v>0</v>
      </c>
      <c r="G71" s="253">
        <v>0</v>
      </c>
      <c r="H71" s="253">
        <v>0</v>
      </c>
      <c r="I71" s="253">
        <v>0</v>
      </c>
      <c r="J71" s="253">
        <v>0</v>
      </c>
      <c r="K71" s="306">
        <v>0</v>
      </c>
      <c r="L71" s="306">
        <v>0</v>
      </c>
      <c r="M71" s="306">
        <v>0</v>
      </c>
      <c r="N71" s="306">
        <v>0</v>
      </c>
      <c r="O71" s="306">
        <v>0</v>
      </c>
      <c r="P71" s="306">
        <v>0</v>
      </c>
      <c r="Q71" s="306">
        <v>0</v>
      </c>
      <c r="R71" s="306">
        <v>0</v>
      </c>
      <c r="S71" s="306">
        <v>0</v>
      </c>
      <c r="T71" s="306">
        <v>0</v>
      </c>
      <c r="U71" s="306">
        <v>0</v>
      </c>
      <c r="V71" s="306">
        <v>0</v>
      </c>
      <c r="W71" s="306">
        <v>0</v>
      </c>
      <c r="X71" s="306">
        <v>0</v>
      </c>
      <c r="Y71" s="253">
        <v>0</v>
      </c>
      <c r="Z71" s="253">
        <v>0</v>
      </c>
      <c r="AA71" s="253">
        <v>0</v>
      </c>
      <c r="AB71" s="253">
        <v>0</v>
      </c>
      <c r="AC71" s="290">
        <v>0</v>
      </c>
    </row>
    <row r="72" spans="1:39" ht="37.200000000000003" customHeight="1" x14ac:dyDescent="0.3">
      <c r="A72" s="987"/>
      <c r="B72" s="1008"/>
      <c r="C72" s="1009"/>
      <c r="D72" s="984"/>
      <c r="E72" s="233" t="s">
        <v>792</v>
      </c>
      <c r="F72" s="291">
        <v>0</v>
      </c>
      <c r="G72" s="291">
        <v>0</v>
      </c>
      <c r="H72" s="291">
        <v>0</v>
      </c>
      <c r="I72" s="291">
        <v>0</v>
      </c>
      <c r="J72" s="291">
        <v>0</v>
      </c>
      <c r="K72" s="291">
        <v>0</v>
      </c>
      <c r="L72" s="291">
        <v>0</v>
      </c>
      <c r="M72" s="291">
        <v>0</v>
      </c>
      <c r="N72" s="291">
        <v>0</v>
      </c>
      <c r="O72" s="291">
        <v>0</v>
      </c>
      <c r="P72" s="291">
        <v>0</v>
      </c>
      <c r="Q72" s="291">
        <v>0</v>
      </c>
      <c r="R72" s="291">
        <v>0</v>
      </c>
      <c r="S72" s="291">
        <v>0</v>
      </c>
      <c r="T72" s="291">
        <v>0</v>
      </c>
      <c r="U72" s="291">
        <v>0</v>
      </c>
      <c r="V72" s="291">
        <v>0</v>
      </c>
      <c r="W72" s="291">
        <v>0</v>
      </c>
      <c r="X72" s="291">
        <v>0</v>
      </c>
      <c r="Y72" s="291">
        <v>0</v>
      </c>
      <c r="Z72" s="291">
        <v>0</v>
      </c>
      <c r="AA72" s="291">
        <v>0</v>
      </c>
      <c r="AB72" s="291">
        <v>0</v>
      </c>
      <c r="AC72" s="292">
        <v>0</v>
      </c>
    </row>
    <row r="73" spans="1:39" ht="37.200000000000003" customHeight="1" x14ac:dyDescent="0.3">
      <c r="A73" s="916"/>
      <c r="B73" s="989" t="s">
        <v>125</v>
      </c>
      <c r="C73" s="918" t="s">
        <v>811</v>
      </c>
      <c r="D73" s="924"/>
      <c r="E73" s="232" t="s">
        <v>790</v>
      </c>
      <c r="F73" s="288">
        <v>1</v>
      </c>
      <c r="G73" s="288">
        <v>1</v>
      </c>
      <c r="H73" s="288">
        <v>1</v>
      </c>
      <c r="I73" s="288">
        <v>1</v>
      </c>
      <c r="J73" s="288">
        <v>1</v>
      </c>
      <c r="K73" s="288">
        <v>1</v>
      </c>
      <c r="L73" s="288">
        <v>1</v>
      </c>
      <c r="M73" s="288">
        <v>1</v>
      </c>
      <c r="N73" s="288">
        <v>1</v>
      </c>
      <c r="O73" s="288">
        <v>1</v>
      </c>
      <c r="P73" s="288">
        <v>1</v>
      </c>
      <c r="Q73" s="288">
        <v>1</v>
      </c>
      <c r="R73" s="288">
        <v>1</v>
      </c>
      <c r="S73" s="288">
        <v>1</v>
      </c>
      <c r="T73" s="288">
        <v>1</v>
      </c>
      <c r="U73" s="288">
        <v>1</v>
      </c>
      <c r="V73" s="288">
        <v>1</v>
      </c>
      <c r="W73" s="288">
        <v>1</v>
      </c>
      <c r="X73" s="288">
        <v>1</v>
      </c>
      <c r="Y73" s="288">
        <v>1</v>
      </c>
      <c r="Z73" s="288">
        <v>1</v>
      </c>
      <c r="AA73" s="288">
        <v>1</v>
      </c>
      <c r="AB73" s="288">
        <v>1</v>
      </c>
      <c r="AC73" s="289">
        <v>1</v>
      </c>
    </row>
    <row r="74" spans="1:39" ht="37.200000000000003" customHeight="1" x14ac:dyDescent="0.3">
      <c r="A74" s="958"/>
      <c r="B74" s="990"/>
      <c r="C74" s="912"/>
      <c r="D74" s="925"/>
      <c r="E74" s="203" t="s">
        <v>791</v>
      </c>
      <c r="F74" s="253">
        <v>1</v>
      </c>
      <c r="G74" s="253">
        <v>1</v>
      </c>
      <c r="H74" s="253">
        <v>1</v>
      </c>
      <c r="I74" s="253">
        <v>1</v>
      </c>
      <c r="J74" s="253">
        <v>1</v>
      </c>
      <c r="K74" s="253">
        <v>1</v>
      </c>
      <c r="L74" s="253">
        <v>1</v>
      </c>
      <c r="M74" s="253">
        <v>1</v>
      </c>
      <c r="N74" s="253">
        <v>1</v>
      </c>
      <c r="O74" s="253">
        <v>1</v>
      </c>
      <c r="P74" s="253">
        <v>1</v>
      </c>
      <c r="Q74" s="253">
        <v>1</v>
      </c>
      <c r="R74" s="253">
        <v>1</v>
      </c>
      <c r="S74" s="253">
        <v>1</v>
      </c>
      <c r="T74" s="253">
        <v>1</v>
      </c>
      <c r="U74" s="253">
        <v>1</v>
      </c>
      <c r="V74" s="253">
        <v>1</v>
      </c>
      <c r="W74" s="253">
        <v>1</v>
      </c>
      <c r="X74" s="253">
        <v>1</v>
      </c>
      <c r="Y74" s="253">
        <v>1</v>
      </c>
      <c r="Z74" s="253">
        <v>1</v>
      </c>
      <c r="AA74" s="253">
        <v>1</v>
      </c>
      <c r="AB74" s="253">
        <v>1</v>
      </c>
      <c r="AC74" s="290">
        <v>1</v>
      </c>
    </row>
    <row r="75" spans="1:39" ht="37.200000000000003" customHeight="1" x14ac:dyDescent="0.3">
      <c r="A75" s="959"/>
      <c r="B75" s="991"/>
      <c r="C75" s="919"/>
      <c r="D75" s="984"/>
      <c r="E75" s="233" t="s">
        <v>792</v>
      </c>
      <c r="F75" s="291">
        <v>1</v>
      </c>
      <c r="G75" s="291">
        <v>1</v>
      </c>
      <c r="H75" s="291">
        <v>1</v>
      </c>
      <c r="I75" s="291">
        <v>1</v>
      </c>
      <c r="J75" s="291">
        <v>1</v>
      </c>
      <c r="K75" s="291">
        <v>1</v>
      </c>
      <c r="L75" s="291">
        <v>1</v>
      </c>
      <c r="M75" s="291">
        <v>1</v>
      </c>
      <c r="N75" s="291">
        <v>1</v>
      </c>
      <c r="O75" s="291">
        <v>1</v>
      </c>
      <c r="P75" s="291">
        <v>1</v>
      </c>
      <c r="Q75" s="291">
        <v>1</v>
      </c>
      <c r="R75" s="291">
        <v>1</v>
      </c>
      <c r="S75" s="291">
        <v>1</v>
      </c>
      <c r="T75" s="291">
        <v>1</v>
      </c>
      <c r="U75" s="291">
        <v>1</v>
      </c>
      <c r="V75" s="291">
        <v>1</v>
      </c>
      <c r="W75" s="291">
        <v>1</v>
      </c>
      <c r="X75" s="291">
        <v>1</v>
      </c>
      <c r="Y75" s="291">
        <v>1</v>
      </c>
      <c r="Z75" s="291">
        <v>1</v>
      </c>
      <c r="AA75" s="291">
        <v>1</v>
      </c>
      <c r="AB75" s="291">
        <v>1</v>
      </c>
      <c r="AC75" s="292">
        <v>1</v>
      </c>
    </row>
    <row r="76" spans="1:39" ht="37.200000000000003" customHeight="1" x14ac:dyDescent="0.3">
      <c r="A76" s="992"/>
      <c r="B76" s="995" t="s">
        <v>125</v>
      </c>
      <c r="C76" s="949" t="s">
        <v>812</v>
      </c>
      <c r="D76" s="925"/>
      <c r="E76" s="214" t="s">
        <v>790</v>
      </c>
      <c r="F76" s="342">
        <v>0</v>
      </c>
      <c r="G76" s="342">
        <v>0</v>
      </c>
      <c r="H76" s="342">
        <v>0</v>
      </c>
      <c r="I76" s="342">
        <v>0</v>
      </c>
      <c r="J76" s="342">
        <v>0</v>
      </c>
      <c r="K76" s="342">
        <v>1</v>
      </c>
      <c r="L76" s="342">
        <v>1</v>
      </c>
      <c r="M76" s="342">
        <v>1</v>
      </c>
      <c r="N76" s="342">
        <v>1</v>
      </c>
      <c r="O76" s="342">
        <v>1</v>
      </c>
      <c r="P76" s="342">
        <v>1</v>
      </c>
      <c r="Q76" s="342">
        <v>1</v>
      </c>
      <c r="R76" s="342">
        <v>1</v>
      </c>
      <c r="S76" s="342">
        <v>1</v>
      </c>
      <c r="T76" s="342">
        <v>1</v>
      </c>
      <c r="U76" s="342">
        <v>1</v>
      </c>
      <c r="V76" s="342">
        <v>1</v>
      </c>
      <c r="W76" s="342">
        <v>1</v>
      </c>
      <c r="X76" s="342">
        <v>1</v>
      </c>
      <c r="Y76" s="342">
        <v>1</v>
      </c>
      <c r="Z76" s="342">
        <v>1</v>
      </c>
      <c r="AA76" s="342">
        <v>1</v>
      </c>
      <c r="AB76" s="342">
        <v>0</v>
      </c>
      <c r="AC76" s="343">
        <v>0</v>
      </c>
    </row>
    <row r="77" spans="1:39" s="172" customFormat="1" ht="37.200000000000003" customHeight="1" x14ac:dyDescent="0.3">
      <c r="A77" s="993"/>
      <c r="B77" s="990"/>
      <c r="C77" s="912"/>
      <c r="D77" s="925"/>
      <c r="E77" s="203" t="s">
        <v>791</v>
      </c>
      <c r="F77" s="253">
        <v>0</v>
      </c>
      <c r="G77" s="253">
        <v>0</v>
      </c>
      <c r="H77" s="253">
        <v>0</v>
      </c>
      <c r="I77" s="253">
        <v>0</v>
      </c>
      <c r="J77" s="253">
        <v>0</v>
      </c>
      <c r="K77" s="253">
        <v>1</v>
      </c>
      <c r="L77" s="253">
        <v>1</v>
      </c>
      <c r="M77" s="253">
        <v>1</v>
      </c>
      <c r="N77" s="253">
        <v>1</v>
      </c>
      <c r="O77" s="253">
        <v>1</v>
      </c>
      <c r="P77" s="253">
        <v>1</v>
      </c>
      <c r="Q77" s="253">
        <v>1</v>
      </c>
      <c r="R77" s="253">
        <v>1</v>
      </c>
      <c r="S77" s="253">
        <v>1</v>
      </c>
      <c r="T77" s="253">
        <v>1</v>
      </c>
      <c r="U77" s="253">
        <v>1</v>
      </c>
      <c r="V77" s="253">
        <v>1</v>
      </c>
      <c r="W77" s="253">
        <v>1</v>
      </c>
      <c r="X77" s="253">
        <v>1</v>
      </c>
      <c r="Y77" s="253">
        <v>1</v>
      </c>
      <c r="Z77" s="253">
        <v>1</v>
      </c>
      <c r="AA77" s="253">
        <v>1</v>
      </c>
      <c r="AB77" s="253">
        <v>1</v>
      </c>
      <c r="AC77" s="254">
        <v>1</v>
      </c>
    </row>
    <row r="78" spans="1:39" ht="37.200000000000003" customHeight="1" x14ac:dyDescent="0.3">
      <c r="A78" s="994"/>
      <c r="B78" s="996"/>
      <c r="C78" s="923"/>
      <c r="D78" s="926"/>
      <c r="E78" s="211" t="s">
        <v>792</v>
      </c>
      <c r="F78" s="236">
        <v>0</v>
      </c>
      <c r="G78" s="236">
        <v>0</v>
      </c>
      <c r="H78" s="236">
        <v>0</v>
      </c>
      <c r="I78" s="236">
        <v>0</v>
      </c>
      <c r="J78" s="236">
        <v>0</v>
      </c>
      <c r="K78" s="236">
        <v>1</v>
      </c>
      <c r="L78" s="236">
        <v>1</v>
      </c>
      <c r="M78" s="236">
        <v>1</v>
      </c>
      <c r="N78" s="236">
        <v>1</v>
      </c>
      <c r="O78" s="236">
        <v>1</v>
      </c>
      <c r="P78" s="236">
        <v>1</v>
      </c>
      <c r="Q78" s="236">
        <v>1</v>
      </c>
      <c r="R78" s="236">
        <v>1</v>
      </c>
      <c r="S78" s="236">
        <v>1</v>
      </c>
      <c r="T78" s="236">
        <v>1</v>
      </c>
      <c r="U78" s="236">
        <v>1</v>
      </c>
      <c r="V78" s="236">
        <v>1</v>
      </c>
      <c r="W78" s="236">
        <v>1</v>
      </c>
      <c r="X78" s="236">
        <v>1</v>
      </c>
      <c r="Y78" s="236">
        <v>1</v>
      </c>
      <c r="Z78" s="236">
        <v>1</v>
      </c>
      <c r="AA78" s="236">
        <v>1</v>
      </c>
      <c r="AB78" s="236">
        <v>1</v>
      </c>
      <c r="AC78" s="237">
        <v>1</v>
      </c>
    </row>
    <row r="79" spans="1:39" ht="37.200000000000003" customHeight="1" x14ac:dyDescent="0.3">
      <c r="A79" s="909" t="s">
        <v>144</v>
      </c>
      <c r="B79" s="911" t="s">
        <v>125</v>
      </c>
      <c r="C79" s="911" t="s">
        <v>813</v>
      </c>
      <c r="D79" s="913" t="s">
        <v>814</v>
      </c>
      <c r="E79" s="202" t="s">
        <v>790</v>
      </c>
      <c r="F79" s="234">
        <v>131.9</v>
      </c>
      <c r="G79" s="234">
        <v>131.9</v>
      </c>
      <c r="H79" s="234">
        <v>131.9</v>
      </c>
      <c r="I79" s="234">
        <v>131.9</v>
      </c>
      <c r="J79" s="234">
        <v>131.9</v>
      </c>
      <c r="K79" s="234">
        <v>131.9</v>
      </c>
      <c r="L79" s="234">
        <v>131.9</v>
      </c>
      <c r="M79" s="234">
        <v>131.9</v>
      </c>
      <c r="N79" s="234">
        <v>131.9</v>
      </c>
      <c r="O79" s="234">
        <v>131.9</v>
      </c>
      <c r="P79" s="234">
        <v>131.9</v>
      </c>
      <c r="Q79" s="234">
        <v>131.9</v>
      </c>
      <c r="R79" s="234">
        <v>131.9</v>
      </c>
      <c r="S79" s="234">
        <v>131.9</v>
      </c>
      <c r="T79" s="234">
        <v>131.9</v>
      </c>
      <c r="U79" s="234">
        <v>131.9</v>
      </c>
      <c r="V79" s="234">
        <v>131.9</v>
      </c>
      <c r="W79" s="234">
        <v>131.9</v>
      </c>
      <c r="X79" s="234">
        <v>131.9</v>
      </c>
      <c r="Y79" s="234">
        <v>131.9</v>
      </c>
      <c r="Z79" s="234">
        <v>131.9</v>
      </c>
      <c r="AA79" s="234">
        <v>131.9</v>
      </c>
      <c r="AB79" s="234">
        <v>131.9</v>
      </c>
      <c r="AC79" s="235">
        <v>131.9</v>
      </c>
      <c r="AD79" s="296"/>
      <c r="AE79" s="296"/>
      <c r="AF79" s="296"/>
      <c r="AG79" s="296"/>
      <c r="AH79" s="296"/>
      <c r="AI79" s="296"/>
      <c r="AJ79" s="296"/>
      <c r="AK79" s="296"/>
      <c r="AL79" s="297"/>
      <c r="AM79" s="297"/>
    </row>
    <row r="80" spans="1:39" ht="37.200000000000003" customHeight="1" x14ac:dyDescent="0.3">
      <c r="A80" s="910"/>
      <c r="B80" s="912"/>
      <c r="C80" s="912"/>
      <c r="D80" s="914"/>
      <c r="E80" s="203" t="s">
        <v>791</v>
      </c>
      <c r="F80" s="253">
        <v>131.9</v>
      </c>
      <c r="G80" s="253">
        <v>131.9</v>
      </c>
      <c r="H80" s="253">
        <v>131.9</v>
      </c>
      <c r="I80" s="253">
        <v>131.9</v>
      </c>
      <c r="J80" s="253">
        <v>131.9</v>
      </c>
      <c r="K80" s="253">
        <v>131.9</v>
      </c>
      <c r="L80" s="253">
        <v>131.9</v>
      </c>
      <c r="M80" s="253">
        <v>131.9</v>
      </c>
      <c r="N80" s="253">
        <v>131.9</v>
      </c>
      <c r="O80" s="253">
        <v>131.9</v>
      </c>
      <c r="P80" s="253">
        <v>131.9</v>
      </c>
      <c r="Q80" s="253">
        <v>131.9</v>
      </c>
      <c r="R80" s="253">
        <v>131.9</v>
      </c>
      <c r="S80" s="253">
        <v>131.9</v>
      </c>
      <c r="T80" s="253">
        <v>131.9</v>
      </c>
      <c r="U80" s="253">
        <v>131.9</v>
      </c>
      <c r="V80" s="253">
        <v>131.9</v>
      </c>
      <c r="W80" s="253">
        <v>131.9</v>
      </c>
      <c r="X80" s="253">
        <v>131.9</v>
      </c>
      <c r="Y80" s="253">
        <v>131.9</v>
      </c>
      <c r="Z80" s="253">
        <v>131.9</v>
      </c>
      <c r="AA80" s="253">
        <v>131.9</v>
      </c>
      <c r="AB80" s="253">
        <v>131.9</v>
      </c>
      <c r="AC80" s="254">
        <v>131.9</v>
      </c>
      <c r="AD80" s="296"/>
      <c r="AE80" s="296"/>
      <c r="AF80" s="296"/>
      <c r="AG80" s="296"/>
      <c r="AH80" s="296"/>
      <c r="AI80" s="296"/>
      <c r="AJ80" s="296"/>
      <c r="AK80" s="296"/>
      <c r="AL80" s="297"/>
      <c r="AM80" s="297"/>
    </row>
    <row r="81" spans="1:39" ht="37.200000000000003" customHeight="1" x14ac:dyDescent="0.3">
      <c r="A81" s="917"/>
      <c r="B81" s="923"/>
      <c r="C81" s="919"/>
      <c r="D81" s="960"/>
      <c r="E81" s="211" t="s">
        <v>792</v>
      </c>
      <c r="F81" s="236">
        <v>131.9</v>
      </c>
      <c r="G81" s="236">
        <v>131.9</v>
      </c>
      <c r="H81" s="236">
        <v>131.9</v>
      </c>
      <c r="I81" s="236">
        <v>131.9</v>
      </c>
      <c r="J81" s="236">
        <v>131.9</v>
      </c>
      <c r="K81" s="236">
        <v>131.9</v>
      </c>
      <c r="L81" s="236">
        <v>131.9</v>
      </c>
      <c r="M81" s="236">
        <v>131.9</v>
      </c>
      <c r="N81" s="236">
        <v>131.9</v>
      </c>
      <c r="O81" s="236">
        <v>131.9</v>
      </c>
      <c r="P81" s="236">
        <v>131.9</v>
      </c>
      <c r="Q81" s="236">
        <v>131.9</v>
      </c>
      <c r="R81" s="236">
        <v>131.9</v>
      </c>
      <c r="S81" s="236">
        <v>131.9</v>
      </c>
      <c r="T81" s="236">
        <v>131.9</v>
      </c>
      <c r="U81" s="236">
        <v>131.9</v>
      </c>
      <c r="V81" s="236">
        <v>131.9</v>
      </c>
      <c r="W81" s="236">
        <v>131.9</v>
      </c>
      <c r="X81" s="236">
        <v>131.9</v>
      </c>
      <c r="Y81" s="236">
        <v>131.9</v>
      </c>
      <c r="Z81" s="236">
        <v>131.9</v>
      </c>
      <c r="AA81" s="236">
        <v>131.9</v>
      </c>
      <c r="AB81" s="236">
        <v>131.9</v>
      </c>
      <c r="AC81" s="237">
        <v>131.9</v>
      </c>
      <c r="AD81" s="296"/>
      <c r="AE81" s="296"/>
      <c r="AF81" s="296"/>
      <c r="AG81" s="296"/>
      <c r="AH81" s="296"/>
      <c r="AI81" s="296"/>
      <c r="AJ81" s="296"/>
      <c r="AK81" s="296"/>
      <c r="AL81" s="297"/>
      <c r="AM81" s="297"/>
    </row>
    <row r="82" spans="1:39" ht="37.200000000000003" customHeight="1" x14ac:dyDescent="0.3">
      <c r="A82" s="998" t="s">
        <v>815</v>
      </c>
      <c r="B82" s="1001" t="s">
        <v>125</v>
      </c>
      <c r="C82" s="1001" t="s">
        <v>816</v>
      </c>
      <c r="D82" s="1004" t="s">
        <v>814</v>
      </c>
      <c r="E82" s="293" t="s">
        <v>790</v>
      </c>
      <c r="F82" s="294">
        <v>120</v>
      </c>
      <c r="G82" s="294">
        <v>120</v>
      </c>
      <c r="H82" s="294">
        <v>120</v>
      </c>
      <c r="I82" s="294">
        <v>120</v>
      </c>
      <c r="J82" s="294">
        <v>120</v>
      </c>
      <c r="K82" s="294">
        <v>120</v>
      </c>
      <c r="L82" s="294">
        <v>120</v>
      </c>
      <c r="M82" s="294">
        <v>120</v>
      </c>
      <c r="N82" s="294">
        <v>120</v>
      </c>
      <c r="O82" s="294">
        <v>120</v>
      </c>
      <c r="P82" s="294">
        <v>120</v>
      </c>
      <c r="Q82" s="294">
        <v>120</v>
      </c>
      <c r="R82" s="294">
        <v>120</v>
      </c>
      <c r="S82" s="294">
        <v>120</v>
      </c>
      <c r="T82" s="294">
        <v>120</v>
      </c>
      <c r="U82" s="294">
        <v>120</v>
      </c>
      <c r="V82" s="294">
        <v>120</v>
      </c>
      <c r="W82" s="294">
        <v>120</v>
      </c>
      <c r="X82" s="294">
        <v>120</v>
      </c>
      <c r="Y82" s="294">
        <v>120</v>
      </c>
      <c r="Z82" s="294">
        <v>120</v>
      </c>
      <c r="AA82" s="294">
        <v>120</v>
      </c>
      <c r="AB82" s="294">
        <v>120</v>
      </c>
      <c r="AC82" s="295">
        <v>120</v>
      </c>
    </row>
    <row r="83" spans="1:39" ht="37.200000000000003" customHeight="1" x14ac:dyDescent="0.3">
      <c r="A83" s="999"/>
      <c r="B83" s="1002"/>
      <c r="C83" s="1002"/>
      <c r="D83" s="1005"/>
      <c r="E83" s="298" t="s">
        <v>791</v>
      </c>
      <c r="F83" s="299">
        <v>120</v>
      </c>
      <c r="G83" s="299">
        <v>120</v>
      </c>
      <c r="H83" s="299">
        <v>120</v>
      </c>
      <c r="I83" s="299">
        <v>120</v>
      </c>
      <c r="J83" s="299">
        <v>120</v>
      </c>
      <c r="K83" s="299">
        <v>120</v>
      </c>
      <c r="L83" s="299">
        <v>120</v>
      </c>
      <c r="M83" s="299">
        <v>120</v>
      </c>
      <c r="N83" s="299">
        <v>120</v>
      </c>
      <c r="O83" s="299">
        <v>120</v>
      </c>
      <c r="P83" s="299">
        <v>120</v>
      </c>
      <c r="Q83" s="299">
        <v>120</v>
      </c>
      <c r="R83" s="299">
        <v>120</v>
      </c>
      <c r="S83" s="299">
        <v>120</v>
      </c>
      <c r="T83" s="299">
        <v>120</v>
      </c>
      <c r="U83" s="299">
        <v>120</v>
      </c>
      <c r="V83" s="299">
        <v>120</v>
      </c>
      <c r="W83" s="299">
        <v>120</v>
      </c>
      <c r="X83" s="299">
        <v>120</v>
      </c>
      <c r="Y83" s="299">
        <v>120</v>
      </c>
      <c r="Z83" s="299">
        <v>120</v>
      </c>
      <c r="AA83" s="299">
        <v>120</v>
      </c>
      <c r="AB83" s="299">
        <v>120</v>
      </c>
      <c r="AC83" s="300">
        <v>120</v>
      </c>
    </row>
    <row r="84" spans="1:39" ht="37.200000000000003" customHeight="1" x14ac:dyDescent="0.3">
      <c r="A84" s="1000"/>
      <c r="B84" s="1003"/>
      <c r="C84" s="1003"/>
      <c r="D84" s="1006"/>
      <c r="E84" s="301" t="s">
        <v>792</v>
      </c>
      <c r="F84" s="302">
        <v>120</v>
      </c>
      <c r="G84" s="302">
        <v>120</v>
      </c>
      <c r="H84" s="302">
        <v>120</v>
      </c>
      <c r="I84" s="302">
        <v>120</v>
      </c>
      <c r="J84" s="302">
        <v>120</v>
      </c>
      <c r="K84" s="302">
        <v>120</v>
      </c>
      <c r="L84" s="302">
        <v>120</v>
      </c>
      <c r="M84" s="302">
        <v>120</v>
      </c>
      <c r="N84" s="302">
        <v>120</v>
      </c>
      <c r="O84" s="302">
        <v>120</v>
      </c>
      <c r="P84" s="302">
        <v>120</v>
      </c>
      <c r="Q84" s="302">
        <v>120</v>
      </c>
      <c r="R84" s="302">
        <v>120</v>
      </c>
      <c r="S84" s="302">
        <v>120</v>
      </c>
      <c r="T84" s="302">
        <v>120</v>
      </c>
      <c r="U84" s="302">
        <v>120</v>
      </c>
      <c r="V84" s="302">
        <v>120</v>
      </c>
      <c r="W84" s="302">
        <v>120</v>
      </c>
      <c r="X84" s="302">
        <v>120</v>
      </c>
      <c r="Y84" s="302">
        <v>120</v>
      </c>
      <c r="Z84" s="302">
        <v>120</v>
      </c>
      <c r="AA84" s="302">
        <v>120</v>
      </c>
      <c r="AB84" s="302">
        <v>120</v>
      </c>
      <c r="AC84" s="303">
        <v>120</v>
      </c>
    </row>
    <row r="85" spans="1:39" ht="37.200000000000003" customHeight="1" x14ac:dyDescent="0.3">
      <c r="A85" s="909" t="s">
        <v>817</v>
      </c>
      <c r="B85" s="911" t="s">
        <v>125</v>
      </c>
      <c r="C85" s="911" t="s">
        <v>818</v>
      </c>
      <c r="D85" s="913" t="s">
        <v>814</v>
      </c>
      <c r="E85" s="202" t="s">
        <v>790</v>
      </c>
      <c r="F85" s="234">
        <v>117.2</v>
      </c>
      <c r="G85" s="234">
        <v>117.2</v>
      </c>
      <c r="H85" s="234">
        <v>117.2</v>
      </c>
      <c r="I85" s="234">
        <v>117.2</v>
      </c>
      <c r="J85" s="234">
        <v>117.2</v>
      </c>
      <c r="K85" s="234">
        <v>117.2</v>
      </c>
      <c r="L85" s="234">
        <v>117.2</v>
      </c>
      <c r="M85" s="234">
        <v>117.2</v>
      </c>
      <c r="N85" s="234">
        <v>117.2</v>
      </c>
      <c r="O85" s="234">
        <v>117.2</v>
      </c>
      <c r="P85" s="234">
        <v>117.2</v>
      </c>
      <c r="Q85" s="234">
        <v>117.2</v>
      </c>
      <c r="R85" s="234">
        <v>117.2</v>
      </c>
      <c r="S85" s="234">
        <v>117.2</v>
      </c>
      <c r="T85" s="234">
        <v>117.2</v>
      </c>
      <c r="U85" s="234">
        <v>117.2</v>
      </c>
      <c r="V85" s="234">
        <v>117.2</v>
      </c>
      <c r="W85" s="234">
        <v>117.2</v>
      </c>
      <c r="X85" s="234">
        <v>117.2</v>
      </c>
      <c r="Y85" s="234">
        <v>117.2</v>
      </c>
      <c r="Z85" s="234">
        <v>117.2</v>
      </c>
      <c r="AA85" s="234">
        <v>117.2</v>
      </c>
      <c r="AB85" s="234">
        <v>117.2</v>
      </c>
      <c r="AC85" s="235">
        <v>117.2</v>
      </c>
    </row>
    <row r="86" spans="1:39" ht="37.200000000000003" customHeight="1" x14ac:dyDescent="0.3">
      <c r="A86" s="910"/>
      <c r="B86" s="912"/>
      <c r="C86" s="912"/>
      <c r="D86" s="914"/>
      <c r="E86" s="203" t="s">
        <v>791</v>
      </c>
      <c r="F86" s="253">
        <v>117.2</v>
      </c>
      <c r="G86" s="253">
        <v>117.2</v>
      </c>
      <c r="H86" s="253">
        <v>117.2</v>
      </c>
      <c r="I86" s="253">
        <v>117.2</v>
      </c>
      <c r="J86" s="253">
        <v>117.2</v>
      </c>
      <c r="K86" s="253">
        <v>117.2</v>
      </c>
      <c r="L86" s="253">
        <v>117.2</v>
      </c>
      <c r="M86" s="253">
        <v>117.2</v>
      </c>
      <c r="N86" s="253">
        <v>117.2</v>
      </c>
      <c r="O86" s="253">
        <v>117.2</v>
      </c>
      <c r="P86" s="253">
        <v>117.2</v>
      </c>
      <c r="Q86" s="253">
        <v>117.2</v>
      </c>
      <c r="R86" s="253">
        <v>117.2</v>
      </c>
      <c r="S86" s="253">
        <v>117.2</v>
      </c>
      <c r="T86" s="253">
        <v>117.2</v>
      </c>
      <c r="U86" s="253">
        <v>117.2</v>
      </c>
      <c r="V86" s="253">
        <v>117.2</v>
      </c>
      <c r="W86" s="253">
        <v>117.2</v>
      </c>
      <c r="X86" s="253">
        <v>117.2</v>
      </c>
      <c r="Y86" s="253">
        <v>117.2</v>
      </c>
      <c r="Z86" s="253">
        <v>117.2</v>
      </c>
      <c r="AA86" s="253">
        <v>117.2</v>
      </c>
      <c r="AB86" s="253">
        <v>117.2</v>
      </c>
      <c r="AC86" s="254">
        <v>117.2</v>
      </c>
    </row>
    <row r="87" spans="1:39" ht="37.200000000000003" customHeight="1" x14ac:dyDescent="0.3">
      <c r="A87" s="910"/>
      <c r="B87" s="912"/>
      <c r="C87" s="912"/>
      <c r="D87" s="915"/>
      <c r="E87" s="204" t="s">
        <v>792</v>
      </c>
      <c r="F87" s="286">
        <v>117.2</v>
      </c>
      <c r="G87" s="286">
        <v>117.2</v>
      </c>
      <c r="H87" s="286">
        <v>117.2</v>
      </c>
      <c r="I87" s="286">
        <v>117.2</v>
      </c>
      <c r="J87" s="286">
        <v>117.2</v>
      </c>
      <c r="K87" s="286">
        <v>117.2</v>
      </c>
      <c r="L87" s="286">
        <v>117.2</v>
      </c>
      <c r="M87" s="286">
        <v>117.2</v>
      </c>
      <c r="N87" s="286">
        <v>117.2</v>
      </c>
      <c r="O87" s="286">
        <v>117.2</v>
      </c>
      <c r="P87" s="286">
        <v>117.2</v>
      </c>
      <c r="Q87" s="286">
        <v>117.2</v>
      </c>
      <c r="R87" s="286">
        <v>117.2</v>
      </c>
      <c r="S87" s="286">
        <v>117.2</v>
      </c>
      <c r="T87" s="286">
        <v>117.2</v>
      </c>
      <c r="U87" s="286">
        <v>117.2</v>
      </c>
      <c r="V87" s="286">
        <v>117.2</v>
      </c>
      <c r="W87" s="286">
        <v>117.2</v>
      </c>
      <c r="X87" s="286">
        <v>117.2</v>
      </c>
      <c r="Y87" s="286">
        <v>117.2</v>
      </c>
      <c r="Z87" s="286">
        <v>117.2</v>
      </c>
      <c r="AA87" s="286">
        <v>117.2</v>
      </c>
      <c r="AB87" s="286">
        <v>117.2</v>
      </c>
      <c r="AC87" s="287">
        <v>117.2</v>
      </c>
    </row>
    <row r="88" spans="1:39" ht="37.200000000000003" customHeight="1" x14ac:dyDescent="0.3">
      <c r="A88" s="916" t="s">
        <v>819</v>
      </c>
      <c r="B88" s="918" t="s">
        <v>125</v>
      </c>
      <c r="C88" s="918" t="s">
        <v>820</v>
      </c>
      <c r="D88" s="920" t="s">
        <v>814</v>
      </c>
      <c r="E88" s="232" t="s">
        <v>790</v>
      </c>
      <c r="F88" s="288">
        <v>146.5</v>
      </c>
      <c r="G88" s="288">
        <v>146.5</v>
      </c>
      <c r="H88" s="288">
        <v>146.5</v>
      </c>
      <c r="I88" s="288">
        <v>146.5</v>
      </c>
      <c r="J88" s="288">
        <v>146.5</v>
      </c>
      <c r="K88" s="288">
        <v>146.5</v>
      </c>
      <c r="L88" s="288">
        <v>146.5</v>
      </c>
      <c r="M88" s="288">
        <v>146.5</v>
      </c>
      <c r="N88" s="288">
        <v>146.5</v>
      </c>
      <c r="O88" s="288">
        <v>146.5</v>
      </c>
      <c r="P88" s="288">
        <v>146.5</v>
      </c>
      <c r="Q88" s="288">
        <v>146.5</v>
      </c>
      <c r="R88" s="288">
        <v>146.5</v>
      </c>
      <c r="S88" s="288">
        <v>146.5</v>
      </c>
      <c r="T88" s="288">
        <v>146.5</v>
      </c>
      <c r="U88" s="288">
        <v>146.5</v>
      </c>
      <c r="V88" s="288">
        <v>146.5</v>
      </c>
      <c r="W88" s="288">
        <v>146.5</v>
      </c>
      <c r="X88" s="288">
        <v>146.5</v>
      </c>
      <c r="Y88" s="288">
        <v>146.5</v>
      </c>
      <c r="Z88" s="288">
        <v>146.5</v>
      </c>
      <c r="AA88" s="288">
        <v>146.5</v>
      </c>
      <c r="AB88" s="288">
        <v>146.5</v>
      </c>
      <c r="AC88" s="289">
        <v>146.5</v>
      </c>
    </row>
    <row r="89" spans="1:39" ht="37.200000000000003" customHeight="1" x14ac:dyDescent="0.3">
      <c r="A89" s="910"/>
      <c r="B89" s="912"/>
      <c r="C89" s="912"/>
      <c r="D89" s="914"/>
      <c r="E89" s="203" t="s">
        <v>791</v>
      </c>
      <c r="F89" s="253">
        <v>146.5</v>
      </c>
      <c r="G89" s="253">
        <v>146.5</v>
      </c>
      <c r="H89" s="253">
        <v>146.5</v>
      </c>
      <c r="I89" s="253">
        <v>146.5</v>
      </c>
      <c r="J89" s="253">
        <v>146.5</v>
      </c>
      <c r="K89" s="253">
        <v>146.5</v>
      </c>
      <c r="L89" s="253">
        <v>146.5</v>
      </c>
      <c r="M89" s="253">
        <v>146.5</v>
      </c>
      <c r="N89" s="253">
        <v>146.5</v>
      </c>
      <c r="O89" s="253">
        <v>146.5</v>
      </c>
      <c r="P89" s="253">
        <v>146.5</v>
      </c>
      <c r="Q89" s="253">
        <v>146.5</v>
      </c>
      <c r="R89" s="253">
        <v>146.5</v>
      </c>
      <c r="S89" s="253">
        <v>146.5</v>
      </c>
      <c r="T89" s="253">
        <v>146.5</v>
      </c>
      <c r="U89" s="253">
        <v>146.5</v>
      </c>
      <c r="V89" s="253">
        <v>146.5</v>
      </c>
      <c r="W89" s="253">
        <v>146.5</v>
      </c>
      <c r="X89" s="253">
        <v>146.5</v>
      </c>
      <c r="Y89" s="253">
        <v>146.5</v>
      </c>
      <c r="Z89" s="253">
        <v>146.5</v>
      </c>
      <c r="AA89" s="253">
        <v>146.5</v>
      </c>
      <c r="AB89" s="253">
        <v>146.5</v>
      </c>
      <c r="AC89" s="290">
        <v>146.5</v>
      </c>
    </row>
    <row r="90" spans="1:39" ht="37.200000000000003" customHeight="1" x14ac:dyDescent="0.3">
      <c r="A90" s="917"/>
      <c r="B90" s="919"/>
      <c r="C90" s="919"/>
      <c r="D90" s="921"/>
      <c r="E90" s="233" t="s">
        <v>792</v>
      </c>
      <c r="F90" s="291">
        <v>146.5</v>
      </c>
      <c r="G90" s="291">
        <v>146.5</v>
      </c>
      <c r="H90" s="291">
        <v>146.5</v>
      </c>
      <c r="I90" s="291">
        <v>146.5</v>
      </c>
      <c r="J90" s="291">
        <v>146.5</v>
      </c>
      <c r="K90" s="291">
        <v>146.5</v>
      </c>
      <c r="L90" s="291">
        <v>146.5</v>
      </c>
      <c r="M90" s="291">
        <v>146.5</v>
      </c>
      <c r="N90" s="291">
        <v>146.5</v>
      </c>
      <c r="O90" s="291">
        <v>146.5</v>
      </c>
      <c r="P90" s="291">
        <v>146.5</v>
      </c>
      <c r="Q90" s="291">
        <v>146.5</v>
      </c>
      <c r="R90" s="291">
        <v>146.5</v>
      </c>
      <c r="S90" s="291">
        <v>146.5</v>
      </c>
      <c r="T90" s="291">
        <v>146.5</v>
      </c>
      <c r="U90" s="291">
        <v>146.5</v>
      </c>
      <c r="V90" s="291">
        <v>146.5</v>
      </c>
      <c r="W90" s="291">
        <v>146.5</v>
      </c>
      <c r="X90" s="291">
        <v>146.5</v>
      </c>
      <c r="Y90" s="291">
        <v>146.5</v>
      </c>
      <c r="Z90" s="291">
        <v>146.5</v>
      </c>
      <c r="AA90" s="291">
        <v>146.5</v>
      </c>
      <c r="AB90" s="291">
        <v>146.5</v>
      </c>
      <c r="AC90" s="292">
        <v>146.5</v>
      </c>
    </row>
    <row r="91" spans="1:39" ht="37.200000000000003" customHeight="1" x14ac:dyDescent="0.3">
      <c r="A91" s="909" t="s">
        <v>821</v>
      </c>
      <c r="B91" s="911" t="s">
        <v>125</v>
      </c>
      <c r="C91" s="911" t="s">
        <v>822</v>
      </c>
      <c r="D91" s="913" t="s">
        <v>814</v>
      </c>
      <c r="E91" s="202" t="s">
        <v>790</v>
      </c>
      <c r="F91" s="234">
        <v>219.8</v>
      </c>
      <c r="G91" s="234">
        <v>219.8</v>
      </c>
      <c r="H91" s="234">
        <v>219.8</v>
      </c>
      <c r="I91" s="234">
        <v>219.8</v>
      </c>
      <c r="J91" s="234">
        <v>219.8</v>
      </c>
      <c r="K91" s="234">
        <v>219.8</v>
      </c>
      <c r="L91" s="234">
        <v>219.8</v>
      </c>
      <c r="M91" s="234">
        <v>219.8</v>
      </c>
      <c r="N91" s="234">
        <v>219.8</v>
      </c>
      <c r="O91" s="234">
        <v>219.8</v>
      </c>
      <c r="P91" s="234">
        <v>219.8</v>
      </c>
      <c r="Q91" s="234">
        <v>219.8</v>
      </c>
      <c r="R91" s="234">
        <v>219.8</v>
      </c>
      <c r="S91" s="234">
        <v>219.8</v>
      </c>
      <c r="T91" s="234">
        <v>219.8</v>
      </c>
      <c r="U91" s="234">
        <v>219.8</v>
      </c>
      <c r="V91" s="234">
        <v>219.8</v>
      </c>
      <c r="W91" s="234">
        <v>219.8</v>
      </c>
      <c r="X91" s="234">
        <v>219.8</v>
      </c>
      <c r="Y91" s="234">
        <v>219.8</v>
      </c>
      <c r="Z91" s="234">
        <v>219.8</v>
      </c>
      <c r="AA91" s="234">
        <v>219.8</v>
      </c>
      <c r="AB91" s="234">
        <v>219.8</v>
      </c>
      <c r="AC91" s="235">
        <v>219.8</v>
      </c>
    </row>
    <row r="92" spans="1:39" ht="37.200000000000003" customHeight="1" x14ac:dyDescent="0.3">
      <c r="A92" s="910"/>
      <c r="B92" s="912"/>
      <c r="C92" s="912"/>
      <c r="D92" s="914"/>
      <c r="E92" s="203" t="s">
        <v>791</v>
      </c>
      <c r="F92" s="253">
        <v>219.8</v>
      </c>
      <c r="G92" s="253">
        <v>219.8</v>
      </c>
      <c r="H92" s="253">
        <v>219.8</v>
      </c>
      <c r="I92" s="253">
        <v>219.8</v>
      </c>
      <c r="J92" s="253">
        <v>219.8</v>
      </c>
      <c r="K92" s="253">
        <v>219.8</v>
      </c>
      <c r="L92" s="253">
        <v>219.8</v>
      </c>
      <c r="M92" s="253">
        <v>219.8</v>
      </c>
      <c r="N92" s="253">
        <v>219.8</v>
      </c>
      <c r="O92" s="253">
        <v>219.8</v>
      </c>
      <c r="P92" s="253">
        <v>219.8</v>
      </c>
      <c r="Q92" s="253">
        <v>219.8</v>
      </c>
      <c r="R92" s="253">
        <v>219.8</v>
      </c>
      <c r="S92" s="253">
        <v>219.8</v>
      </c>
      <c r="T92" s="253">
        <v>219.8</v>
      </c>
      <c r="U92" s="253">
        <v>219.8</v>
      </c>
      <c r="V92" s="253">
        <v>219.8</v>
      </c>
      <c r="W92" s="253">
        <v>219.8</v>
      </c>
      <c r="X92" s="253">
        <v>219.8</v>
      </c>
      <c r="Y92" s="253">
        <v>219.8</v>
      </c>
      <c r="Z92" s="253">
        <v>219.8</v>
      </c>
      <c r="AA92" s="253">
        <v>219.8</v>
      </c>
      <c r="AB92" s="253">
        <v>219.8</v>
      </c>
      <c r="AC92" s="254">
        <v>219.8</v>
      </c>
    </row>
    <row r="93" spans="1:39" ht="31.2" customHeight="1" x14ac:dyDescent="0.3">
      <c r="A93" s="910"/>
      <c r="B93" s="912"/>
      <c r="C93" s="912"/>
      <c r="D93" s="915"/>
      <c r="E93" s="204" t="s">
        <v>792</v>
      </c>
      <c r="F93" s="286">
        <v>219.8</v>
      </c>
      <c r="G93" s="286">
        <v>219.8</v>
      </c>
      <c r="H93" s="286">
        <v>219.8</v>
      </c>
      <c r="I93" s="286">
        <v>219.8</v>
      </c>
      <c r="J93" s="286">
        <v>219.8</v>
      </c>
      <c r="K93" s="286">
        <v>219.8</v>
      </c>
      <c r="L93" s="286">
        <v>219.8</v>
      </c>
      <c r="M93" s="286">
        <v>219.8</v>
      </c>
      <c r="N93" s="286">
        <v>219.8</v>
      </c>
      <c r="O93" s="286">
        <v>219.8</v>
      </c>
      <c r="P93" s="286">
        <v>219.8</v>
      </c>
      <c r="Q93" s="286">
        <v>219.8</v>
      </c>
      <c r="R93" s="286">
        <v>219.8</v>
      </c>
      <c r="S93" s="286">
        <v>219.8</v>
      </c>
      <c r="T93" s="286">
        <v>219.8</v>
      </c>
      <c r="U93" s="286">
        <v>219.8</v>
      </c>
      <c r="V93" s="286">
        <v>219.8</v>
      </c>
      <c r="W93" s="286">
        <v>219.8</v>
      </c>
      <c r="X93" s="286">
        <v>219.8</v>
      </c>
      <c r="Y93" s="286">
        <v>219.8</v>
      </c>
      <c r="Z93" s="286">
        <v>219.8</v>
      </c>
      <c r="AA93" s="286">
        <v>219.8</v>
      </c>
      <c r="AB93" s="286">
        <v>219.8</v>
      </c>
      <c r="AC93" s="287">
        <v>219.8</v>
      </c>
    </row>
    <row r="94" spans="1:39" ht="22.2" customHeight="1" x14ac:dyDescent="0.3">
      <c r="A94" s="916" t="s">
        <v>823</v>
      </c>
      <c r="B94" s="918" t="s">
        <v>125</v>
      </c>
      <c r="C94" s="918" t="s">
        <v>824</v>
      </c>
      <c r="D94" s="920" t="s">
        <v>814</v>
      </c>
      <c r="E94" s="232" t="s">
        <v>790</v>
      </c>
      <c r="F94" s="288">
        <v>213.9</v>
      </c>
      <c r="G94" s="288">
        <v>213.9</v>
      </c>
      <c r="H94" s="288">
        <v>213.9</v>
      </c>
      <c r="I94" s="288">
        <v>213.9</v>
      </c>
      <c r="J94" s="288">
        <v>213.9</v>
      </c>
      <c r="K94" s="288">
        <v>213.9</v>
      </c>
      <c r="L94" s="288">
        <v>213.9</v>
      </c>
      <c r="M94" s="288">
        <v>213.9</v>
      </c>
      <c r="N94" s="288">
        <v>213.9</v>
      </c>
      <c r="O94" s="288">
        <v>213.9</v>
      </c>
      <c r="P94" s="288">
        <v>213.9</v>
      </c>
      <c r="Q94" s="288">
        <v>213.9</v>
      </c>
      <c r="R94" s="288">
        <v>213.9</v>
      </c>
      <c r="S94" s="288">
        <v>213.9</v>
      </c>
      <c r="T94" s="288">
        <v>213.9</v>
      </c>
      <c r="U94" s="288">
        <v>213.9</v>
      </c>
      <c r="V94" s="288">
        <v>213.9</v>
      </c>
      <c r="W94" s="288">
        <v>213.9</v>
      </c>
      <c r="X94" s="288">
        <v>213.9</v>
      </c>
      <c r="Y94" s="288">
        <v>213.9</v>
      </c>
      <c r="Z94" s="288">
        <v>213.9</v>
      </c>
      <c r="AA94" s="288">
        <v>213.9</v>
      </c>
      <c r="AB94" s="288">
        <v>213.9</v>
      </c>
      <c r="AC94" s="289">
        <v>213.9</v>
      </c>
    </row>
    <row r="95" spans="1:39" ht="22.2" customHeight="1" x14ac:dyDescent="0.3">
      <c r="A95" s="910"/>
      <c r="B95" s="912"/>
      <c r="C95" s="912"/>
      <c r="D95" s="914"/>
      <c r="E95" s="203" t="s">
        <v>791</v>
      </c>
      <c r="F95" s="253">
        <v>213.9</v>
      </c>
      <c r="G95" s="253">
        <v>213.9</v>
      </c>
      <c r="H95" s="253">
        <v>213.9</v>
      </c>
      <c r="I95" s="253">
        <v>213.9</v>
      </c>
      <c r="J95" s="253">
        <v>213.9</v>
      </c>
      <c r="K95" s="253">
        <v>213.9</v>
      </c>
      <c r="L95" s="253">
        <v>213.9</v>
      </c>
      <c r="M95" s="253">
        <v>213.9</v>
      </c>
      <c r="N95" s="253">
        <v>213.9</v>
      </c>
      <c r="O95" s="253">
        <v>213.9</v>
      </c>
      <c r="P95" s="253">
        <v>213.9</v>
      </c>
      <c r="Q95" s="253">
        <v>213.9</v>
      </c>
      <c r="R95" s="253">
        <v>213.9</v>
      </c>
      <c r="S95" s="253">
        <v>213.9</v>
      </c>
      <c r="T95" s="253">
        <v>213.9</v>
      </c>
      <c r="U95" s="253">
        <v>213.9</v>
      </c>
      <c r="V95" s="253">
        <v>213.9</v>
      </c>
      <c r="W95" s="253">
        <v>213.9</v>
      </c>
      <c r="X95" s="253">
        <v>213.9</v>
      </c>
      <c r="Y95" s="253">
        <v>213.9</v>
      </c>
      <c r="Z95" s="253">
        <v>213.9</v>
      </c>
      <c r="AA95" s="253">
        <v>213.9</v>
      </c>
      <c r="AB95" s="253">
        <v>213.9</v>
      </c>
      <c r="AC95" s="290">
        <v>213.9</v>
      </c>
    </row>
    <row r="96" spans="1:39" ht="22.2" customHeight="1" x14ac:dyDescent="0.3">
      <c r="A96" s="917"/>
      <c r="B96" s="919"/>
      <c r="C96" s="919"/>
      <c r="D96" s="921"/>
      <c r="E96" s="233" t="s">
        <v>792</v>
      </c>
      <c r="F96" s="291">
        <v>213.9</v>
      </c>
      <c r="G96" s="291">
        <v>213.9</v>
      </c>
      <c r="H96" s="291">
        <v>213.9</v>
      </c>
      <c r="I96" s="291">
        <v>213.9</v>
      </c>
      <c r="J96" s="291">
        <v>213.9</v>
      </c>
      <c r="K96" s="291">
        <v>213.9</v>
      </c>
      <c r="L96" s="291">
        <v>213.9</v>
      </c>
      <c r="M96" s="291">
        <v>213.9</v>
      </c>
      <c r="N96" s="291">
        <v>213.9</v>
      </c>
      <c r="O96" s="291">
        <v>213.9</v>
      </c>
      <c r="P96" s="291">
        <v>213.9</v>
      </c>
      <c r="Q96" s="291">
        <v>213.9</v>
      </c>
      <c r="R96" s="291">
        <v>213.9</v>
      </c>
      <c r="S96" s="291">
        <v>213.9</v>
      </c>
      <c r="T96" s="291">
        <v>213.9</v>
      </c>
      <c r="U96" s="291">
        <v>213.9</v>
      </c>
      <c r="V96" s="291">
        <v>213.9</v>
      </c>
      <c r="W96" s="291">
        <v>213.9</v>
      </c>
      <c r="X96" s="291">
        <v>213.9</v>
      </c>
      <c r="Y96" s="291">
        <v>213.9</v>
      </c>
      <c r="Z96" s="291">
        <v>213.9</v>
      </c>
      <c r="AA96" s="291">
        <v>213.9</v>
      </c>
      <c r="AB96" s="291">
        <v>213.9</v>
      </c>
      <c r="AC96" s="292">
        <v>213.9</v>
      </c>
    </row>
    <row r="97" spans="1:37" ht="22.2" customHeight="1" x14ac:dyDescent="0.3"/>
    <row r="98" spans="1:37" ht="22.2" customHeight="1" x14ac:dyDescent="0.3"/>
    <row r="99" spans="1:37" ht="22.2" customHeight="1" x14ac:dyDescent="0.3"/>
    <row r="100" spans="1:37" ht="22.2" customHeight="1" x14ac:dyDescent="0.3"/>
    <row r="101" spans="1:37" s="56" customFormat="1" ht="22.2" hidden="1" customHeight="1" x14ac:dyDescent="0.3">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row>
    <row r="102" spans="1:37" ht="22.2" hidden="1" customHeight="1" x14ac:dyDescent="0.3"/>
    <row r="103" spans="1:37" ht="22.2" hidden="1" customHeight="1" x14ac:dyDescent="0.3"/>
    <row r="104" spans="1:37" ht="22.2" hidden="1" customHeight="1" x14ac:dyDescent="0.25">
      <c r="A104" s="21" t="s">
        <v>416</v>
      </c>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row>
    <row r="105" spans="1:37" ht="22.2" hidden="1" customHeight="1" x14ac:dyDescent="0.3"/>
    <row r="106" spans="1:37" ht="22.2" hidden="1" customHeight="1" x14ac:dyDescent="0.3"/>
    <row r="107" spans="1:37" ht="22.2" hidden="1" customHeight="1" x14ac:dyDescent="0.3"/>
    <row r="108" spans="1:37" ht="22.2" hidden="1" customHeight="1" x14ac:dyDescent="0.3">
      <c r="AD108" s="48"/>
      <c r="AE108" s="47"/>
      <c r="AF108" s="47"/>
      <c r="AG108" s="47"/>
      <c r="AH108" s="47"/>
      <c r="AI108" s="47"/>
      <c r="AJ108" s="47"/>
      <c r="AK108" s="47"/>
    </row>
    <row r="109" spans="1:37" ht="22.2" hidden="1" customHeight="1" x14ac:dyDescent="0.3">
      <c r="AD109" s="47"/>
      <c r="AE109" s="47"/>
      <c r="AF109" s="47"/>
      <c r="AG109" s="47"/>
      <c r="AH109" s="47"/>
      <c r="AI109" s="47"/>
      <c r="AJ109" s="47"/>
      <c r="AK109" s="47"/>
    </row>
    <row r="110" spans="1:37" ht="22.2" hidden="1" customHeight="1" x14ac:dyDescent="0.3">
      <c r="AD110" s="47"/>
      <c r="AE110" s="47"/>
      <c r="AF110" s="47"/>
      <c r="AG110" s="47"/>
      <c r="AH110" s="47"/>
      <c r="AI110" s="47"/>
      <c r="AJ110" s="47"/>
      <c r="AK110" s="47"/>
    </row>
    <row r="111" spans="1:37" ht="22.2" hidden="1" customHeight="1" x14ac:dyDescent="0.3">
      <c r="B111" s="938" t="s">
        <v>825</v>
      </c>
      <c r="C111" s="939"/>
      <c r="D111" s="939"/>
      <c r="E111" s="939"/>
      <c r="F111" s="939"/>
      <c r="G111" s="939"/>
      <c r="H111" s="939"/>
      <c r="I111" s="939"/>
      <c r="J111" s="939"/>
      <c r="K111" s="939"/>
      <c r="L111" s="939"/>
      <c r="M111" s="939"/>
      <c r="N111" s="939"/>
      <c r="O111" s="939"/>
      <c r="P111" s="939"/>
      <c r="Q111" s="939"/>
      <c r="R111" s="939"/>
      <c r="S111" s="939"/>
      <c r="T111" s="939"/>
      <c r="U111" s="939"/>
      <c r="V111" s="939"/>
      <c r="W111" s="939"/>
      <c r="X111" s="939"/>
      <c r="Y111" s="939"/>
      <c r="Z111" s="939"/>
      <c r="AA111" s="939"/>
      <c r="AB111" s="939"/>
      <c r="AC111" s="940"/>
      <c r="AD111" s="47"/>
      <c r="AE111" s="47"/>
      <c r="AF111" s="47"/>
      <c r="AG111" s="47"/>
      <c r="AH111" s="47"/>
      <c r="AI111" s="47"/>
      <c r="AJ111" s="47"/>
      <c r="AK111" s="47"/>
    </row>
    <row r="112" spans="1:37" ht="22.2" hidden="1" customHeight="1" x14ac:dyDescent="0.3">
      <c r="B112" s="972" t="s">
        <v>826</v>
      </c>
      <c r="C112" s="969" t="s">
        <v>827</v>
      </c>
      <c r="D112" s="969"/>
      <c r="E112" s="41" t="s">
        <v>790</v>
      </c>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2"/>
      <c r="AD112" s="47"/>
      <c r="AE112" s="47"/>
      <c r="AF112" s="47"/>
      <c r="AG112" s="47"/>
      <c r="AH112" s="47"/>
      <c r="AI112" s="47"/>
      <c r="AJ112" s="47"/>
      <c r="AK112" s="47"/>
    </row>
    <row r="113" spans="2:37" ht="22.2" hidden="1" customHeight="1" x14ac:dyDescent="0.3">
      <c r="B113" s="973"/>
      <c r="C113" s="971"/>
      <c r="D113" s="971"/>
      <c r="E113" s="44" t="s">
        <v>791</v>
      </c>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5"/>
      <c r="AD113" s="47"/>
      <c r="AE113" s="47"/>
      <c r="AF113" s="47"/>
      <c r="AG113" s="47"/>
      <c r="AH113" s="47"/>
      <c r="AI113" s="47"/>
      <c r="AJ113" s="47"/>
      <c r="AK113" s="47"/>
    </row>
    <row r="114" spans="2:37" ht="22.2" hidden="1" customHeight="1" x14ac:dyDescent="0.3">
      <c r="B114" s="941" t="s">
        <v>828</v>
      </c>
      <c r="C114" s="941"/>
      <c r="D114" s="941"/>
      <c r="E114" s="941"/>
      <c r="F114" s="941"/>
      <c r="G114" s="941"/>
      <c r="H114" s="941"/>
      <c r="I114" s="941"/>
      <c r="J114" s="941"/>
      <c r="K114" s="941"/>
      <c r="L114" s="941"/>
      <c r="M114" s="941"/>
      <c r="N114" s="941"/>
      <c r="O114" s="941"/>
      <c r="P114" s="941"/>
      <c r="Q114" s="941"/>
      <c r="R114" s="941"/>
      <c r="S114" s="941"/>
      <c r="T114" s="941"/>
      <c r="U114" s="941"/>
      <c r="V114" s="941"/>
      <c r="W114" s="941"/>
      <c r="X114" s="941"/>
      <c r="Y114" s="941"/>
      <c r="Z114" s="941"/>
      <c r="AA114" s="941"/>
      <c r="AB114" s="941"/>
      <c r="AC114" s="941"/>
      <c r="AD114" s="47"/>
      <c r="AE114" s="47"/>
      <c r="AF114" s="47"/>
      <c r="AG114" s="47"/>
      <c r="AH114" s="47"/>
      <c r="AI114" s="47"/>
      <c r="AJ114" s="47"/>
      <c r="AK114" s="47"/>
    </row>
    <row r="115" spans="2:37" ht="22.2" hidden="1" customHeight="1" x14ac:dyDescent="0.3">
      <c r="B115" s="966" t="s">
        <v>829</v>
      </c>
      <c r="C115" s="963" t="s">
        <v>830</v>
      </c>
      <c r="D115" s="969"/>
      <c r="E115" s="41" t="s">
        <v>790</v>
      </c>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2"/>
      <c r="AD115" s="47"/>
      <c r="AE115" s="47"/>
      <c r="AF115" s="47"/>
      <c r="AG115" s="47"/>
      <c r="AH115" s="47"/>
      <c r="AI115" s="47"/>
      <c r="AJ115" s="47"/>
      <c r="AK115" s="47"/>
    </row>
    <row r="116" spans="2:37" ht="22.2" hidden="1" customHeight="1" x14ac:dyDescent="0.3">
      <c r="B116" s="967"/>
      <c r="C116" s="964"/>
      <c r="D116" s="970"/>
      <c r="E116" s="40" t="s">
        <v>791</v>
      </c>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3"/>
      <c r="AD116" s="47"/>
      <c r="AE116" s="47"/>
      <c r="AF116" s="47"/>
      <c r="AG116" s="47"/>
      <c r="AH116" s="47"/>
      <c r="AI116" s="47"/>
      <c r="AJ116" s="47"/>
      <c r="AK116" s="47"/>
    </row>
    <row r="117" spans="2:37" ht="22.2" hidden="1" customHeight="1" x14ac:dyDescent="0.3">
      <c r="B117" s="967"/>
      <c r="C117" s="964"/>
      <c r="D117" s="970"/>
      <c r="E117" s="40" t="s">
        <v>831</v>
      </c>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3"/>
      <c r="AD117" s="47"/>
      <c r="AE117" s="47"/>
      <c r="AF117" s="47"/>
      <c r="AG117" s="47"/>
      <c r="AH117" s="47"/>
      <c r="AI117" s="47"/>
      <c r="AJ117" s="47"/>
      <c r="AK117" s="47"/>
    </row>
    <row r="118" spans="2:37" ht="22.2" hidden="1" customHeight="1" x14ac:dyDescent="0.3">
      <c r="B118" s="967"/>
      <c r="C118" s="964"/>
      <c r="D118" s="970"/>
      <c r="E118" s="40" t="s">
        <v>790</v>
      </c>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3"/>
    </row>
    <row r="119" spans="2:37" ht="22.2" hidden="1" customHeight="1" x14ac:dyDescent="0.3">
      <c r="B119" s="967"/>
      <c r="C119" s="964"/>
      <c r="D119" s="970"/>
      <c r="E119" s="40" t="s">
        <v>791</v>
      </c>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3"/>
    </row>
    <row r="120" spans="2:37" ht="22.2" hidden="1" customHeight="1" x14ac:dyDescent="0.3">
      <c r="B120" s="968"/>
      <c r="C120" s="965"/>
      <c r="D120" s="971"/>
      <c r="E120" s="44" t="s">
        <v>831</v>
      </c>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5"/>
    </row>
    <row r="121" spans="2:37" ht="22.2" hidden="1" customHeight="1" x14ac:dyDescent="0.3"/>
    <row r="122" spans="2:37" ht="22.2" customHeight="1" x14ac:dyDescent="0.3"/>
    <row r="123" spans="2:37" ht="22.2" customHeight="1" x14ac:dyDescent="0.3"/>
    <row r="124" spans="2:37" ht="22.2" customHeight="1" x14ac:dyDescent="0.3"/>
  </sheetData>
  <mergeCells count="139">
    <mergeCell ref="A66:A68"/>
    <mergeCell ref="B66:B68"/>
    <mergeCell ref="C66:C68"/>
    <mergeCell ref="D66:D68"/>
    <mergeCell ref="C54:C56"/>
    <mergeCell ref="D54:D56"/>
    <mergeCell ref="A57:A59"/>
    <mergeCell ref="B57:B59"/>
    <mergeCell ref="C57:C59"/>
    <mergeCell ref="D57:D59"/>
    <mergeCell ref="A60:A62"/>
    <mergeCell ref="B60:B62"/>
    <mergeCell ref="C60:C62"/>
    <mergeCell ref="D60:D62"/>
    <mergeCell ref="A63:A65"/>
    <mergeCell ref="B63:B65"/>
    <mergeCell ref="C63:C65"/>
    <mergeCell ref="D63:D65"/>
    <mergeCell ref="C41:C43"/>
    <mergeCell ref="D41:D43"/>
    <mergeCell ref="B35:B37"/>
    <mergeCell ref="C35:C37"/>
    <mergeCell ref="D35:D37"/>
    <mergeCell ref="A82:A84"/>
    <mergeCell ref="B82:B84"/>
    <mergeCell ref="C82:C84"/>
    <mergeCell ref="D82:D84"/>
    <mergeCell ref="A70:A72"/>
    <mergeCell ref="B70:B72"/>
    <mergeCell ref="C70:C72"/>
    <mergeCell ref="D70:D72"/>
    <mergeCell ref="A47:AC47"/>
    <mergeCell ref="A48:A50"/>
    <mergeCell ref="A51:A53"/>
    <mergeCell ref="A54:A56"/>
    <mergeCell ref="B48:B50"/>
    <mergeCell ref="C48:C50"/>
    <mergeCell ref="D48:D50"/>
    <mergeCell ref="B51:B53"/>
    <mergeCell ref="C51:C53"/>
    <mergeCell ref="D51:D53"/>
    <mergeCell ref="B54:B56"/>
    <mergeCell ref="A16:A18"/>
    <mergeCell ref="A19:A21"/>
    <mergeCell ref="A22:A24"/>
    <mergeCell ref="A25:A27"/>
    <mergeCell ref="A79:A81"/>
    <mergeCell ref="B79:B81"/>
    <mergeCell ref="C79:C81"/>
    <mergeCell ref="D79:D81"/>
    <mergeCell ref="A35:A37"/>
    <mergeCell ref="B73:B75"/>
    <mergeCell ref="C73:C75"/>
    <mergeCell ref="D73:D75"/>
    <mergeCell ref="A76:A78"/>
    <mergeCell ref="B76:B78"/>
    <mergeCell ref="C76:C78"/>
    <mergeCell ref="D76:D78"/>
    <mergeCell ref="A29:A31"/>
    <mergeCell ref="B29:B31"/>
    <mergeCell ref="C29:C31"/>
    <mergeCell ref="D29:D31"/>
    <mergeCell ref="A32:A34"/>
    <mergeCell ref="B32:B34"/>
    <mergeCell ref="C32:C34"/>
    <mergeCell ref="D32:D34"/>
    <mergeCell ref="C115:C120"/>
    <mergeCell ref="B115:B120"/>
    <mergeCell ref="D115:D117"/>
    <mergeCell ref="C112:C113"/>
    <mergeCell ref="B112:B113"/>
    <mergeCell ref="D112:D113"/>
    <mergeCell ref="D118:D120"/>
    <mergeCell ref="A1:AC1"/>
    <mergeCell ref="A2:A3"/>
    <mergeCell ref="A4:A6"/>
    <mergeCell ref="A7:A9"/>
    <mergeCell ref="A10:A12"/>
    <mergeCell ref="D10:D12"/>
    <mergeCell ref="B4:B6"/>
    <mergeCell ref="B7:B9"/>
    <mergeCell ref="B2:B3"/>
    <mergeCell ref="C10:C12"/>
    <mergeCell ref="C7:C9"/>
    <mergeCell ref="F2:AC2"/>
    <mergeCell ref="E2:E3"/>
    <mergeCell ref="D2:D3"/>
    <mergeCell ref="C2:C3"/>
    <mergeCell ref="D4:D6"/>
    <mergeCell ref="A13:A15"/>
    <mergeCell ref="B111:AC111"/>
    <mergeCell ref="B114:AC114"/>
    <mergeCell ref="B25:B27"/>
    <mergeCell ref="C25:C27"/>
    <mergeCell ref="D25:D27"/>
    <mergeCell ref="C19:C21"/>
    <mergeCell ref="D19:D21"/>
    <mergeCell ref="B22:B24"/>
    <mergeCell ref="C22:C24"/>
    <mergeCell ref="D22:D24"/>
    <mergeCell ref="B19:B21"/>
    <mergeCell ref="A69:AC69"/>
    <mergeCell ref="A73:A75"/>
    <mergeCell ref="A28:AC28"/>
    <mergeCell ref="D44:D46"/>
    <mergeCell ref="A44:A46"/>
    <mergeCell ref="B44:B46"/>
    <mergeCell ref="C44:C46"/>
    <mergeCell ref="A38:A40"/>
    <mergeCell ref="B38:B40"/>
    <mergeCell ref="C38:C40"/>
    <mergeCell ref="D38:D40"/>
    <mergeCell ref="A41:A43"/>
    <mergeCell ref="B41:B43"/>
    <mergeCell ref="C4:C6"/>
    <mergeCell ref="D7:D9"/>
    <mergeCell ref="B10:B12"/>
    <mergeCell ref="B13:B15"/>
    <mergeCell ref="C13:C15"/>
    <mergeCell ref="D13:D15"/>
    <mergeCell ref="B16:B18"/>
    <mergeCell ref="C16:C18"/>
    <mergeCell ref="D16:D18"/>
    <mergeCell ref="A91:A93"/>
    <mergeCell ref="B91:B93"/>
    <mergeCell ref="C91:C93"/>
    <mergeCell ref="D91:D93"/>
    <mergeCell ref="A94:A96"/>
    <mergeCell ref="B94:B96"/>
    <mergeCell ref="C94:C96"/>
    <mergeCell ref="D94:D96"/>
    <mergeCell ref="A85:A87"/>
    <mergeCell ref="B85:B87"/>
    <mergeCell ref="C85:C87"/>
    <mergeCell ref="D85:D87"/>
    <mergeCell ref="A88:A90"/>
    <mergeCell ref="B88:B90"/>
    <mergeCell ref="C88:C90"/>
    <mergeCell ref="D88:D9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5"/>
  <sheetViews>
    <sheetView zoomScale="85" zoomScaleNormal="85" workbookViewId="0">
      <selection sqref="A1:H1"/>
    </sheetView>
  </sheetViews>
  <sheetFormatPr defaultColWidth="8.6640625" defaultRowHeight="12.75" customHeight="1" x14ac:dyDescent="0.25"/>
  <cols>
    <col min="1" max="11" width="15.6640625" style="5" customWidth="1"/>
    <col min="12" max="12" width="16.5546875" style="5" customWidth="1"/>
    <col min="13" max="13" width="22.109375" style="5" customWidth="1"/>
    <col min="14" max="14" width="14.44140625" style="5" customWidth="1"/>
    <col min="15" max="15" width="15.44140625" style="5" customWidth="1"/>
    <col min="16" max="16" width="19.33203125" style="5" customWidth="1"/>
    <col min="17" max="18" width="18.33203125" style="5" customWidth="1"/>
    <col min="19" max="21" width="13.6640625" style="5" customWidth="1"/>
    <col min="22" max="22" width="10.6640625" style="5" customWidth="1"/>
    <col min="23" max="24" width="8.6640625" style="5"/>
    <col min="25" max="25" width="13.6640625" style="5" customWidth="1"/>
    <col min="26" max="28" width="8.6640625" style="5"/>
    <col min="29" max="29" width="12.44140625" style="5" customWidth="1"/>
    <col min="30" max="16384" width="8.6640625" style="5"/>
  </cols>
  <sheetData>
    <row r="1" spans="1:22" ht="27" customHeight="1" x14ac:dyDescent="0.25">
      <c r="A1" s="1052" t="s">
        <v>832</v>
      </c>
      <c r="B1" s="1052"/>
      <c r="C1" s="1052"/>
      <c r="D1" s="1052"/>
      <c r="E1" s="1052"/>
      <c r="F1" s="1052"/>
      <c r="G1" s="1052"/>
      <c r="H1" s="1052"/>
      <c r="I1" s="1052" t="s">
        <v>833</v>
      </c>
      <c r="J1" s="1052"/>
      <c r="K1" s="1052"/>
      <c r="L1" s="1052"/>
      <c r="N1" s="743" t="str">
        <f>"CEUS Energy Consumption - "&amp;Prototype!A2</f>
        <v>CEUS Energy Consumption - OfficeLarge</v>
      </c>
      <c r="O1" s="743"/>
      <c r="P1" s="743"/>
      <c r="Q1" s="743"/>
      <c r="R1" s="743"/>
      <c r="S1" s="743"/>
      <c r="T1" s="743"/>
      <c r="U1" s="743"/>
      <c r="V1" s="743"/>
    </row>
    <row r="2" spans="1:22" ht="62.25" customHeight="1" x14ac:dyDescent="0.25">
      <c r="A2" s="307" t="s">
        <v>297</v>
      </c>
      <c r="B2" s="338" t="s">
        <v>467</v>
      </c>
      <c r="C2" s="308" t="s">
        <v>834</v>
      </c>
      <c r="D2" s="339" t="s">
        <v>835</v>
      </c>
      <c r="E2" s="340" t="s">
        <v>836</v>
      </c>
      <c r="F2" s="308" t="s">
        <v>837</v>
      </c>
      <c r="G2" s="309" t="s">
        <v>838</v>
      </c>
      <c r="H2" s="310" t="s">
        <v>839</v>
      </c>
      <c r="I2" s="311" t="s">
        <v>840</v>
      </c>
      <c r="J2" s="312" t="s">
        <v>841</v>
      </c>
      <c r="K2" s="320" t="s">
        <v>842</v>
      </c>
      <c r="L2" s="323" t="s">
        <v>843</v>
      </c>
      <c r="M2" s="510" t="s">
        <v>844</v>
      </c>
      <c r="N2" s="326" t="s">
        <v>297</v>
      </c>
      <c r="O2" s="327" t="s">
        <v>467</v>
      </c>
      <c r="P2" s="327" t="s">
        <v>845</v>
      </c>
      <c r="Q2" s="327" t="s">
        <v>846</v>
      </c>
      <c r="R2" s="327" t="s">
        <v>847</v>
      </c>
      <c r="S2" s="328" t="s">
        <v>848</v>
      </c>
      <c r="T2" s="328" t="s">
        <v>841</v>
      </c>
      <c r="U2" s="329" t="s">
        <v>842</v>
      </c>
      <c r="V2" s="330" t="s">
        <v>849</v>
      </c>
    </row>
    <row r="3" spans="1:22" ht="19.2" customHeight="1" x14ac:dyDescent="0.3">
      <c r="A3" s="1050" t="s">
        <v>850</v>
      </c>
      <c r="B3" s="536">
        <v>1</v>
      </c>
      <c r="C3" s="735"/>
      <c r="D3" s="735"/>
      <c r="E3" s="735"/>
      <c r="F3" s="337"/>
      <c r="G3" s="337"/>
      <c r="H3" s="337"/>
      <c r="I3" s="335">
        <v>71.5</v>
      </c>
      <c r="J3" s="317">
        <f>I3*1.25</f>
        <v>89.375</v>
      </c>
      <c r="K3" s="321">
        <f>I3*0.75</f>
        <v>53.625</v>
      </c>
      <c r="L3" s="319">
        <f>J3-K3</f>
        <v>35.75</v>
      </c>
      <c r="M3" s="5">
        <v>95521</v>
      </c>
      <c r="N3" s="1048" t="str">
        <f>Prototype!B4</f>
        <v>Large Office</v>
      </c>
      <c r="O3" s="313">
        <v>1</v>
      </c>
      <c r="P3" s="314">
        <v>5279</v>
      </c>
      <c r="Q3" s="315">
        <v>16.7</v>
      </c>
      <c r="R3" s="315">
        <v>5.01</v>
      </c>
      <c r="S3" s="316">
        <f>(Q3+R3)*3.412</f>
        <v>74.074520000000007</v>
      </c>
      <c r="T3" s="316">
        <f>S3*1.25</f>
        <v>92.593150000000009</v>
      </c>
      <c r="U3" s="316">
        <f>S3*0.75</f>
        <v>55.555890000000005</v>
      </c>
      <c r="V3" s="319">
        <f>T3-U3</f>
        <v>37.037260000000003</v>
      </c>
    </row>
    <row r="4" spans="1:22" ht="19.2" customHeight="1" x14ac:dyDescent="0.3">
      <c r="A4" s="1050"/>
      <c r="B4" s="536">
        <v>2</v>
      </c>
      <c r="C4" s="735"/>
      <c r="D4" s="735"/>
      <c r="E4" s="735"/>
      <c r="F4" s="337"/>
      <c r="G4" s="337"/>
      <c r="H4" s="337"/>
      <c r="I4" s="335">
        <v>77.3</v>
      </c>
      <c r="J4" s="317">
        <f t="shared" ref="J4:J18" si="0">I4*1.25</f>
        <v>96.625</v>
      </c>
      <c r="K4" s="321">
        <f t="shared" ref="K4:K18" si="1">I4*0.75</f>
        <v>57.974999999999994</v>
      </c>
      <c r="L4" s="319">
        <f t="shared" ref="L4:L18" si="2">J4-K4</f>
        <v>38.650000000000006</v>
      </c>
      <c r="M4" s="5">
        <v>95476</v>
      </c>
      <c r="N4" s="1048"/>
      <c r="O4" s="313">
        <v>2</v>
      </c>
      <c r="P4" s="314">
        <v>12449</v>
      </c>
      <c r="Q4" s="315">
        <v>15.2</v>
      </c>
      <c r="R4" s="315">
        <v>6.24</v>
      </c>
      <c r="S4" s="316">
        <f t="shared" ref="S4:S18" si="3">(Q4+R4)*3.412</f>
        <v>73.153279999999995</v>
      </c>
      <c r="T4" s="316">
        <f t="shared" ref="T4:T18" si="4">S4*1.25</f>
        <v>91.441599999999994</v>
      </c>
      <c r="U4" s="316">
        <f t="shared" ref="U4:U18" si="5">S4*0.75</f>
        <v>54.864959999999996</v>
      </c>
      <c r="V4" s="319">
        <f t="shared" ref="V4:V18" si="6">T4-U4</f>
        <v>36.576639999999998</v>
      </c>
    </row>
    <row r="5" spans="1:22" ht="19.2" customHeight="1" x14ac:dyDescent="0.3">
      <c r="A5" s="1050"/>
      <c r="B5" s="536">
        <v>3</v>
      </c>
      <c r="C5" s="735"/>
      <c r="D5" s="735"/>
      <c r="E5" s="735"/>
      <c r="F5" s="337"/>
      <c r="G5" s="337"/>
      <c r="H5" s="337"/>
      <c r="I5" s="335">
        <v>74</v>
      </c>
      <c r="J5" s="317">
        <f t="shared" si="0"/>
        <v>92.5</v>
      </c>
      <c r="K5" s="322">
        <f t="shared" si="1"/>
        <v>55.5</v>
      </c>
      <c r="L5" s="319">
        <f t="shared" si="2"/>
        <v>37</v>
      </c>
      <c r="M5" s="5">
        <v>94612</v>
      </c>
      <c r="N5" s="1048"/>
      <c r="O5" s="313">
        <v>3</v>
      </c>
      <c r="P5" s="314">
        <v>242565</v>
      </c>
      <c r="Q5" s="315">
        <v>14.3</v>
      </c>
      <c r="R5" s="315">
        <v>4.83</v>
      </c>
      <c r="S5" s="316">
        <f t="shared" si="3"/>
        <v>65.271560000000008</v>
      </c>
      <c r="T5" s="316">
        <f t="shared" si="4"/>
        <v>81.589450000000014</v>
      </c>
      <c r="U5" s="316">
        <f t="shared" si="5"/>
        <v>48.953670000000002</v>
      </c>
      <c r="V5" s="319">
        <f t="shared" si="6"/>
        <v>32.635780000000011</v>
      </c>
    </row>
    <row r="6" spans="1:22" ht="19.2" customHeight="1" x14ac:dyDescent="0.3">
      <c r="A6" s="1050"/>
      <c r="B6" s="536">
        <v>4</v>
      </c>
      <c r="C6" s="735"/>
      <c r="D6" s="735"/>
      <c r="E6" s="735"/>
      <c r="F6" s="337"/>
      <c r="G6" s="337"/>
      <c r="H6" s="337"/>
      <c r="I6" s="335">
        <v>79.5</v>
      </c>
      <c r="J6" s="317">
        <f t="shared" si="0"/>
        <v>99.375</v>
      </c>
      <c r="K6" s="322">
        <f t="shared" si="1"/>
        <v>59.625</v>
      </c>
      <c r="L6" s="319">
        <f t="shared" si="2"/>
        <v>39.75</v>
      </c>
      <c r="M6" s="5">
        <v>93446</v>
      </c>
      <c r="N6" s="1048"/>
      <c r="O6" s="313">
        <v>4</v>
      </c>
      <c r="P6" s="314">
        <v>137610</v>
      </c>
      <c r="Q6" s="315">
        <v>14.4</v>
      </c>
      <c r="R6" s="315">
        <v>4.76</v>
      </c>
      <c r="S6" s="316">
        <f t="shared" si="3"/>
        <v>65.373919999999998</v>
      </c>
      <c r="T6" s="316">
        <f t="shared" si="4"/>
        <v>81.717399999999998</v>
      </c>
      <c r="U6" s="316">
        <f t="shared" si="5"/>
        <v>49.030439999999999</v>
      </c>
      <c r="V6" s="319">
        <f t="shared" si="6"/>
        <v>32.686959999999999</v>
      </c>
    </row>
    <row r="7" spans="1:22" ht="19.2" customHeight="1" x14ac:dyDescent="0.3">
      <c r="A7" s="1050"/>
      <c r="B7" s="536">
        <v>5</v>
      </c>
      <c r="C7" s="735"/>
      <c r="D7" s="735"/>
      <c r="E7" s="735"/>
      <c r="F7" s="337"/>
      <c r="G7" s="337"/>
      <c r="H7" s="337"/>
      <c r="I7" s="335">
        <v>71.400000000000006</v>
      </c>
      <c r="J7" s="317">
        <f t="shared" si="0"/>
        <v>89.25</v>
      </c>
      <c r="K7" s="322">
        <f t="shared" si="1"/>
        <v>53.550000000000004</v>
      </c>
      <c r="L7" s="319">
        <f t="shared" si="2"/>
        <v>35.699999999999996</v>
      </c>
      <c r="M7" s="5">
        <v>93455</v>
      </c>
      <c r="N7" s="1048"/>
      <c r="O7" s="313">
        <v>5</v>
      </c>
      <c r="P7" s="314">
        <v>3834</v>
      </c>
      <c r="Q7" s="315">
        <v>8.6</v>
      </c>
      <c r="R7" s="315">
        <v>9.32</v>
      </c>
      <c r="S7" s="316">
        <f t="shared" si="3"/>
        <v>61.143040000000006</v>
      </c>
      <c r="T7" s="316">
        <f t="shared" si="4"/>
        <v>76.42880000000001</v>
      </c>
      <c r="U7" s="316">
        <f t="shared" si="5"/>
        <v>45.857280000000003</v>
      </c>
      <c r="V7" s="319">
        <f t="shared" si="6"/>
        <v>30.571520000000007</v>
      </c>
    </row>
    <row r="8" spans="1:22" ht="19.2" customHeight="1" x14ac:dyDescent="0.3">
      <c r="A8" s="1050"/>
      <c r="B8" s="536">
        <v>6</v>
      </c>
      <c r="C8" s="735"/>
      <c r="D8" s="735"/>
      <c r="E8" s="735"/>
      <c r="F8" s="337"/>
      <c r="G8" s="337"/>
      <c r="H8" s="337"/>
      <c r="I8" s="335">
        <v>80.8</v>
      </c>
      <c r="J8" s="317">
        <f t="shared" si="0"/>
        <v>101</v>
      </c>
      <c r="K8" s="322">
        <f t="shared" si="1"/>
        <v>60.599999999999994</v>
      </c>
      <c r="L8" s="319">
        <f t="shared" si="2"/>
        <v>40.400000000000006</v>
      </c>
      <c r="M8" s="5">
        <v>93550</v>
      </c>
      <c r="N8" s="1048"/>
      <c r="O8" s="313">
        <v>6</v>
      </c>
      <c r="P8" s="314">
        <v>109980</v>
      </c>
      <c r="Q8" s="315">
        <v>10.9</v>
      </c>
      <c r="R8" s="315">
        <v>4.88</v>
      </c>
      <c r="S8" s="316">
        <f t="shared" si="3"/>
        <v>53.841360000000002</v>
      </c>
      <c r="T8" s="316">
        <f t="shared" si="4"/>
        <v>67.301699999999997</v>
      </c>
      <c r="U8" s="316">
        <f t="shared" si="5"/>
        <v>40.381019999999999</v>
      </c>
      <c r="V8" s="319">
        <f t="shared" si="6"/>
        <v>26.920679999999997</v>
      </c>
    </row>
    <row r="9" spans="1:22" ht="19.2" customHeight="1" x14ac:dyDescent="0.3">
      <c r="A9" s="1050"/>
      <c r="B9" s="536">
        <v>7</v>
      </c>
      <c r="C9" s="735"/>
      <c r="D9" s="735"/>
      <c r="E9" s="735"/>
      <c r="F9" s="337"/>
      <c r="G9" s="337"/>
      <c r="H9" s="337"/>
      <c r="I9" s="335">
        <v>76.7</v>
      </c>
      <c r="J9" s="317">
        <f t="shared" si="0"/>
        <v>95.875</v>
      </c>
      <c r="K9" s="322">
        <f t="shared" si="1"/>
        <v>57.525000000000006</v>
      </c>
      <c r="L9" s="319">
        <f t="shared" si="2"/>
        <v>38.349999999999994</v>
      </c>
      <c r="M9" s="5">
        <v>92101</v>
      </c>
      <c r="N9" s="1048"/>
      <c r="O9" s="313">
        <v>7</v>
      </c>
      <c r="P9" s="314">
        <v>76710</v>
      </c>
      <c r="Q9" s="315">
        <v>14.8</v>
      </c>
      <c r="R9" s="315">
        <v>9.36</v>
      </c>
      <c r="S9" s="316">
        <f t="shared" si="3"/>
        <v>82.433920000000001</v>
      </c>
      <c r="T9" s="316">
        <f t="shared" si="4"/>
        <v>103.0424</v>
      </c>
      <c r="U9" s="316">
        <f t="shared" si="5"/>
        <v>61.82544</v>
      </c>
      <c r="V9" s="319">
        <f t="shared" si="6"/>
        <v>41.21696</v>
      </c>
    </row>
    <row r="10" spans="1:22" ht="19.2" customHeight="1" x14ac:dyDescent="0.3">
      <c r="A10" s="1050"/>
      <c r="B10" s="536">
        <v>8</v>
      </c>
      <c r="C10" s="735"/>
      <c r="D10" s="735"/>
      <c r="E10" s="735"/>
      <c r="F10" s="337"/>
      <c r="G10" s="337"/>
      <c r="H10" s="337"/>
      <c r="I10" s="335">
        <v>77.599999999999994</v>
      </c>
      <c r="J10" s="317">
        <f t="shared" si="0"/>
        <v>97</v>
      </c>
      <c r="K10" s="322">
        <f t="shared" si="1"/>
        <v>58.199999999999996</v>
      </c>
      <c r="L10" s="319">
        <f t="shared" si="2"/>
        <v>38.800000000000004</v>
      </c>
      <c r="M10" s="5">
        <v>92831</v>
      </c>
      <c r="N10" s="1048"/>
      <c r="O10" s="313">
        <v>8</v>
      </c>
      <c r="P10" s="314">
        <v>177013</v>
      </c>
      <c r="Q10" s="315">
        <v>10.4</v>
      </c>
      <c r="R10" s="315">
        <v>4.24</v>
      </c>
      <c r="S10" s="316">
        <f t="shared" si="3"/>
        <v>49.951680000000003</v>
      </c>
      <c r="T10" s="316">
        <f t="shared" si="4"/>
        <v>62.439600000000006</v>
      </c>
      <c r="U10" s="316">
        <f t="shared" si="5"/>
        <v>37.463760000000001</v>
      </c>
      <c r="V10" s="319">
        <f t="shared" si="6"/>
        <v>24.975840000000005</v>
      </c>
    </row>
    <row r="11" spans="1:22" ht="19.2" customHeight="1" x14ac:dyDescent="0.3">
      <c r="A11" s="1050"/>
      <c r="B11" s="536">
        <v>9</v>
      </c>
      <c r="C11" s="735"/>
      <c r="D11" s="735"/>
      <c r="E11" s="735"/>
      <c r="F11" s="337"/>
      <c r="G11" s="337"/>
      <c r="H11" s="337"/>
      <c r="I11" s="335">
        <v>77.7</v>
      </c>
      <c r="J11" s="317">
        <f t="shared" si="0"/>
        <v>97.125</v>
      </c>
      <c r="K11" s="322">
        <f t="shared" si="1"/>
        <v>58.275000000000006</v>
      </c>
      <c r="L11" s="319">
        <f t="shared" si="2"/>
        <v>38.849999999999994</v>
      </c>
      <c r="M11" s="5">
        <v>91505</v>
      </c>
      <c r="N11" s="1048"/>
      <c r="O11" s="313">
        <v>9</v>
      </c>
      <c r="P11" s="314">
        <v>240000</v>
      </c>
      <c r="Q11" s="315">
        <v>10.9</v>
      </c>
      <c r="R11" s="315">
        <v>4.38</v>
      </c>
      <c r="S11" s="316">
        <f t="shared" si="3"/>
        <v>52.135360000000006</v>
      </c>
      <c r="T11" s="316">
        <f t="shared" si="4"/>
        <v>65.169200000000004</v>
      </c>
      <c r="U11" s="316">
        <f t="shared" si="5"/>
        <v>39.101520000000008</v>
      </c>
      <c r="V11" s="319">
        <f t="shared" si="6"/>
        <v>26.067679999999996</v>
      </c>
    </row>
    <row r="12" spans="1:22" ht="19.2" customHeight="1" x14ac:dyDescent="0.3">
      <c r="A12" s="1050"/>
      <c r="B12" s="536">
        <v>10</v>
      </c>
      <c r="C12" s="735"/>
      <c r="D12" s="735"/>
      <c r="E12" s="735"/>
      <c r="F12" s="337"/>
      <c r="G12" s="337"/>
      <c r="H12" s="337"/>
      <c r="I12" s="335">
        <v>78.099999999999994</v>
      </c>
      <c r="J12" s="317">
        <f t="shared" si="0"/>
        <v>97.625</v>
      </c>
      <c r="K12" s="322">
        <f t="shared" si="1"/>
        <v>58.574999999999996</v>
      </c>
      <c r="L12" s="319">
        <f t="shared" si="2"/>
        <v>39.050000000000004</v>
      </c>
      <c r="M12" s="5">
        <v>92501</v>
      </c>
      <c r="N12" s="1048"/>
      <c r="O12" s="313">
        <v>10</v>
      </c>
      <c r="P12" s="314">
        <v>65927</v>
      </c>
      <c r="Q12" s="315">
        <v>11.9</v>
      </c>
      <c r="R12" s="315">
        <v>7.21</v>
      </c>
      <c r="S12" s="316">
        <f t="shared" si="3"/>
        <v>65.203319999999991</v>
      </c>
      <c r="T12" s="316">
        <f t="shared" si="4"/>
        <v>81.504149999999981</v>
      </c>
      <c r="U12" s="316">
        <f t="shared" si="5"/>
        <v>48.902489999999993</v>
      </c>
      <c r="V12" s="319">
        <f t="shared" si="6"/>
        <v>32.601659999999988</v>
      </c>
    </row>
    <row r="13" spans="1:22" ht="19.2" customHeight="1" x14ac:dyDescent="0.3">
      <c r="A13" s="1050"/>
      <c r="B13" s="536">
        <v>11</v>
      </c>
      <c r="C13" s="735"/>
      <c r="D13" s="735"/>
      <c r="E13" s="735"/>
      <c r="F13" s="337"/>
      <c r="G13" s="337"/>
      <c r="H13" s="337"/>
      <c r="I13" s="335">
        <v>80.3</v>
      </c>
      <c r="J13" s="317">
        <f t="shared" si="0"/>
        <v>100.375</v>
      </c>
      <c r="K13" s="322">
        <f t="shared" si="1"/>
        <v>60.224999999999994</v>
      </c>
      <c r="L13" s="319">
        <f t="shared" si="2"/>
        <v>40.150000000000006</v>
      </c>
      <c r="M13" s="5">
        <v>96080</v>
      </c>
      <c r="N13" s="1048"/>
      <c r="O13" s="313">
        <v>11</v>
      </c>
      <c r="P13" s="314">
        <v>18413</v>
      </c>
      <c r="Q13" s="315">
        <v>11.4</v>
      </c>
      <c r="R13" s="315">
        <v>4.29</v>
      </c>
      <c r="S13" s="316">
        <f t="shared" si="3"/>
        <v>53.534280000000003</v>
      </c>
      <c r="T13" s="316">
        <f t="shared" si="4"/>
        <v>66.917850000000001</v>
      </c>
      <c r="U13" s="316">
        <f t="shared" si="5"/>
        <v>40.150710000000004</v>
      </c>
      <c r="V13" s="319">
        <f t="shared" si="6"/>
        <v>26.767139999999998</v>
      </c>
    </row>
    <row r="14" spans="1:22" ht="19.2" customHeight="1" x14ac:dyDescent="0.3">
      <c r="A14" s="1050"/>
      <c r="B14" s="536">
        <v>12</v>
      </c>
      <c r="C14" s="735"/>
      <c r="D14" s="735"/>
      <c r="E14" s="735"/>
      <c r="F14" s="337"/>
      <c r="G14" s="337"/>
      <c r="H14" s="337"/>
      <c r="I14" s="335">
        <v>79.599999999999994</v>
      </c>
      <c r="J14" s="317">
        <f t="shared" si="0"/>
        <v>99.5</v>
      </c>
      <c r="K14" s="322">
        <f t="shared" si="1"/>
        <v>59.699999999999996</v>
      </c>
      <c r="L14" s="319">
        <f t="shared" si="2"/>
        <v>39.800000000000004</v>
      </c>
      <c r="M14" s="5">
        <v>95814</v>
      </c>
      <c r="N14" s="1048"/>
      <c r="O14" s="313">
        <v>12</v>
      </c>
      <c r="P14" s="314">
        <v>171620</v>
      </c>
      <c r="Q14" s="315">
        <v>14.4</v>
      </c>
      <c r="R14" s="315">
        <v>6.12</v>
      </c>
      <c r="S14" s="316">
        <f t="shared" si="3"/>
        <v>70.014240000000001</v>
      </c>
      <c r="T14" s="316">
        <f t="shared" si="4"/>
        <v>87.517799999999994</v>
      </c>
      <c r="U14" s="316">
        <f t="shared" si="5"/>
        <v>52.510680000000001</v>
      </c>
      <c r="V14" s="319">
        <f t="shared" si="6"/>
        <v>35.007119999999993</v>
      </c>
    </row>
    <row r="15" spans="1:22" ht="19.2" customHeight="1" x14ac:dyDescent="0.3">
      <c r="A15" s="1050"/>
      <c r="B15" s="536">
        <v>13</v>
      </c>
      <c r="C15" s="735"/>
      <c r="D15" s="735"/>
      <c r="E15" s="735"/>
      <c r="F15" s="337"/>
      <c r="G15" s="337"/>
      <c r="H15" s="337"/>
      <c r="I15" s="335">
        <v>80</v>
      </c>
      <c r="J15" s="317">
        <f t="shared" si="0"/>
        <v>100</v>
      </c>
      <c r="K15" s="322">
        <f t="shared" si="1"/>
        <v>60</v>
      </c>
      <c r="L15" s="319">
        <f t="shared" si="2"/>
        <v>40</v>
      </c>
      <c r="M15" s="5">
        <v>93721</v>
      </c>
      <c r="N15" s="1048"/>
      <c r="O15" s="313">
        <v>13</v>
      </c>
      <c r="P15" s="314">
        <v>19959</v>
      </c>
      <c r="Q15" s="315">
        <v>15.9</v>
      </c>
      <c r="R15" s="315">
        <v>3.71</v>
      </c>
      <c r="S15" s="316">
        <f t="shared" si="3"/>
        <v>66.909319999999994</v>
      </c>
      <c r="T15" s="316">
        <f t="shared" si="4"/>
        <v>83.636649999999989</v>
      </c>
      <c r="U15" s="316">
        <f t="shared" si="5"/>
        <v>50.181989999999999</v>
      </c>
      <c r="V15" s="319">
        <f t="shared" si="6"/>
        <v>33.45465999999999</v>
      </c>
    </row>
    <row r="16" spans="1:22" ht="19.2" customHeight="1" x14ac:dyDescent="0.3">
      <c r="A16" s="1050"/>
      <c r="B16" s="536">
        <v>14</v>
      </c>
      <c r="C16" s="735"/>
      <c r="D16" s="735"/>
      <c r="E16" s="735"/>
      <c r="F16" s="337"/>
      <c r="G16" s="337"/>
      <c r="H16" s="337"/>
      <c r="I16" s="335">
        <v>80.8</v>
      </c>
      <c r="J16" s="317">
        <f t="shared" si="0"/>
        <v>101</v>
      </c>
      <c r="K16" s="322">
        <f t="shared" si="1"/>
        <v>60.599999999999994</v>
      </c>
      <c r="L16" s="319">
        <f t="shared" si="2"/>
        <v>40.400000000000006</v>
      </c>
      <c r="M16">
        <v>93550</v>
      </c>
      <c r="N16" s="1048"/>
      <c r="O16" s="313">
        <v>14</v>
      </c>
      <c r="P16" s="314">
        <v>18934</v>
      </c>
      <c r="Q16" s="315">
        <v>9.8000000000000007</v>
      </c>
      <c r="R16" s="315">
        <v>4.4000000000000004</v>
      </c>
      <c r="S16" s="316">
        <f t="shared" si="3"/>
        <v>48.450400000000002</v>
      </c>
      <c r="T16" s="316">
        <f t="shared" si="4"/>
        <v>60.563000000000002</v>
      </c>
      <c r="U16" s="316">
        <f t="shared" si="5"/>
        <v>36.337800000000001</v>
      </c>
      <c r="V16" s="319">
        <f t="shared" si="6"/>
        <v>24.225200000000001</v>
      </c>
    </row>
    <row r="17" spans="1:22" ht="19.2" customHeight="1" x14ac:dyDescent="0.3">
      <c r="A17" s="1050"/>
      <c r="B17" s="536">
        <v>15</v>
      </c>
      <c r="C17" s="735"/>
      <c r="D17" s="735"/>
      <c r="E17" s="735"/>
      <c r="F17" s="337"/>
      <c r="G17" s="337"/>
      <c r="H17" s="337"/>
      <c r="I17" s="335">
        <v>79.5</v>
      </c>
      <c r="J17" s="317">
        <f t="shared" si="0"/>
        <v>99.375</v>
      </c>
      <c r="K17" s="322">
        <f t="shared" si="1"/>
        <v>59.625</v>
      </c>
      <c r="L17" s="319">
        <f t="shared" si="2"/>
        <v>39.75</v>
      </c>
      <c r="M17" s="5">
        <v>92262</v>
      </c>
      <c r="N17" s="1048"/>
      <c r="O17" s="313">
        <v>15</v>
      </c>
      <c r="P17" s="314">
        <v>23127</v>
      </c>
      <c r="Q17" s="315">
        <v>9.6999999999999993</v>
      </c>
      <c r="R17" s="315">
        <v>5.14</v>
      </c>
      <c r="S17" s="316">
        <f t="shared" si="3"/>
        <v>50.634079999999997</v>
      </c>
      <c r="T17" s="316">
        <f t="shared" si="4"/>
        <v>63.292599999999993</v>
      </c>
      <c r="U17" s="316">
        <f t="shared" si="5"/>
        <v>37.975560000000002</v>
      </c>
      <c r="V17" s="319">
        <f t="shared" si="6"/>
        <v>25.317039999999992</v>
      </c>
    </row>
    <row r="18" spans="1:22" ht="19.2" customHeight="1" x14ac:dyDescent="0.3">
      <c r="A18" s="1051"/>
      <c r="B18" s="736">
        <v>16</v>
      </c>
      <c r="C18" s="737"/>
      <c r="D18" s="737"/>
      <c r="E18" s="737"/>
      <c r="F18" s="341"/>
      <c r="G18" s="341"/>
      <c r="H18" s="341"/>
      <c r="I18" s="336">
        <v>82.3</v>
      </c>
      <c r="J18" s="318">
        <f t="shared" si="0"/>
        <v>102.875</v>
      </c>
      <c r="K18" s="324">
        <f t="shared" si="1"/>
        <v>61.724999999999994</v>
      </c>
      <c r="L18" s="325">
        <f t="shared" si="2"/>
        <v>41.150000000000006</v>
      </c>
      <c r="M18" s="5">
        <v>95715</v>
      </c>
      <c r="N18" s="1049"/>
      <c r="O18" s="331">
        <v>16</v>
      </c>
      <c r="P18" s="332">
        <v>39406</v>
      </c>
      <c r="Q18" s="333">
        <v>11.6</v>
      </c>
      <c r="R18" s="333">
        <v>4.42</v>
      </c>
      <c r="S18" s="334">
        <f t="shared" si="3"/>
        <v>54.660239999999995</v>
      </c>
      <c r="T18" s="334">
        <f t="shared" si="4"/>
        <v>68.325299999999999</v>
      </c>
      <c r="U18" s="334">
        <f t="shared" si="5"/>
        <v>40.995179999999998</v>
      </c>
      <c r="V18" s="325">
        <f t="shared" si="6"/>
        <v>27.330120000000001</v>
      </c>
    </row>
    <row r="19" spans="1:22" ht="12.75" customHeight="1" x14ac:dyDescent="0.25">
      <c r="V19" s="250"/>
    </row>
    <row r="20" spans="1:22" ht="13.2" x14ac:dyDescent="0.25">
      <c r="N20" s="5" t="s">
        <v>851</v>
      </c>
      <c r="V20" s="250"/>
    </row>
    <row r="21" spans="1:22" ht="13.2" x14ac:dyDescent="0.25">
      <c r="N21" s="5" t="s">
        <v>852</v>
      </c>
    </row>
    <row r="25" spans="1:22" s="21" customFormat="1" ht="13.2" hidden="1" x14ac:dyDescent="0.25">
      <c r="N25" s="21" t="s">
        <v>416</v>
      </c>
      <c r="R25" s="22"/>
      <c r="S25" s="23"/>
      <c r="T25" s="24"/>
    </row>
  </sheetData>
  <mergeCells count="5">
    <mergeCell ref="N3:N18"/>
    <mergeCell ref="A3:A18"/>
    <mergeCell ref="N1:V1"/>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F23"/>
  <sheetViews>
    <sheetView zoomScaleNormal="100" workbookViewId="0">
      <selection sqref="A1:G1"/>
    </sheetView>
  </sheetViews>
  <sheetFormatPr defaultColWidth="8.6640625" defaultRowHeight="13.2" x14ac:dyDescent="0.25"/>
  <cols>
    <col min="1" max="2" width="12" style="5" customWidth="1"/>
    <col min="3" max="6" width="13.6640625" style="5" customWidth="1"/>
    <col min="7" max="7" width="13.33203125" style="5" customWidth="1"/>
    <col min="8" max="8" width="12.6640625" style="5" bestFit="1" customWidth="1"/>
    <col min="9" max="9" width="9.88671875" style="5" customWidth="1"/>
    <col min="10" max="10" width="17.6640625" style="5" customWidth="1"/>
    <col min="11" max="11" width="18.5546875" style="5" customWidth="1"/>
    <col min="12" max="12" width="19" style="5" customWidth="1"/>
    <col min="13" max="13" width="8.88671875" style="5" customWidth="1"/>
    <col min="14" max="14" width="12" style="5" customWidth="1"/>
    <col min="15" max="15" width="14.109375" style="5" customWidth="1"/>
    <col min="16" max="31" width="5.6640625" style="5" customWidth="1"/>
    <col min="32" max="16384" width="8.6640625" style="5"/>
  </cols>
  <sheetData>
    <row r="1" spans="1:32" ht="28.95" customHeight="1" x14ac:dyDescent="0.25">
      <c r="A1" s="799" t="str">
        <f>"% of floor area per CZ and vintage bin - "&amp;Prototype!A2</f>
        <v>% of floor area per CZ and vintage bin - OfficeLarge</v>
      </c>
      <c r="B1" s="799"/>
      <c r="C1" s="799"/>
      <c r="D1" s="799"/>
      <c r="E1" s="799"/>
      <c r="F1" s="799"/>
      <c r="G1" s="799"/>
      <c r="N1" s="93"/>
      <c r="O1" s="93"/>
      <c r="P1" s="93"/>
      <c r="Q1" s="93"/>
      <c r="R1" s="93"/>
      <c r="S1" s="93"/>
      <c r="T1" s="93"/>
      <c r="U1" s="93"/>
      <c r="V1" s="93"/>
      <c r="W1" s="93"/>
      <c r="X1" s="93"/>
      <c r="Y1" s="93"/>
      <c r="Z1" s="93"/>
      <c r="AA1" s="93"/>
      <c r="AB1" s="93"/>
      <c r="AC1" s="93"/>
      <c r="AD1" s="93"/>
      <c r="AE1" s="93"/>
    </row>
    <row r="2" spans="1:32" ht="27.6" customHeight="1" x14ac:dyDescent="0.25">
      <c r="A2" s="1056" t="s">
        <v>297</v>
      </c>
      <c r="B2" s="1056" t="s">
        <v>467</v>
      </c>
      <c r="C2" s="1056" t="s">
        <v>853</v>
      </c>
      <c r="D2" s="1056"/>
      <c r="E2" s="1056"/>
      <c r="F2" s="1056"/>
      <c r="G2" s="1056"/>
      <c r="J2" s="1053" t="s">
        <v>854</v>
      </c>
      <c r="K2" s="1053"/>
      <c r="L2" s="1053"/>
      <c r="N2" s="94"/>
      <c r="O2" s="94"/>
      <c r="P2" s="94"/>
      <c r="Q2" s="94"/>
      <c r="R2" s="94"/>
      <c r="S2" s="94"/>
      <c r="T2" s="94"/>
      <c r="U2" s="94"/>
      <c r="V2" s="94"/>
      <c r="W2" s="94"/>
      <c r="X2" s="94"/>
      <c r="Y2" s="94"/>
      <c r="Z2" s="94"/>
      <c r="AA2" s="94"/>
      <c r="AB2" s="94"/>
      <c r="AC2" s="94"/>
      <c r="AD2" s="94"/>
      <c r="AE2" s="94"/>
    </row>
    <row r="3" spans="1:32" ht="21" customHeight="1" x14ac:dyDescent="0.25">
      <c r="A3" s="1056"/>
      <c r="B3" s="1057"/>
      <c r="C3" s="525" t="s">
        <v>855</v>
      </c>
      <c r="D3" s="525" t="s">
        <v>64</v>
      </c>
      <c r="E3" s="525" t="s">
        <v>65</v>
      </c>
      <c r="F3" s="525" t="s">
        <v>66</v>
      </c>
      <c r="G3" s="525"/>
      <c r="J3" s="738" t="s">
        <v>856</v>
      </c>
      <c r="K3" s="738" t="s">
        <v>857</v>
      </c>
      <c r="L3" s="738" t="s">
        <v>455</v>
      </c>
      <c r="N3" s="94"/>
      <c r="O3" s="94"/>
      <c r="P3" s="90"/>
      <c r="Q3" s="90"/>
      <c r="R3" s="90"/>
      <c r="S3" s="90"/>
      <c r="T3" s="90"/>
      <c r="U3" s="90"/>
      <c r="V3" s="90"/>
      <c r="W3" s="90"/>
      <c r="X3" s="90"/>
      <c r="Y3" s="90"/>
      <c r="Z3" s="90"/>
      <c r="AA3" s="90"/>
      <c r="AB3" s="90"/>
      <c r="AC3" s="90"/>
      <c r="AD3" s="90"/>
      <c r="AE3" s="90"/>
    </row>
    <row r="4" spans="1:32" ht="16.95" customHeight="1" x14ac:dyDescent="0.3">
      <c r="A4" s="1054" t="s">
        <v>858</v>
      </c>
      <c r="B4" s="526">
        <v>1</v>
      </c>
      <c r="C4" s="527"/>
      <c r="D4" s="527"/>
      <c r="E4" s="527"/>
      <c r="F4" s="527"/>
      <c r="G4" s="528"/>
      <c r="H4" s="66">
        <f>SUM(C4:F4)</f>
        <v>0</v>
      </c>
      <c r="I4" s="66"/>
      <c r="J4" s="89">
        <v>0.35389988454261673</v>
      </c>
      <c r="K4" s="89">
        <v>0.29432530367139048</v>
      </c>
      <c r="L4" s="89">
        <v>0.35177481178599351</v>
      </c>
      <c r="M4" s="66"/>
      <c r="N4" s="92"/>
      <c r="O4" s="91"/>
      <c r="P4" s="26"/>
      <c r="Q4" s="26"/>
      <c r="R4" s="26"/>
      <c r="S4" s="26"/>
      <c r="T4" s="26"/>
      <c r="U4" s="26"/>
      <c r="V4" s="26"/>
      <c r="W4" s="26"/>
      <c r="X4" s="26"/>
      <c r="Y4" s="26"/>
      <c r="Z4" s="26"/>
      <c r="AA4" s="26"/>
      <c r="AB4" s="26"/>
      <c r="AC4" s="26"/>
      <c r="AD4" s="26"/>
      <c r="AE4" s="26"/>
      <c r="AF4" s="66"/>
    </row>
    <row r="5" spans="1:32" ht="16.95" customHeight="1" x14ac:dyDescent="0.3">
      <c r="A5" s="1055"/>
      <c r="B5" s="526">
        <v>2</v>
      </c>
      <c r="C5" s="527"/>
      <c r="D5" s="527"/>
      <c r="E5" s="527"/>
      <c r="F5" s="527"/>
      <c r="G5" s="528"/>
      <c r="H5" s="66">
        <f t="shared" ref="H5:H19" si="0">SUM(C5:F5)</f>
        <v>0</v>
      </c>
      <c r="I5" s="66"/>
      <c r="J5" s="66"/>
      <c r="K5" s="66"/>
      <c r="L5" s="66"/>
      <c r="M5" s="66"/>
      <c r="N5" s="92"/>
      <c r="O5" s="91"/>
      <c r="P5" s="26"/>
      <c r="Q5" s="26"/>
      <c r="R5" s="26"/>
      <c r="S5" s="26"/>
      <c r="T5" s="26"/>
      <c r="U5" s="26"/>
      <c r="V5" s="26"/>
      <c r="W5" s="26"/>
      <c r="X5" s="26"/>
      <c r="Y5" s="26"/>
      <c r="Z5" s="26"/>
      <c r="AA5" s="26"/>
      <c r="AB5" s="26"/>
      <c r="AC5" s="26"/>
      <c r="AD5" s="26"/>
      <c r="AE5" s="26"/>
      <c r="AF5" s="66"/>
    </row>
    <row r="6" spans="1:32" ht="16.95" customHeight="1" x14ac:dyDescent="0.3">
      <c r="A6" s="1055"/>
      <c r="B6" s="526">
        <v>3</v>
      </c>
      <c r="C6" s="527"/>
      <c r="D6" s="527"/>
      <c r="E6" s="527"/>
      <c r="F6" s="527"/>
      <c r="G6" s="528"/>
      <c r="H6" s="66">
        <f t="shared" si="0"/>
        <v>0</v>
      </c>
      <c r="I6" s="66"/>
      <c r="J6" s="66"/>
      <c r="K6" s="66"/>
      <c r="L6" s="66"/>
      <c r="M6" s="66"/>
      <c r="N6" s="92"/>
      <c r="O6" s="91"/>
      <c r="P6" s="26"/>
      <c r="Q6" s="26"/>
      <c r="R6" s="26"/>
      <c r="S6" s="26"/>
      <c r="T6" s="26"/>
      <c r="U6" s="26"/>
      <c r="V6" s="26"/>
      <c r="W6" s="26"/>
      <c r="X6" s="26"/>
      <c r="Y6" s="26"/>
      <c r="Z6" s="26"/>
      <c r="AA6" s="26"/>
      <c r="AB6" s="26"/>
      <c r="AC6" s="26"/>
      <c r="AD6" s="26"/>
      <c r="AE6" s="26"/>
      <c r="AF6" s="66"/>
    </row>
    <row r="7" spans="1:32" ht="16.95" customHeight="1" x14ac:dyDescent="0.3">
      <c r="A7" s="1055"/>
      <c r="B7" s="526">
        <v>4</v>
      </c>
      <c r="C7" s="527"/>
      <c r="D7" s="527"/>
      <c r="E7" s="527"/>
      <c r="F7" s="527"/>
      <c r="G7" s="528"/>
      <c r="H7" s="66">
        <f t="shared" si="0"/>
        <v>0</v>
      </c>
      <c r="I7" s="66"/>
      <c r="J7" s="66"/>
      <c r="K7" s="66"/>
      <c r="L7" s="66"/>
      <c r="M7" s="66"/>
      <c r="N7" s="92"/>
      <c r="O7" s="91"/>
      <c r="P7" s="26"/>
      <c r="Q7" s="26"/>
      <c r="R7" s="26"/>
      <c r="S7" s="26"/>
      <c r="T7" s="26"/>
      <c r="U7" s="26"/>
      <c r="V7" s="26"/>
      <c r="W7" s="26"/>
      <c r="X7" s="26"/>
      <c r="Y7" s="26"/>
      <c r="Z7" s="26"/>
      <c r="AA7" s="26"/>
      <c r="AB7" s="26"/>
      <c r="AC7" s="26"/>
      <c r="AD7" s="26"/>
      <c r="AE7" s="26"/>
      <c r="AF7" s="66"/>
    </row>
    <row r="8" spans="1:32" ht="16.95" customHeight="1" x14ac:dyDescent="0.3">
      <c r="A8" s="1055"/>
      <c r="B8" s="526">
        <v>5</v>
      </c>
      <c r="C8" s="527"/>
      <c r="D8" s="527"/>
      <c r="E8" s="527"/>
      <c r="F8" s="527"/>
      <c r="G8" s="528"/>
      <c r="H8" s="66">
        <f t="shared" si="0"/>
        <v>0</v>
      </c>
      <c r="I8" s="66"/>
      <c r="J8" s="66"/>
      <c r="K8" s="66"/>
      <c r="L8" s="66"/>
      <c r="M8" s="66"/>
      <c r="N8" s="92"/>
      <c r="O8" s="91"/>
      <c r="P8" s="26"/>
      <c r="Q8" s="26"/>
      <c r="R8" s="26"/>
      <c r="S8" s="26"/>
      <c r="T8" s="26"/>
      <c r="U8" s="26"/>
      <c r="V8" s="26"/>
      <c r="W8" s="26"/>
      <c r="X8" s="26"/>
      <c r="Y8" s="26"/>
      <c r="Z8" s="26"/>
      <c r="AA8" s="26"/>
      <c r="AB8" s="26"/>
      <c r="AC8" s="26"/>
      <c r="AD8" s="26"/>
      <c r="AE8" s="26"/>
      <c r="AF8" s="66"/>
    </row>
    <row r="9" spans="1:32" ht="16.95" customHeight="1" x14ac:dyDescent="0.3">
      <c r="A9" s="1055"/>
      <c r="B9" s="526">
        <v>6</v>
      </c>
      <c r="C9" s="527"/>
      <c r="D9" s="527"/>
      <c r="E9" s="527"/>
      <c r="F9" s="527"/>
      <c r="G9" s="528"/>
      <c r="H9" s="66">
        <f t="shared" si="0"/>
        <v>0</v>
      </c>
      <c r="I9" s="66"/>
      <c r="J9" s="66"/>
      <c r="K9" s="66"/>
      <c r="L9" s="66"/>
      <c r="M9" s="66"/>
      <c r="N9" s="92"/>
      <c r="O9" s="91"/>
      <c r="P9" s="26"/>
      <c r="Q9" s="26"/>
      <c r="R9" s="26"/>
      <c r="S9" s="26"/>
      <c r="T9" s="26"/>
      <c r="U9" s="26"/>
      <c r="V9" s="26"/>
      <c r="W9" s="26"/>
      <c r="X9" s="26"/>
      <c r="Y9" s="26"/>
      <c r="Z9" s="26"/>
      <c r="AA9" s="26"/>
      <c r="AB9" s="26"/>
      <c r="AC9" s="26"/>
      <c r="AD9" s="26"/>
      <c r="AE9" s="26"/>
      <c r="AF9" s="30"/>
    </row>
    <row r="10" spans="1:32" ht="16.95" customHeight="1" x14ac:dyDescent="0.3">
      <c r="A10" s="1055"/>
      <c r="B10" s="526">
        <v>7</v>
      </c>
      <c r="C10" s="527"/>
      <c r="D10" s="527"/>
      <c r="E10" s="527"/>
      <c r="F10" s="527"/>
      <c r="G10" s="528"/>
      <c r="H10" s="66">
        <f t="shared" si="0"/>
        <v>0</v>
      </c>
      <c r="I10" s="66"/>
      <c r="J10" s="66"/>
      <c r="K10" s="66"/>
      <c r="L10" s="66"/>
      <c r="M10" s="66"/>
      <c r="N10" s="6"/>
      <c r="O10" s="64"/>
      <c r="P10" s="26"/>
      <c r="Q10" s="26"/>
      <c r="R10" s="26"/>
      <c r="S10" s="26"/>
      <c r="T10" s="65"/>
    </row>
    <row r="11" spans="1:32" ht="16.95" customHeight="1" x14ac:dyDescent="0.3">
      <c r="A11" s="1055"/>
      <c r="B11" s="526">
        <v>8</v>
      </c>
      <c r="C11" s="527"/>
      <c r="D11" s="527"/>
      <c r="E11" s="527"/>
      <c r="F11" s="527"/>
      <c r="G11" s="528"/>
      <c r="H11" s="66">
        <f t="shared" si="0"/>
        <v>0</v>
      </c>
      <c r="I11" s="66"/>
      <c r="J11" s="66"/>
      <c r="K11" s="66"/>
      <c r="L11" s="66"/>
      <c r="M11" s="66"/>
      <c r="N11" s="6"/>
      <c r="O11" s="64"/>
      <c r="P11" s="26"/>
      <c r="Q11" s="26"/>
      <c r="R11" s="26"/>
      <c r="S11" s="26"/>
      <c r="T11" s="65"/>
    </row>
    <row r="12" spans="1:32" ht="16.95" customHeight="1" x14ac:dyDescent="0.3">
      <c r="A12" s="1055"/>
      <c r="B12" s="526">
        <v>9</v>
      </c>
      <c r="C12" s="527"/>
      <c r="D12" s="527"/>
      <c r="E12" s="527"/>
      <c r="F12" s="527"/>
      <c r="G12" s="528"/>
      <c r="H12" s="66">
        <f t="shared" si="0"/>
        <v>0</v>
      </c>
      <c r="I12" s="66"/>
      <c r="J12" s="65"/>
      <c r="K12" s="66"/>
      <c r="L12" s="66"/>
      <c r="M12" s="66"/>
      <c r="N12" s="6"/>
      <c r="R12" s="26"/>
      <c r="S12" s="26"/>
      <c r="T12" s="65"/>
    </row>
    <row r="13" spans="1:32" ht="16.95" customHeight="1" x14ac:dyDescent="0.3">
      <c r="A13" s="1055"/>
      <c r="B13" s="526">
        <v>10</v>
      </c>
      <c r="C13" s="527"/>
      <c r="D13" s="527"/>
      <c r="E13" s="527"/>
      <c r="F13" s="527"/>
      <c r="G13" s="528"/>
      <c r="H13" s="66">
        <f t="shared" si="0"/>
        <v>0</v>
      </c>
      <c r="I13" s="66"/>
      <c r="J13" s="66"/>
      <c r="K13" s="66"/>
      <c r="L13" s="66"/>
      <c r="M13" s="66"/>
      <c r="N13" s="6"/>
      <c r="R13" s="26"/>
      <c r="S13" s="26"/>
      <c r="T13" s="65"/>
    </row>
    <row r="14" spans="1:32" ht="16.95" customHeight="1" x14ac:dyDescent="0.3">
      <c r="A14" s="1055"/>
      <c r="B14" s="526">
        <v>11</v>
      </c>
      <c r="C14" s="527"/>
      <c r="D14" s="527"/>
      <c r="E14" s="527"/>
      <c r="F14" s="527"/>
      <c r="G14" s="528"/>
      <c r="H14" s="66">
        <f t="shared" si="0"/>
        <v>0</v>
      </c>
      <c r="I14" s="66"/>
      <c r="J14" s="66"/>
      <c r="K14" s="66"/>
      <c r="L14" s="66"/>
      <c r="M14" s="66"/>
      <c r="N14" s="6"/>
      <c r="R14" s="26"/>
      <c r="S14" s="26"/>
      <c r="T14" s="65"/>
    </row>
    <row r="15" spans="1:32" ht="16.95" customHeight="1" x14ac:dyDescent="0.3">
      <c r="A15" s="1055"/>
      <c r="B15" s="526">
        <v>12</v>
      </c>
      <c r="C15" s="527"/>
      <c r="D15" s="527"/>
      <c r="E15" s="527"/>
      <c r="F15" s="527"/>
      <c r="G15" s="528"/>
      <c r="H15" s="66">
        <f t="shared" si="0"/>
        <v>0</v>
      </c>
      <c r="I15" s="66"/>
      <c r="J15" s="66"/>
      <c r="K15" s="66"/>
      <c r="L15" s="66"/>
      <c r="M15" s="66"/>
      <c r="N15" s="6"/>
      <c r="O15" s="64"/>
      <c r="P15" s="26"/>
      <c r="Q15" s="26"/>
      <c r="R15" s="26"/>
      <c r="S15" s="26"/>
      <c r="T15" s="65"/>
    </row>
    <row r="16" spans="1:32" ht="16.95" customHeight="1" x14ac:dyDescent="0.3">
      <c r="A16" s="1055"/>
      <c r="B16" s="526">
        <v>13</v>
      </c>
      <c r="C16" s="527"/>
      <c r="D16" s="527"/>
      <c r="E16" s="527"/>
      <c r="F16" s="527"/>
      <c r="G16" s="528"/>
      <c r="H16" s="66">
        <f t="shared" si="0"/>
        <v>0</v>
      </c>
      <c r="I16" s="66"/>
      <c r="J16" s="66"/>
      <c r="K16" s="66"/>
      <c r="L16" s="66"/>
      <c r="M16" s="66"/>
      <c r="N16" s="6"/>
      <c r="O16" s="64"/>
      <c r="P16" s="26"/>
      <c r="Q16" s="26"/>
      <c r="R16" s="26"/>
      <c r="S16" s="26"/>
      <c r="T16" s="65"/>
    </row>
    <row r="17" spans="1:20" ht="16.95" customHeight="1" x14ac:dyDescent="0.3">
      <c r="A17" s="1055"/>
      <c r="B17" s="526">
        <v>14</v>
      </c>
      <c r="C17" s="527"/>
      <c r="D17" s="527"/>
      <c r="E17" s="527"/>
      <c r="F17" s="527"/>
      <c r="G17" s="528"/>
      <c r="H17" s="66">
        <f t="shared" si="0"/>
        <v>0</v>
      </c>
      <c r="I17" s="66"/>
      <c r="J17" s="66"/>
      <c r="K17" s="66"/>
      <c r="L17" s="66"/>
      <c r="M17" s="66"/>
      <c r="N17" s="6"/>
      <c r="O17" s="64"/>
      <c r="P17" s="26"/>
      <c r="Q17" s="26"/>
      <c r="R17" s="26"/>
      <c r="S17" s="26"/>
      <c r="T17" s="65"/>
    </row>
    <row r="18" spans="1:20" ht="16.95" customHeight="1" x14ac:dyDescent="0.3">
      <c r="A18" s="1055"/>
      <c r="B18" s="526">
        <v>15</v>
      </c>
      <c r="C18" s="527"/>
      <c r="D18" s="527"/>
      <c r="E18" s="527"/>
      <c r="F18" s="527"/>
      <c r="G18" s="528"/>
      <c r="H18" s="66">
        <f t="shared" si="0"/>
        <v>0</v>
      </c>
      <c r="I18" s="66"/>
      <c r="J18" s="66"/>
      <c r="K18" s="66"/>
      <c r="L18" s="66"/>
      <c r="M18" s="66"/>
      <c r="N18" s="6"/>
      <c r="O18" s="64"/>
      <c r="P18" s="26"/>
      <c r="Q18" s="26"/>
      <c r="R18" s="26"/>
      <c r="S18" s="26"/>
      <c r="T18" s="65"/>
    </row>
    <row r="19" spans="1:20" ht="16.95" customHeight="1" x14ac:dyDescent="0.3">
      <c r="A19" s="1055"/>
      <c r="B19" s="526">
        <v>16</v>
      </c>
      <c r="C19" s="527"/>
      <c r="D19" s="527"/>
      <c r="E19" s="527"/>
      <c r="F19" s="527"/>
      <c r="G19" s="528"/>
      <c r="H19" s="66">
        <f t="shared" si="0"/>
        <v>0</v>
      </c>
      <c r="I19" s="66"/>
      <c r="J19" s="66"/>
      <c r="K19" s="66"/>
      <c r="L19" s="66"/>
      <c r="M19" s="66"/>
      <c r="N19" s="6"/>
      <c r="O19" s="64"/>
      <c r="P19" s="26"/>
      <c r="Q19" s="26"/>
      <c r="R19" s="26"/>
      <c r="S19" s="26"/>
      <c r="T19" s="65"/>
    </row>
    <row r="20" spans="1:20" ht="14.4" x14ac:dyDescent="0.3">
      <c r="A20" s="1055"/>
      <c r="B20" s="529" t="s">
        <v>859</v>
      </c>
      <c r="C20" s="527"/>
      <c r="D20" s="527"/>
      <c r="E20" s="527"/>
      <c r="F20" s="527"/>
      <c r="G20" s="530"/>
    </row>
    <row r="22" spans="1:20" x14ac:dyDescent="0.25">
      <c r="A22" s="5" t="s">
        <v>860</v>
      </c>
    </row>
    <row r="23" spans="1:20" x14ac:dyDescent="0.25">
      <c r="A23" s="5" t="s">
        <v>861</v>
      </c>
    </row>
  </sheetData>
  <mergeCells count="6">
    <mergeCell ref="J2:L2"/>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1"/>
  <sheetViews>
    <sheetView workbookViewId="0">
      <selection sqref="A1:J1"/>
    </sheetView>
  </sheetViews>
  <sheetFormatPr defaultRowHeight="14.4" x14ac:dyDescent="0.3"/>
  <sheetData>
    <row r="1" spans="1:10" ht="15.6" customHeight="1" x14ac:dyDescent="0.3">
      <c r="A1" s="1058" t="str">
        <f>"PV - "&amp;Prototype!A2</f>
        <v>PV - OfficeLarge</v>
      </c>
      <c r="B1" s="1058"/>
      <c r="C1" s="1058"/>
      <c r="D1" s="1058"/>
      <c r="E1" s="1058"/>
      <c r="F1" s="1058"/>
      <c r="G1" s="1058"/>
      <c r="H1" s="1058"/>
      <c r="I1" s="1058"/>
      <c r="J1" s="1058"/>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x14ac:dyDescent="0.25"/>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8" ht="15.6" x14ac:dyDescent="0.25">
      <c r="A1" s="799" t="str">
        <f>"EV Charger - "&amp;Prototype!A2</f>
        <v>EV Charger - OfficeLarge</v>
      </c>
      <c r="B1" s="799"/>
      <c r="C1" s="799"/>
      <c r="D1" s="799"/>
      <c r="E1" s="799"/>
      <c r="F1" s="799"/>
      <c r="G1" s="799"/>
      <c r="H1" s="799"/>
    </row>
    <row r="2" spans="1:8" x14ac:dyDescent="0.25">
      <c r="B2" s="50"/>
      <c r="C2" s="136"/>
      <c r="D2" s="51"/>
      <c r="E2" s="51"/>
    </row>
    <row r="3" spans="1:8" x14ac:dyDescent="0.25">
      <c r="A3" s="514"/>
      <c r="B3" s="739"/>
      <c r="C3" s="410"/>
      <c r="D3" s="52"/>
      <c r="E3" s="52"/>
    </row>
    <row r="11" spans="1:8" s="21" customFormat="1" hidden="1" x14ac:dyDescent="0.25">
      <c r="A11" s="21" t="s">
        <v>416</v>
      </c>
      <c r="E11" s="22"/>
      <c r="F11" s="23"/>
      <c r="G11" s="24"/>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E011-13EA-4575-9C3B-666832DB0B87}">
  <sheetPr codeName="Sheet16"/>
  <dimension ref="A1:G83"/>
  <sheetViews>
    <sheetView workbookViewId="0">
      <selection activeCell="A83" sqref="A83"/>
    </sheetView>
  </sheetViews>
  <sheetFormatPr defaultRowHeight="14.4" x14ac:dyDescent="0.3"/>
  <cols>
    <col min="1" max="1" width="58.6640625" customWidth="1"/>
    <col min="2" max="2" width="30.88671875" customWidth="1"/>
    <col min="3" max="3" width="30.33203125" customWidth="1"/>
  </cols>
  <sheetData>
    <row r="1" spans="1:7" x14ac:dyDescent="0.3">
      <c r="A1" t="s">
        <v>862</v>
      </c>
      <c r="B1" t="s">
        <v>863</v>
      </c>
      <c r="C1" t="s">
        <v>863</v>
      </c>
      <c r="D1" s="1059" t="s">
        <v>864</v>
      </c>
      <c r="E1" s="1059"/>
      <c r="F1" s="1059"/>
      <c r="G1" s="1059"/>
    </row>
    <row r="2" spans="1:7" x14ac:dyDescent="0.3">
      <c r="A2" s="507" t="s">
        <v>865</v>
      </c>
      <c r="D2">
        <v>2013</v>
      </c>
      <c r="E2">
        <v>2016</v>
      </c>
      <c r="F2">
        <v>2019</v>
      </c>
      <c r="G2">
        <v>2025</v>
      </c>
    </row>
    <row r="3" spans="1:7" x14ac:dyDescent="0.3">
      <c r="A3" s="507" t="s">
        <v>866</v>
      </c>
    </row>
    <row r="4" spans="1:7" x14ac:dyDescent="0.3">
      <c r="A4" t="s">
        <v>867</v>
      </c>
    </row>
    <row r="5" spans="1:7" x14ac:dyDescent="0.3">
      <c r="A5" t="s">
        <v>868</v>
      </c>
    </row>
    <row r="6" spans="1:7" x14ac:dyDescent="0.3">
      <c r="A6" t="s">
        <v>869</v>
      </c>
    </row>
    <row r="7" spans="1:7" x14ac:dyDescent="0.3">
      <c r="A7" t="s">
        <v>870</v>
      </c>
    </row>
    <row r="8" spans="1:7" x14ac:dyDescent="0.3">
      <c r="A8" t="s">
        <v>871</v>
      </c>
    </row>
    <row r="9" spans="1:7" x14ac:dyDescent="0.3">
      <c r="A9" t="s">
        <v>872</v>
      </c>
    </row>
    <row r="10" spans="1:7" x14ac:dyDescent="0.3">
      <c r="A10" t="s">
        <v>873</v>
      </c>
    </row>
    <row r="11" spans="1:7" x14ac:dyDescent="0.3">
      <c r="A11" t="s">
        <v>874</v>
      </c>
    </row>
    <row r="12" spans="1:7" x14ac:dyDescent="0.3">
      <c r="A12" t="s">
        <v>875</v>
      </c>
    </row>
    <row r="13" spans="1:7" x14ac:dyDescent="0.3">
      <c r="A13" t="s">
        <v>876</v>
      </c>
    </row>
    <row r="14" spans="1:7" x14ac:dyDescent="0.3">
      <c r="A14" t="s">
        <v>877</v>
      </c>
    </row>
    <row r="15" spans="1:7" x14ac:dyDescent="0.3">
      <c r="A15" t="s">
        <v>878</v>
      </c>
    </row>
    <row r="16" spans="1:7" x14ac:dyDescent="0.3">
      <c r="A16" t="s">
        <v>879</v>
      </c>
    </row>
    <row r="17" spans="1:1" x14ac:dyDescent="0.3">
      <c r="A17" t="s">
        <v>161</v>
      </c>
    </row>
    <row r="18" spans="1:1" x14ac:dyDescent="0.3">
      <c r="A18" t="s">
        <v>880</v>
      </c>
    </row>
    <row r="19" spans="1:1" x14ac:dyDescent="0.3">
      <c r="A19" t="s">
        <v>174</v>
      </c>
    </row>
    <row r="20" spans="1:1" x14ac:dyDescent="0.3">
      <c r="A20" t="s">
        <v>881</v>
      </c>
    </row>
    <row r="21" spans="1:1" x14ac:dyDescent="0.3">
      <c r="A21" t="s">
        <v>882</v>
      </c>
    </row>
    <row r="22" spans="1:1" x14ac:dyDescent="0.3">
      <c r="A22" t="s">
        <v>883</v>
      </c>
    </row>
    <row r="23" spans="1:1" x14ac:dyDescent="0.3">
      <c r="A23" t="s">
        <v>158</v>
      </c>
    </row>
    <row r="24" spans="1:1" x14ac:dyDescent="0.3">
      <c r="A24" t="s">
        <v>884</v>
      </c>
    </row>
    <row r="25" spans="1:1" x14ac:dyDescent="0.3">
      <c r="A25" t="s">
        <v>885</v>
      </c>
    </row>
    <row r="26" spans="1:1" x14ac:dyDescent="0.3">
      <c r="A26" t="s">
        <v>886</v>
      </c>
    </row>
    <row r="27" spans="1:1" x14ac:dyDescent="0.3">
      <c r="A27" t="s">
        <v>887</v>
      </c>
    </row>
    <row r="28" spans="1:1" x14ac:dyDescent="0.3">
      <c r="A28" t="s">
        <v>888</v>
      </c>
    </row>
    <row r="29" spans="1:1" x14ac:dyDescent="0.3">
      <c r="A29" t="s">
        <v>889</v>
      </c>
    </row>
    <row r="30" spans="1:1" x14ac:dyDescent="0.3">
      <c r="A30" t="s">
        <v>890</v>
      </c>
    </row>
    <row r="31" spans="1:1" x14ac:dyDescent="0.3">
      <c r="A31" t="s">
        <v>891</v>
      </c>
    </row>
    <row r="32" spans="1:1" x14ac:dyDescent="0.3">
      <c r="A32" t="s">
        <v>892</v>
      </c>
    </row>
    <row r="33" spans="1:1" x14ac:dyDescent="0.3">
      <c r="A33" t="s">
        <v>893</v>
      </c>
    </row>
    <row r="34" spans="1:1" x14ac:dyDescent="0.3">
      <c r="A34" t="s">
        <v>894</v>
      </c>
    </row>
    <row r="35" spans="1:1" x14ac:dyDescent="0.3">
      <c r="A35" t="s">
        <v>895</v>
      </c>
    </row>
    <row r="36" spans="1:1" x14ac:dyDescent="0.3">
      <c r="A36" t="s">
        <v>200</v>
      </c>
    </row>
    <row r="37" spans="1:1" x14ac:dyDescent="0.3">
      <c r="A37" t="s">
        <v>896</v>
      </c>
    </row>
    <row r="38" spans="1:1" x14ac:dyDescent="0.3">
      <c r="A38" t="s">
        <v>897</v>
      </c>
    </row>
    <row r="39" spans="1:1" x14ac:dyDescent="0.3">
      <c r="A39" t="s">
        <v>898</v>
      </c>
    </row>
    <row r="40" spans="1:1" x14ac:dyDescent="0.3">
      <c r="A40" t="s">
        <v>899</v>
      </c>
    </row>
    <row r="41" spans="1:1" x14ac:dyDescent="0.3">
      <c r="A41" t="s">
        <v>900</v>
      </c>
    </row>
    <row r="42" spans="1:1" x14ac:dyDescent="0.3">
      <c r="A42" t="s">
        <v>210</v>
      </c>
    </row>
    <row r="43" spans="1:1" x14ac:dyDescent="0.3">
      <c r="A43" t="s">
        <v>205</v>
      </c>
    </row>
    <row r="44" spans="1:1" x14ac:dyDescent="0.3">
      <c r="A44" t="s">
        <v>163</v>
      </c>
    </row>
    <row r="45" spans="1:1" x14ac:dyDescent="0.3">
      <c r="A45" t="s">
        <v>901</v>
      </c>
    </row>
    <row r="46" spans="1:1" x14ac:dyDescent="0.3">
      <c r="A46" t="s">
        <v>902</v>
      </c>
    </row>
    <row r="47" spans="1:1" x14ac:dyDescent="0.3">
      <c r="A47" t="s">
        <v>903</v>
      </c>
    </row>
    <row r="48" spans="1:1" x14ac:dyDescent="0.3">
      <c r="A48" t="s">
        <v>904</v>
      </c>
    </row>
    <row r="49" spans="1:1" x14ac:dyDescent="0.3">
      <c r="A49" t="s">
        <v>905</v>
      </c>
    </row>
    <row r="50" spans="1:1" x14ac:dyDescent="0.3">
      <c r="A50" t="s">
        <v>141</v>
      </c>
    </row>
    <row r="51" spans="1:1" x14ac:dyDescent="0.3">
      <c r="A51" t="s">
        <v>906</v>
      </c>
    </row>
    <row r="52" spans="1:1" x14ac:dyDescent="0.3">
      <c r="A52" t="s">
        <v>907</v>
      </c>
    </row>
    <row r="53" spans="1:1" x14ac:dyDescent="0.3">
      <c r="A53" t="s">
        <v>908</v>
      </c>
    </row>
    <row r="54" spans="1:1" x14ac:dyDescent="0.3">
      <c r="A54" t="s">
        <v>909</v>
      </c>
    </row>
    <row r="55" spans="1:1" x14ac:dyDescent="0.3">
      <c r="A55" t="s">
        <v>910</v>
      </c>
    </row>
    <row r="56" spans="1:1" x14ac:dyDescent="0.3">
      <c r="A56" t="s">
        <v>911</v>
      </c>
    </row>
    <row r="57" spans="1:1" x14ac:dyDescent="0.3">
      <c r="A57" t="s">
        <v>912</v>
      </c>
    </row>
    <row r="58" spans="1:1" x14ac:dyDescent="0.3">
      <c r="A58" t="s">
        <v>913</v>
      </c>
    </row>
    <row r="59" spans="1:1" x14ac:dyDescent="0.3">
      <c r="A59" t="s">
        <v>168</v>
      </c>
    </row>
    <row r="60" spans="1:1" x14ac:dyDescent="0.3">
      <c r="A60" t="s">
        <v>172</v>
      </c>
    </row>
    <row r="61" spans="1:1" x14ac:dyDescent="0.3">
      <c r="A61" t="s">
        <v>914</v>
      </c>
    </row>
    <row r="62" spans="1:1" x14ac:dyDescent="0.3">
      <c r="A62" t="s">
        <v>915</v>
      </c>
    </row>
    <row r="63" spans="1:1" x14ac:dyDescent="0.3">
      <c r="A63" t="s">
        <v>916</v>
      </c>
    </row>
    <row r="64" spans="1:1" x14ac:dyDescent="0.3">
      <c r="A64" t="s">
        <v>165</v>
      </c>
    </row>
    <row r="65" spans="1:1" x14ac:dyDescent="0.3">
      <c r="A65" t="s">
        <v>917</v>
      </c>
    </row>
    <row r="66" spans="1:1" x14ac:dyDescent="0.3">
      <c r="A66" t="s">
        <v>918</v>
      </c>
    </row>
    <row r="67" spans="1:1" x14ac:dyDescent="0.3">
      <c r="A67" t="s">
        <v>919</v>
      </c>
    </row>
    <row r="68" spans="1:1" x14ac:dyDescent="0.3">
      <c r="A68" t="s">
        <v>920</v>
      </c>
    </row>
    <row r="69" spans="1:1" x14ac:dyDescent="0.3">
      <c r="A69" t="s">
        <v>921</v>
      </c>
    </row>
    <row r="70" spans="1:1" x14ac:dyDescent="0.3">
      <c r="A70" t="s">
        <v>922</v>
      </c>
    </row>
    <row r="71" spans="1:1" x14ac:dyDescent="0.3">
      <c r="A71" t="s">
        <v>923</v>
      </c>
    </row>
    <row r="72" spans="1:1" x14ac:dyDescent="0.3">
      <c r="A72" t="s">
        <v>924</v>
      </c>
    </row>
    <row r="73" spans="1:1" x14ac:dyDescent="0.3">
      <c r="A73" t="s">
        <v>925</v>
      </c>
    </row>
    <row r="74" spans="1:1" x14ac:dyDescent="0.3">
      <c r="A74" t="s">
        <v>926</v>
      </c>
    </row>
    <row r="75" spans="1:1" x14ac:dyDescent="0.3">
      <c r="A75" t="s">
        <v>927</v>
      </c>
    </row>
    <row r="76" spans="1:1" x14ac:dyDescent="0.3">
      <c r="A76" t="s">
        <v>928</v>
      </c>
    </row>
    <row r="77" spans="1:1" x14ac:dyDescent="0.3">
      <c r="A77" t="s">
        <v>929</v>
      </c>
    </row>
    <row r="78" spans="1:1" x14ac:dyDescent="0.3">
      <c r="A78" t="s">
        <v>930</v>
      </c>
    </row>
    <row r="79" spans="1:1" x14ac:dyDescent="0.3">
      <c r="A79" t="s">
        <v>683</v>
      </c>
    </row>
    <row r="80" spans="1:1" x14ac:dyDescent="0.3">
      <c r="A80" t="s">
        <v>225</v>
      </c>
    </row>
    <row r="81" spans="1:1" x14ac:dyDescent="0.3">
      <c r="A81" t="s">
        <v>931</v>
      </c>
    </row>
    <row r="82" spans="1:1" x14ac:dyDescent="0.3">
      <c r="A82" t="s">
        <v>186</v>
      </c>
    </row>
    <row r="83" spans="1:1" x14ac:dyDescent="0.3">
      <c r="A83" t="s">
        <v>152</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139304D-4820-42AD-9563-2B02DE5F02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ContentTypeId">
    <vt:lpwstr>0x0101003D1D6A7EB2452B4A86A9506D4E13D4C9</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MSIP_Label_aa7be39c-9e9f-446a-a199-286f73f56a3f_Enabled">
    <vt:lpwstr>true</vt:lpwstr>
  </property>
  <property fmtid="{D5CDD505-2E9C-101B-9397-08002B2CF9AE}" pid="18" name="MSIP_Label_aa7be39c-9e9f-446a-a199-286f73f56a3f_SetDate">
    <vt:lpwstr>2026-07-15T15:36:23Z</vt:lpwstr>
  </property>
  <property fmtid="{D5CDD505-2E9C-101B-9397-08002B2CF9AE}" pid="19" name="MSIP_Label_aa7be39c-9e9f-446a-a199-286f73f56a3f_Method">
    <vt:lpwstr>Standard</vt:lpwstr>
  </property>
  <property fmtid="{D5CDD505-2E9C-101B-9397-08002B2CF9AE}" pid="20" name="MSIP_Label_aa7be39c-9e9f-446a-a199-286f73f56a3f_Name">
    <vt:lpwstr>Confidential</vt:lpwstr>
  </property>
  <property fmtid="{D5CDD505-2E9C-101B-9397-08002B2CF9AE}" pid="21" name="MSIP_Label_aa7be39c-9e9f-446a-a199-286f73f56a3f_SiteId">
    <vt:lpwstr>85ad2a97-6942-4d5d-bc9c-35cd3905d69a</vt:lpwstr>
  </property>
  <property fmtid="{D5CDD505-2E9C-101B-9397-08002B2CF9AE}" pid="22" name="MSIP_Label_aa7be39c-9e9f-446a-a199-286f73f56a3f_ActionId">
    <vt:lpwstr>9aa52be7-e90f-4db3-9dfa-3134fb3d14a1</vt:lpwstr>
  </property>
  <property fmtid="{D5CDD505-2E9C-101B-9397-08002B2CF9AE}" pid="23" name="MSIP_Label_aa7be39c-9e9f-446a-a199-286f73f56a3f_ContentBits">
    <vt:lpwstr>0</vt:lpwstr>
  </property>
  <property fmtid="{D5CDD505-2E9C-101B-9397-08002B2CF9AE}" pid="24" name="MSIP_Label_aa7be39c-9e9f-446a-a199-286f73f56a3f_Tag">
    <vt:lpwstr>10, 3, 0, 2</vt:lpwstr>
  </property>
</Properties>
</file>