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727D7FBA-647F-41FD-8877-F18B044ACE03}" xr6:coauthVersionLast="47" xr6:coauthVersionMax="47" xr10:uidLastSave="{00000000-0000-0000-0000-000000000000}"/>
  <bookViews>
    <workbookView xWindow="-108" yWindow="-108" windowWidth="23256" windowHeight="13896" tabRatio="873" firstSheet="1" activeTab="1" xr2:uid="{EAC23EE3-0CA0-4FF8-990D-9B21A59FA3E0}"/>
  </bookViews>
  <sheets>
    <sheet name="Notes" sheetId="23" r:id="rId1"/>
    <sheet name="Prototype" sheetId="2" r:id="rId2"/>
    <sheet name="Zones" sheetId="13" r:id="rId3"/>
    <sheet name="Envelope" sheetId="1" r:id="rId4"/>
    <sheet name="HVAC System" sheetId="14" r:id="rId5"/>
    <sheet name="Heating-No area used to convert" sheetId="8" state="hidden" r:id="rId6"/>
    <sheet name="Thermostat" sheetId="30" r:id="rId7"/>
    <sheet name="Ventilation" sheetId="18" r:id="rId8"/>
    <sheet name="Interior Lights" sheetId="25" r:id="rId9"/>
    <sheet name="Cooking Euipment" sheetId="3" state="hidden" r:id="rId10"/>
    <sheet name="Air compressor" sheetId="4" state="hidden" r:id="rId11"/>
    <sheet name="Refrigerated" sheetId="10" state="hidden" r:id="rId12"/>
    <sheet name="Water Heater" sheetId="32" r:id="rId13"/>
    <sheet name="Equipment" sheetId="29" r:id="rId14"/>
    <sheet name="Ext Lighting" sheetId="9" r:id="rId15"/>
    <sheet name="Schedules" sheetId="28" r:id="rId16"/>
    <sheet name="Occupnacy" sheetId="19" state="hidden" r:id="rId17"/>
    <sheet name="Energy Usage" sheetId="20" state="hidden" r:id="rId18"/>
    <sheet name="Weights" sheetId="21" state="hidden" r:id="rId19"/>
    <sheet name="PV" sheetId="27" state="hidden" r:id="rId20"/>
    <sheet name="EV Charger" sheetId="22" state="hidden" r:id="rId21"/>
    <sheet name="Data" sheetId="31" state="hidden" r:id="rId22"/>
  </sheets>
  <definedNames>
    <definedName name="_xlnm._FilterDatabase" localSheetId="21" hidden="1">Data!$D$1:$G$1</definedName>
    <definedName name="nonparticipating_forecastzone_scale_factor" localSheetId="21">#REF!</definedName>
    <definedName name="nonparticipating_forecastzone_scale_factor" localSheetId="12">#REF!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2" l="1"/>
  <c r="F4" i="32"/>
  <c r="E4" i="32"/>
  <c r="C27" i="23"/>
  <c r="C26" i="23"/>
  <c r="C25" i="23"/>
  <c r="C24" i="23"/>
  <c r="C23" i="23"/>
  <c r="C22" i="23"/>
  <c r="C10" i="32"/>
  <c r="A10" i="32"/>
  <c r="C9" i="32"/>
  <c r="A9" i="32"/>
  <c r="A1" i="32"/>
  <c r="I42" i="32"/>
  <c r="G10" i="32"/>
  <c r="E9" i="32"/>
  <c r="I13" i="1" l="1"/>
  <c r="K18" i="1"/>
  <c r="J18" i="1"/>
  <c r="L18" i="1"/>
  <c r="M18" i="1"/>
  <c r="N18" i="1"/>
  <c r="O18" i="1"/>
  <c r="P18" i="1"/>
  <c r="Q18" i="1"/>
  <c r="R18" i="1"/>
  <c r="S18" i="1"/>
  <c r="T18" i="1"/>
  <c r="U18" i="1"/>
  <c r="V18" i="1"/>
  <c r="W18" i="1"/>
  <c r="X18" i="1"/>
  <c r="I18" i="1"/>
  <c r="J13" i="1"/>
  <c r="K13" i="1"/>
  <c r="L13" i="1"/>
  <c r="M13" i="1"/>
  <c r="N13" i="1"/>
  <c r="O13" i="1"/>
  <c r="P13" i="1"/>
  <c r="Q13" i="1"/>
  <c r="R13" i="1"/>
  <c r="S13" i="1"/>
  <c r="T13" i="1"/>
  <c r="U13" i="1"/>
  <c r="V13" i="1"/>
  <c r="W13" i="1"/>
  <c r="X13" i="1"/>
  <c r="I14" i="1"/>
  <c r="A4" i="25"/>
  <c r="AF59" i="28"/>
  <c r="J1" i="21"/>
  <c r="A1" i="21"/>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65" i="28"/>
  <c r="H65" i="28"/>
  <c r="I65" i="28"/>
  <c r="J65" i="28"/>
  <c r="K65" i="28"/>
  <c r="L65" i="28"/>
  <c r="M65" i="28"/>
  <c r="N65" i="28"/>
  <c r="O65" i="28"/>
  <c r="P65" i="28"/>
  <c r="Q65" i="28"/>
  <c r="R65" i="28"/>
  <c r="S65" i="28"/>
  <c r="T65" i="28"/>
  <c r="U65" i="28"/>
  <c r="V65" i="28"/>
  <c r="W65" i="28"/>
  <c r="X65" i="28"/>
  <c r="Y65" i="28"/>
  <c r="Z65" i="28"/>
  <c r="AA65" i="28"/>
  <c r="AB65" i="28"/>
  <c r="AC65"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F66" i="28"/>
  <c r="F67" i="28"/>
  <c r="F65" i="28"/>
  <c r="G62" i="28"/>
  <c r="H62" i="28"/>
  <c r="I62" i="28"/>
  <c r="J62" i="28"/>
  <c r="K62" i="28"/>
  <c r="L62" i="28"/>
  <c r="M62" i="28"/>
  <c r="N62" i="28"/>
  <c r="O62" i="28"/>
  <c r="P62" i="28"/>
  <c r="Q62" i="28"/>
  <c r="R62" i="28"/>
  <c r="S62" i="28"/>
  <c r="T62" i="28"/>
  <c r="U62" i="28"/>
  <c r="V62" i="28"/>
  <c r="W62" i="28"/>
  <c r="X62" i="28"/>
  <c r="Y62" i="28"/>
  <c r="Z62" i="28"/>
  <c r="AA62" i="28"/>
  <c r="AB62" i="28"/>
  <c r="AC62" i="28"/>
  <c r="G63" i="28"/>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F63" i="28"/>
  <c r="F64" i="28"/>
  <c r="F62" i="28"/>
  <c r="E4" i="29"/>
  <c r="AM38" i="28"/>
  <c r="AG59" i="28" l="1"/>
  <c r="G9" i="29" s="1"/>
  <c r="AG60" i="28" l="1"/>
  <c r="A1" i="20" l="1"/>
  <c r="U6" i="20"/>
  <c r="S18" i="20"/>
  <c r="U18" i="20" s="1"/>
  <c r="S17" i="20"/>
  <c r="T17" i="20" s="1"/>
  <c r="S16" i="20"/>
  <c r="T16" i="20" s="1"/>
  <c r="S15" i="20"/>
  <c r="U15" i="20" s="1"/>
  <c r="S14" i="20"/>
  <c r="T14" i="20" s="1"/>
  <c r="S13" i="20"/>
  <c r="T13" i="20" s="1"/>
  <c r="S12" i="20"/>
  <c r="U12" i="20" s="1"/>
  <c r="S11" i="20"/>
  <c r="U11" i="20" s="1"/>
  <c r="S10" i="20"/>
  <c r="U10" i="20" s="1"/>
  <c r="S9" i="20"/>
  <c r="U9" i="20" s="1"/>
  <c r="S8" i="20"/>
  <c r="U8" i="20" s="1"/>
  <c r="S7" i="20"/>
  <c r="U7" i="20" s="1"/>
  <c r="S6" i="20"/>
  <c r="T6" i="20" s="1"/>
  <c r="S5" i="20"/>
  <c r="U5" i="20" s="1"/>
  <c r="S4" i="20"/>
  <c r="U4" i="20" s="1"/>
  <c r="S3" i="20"/>
  <c r="U3" i="20" s="1"/>
  <c r="U13" i="20" l="1"/>
  <c r="V13" i="20" s="1"/>
  <c r="T8" i="20"/>
  <c r="V8" i="20" s="1"/>
  <c r="T3" i="20"/>
  <c r="V3" i="20" s="1"/>
  <c r="U14" i="20"/>
  <c r="V14" i="20" s="1"/>
  <c r="T4" i="20"/>
  <c r="V4" i="20" s="1"/>
  <c r="T9" i="20"/>
  <c r="V9" i="20" s="1"/>
  <c r="T15" i="20"/>
  <c r="V15" i="20" s="1"/>
  <c r="U16" i="20"/>
  <c r="V16" i="20" s="1"/>
  <c r="V6" i="20"/>
  <c r="U17" i="20"/>
  <c r="V17" i="20" s="1"/>
  <c r="T12" i="20"/>
  <c r="V12" i="20" s="1"/>
  <c r="T7" i="20"/>
  <c r="V7" i="20" s="1"/>
  <c r="T18" i="20"/>
  <c r="V18" i="20" s="1"/>
  <c r="T5" i="20"/>
  <c r="V5" i="20" s="1"/>
  <c r="T10" i="20"/>
  <c r="V10" i="20" s="1"/>
  <c r="T11" i="20"/>
  <c r="V11" i="20" s="1"/>
  <c r="K18" i="20" l="1"/>
  <c r="J18" i="20"/>
  <c r="K17" i="20"/>
  <c r="J17" i="20"/>
  <c r="K16" i="20"/>
  <c r="J16" i="20"/>
  <c r="K15" i="20"/>
  <c r="J15" i="20"/>
  <c r="K14" i="20"/>
  <c r="J14" i="20"/>
  <c r="K13" i="20"/>
  <c r="J13" i="20"/>
  <c r="L13" i="20" s="1"/>
  <c r="K12" i="20"/>
  <c r="J12" i="20"/>
  <c r="L12" i="20" s="1"/>
  <c r="K11" i="20"/>
  <c r="J11" i="20"/>
  <c r="K10" i="20"/>
  <c r="J10" i="20"/>
  <c r="K9" i="20"/>
  <c r="J9" i="20"/>
  <c r="L9" i="20" s="1"/>
  <c r="K8" i="20"/>
  <c r="J8" i="20"/>
  <c r="L8" i="20" s="1"/>
  <c r="K7" i="20"/>
  <c r="J7" i="20"/>
  <c r="L7" i="20" s="1"/>
  <c r="K6" i="20"/>
  <c r="J6" i="20"/>
  <c r="L6" i="20" s="1"/>
  <c r="K5" i="20"/>
  <c r="J5" i="20"/>
  <c r="L5" i="20" s="1"/>
  <c r="K4" i="20"/>
  <c r="J4" i="20"/>
  <c r="K3" i="20"/>
  <c r="J3" i="20"/>
  <c r="L3" i="20" s="1"/>
  <c r="B65" i="28"/>
  <c r="A65" i="28"/>
  <c r="B62" i="28"/>
  <c r="A62" i="28"/>
  <c r="AB37" i="28"/>
  <c r="AA37" i="28"/>
  <c r="Z37" i="28"/>
  <c r="Y37" i="28"/>
  <c r="X37" i="28"/>
  <c r="W37" i="28"/>
  <c r="V37" i="28"/>
  <c r="U37" i="28"/>
  <c r="T37" i="28"/>
  <c r="S37" i="28"/>
  <c r="R37" i="28"/>
  <c r="Q37" i="28"/>
  <c r="P37" i="28"/>
  <c r="O37" i="28"/>
  <c r="N37" i="28"/>
  <c r="M37" i="28"/>
  <c r="AB36" i="28"/>
  <c r="AA36" i="28"/>
  <c r="Z36" i="28"/>
  <c r="Y36" i="28"/>
  <c r="X36" i="28"/>
  <c r="W36" i="28"/>
  <c r="V36" i="28"/>
  <c r="U36" i="28"/>
  <c r="T36" i="28"/>
  <c r="S36" i="28"/>
  <c r="R36" i="28"/>
  <c r="Q36" i="28"/>
  <c r="P36" i="28"/>
  <c r="O36" i="28"/>
  <c r="N36" i="28"/>
  <c r="M36" i="28"/>
  <c r="K36" i="28"/>
  <c r="F36" i="28"/>
  <c r="AB35" i="28"/>
  <c r="AA35" i="28"/>
  <c r="Z35" i="28"/>
  <c r="Y35" i="28"/>
  <c r="X35" i="28"/>
  <c r="W35" i="28"/>
  <c r="V35" i="28"/>
  <c r="U35" i="28"/>
  <c r="T35" i="28"/>
  <c r="S35" i="28"/>
  <c r="R35" i="28"/>
  <c r="Q35" i="28"/>
  <c r="P35" i="28"/>
  <c r="O35" i="28"/>
  <c r="N35" i="28"/>
  <c r="M35" i="28"/>
  <c r="B28" i="28"/>
  <c r="A28" i="28"/>
  <c r="B25" i="28"/>
  <c r="A25" i="28"/>
  <c r="A19" i="28"/>
  <c r="A13" i="28"/>
  <c r="A10" i="28"/>
  <c r="AB9" i="28"/>
  <c r="AA9" i="28"/>
  <c r="Z9" i="28"/>
  <c r="Y9" i="28"/>
  <c r="X9" i="28"/>
  <c r="W9" i="28"/>
  <c r="V9" i="28"/>
  <c r="U9" i="28"/>
  <c r="T9" i="28"/>
  <c r="S9" i="28"/>
  <c r="R9" i="28"/>
  <c r="Q9" i="28"/>
  <c r="P9" i="28"/>
  <c r="O9" i="28"/>
  <c r="N9" i="28"/>
  <c r="M9" i="28"/>
  <c r="AB8" i="28"/>
  <c r="AA8" i="28"/>
  <c r="Z8" i="28"/>
  <c r="Y8" i="28"/>
  <c r="X8" i="28"/>
  <c r="W8" i="28"/>
  <c r="V8" i="28"/>
  <c r="U8" i="28"/>
  <c r="T8" i="28"/>
  <c r="S8" i="28"/>
  <c r="R8" i="28"/>
  <c r="Q8" i="28"/>
  <c r="P8" i="28"/>
  <c r="O8" i="28"/>
  <c r="N8" i="28"/>
  <c r="M8" i="28"/>
  <c r="K8" i="28"/>
  <c r="F8" i="28"/>
  <c r="AB7" i="28"/>
  <c r="AA7" i="28"/>
  <c r="Z7" i="28"/>
  <c r="Y7" i="28"/>
  <c r="X7" i="28"/>
  <c r="W7" i="28"/>
  <c r="V7" i="28"/>
  <c r="U7" i="28"/>
  <c r="T7" i="28"/>
  <c r="S7" i="28"/>
  <c r="R7" i="28"/>
  <c r="Q7" i="28"/>
  <c r="P7" i="28"/>
  <c r="O7" i="28"/>
  <c r="N7" i="28"/>
  <c r="M7" i="28"/>
  <c r="A7" i="28"/>
  <c r="A16" i="28" s="1"/>
  <c r="L15" i="20" l="1"/>
  <c r="L4" i="20"/>
  <c r="L14" i="20"/>
  <c r="L17" i="20"/>
  <c r="L18" i="20"/>
  <c r="L11" i="20"/>
  <c r="L10" i="20"/>
  <c r="L16" i="20"/>
  <c r="A5" i="18"/>
  <c r="A5" i="29"/>
  <c r="A6" i="25"/>
  <c r="A4" i="29" l="1"/>
  <c r="A3" i="29"/>
  <c r="A5" i="25"/>
  <c r="D74" i="2"/>
  <c r="C74" i="2"/>
  <c r="I3" i="18"/>
  <c r="H6" i="13" l="1"/>
  <c r="H5" i="13" s="1"/>
  <c r="K4" i="13"/>
  <c r="D10" i="32" s="1"/>
  <c r="K3" i="13"/>
  <c r="D9" i="32" s="1"/>
  <c r="F9" i="32" s="1"/>
  <c r="F11" i="32" s="1" a="1"/>
  <c r="F11" i="32" s="1"/>
  <c r="G9" i="32" l="1"/>
  <c r="F12" i="32"/>
  <c r="G4" i="13"/>
  <c r="F23" i="32" l="1"/>
  <c r="F24" i="32"/>
  <c r="F25" i="32"/>
  <c r="F26" i="32"/>
  <c r="F27" i="32"/>
  <c r="F28" i="32"/>
  <c r="F29" i="32"/>
  <c r="F30" i="32"/>
  <c r="F31" i="32"/>
  <c r="F32" i="32"/>
  <c r="F33" i="32"/>
  <c r="F34" i="32"/>
  <c r="F35" i="32"/>
  <c r="F36" i="32"/>
  <c r="F37" i="32"/>
  <c r="C23" i="32"/>
  <c r="C24" i="32"/>
  <c r="C25" i="32"/>
  <c r="C26" i="32"/>
  <c r="C27" i="32"/>
  <c r="C28" i="32"/>
  <c r="C29" i="32"/>
  <c r="C30" i="32"/>
  <c r="C31" i="32"/>
  <c r="C32" i="32"/>
  <c r="C33" i="32"/>
  <c r="C34" i="32"/>
  <c r="C35" i="32"/>
  <c r="C36" i="32"/>
  <c r="C37" i="32"/>
  <c r="F22" i="32"/>
  <c r="C22" i="32"/>
  <c r="D29" i="32"/>
  <c r="E29" i="32" s="1"/>
  <c r="G29" i="32" s="1"/>
  <c r="I29" i="32" s="1"/>
  <c r="D36" i="32"/>
  <c r="E36" i="32" s="1"/>
  <c r="G36" i="32" s="1"/>
  <c r="I36" i="32" s="1"/>
  <c r="D25" i="32"/>
  <c r="E25" i="32" s="1"/>
  <c r="G25" i="32" s="1"/>
  <c r="I25" i="32" s="1"/>
  <c r="D32" i="32"/>
  <c r="E32" i="32" s="1"/>
  <c r="G32" i="32" s="1"/>
  <c r="I32" i="32" s="1"/>
  <c r="D27" i="32"/>
  <c r="E27" i="32" s="1"/>
  <c r="G27" i="32" s="1"/>
  <c r="I27" i="32" s="1"/>
  <c r="D34" i="32"/>
  <c r="E34" i="32" s="1"/>
  <c r="G34" i="32" s="1"/>
  <c r="I34" i="32" s="1"/>
  <c r="D23" i="32"/>
  <c r="E23" i="32" s="1"/>
  <c r="G23" i="32" s="1"/>
  <c r="I23" i="32" s="1"/>
  <c r="D30" i="32"/>
  <c r="E30" i="32" s="1"/>
  <c r="G30" i="32" s="1"/>
  <c r="I30" i="32" s="1"/>
  <c r="D28" i="32"/>
  <c r="E28" i="32" s="1"/>
  <c r="G28" i="32" s="1"/>
  <c r="I28" i="32" s="1"/>
  <c r="D35" i="32"/>
  <c r="E35" i="32" s="1"/>
  <c r="G35" i="32" s="1"/>
  <c r="I35" i="32" s="1"/>
  <c r="D24" i="32"/>
  <c r="E24" i="32" s="1"/>
  <c r="G24" i="32" s="1"/>
  <c r="I24" i="32" s="1"/>
  <c r="D31" i="32"/>
  <c r="E31" i="32" s="1"/>
  <c r="G31" i="32" s="1"/>
  <c r="I31" i="32" s="1"/>
  <c r="D37" i="32"/>
  <c r="E37" i="32" s="1"/>
  <c r="G37" i="32" s="1"/>
  <c r="I37" i="32" s="1"/>
  <c r="D26" i="32"/>
  <c r="E26" i="32" s="1"/>
  <c r="G26" i="32" s="1"/>
  <c r="I26" i="32" s="1"/>
  <c r="D22" i="32"/>
  <c r="E22" i="32" s="1"/>
  <c r="G22" i="32" s="1"/>
  <c r="I22" i="32" s="1"/>
  <c r="D33" i="32"/>
  <c r="E33" i="32" s="1"/>
  <c r="G33" i="32" s="1"/>
  <c r="I33" i="32" s="1"/>
  <c r="B25" i="18"/>
  <c r="D28" i="14"/>
  <c r="D27" i="14"/>
  <c r="I4" i="1" l="1"/>
  <c r="F35" i="1" l="1"/>
  <c r="F34" i="1"/>
  <c r="F36" i="1" l="1"/>
  <c r="I27" i="1"/>
  <c r="I28" i="1"/>
  <c r="I29" i="1"/>
  <c r="I30" i="1"/>
  <c r="I26" i="1"/>
  <c r="B3" i="1"/>
  <c r="B13" i="1" s="1"/>
  <c r="B8" i="1" l="1"/>
  <c r="G130" i="28" l="1"/>
  <c r="H130" i="28"/>
  <c r="I130" i="28"/>
  <c r="J130" i="28"/>
  <c r="K130" i="28"/>
  <c r="L130" i="28"/>
  <c r="AC130" i="28"/>
  <c r="G131" i="28"/>
  <c r="H131" i="28"/>
  <c r="I131" i="28"/>
  <c r="J131" i="28"/>
  <c r="K131" i="28"/>
  <c r="L131" i="28"/>
  <c r="AC131" i="28"/>
  <c r="G132" i="28"/>
  <c r="H132" i="28"/>
  <c r="I132" i="28"/>
  <c r="J132" i="28"/>
  <c r="K132" i="28"/>
  <c r="L132" i="28"/>
  <c r="AC132" i="28"/>
  <c r="F132" i="28"/>
  <c r="F130"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F128" i="28"/>
  <c r="F129" i="28"/>
  <c r="F127" i="28"/>
  <c r="G124" i="28"/>
  <c r="H124" i="28"/>
  <c r="I124" i="28"/>
  <c r="J124" i="28"/>
  <c r="K124" i="28"/>
  <c r="L124" i="28"/>
  <c r="M124" i="28"/>
  <c r="N124" i="28"/>
  <c r="O124" i="28"/>
  <c r="P124" i="28"/>
  <c r="Q124" i="28"/>
  <c r="R124" i="28"/>
  <c r="S124" i="28"/>
  <c r="T124" i="28"/>
  <c r="U124" i="28"/>
  <c r="V124" i="28"/>
  <c r="W124" i="28"/>
  <c r="X124" i="28"/>
  <c r="Y124" i="28"/>
  <c r="Z124" i="28"/>
  <c r="AA124" i="28"/>
  <c r="AB124" i="28"/>
  <c r="AC124"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F125" i="28"/>
  <c r="F126" i="28"/>
  <c r="F124" i="28"/>
  <c r="F94" i="28" a="1"/>
  <c r="F94" i="28" s="1"/>
  <c r="F95" i="28" a="1"/>
  <c r="F95" i="28" s="1"/>
  <c r="F96" i="28" a="1"/>
  <c r="F96" i="28" s="1"/>
  <c r="F97" i="28" a="1"/>
  <c r="F97" i="28" s="1"/>
  <c r="F93" i="28" a="1"/>
  <c r="F93" i="28" s="1"/>
  <c r="F131" i="28"/>
  <c r="AA132" i="28"/>
  <c r="Z132" i="28"/>
  <c r="Y132" i="28"/>
  <c r="X132" i="28"/>
  <c r="W132" i="28"/>
  <c r="V132" i="28"/>
  <c r="U132" i="28"/>
  <c r="T132" i="28"/>
  <c r="S132" i="28"/>
  <c r="R132" i="28"/>
  <c r="Q132" i="28"/>
  <c r="P132" i="28"/>
  <c r="O132" i="28"/>
  <c r="N132" i="28"/>
  <c r="M132" i="28"/>
  <c r="AA131" i="28"/>
  <c r="Z131" i="28"/>
  <c r="Y131" i="28"/>
  <c r="X131" i="28"/>
  <c r="W131" i="28"/>
  <c r="V131" i="28"/>
  <c r="U131" i="28"/>
  <c r="T131" i="28"/>
  <c r="S131" i="28"/>
  <c r="R131" i="28"/>
  <c r="Q131" i="28"/>
  <c r="P131" i="28"/>
  <c r="O131" i="28"/>
  <c r="N131" i="28"/>
  <c r="M131" i="28"/>
  <c r="AA130" i="28"/>
  <c r="Z130" i="28"/>
  <c r="Y130" i="28"/>
  <c r="X130" i="28"/>
  <c r="W130" i="28"/>
  <c r="V130" i="28"/>
  <c r="U130" i="28"/>
  <c r="T130" i="28"/>
  <c r="S130" i="28"/>
  <c r="R130" i="28"/>
  <c r="Q130" i="28"/>
  <c r="P130" i="28"/>
  <c r="O130" i="28"/>
  <c r="N130" i="28"/>
  <c r="M130" i="28"/>
  <c r="AB130" i="28"/>
  <c r="AB131" i="28"/>
  <c r="AB132" i="28"/>
  <c r="F98" i="28" l="1" a="1"/>
  <c r="F98" i="28" s="1"/>
  <c r="B100" i="28"/>
  <c r="B26" i="18" l="1"/>
  <c r="D12" i="18" s="1"/>
  <c r="E12" i="18" s="1"/>
  <c r="Q14" i="1"/>
  <c r="R14" i="1"/>
  <c r="S14" i="1"/>
  <c r="T14" i="1"/>
  <c r="U14" i="1"/>
  <c r="V14" i="1"/>
  <c r="W14" i="1"/>
  <c r="X14" i="1"/>
  <c r="J14" i="1"/>
  <c r="K14" i="1"/>
  <c r="L14" i="1"/>
  <c r="M14" i="1"/>
  <c r="N14" i="1"/>
  <c r="O14" i="1"/>
  <c r="P14" i="1"/>
  <c r="J19" i="1"/>
  <c r="M19" i="1"/>
  <c r="P19" i="1"/>
  <c r="Q19" i="1"/>
  <c r="R19" i="1"/>
  <c r="S19" i="1"/>
  <c r="T19" i="1"/>
  <c r="U19" i="1"/>
  <c r="V19" i="1"/>
  <c r="W19" i="1"/>
  <c r="X19" i="1"/>
  <c r="K19" i="1"/>
  <c r="L19" i="1"/>
  <c r="N19" i="1"/>
  <c r="O19" i="1"/>
  <c r="I19" i="1"/>
  <c r="J4" i="1" l="1"/>
  <c r="K4" i="1"/>
  <c r="L4" i="1"/>
  <c r="M4" i="1"/>
  <c r="N4" i="1"/>
  <c r="O4" i="1"/>
  <c r="P4" i="1"/>
  <c r="Q4" i="1"/>
  <c r="R4" i="1"/>
  <c r="S4" i="1"/>
  <c r="T4" i="1"/>
  <c r="U4" i="1"/>
  <c r="V4" i="1"/>
  <c r="W4" i="1"/>
  <c r="X4" i="1"/>
  <c r="G12" i="9" l="1"/>
  <c r="B24" i="9"/>
  <c r="C14" i="9" s="1"/>
  <c r="G3" i="13" l="1"/>
  <c r="G6" i="13" s="1"/>
  <c r="K5" i="13"/>
  <c r="I4" i="13"/>
  <c r="I5" i="13"/>
  <c r="I3" i="13"/>
  <c r="I6" i="13" l="1"/>
  <c r="A1" i="14" l="1"/>
  <c r="A1" i="13" l="1"/>
  <c r="AB9" i="21" l="1"/>
  <c r="H20" i="21"/>
  <c r="J8" i="1" l="1"/>
  <c r="K8" i="1"/>
  <c r="L8" i="1"/>
  <c r="M8" i="1"/>
  <c r="N8" i="1"/>
  <c r="O8" i="1"/>
  <c r="P8" i="1"/>
  <c r="Q8" i="1"/>
  <c r="R8" i="1"/>
  <c r="S8" i="1"/>
  <c r="T8" i="1"/>
  <c r="U8" i="1"/>
  <c r="V8" i="1"/>
  <c r="W8" i="1"/>
  <c r="X8" i="1"/>
  <c r="I8" i="1"/>
  <c r="A1" i="28"/>
  <c r="C4" i="18" l="1"/>
  <c r="B4" i="18"/>
  <c r="G4" i="18" s="1"/>
  <c r="H4" i="18" l="1"/>
  <c r="I4" i="18"/>
  <c r="G10" i="9"/>
  <c r="G14" i="9"/>
  <c r="J4" i="18" l="1"/>
  <c r="B25" i="9"/>
  <c r="C17" i="9" s="1"/>
  <c r="G17" i="9" s="1"/>
  <c r="A1" i="22"/>
  <c r="A1" i="27"/>
  <c r="A1" i="29"/>
  <c r="A1" i="9"/>
  <c r="A1" i="25"/>
  <c r="A1" i="18"/>
  <c r="A1" i="30"/>
  <c r="A1" i="1"/>
  <c r="C11" i="9" l="1"/>
  <c r="G11" i="9" s="1"/>
  <c r="C15" i="9"/>
  <c r="G15" i="9" s="1"/>
  <c r="C16" i="9"/>
  <c r="G16" i="9" s="1"/>
  <c r="C13" i="9"/>
  <c r="G13" i="9" s="1"/>
  <c r="G18" i="9" l="1"/>
  <c r="A3" i="9" s="1"/>
  <c r="G19" i="9"/>
  <c r="B3" i="9" s="1"/>
  <c r="G20" i="9" l="1"/>
  <c r="C3" i="9"/>
  <c r="C3" i="18"/>
  <c r="H3" i="18" s="1"/>
  <c r="A4" i="18" l="1"/>
  <c r="A3" i="18"/>
  <c r="B3" i="18" l="1"/>
  <c r="G3" i="18" s="1"/>
  <c r="J3" i="18" s="1"/>
  <c r="AB4" i="21" l="1"/>
  <c r="AB5" i="21"/>
  <c r="AB6" i="21"/>
  <c r="AB7" i="21"/>
  <c r="AB8" i="21"/>
  <c r="H5" i="21"/>
  <c r="H6" i="21"/>
  <c r="H7" i="21"/>
  <c r="H8" i="21"/>
  <c r="H9" i="21"/>
  <c r="H10" i="21"/>
  <c r="H11" i="21"/>
  <c r="H12" i="21"/>
  <c r="H13" i="21"/>
  <c r="H14" i="21"/>
  <c r="H15" i="21"/>
  <c r="H16" i="21"/>
  <c r="H17" i="21"/>
  <c r="H18" i="21"/>
  <c r="H19" i="21"/>
  <c r="H4" i="21"/>
  <c r="D12" i="19" l="1"/>
  <c r="E12" i="19" s="1"/>
  <c r="H35" i="19"/>
  <c r="E37" i="19" s="1"/>
  <c r="F94" i="19"/>
  <c r="B93" i="19"/>
  <c r="C93" i="19"/>
  <c r="E93" i="19"/>
  <c r="F93" i="19"/>
  <c r="G93" i="19"/>
  <c r="L93" i="19"/>
  <c r="N187" i="19" s="1"/>
  <c r="K93" i="19"/>
  <c r="M187" i="19" s="1"/>
  <c r="J93" i="19"/>
  <c r="L67" i="19"/>
  <c r="S194" i="19"/>
  <c r="J210" i="19"/>
  <c r="J211" i="19" s="1"/>
  <c r="J212" i="19" s="1"/>
  <c r="J213" i="19" s="1"/>
  <c r="J214" i="19" s="1"/>
  <c r="J215" i="19" s="1"/>
  <c r="J216" i="19" s="1"/>
  <c r="J217" i="19" s="1"/>
  <c r="J218" i="19" s="1"/>
  <c r="J219" i="19" s="1"/>
  <c r="J220" i="19" s="1"/>
  <c r="J221" i="19" s="1"/>
  <c r="J222" i="19" s="1"/>
  <c r="J223" i="19" s="1"/>
  <c r="J224" i="19" s="1"/>
  <c r="J225" i="19" s="1"/>
  <c r="J226" i="19" s="1"/>
  <c r="J227" i="19" s="1"/>
  <c r="J228" i="19" s="1"/>
  <c r="J229" i="19" s="1"/>
  <c r="J230" i="19" s="1"/>
  <c r="J231" i="19" s="1"/>
  <c r="J232" i="19" s="1"/>
  <c r="G67" i="19" l="1"/>
  <c r="A70" i="19"/>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B3" i="8" l="1"/>
  <c r="H2" i="8" l="1"/>
  <c r="G2" i="8"/>
  <c r="F2" i="8"/>
  <c r="AA23" i="8"/>
  <c r="AA22" i="8"/>
  <c r="AA21" i="8"/>
  <c r="AA15" i="8"/>
  <c r="AA67" i="8"/>
  <c r="AA41" i="8"/>
  <c r="AA68" i="8"/>
  <c r="AA69" i="8"/>
  <c r="AA73" i="8"/>
  <c r="AA72" i="8"/>
  <c r="AA49" i="8"/>
  <c r="AA48" i="8"/>
  <c r="AA58" i="8"/>
  <c r="AA59" i="8"/>
  <c r="AA60" i="8"/>
  <c r="AA61" i="8"/>
  <c r="AA62" i="8"/>
  <c r="AA63" i="8"/>
  <c r="AA64" i="8"/>
  <c r="AA65" i="8"/>
  <c r="AA66" i="8"/>
  <c r="AA57" i="8"/>
  <c r="AA55" i="8"/>
  <c r="D2" i="8" s="1"/>
  <c r="C2" i="8"/>
  <c r="B2" i="8"/>
  <c r="AA47" i="8"/>
  <c r="AA46" i="8"/>
  <c r="AA45" i="8"/>
  <c r="AA44" i="8"/>
  <c r="AA43" i="8"/>
  <c r="AA42" i="8"/>
  <c r="AA40" i="8"/>
  <c r="AA39" i="8"/>
  <c r="AA38" i="8"/>
  <c r="AA37" i="8"/>
  <c r="AA36" i="8"/>
  <c r="AA35" i="8"/>
  <c r="AA34" i="8"/>
  <c r="AA33" i="8"/>
  <c r="AA32" i="8"/>
  <c r="AA31" i="8"/>
  <c r="AA30" i="8"/>
  <c r="AA20" i="8"/>
  <c r="AA19" i="8"/>
  <c r="AA18" i="8"/>
  <c r="AA17" i="8"/>
  <c r="AA16" i="8"/>
  <c r="AA14" i="8"/>
  <c r="AA13" i="8"/>
  <c r="AA12" i="8"/>
  <c r="AA11" i="8"/>
  <c r="AA10" i="8"/>
  <c r="AA9" i="8"/>
  <c r="AA8" i="8"/>
  <c r="AA7" i="8"/>
  <c r="AA6" i="8"/>
  <c r="AA5" i="8"/>
  <c r="AA4" i="8"/>
  <c r="AO22" i="8" l="1"/>
  <c r="AP22" i="8"/>
  <c r="AE22" i="8"/>
  <c r="AG22" i="8"/>
  <c r="AF22" i="8"/>
  <c r="AI22" i="8"/>
  <c r="AL22" i="8"/>
  <c r="AM22" i="8"/>
  <c r="AC22" i="8"/>
  <c r="AH22" i="8"/>
  <c r="AD22" i="8"/>
  <c r="AJ22" i="8"/>
  <c r="AK22" i="8"/>
  <c r="AQ22" i="8"/>
  <c r="AN22" i="8"/>
  <c r="AB22" i="8"/>
  <c r="AI35" i="8"/>
  <c r="AJ35" i="8"/>
  <c r="AK35" i="8"/>
  <c r="AM35" i="8"/>
  <c r="AB35" i="8"/>
  <c r="AO35" i="8"/>
  <c r="AC35" i="8"/>
  <c r="AF35" i="8"/>
  <c r="AH35" i="8"/>
  <c r="AG35" i="8"/>
  <c r="AQ35" i="8"/>
  <c r="AE35" i="8"/>
  <c r="AD35" i="8"/>
  <c r="AL35" i="8"/>
  <c r="AN35" i="8"/>
  <c r="AP35" i="8"/>
  <c r="AN36" i="8"/>
  <c r="AP36" i="8"/>
  <c r="AO36" i="8"/>
  <c r="AD36" i="8"/>
  <c r="AE36" i="8"/>
  <c r="AF36" i="8"/>
  <c r="AH36" i="8"/>
  <c r="AK36" i="8"/>
  <c r="AL36" i="8"/>
  <c r="AM36" i="8"/>
  <c r="AC36" i="8"/>
  <c r="AG36" i="8"/>
  <c r="AI36" i="8"/>
  <c r="AJ36" i="8"/>
  <c r="AQ36" i="8"/>
  <c r="AB36" i="8"/>
  <c r="AD62" i="8"/>
  <c r="AE62" i="8"/>
  <c r="AF62" i="8"/>
  <c r="AG62" i="8"/>
  <c r="AH62" i="8"/>
  <c r="AI62" i="8"/>
  <c r="AJ62" i="8"/>
  <c r="AK62" i="8"/>
  <c r="AN62" i="8"/>
  <c r="AO62" i="8"/>
  <c r="AP62" i="8"/>
  <c r="AC62" i="8"/>
  <c r="AB62" i="8"/>
  <c r="AL62" i="8"/>
  <c r="AM62" i="8"/>
  <c r="AQ62" i="8"/>
  <c r="AD34" i="8"/>
  <c r="AE34" i="8"/>
  <c r="AF34" i="8"/>
  <c r="AH34" i="8"/>
  <c r="AJ34" i="8"/>
  <c r="AN34" i="8"/>
  <c r="AP34" i="8"/>
  <c r="AO34" i="8"/>
  <c r="AC34" i="8"/>
  <c r="AG34" i="8"/>
  <c r="AB34" i="8"/>
  <c r="AI34" i="8"/>
  <c r="AK34" i="8"/>
  <c r="AL34" i="8"/>
  <c r="AM34" i="8"/>
  <c r="AQ34" i="8"/>
  <c r="AK6" i="8"/>
  <c r="AL6" i="8"/>
  <c r="AM6" i="8"/>
  <c r="AO6" i="8"/>
  <c r="AQ6" i="8"/>
  <c r="AC6" i="8"/>
  <c r="AB6" i="8"/>
  <c r="AE6" i="8"/>
  <c r="AH6" i="8"/>
  <c r="AJ6" i="8"/>
  <c r="AI6" i="8"/>
  <c r="AF6" i="8"/>
  <c r="AG6" i="8"/>
  <c r="AD6" i="8"/>
  <c r="AP6" i="8"/>
  <c r="AN6" i="8"/>
  <c r="AO7" i="8"/>
  <c r="AP7" i="8"/>
  <c r="AQ7" i="8"/>
  <c r="AE7" i="8"/>
  <c r="AF7" i="8"/>
  <c r="AG7" i="8"/>
  <c r="AI7" i="8"/>
  <c r="AL7" i="8"/>
  <c r="AM7" i="8"/>
  <c r="AN7" i="8"/>
  <c r="AB7" i="8"/>
  <c r="AK7" i="8"/>
  <c r="AC7" i="8"/>
  <c r="AD7" i="8"/>
  <c r="AH7" i="8"/>
  <c r="AJ7" i="8"/>
  <c r="AC37" i="8"/>
  <c r="AE37" i="8"/>
  <c r="AB37" i="8"/>
  <c r="AI37" i="8"/>
  <c r="AK37" i="8"/>
  <c r="AJ37" i="8"/>
  <c r="AM37" i="8"/>
  <c r="AP37" i="8"/>
  <c r="AQ37" i="8"/>
  <c r="AD37" i="8"/>
  <c r="AF37" i="8"/>
  <c r="AG37" i="8"/>
  <c r="AL37" i="8"/>
  <c r="AN37" i="8"/>
  <c r="AO37" i="8"/>
  <c r="AH37" i="8"/>
  <c r="AC61" i="8"/>
  <c r="AD61" i="8"/>
  <c r="AE61" i="8"/>
  <c r="AF61" i="8"/>
  <c r="AI61" i="8"/>
  <c r="AJ61" i="8"/>
  <c r="AK61" i="8"/>
  <c r="AM61" i="8"/>
  <c r="AN61" i="8"/>
  <c r="AP61" i="8"/>
  <c r="AQ61" i="8"/>
  <c r="AB61" i="8"/>
  <c r="AG61" i="8"/>
  <c r="AO61" i="8"/>
  <c r="AH61" i="8"/>
  <c r="AL61" i="8"/>
  <c r="AN60" i="8"/>
  <c r="AO60" i="8"/>
  <c r="AP60" i="8"/>
  <c r="AQ60" i="8"/>
  <c r="AB60" i="8"/>
  <c r="AD60" i="8"/>
  <c r="AF60" i="8"/>
  <c r="AE60" i="8"/>
  <c r="AH60" i="8"/>
  <c r="AI60" i="8"/>
  <c r="AK60" i="8"/>
  <c r="AL60" i="8"/>
  <c r="AM60" i="8"/>
  <c r="AC60" i="8"/>
  <c r="AG60" i="8"/>
  <c r="AJ60" i="8"/>
  <c r="AC23" i="8"/>
  <c r="AE23" i="8"/>
  <c r="AI23" i="8"/>
  <c r="AJ23" i="8"/>
  <c r="AK23" i="8"/>
  <c r="AM23" i="8"/>
  <c r="AP23" i="8"/>
  <c r="AQ23" i="8"/>
  <c r="AB23" i="8"/>
  <c r="AD23" i="8"/>
  <c r="AF23" i="8"/>
  <c r="AG23" i="8"/>
  <c r="AH23" i="8"/>
  <c r="AL23" i="8"/>
  <c r="AN23" i="8"/>
  <c r="AO23" i="8"/>
  <c r="AC4" i="8"/>
  <c r="AD4" i="8"/>
  <c r="AE4" i="8"/>
  <c r="AG4" i="8"/>
  <c r="AI4" i="8"/>
  <c r="AM4" i="8"/>
  <c r="AN4" i="8"/>
  <c r="AO4" i="8"/>
  <c r="AQ4" i="8"/>
  <c r="AB4" i="8"/>
  <c r="AF4" i="8"/>
  <c r="AH4" i="8"/>
  <c r="AJ4" i="8"/>
  <c r="AK4" i="8"/>
  <c r="AL4" i="8"/>
  <c r="AP4" i="8"/>
  <c r="AC8" i="8"/>
  <c r="AE8" i="8"/>
  <c r="AI8" i="8"/>
  <c r="AK8" i="8"/>
  <c r="AJ8" i="8"/>
  <c r="AM8" i="8"/>
  <c r="AP8" i="8"/>
  <c r="AQ8" i="8"/>
  <c r="AH8" i="8"/>
  <c r="AL8" i="8"/>
  <c r="AN8" i="8"/>
  <c r="AO8" i="8"/>
  <c r="AG8" i="8"/>
  <c r="AB8" i="8"/>
  <c r="AD8" i="8"/>
  <c r="AF8" i="8"/>
  <c r="AC9" i="8"/>
  <c r="AE9" i="8"/>
  <c r="AD9" i="8"/>
  <c r="AG9" i="8"/>
  <c r="AI9" i="8"/>
  <c r="AM9" i="8"/>
  <c r="AN9" i="8"/>
  <c r="AO9" i="8"/>
  <c r="AQ9" i="8"/>
  <c r="AB9" i="8"/>
  <c r="AF9" i="8"/>
  <c r="AL9" i="8"/>
  <c r="AH9" i="8"/>
  <c r="AJ9" i="8"/>
  <c r="AK9" i="8"/>
  <c r="AP9" i="8"/>
  <c r="AI39" i="8"/>
  <c r="AK39" i="8"/>
  <c r="AJ39" i="8"/>
  <c r="AM39" i="8"/>
  <c r="AO39" i="8"/>
  <c r="AC39" i="8"/>
  <c r="AF39" i="8"/>
  <c r="AG39" i="8"/>
  <c r="AH39" i="8"/>
  <c r="AL39" i="8"/>
  <c r="AP39" i="8"/>
  <c r="AN39" i="8"/>
  <c r="AQ39" i="8"/>
  <c r="AB39" i="8"/>
  <c r="AD39" i="8"/>
  <c r="AE39" i="8"/>
  <c r="AI59" i="8"/>
  <c r="AJ59" i="8"/>
  <c r="AK59" i="8"/>
  <c r="AL59" i="8"/>
  <c r="AM59" i="8"/>
  <c r="AN59" i="8"/>
  <c r="AO59" i="8"/>
  <c r="AB59" i="8"/>
  <c r="AP59" i="8"/>
  <c r="AC59" i="8"/>
  <c r="AD59" i="8"/>
  <c r="AF59" i="8"/>
  <c r="AG59" i="8"/>
  <c r="AH59" i="8"/>
  <c r="AE59" i="8"/>
  <c r="AQ59" i="8"/>
  <c r="AG10" i="8"/>
  <c r="AH10" i="8"/>
  <c r="AI10" i="8"/>
  <c r="AK10" i="8"/>
  <c r="AM10" i="8"/>
  <c r="AQ10" i="8"/>
  <c r="AD10" i="8"/>
  <c r="AE10" i="8"/>
  <c r="AF10" i="8"/>
  <c r="AB10" i="8"/>
  <c r="AJ10" i="8"/>
  <c r="AC10" i="8"/>
  <c r="AO10" i="8"/>
  <c r="AL10" i="8"/>
  <c r="AN10" i="8"/>
  <c r="AP10" i="8"/>
  <c r="AN40" i="8"/>
  <c r="AO40" i="8"/>
  <c r="AP40" i="8"/>
  <c r="AD40" i="8"/>
  <c r="AF40" i="8"/>
  <c r="AE40" i="8"/>
  <c r="AH40" i="8"/>
  <c r="AK40" i="8"/>
  <c r="AM40" i="8"/>
  <c r="AL40" i="8"/>
  <c r="AQ40" i="8"/>
  <c r="AC40" i="8"/>
  <c r="AI40" i="8"/>
  <c r="AJ40" i="8"/>
  <c r="AG40" i="8"/>
  <c r="AB40" i="8"/>
  <c r="AD58" i="8"/>
  <c r="AE58" i="8"/>
  <c r="AF58" i="8"/>
  <c r="AG58" i="8"/>
  <c r="AH58" i="8"/>
  <c r="AI58" i="8"/>
  <c r="AB58" i="8"/>
  <c r="AJ58" i="8"/>
  <c r="AK58" i="8"/>
  <c r="AN58" i="8"/>
  <c r="AO58" i="8"/>
  <c r="AP58" i="8"/>
  <c r="AC58" i="8"/>
  <c r="AL58" i="8"/>
  <c r="AM58" i="8"/>
  <c r="AQ58" i="8"/>
  <c r="AD66" i="8"/>
  <c r="AE66" i="8"/>
  <c r="AF66" i="8"/>
  <c r="AG66" i="8"/>
  <c r="AH66" i="8"/>
  <c r="AI66" i="8"/>
  <c r="AJ66" i="8"/>
  <c r="AK66" i="8"/>
  <c r="AN66" i="8"/>
  <c r="AO66" i="8"/>
  <c r="AP66" i="8"/>
  <c r="AC66" i="8"/>
  <c r="AB66" i="8"/>
  <c r="AM66" i="8"/>
  <c r="AQ66" i="8"/>
  <c r="AL66" i="8"/>
  <c r="AI63" i="8"/>
  <c r="AJ63" i="8"/>
  <c r="AK63" i="8"/>
  <c r="AL63" i="8"/>
  <c r="AM63" i="8"/>
  <c r="AN63" i="8"/>
  <c r="AO63" i="8"/>
  <c r="AP63" i="8"/>
  <c r="AB63" i="8"/>
  <c r="AC63" i="8"/>
  <c r="AD63" i="8"/>
  <c r="AF63" i="8"/>
  <c r="AG63" i="8"/>
  <c r="AH63" i="8"/>
  <c r="AQ63" i="8"/>
  <c r="AE63" i="8"/>
  <c r="AD38" i="8"/>
  <c r="AE38" i="8"/>
  <c r="AF38" i="8"/>
  <c r="AH38" i="8"/>
  <c r="AJ38" i="8"/>
  <c r="AN38" i="8"/>
  <c r="AO38" i="8"/>
  <c r="AP38" i="8"/>
  <c r="AC38" i="8"/>
  <c r="AB38" i="8"/>
  <c r="AG38" i="8"/>
  <c r="AI38" i="8"/>
  <c r="AK38" i="8"/>
  <c r="AL38" i="8"/>
  <c r="AM38" i="8"/>
  <c r="AQ38" i="8"/>
  <c r="AK11" i="8"/>
  <c r="AM11" i="8"/>
  <c r="AL11" i="8"/>
  <c r="AO11" i="8"/>
  <c r="AQ11" i="8"/>
  <c r="AC11" i="8"/>
  <c r="AB11" i="8"/>
  <c r="AE11" i="8"/>
  <c r="AH11" i="8"/>
  <c r="AJ11" i="8"/>
  <c r="AI11" i="8"/>
  <c r="AN11" i="8"/>
  <c r="AP11" i="8"/>
  <c r="AD11" i="8"/>
  <c r="AF11" i="8"/>
  <c r="AG11" i="8"/>
  <c r="AD42" i="8"/>
  <c r="AF42" i="8"/>
  <c r="AE42" i="8"/>
  <c r="AH42" i="8"/>
  <c r="AJ42" i="8"/>
  <c r="AN42" i="8"/>
  <c r="AP42" i="8"/>
  <c r="AO42" i="8"/>
  <c r="AB42" i="8"/>
  <c r="AC42" i="8"/>
  <c r="AM42" i="8"/>
  <c r="AQ42" i="8"/>
  <c r="AL42" i="8"/>
  <c r="AG42" i="8"/>
  <c r="AI42" i="8"/>
  <c r="AK42" i="8"/>
  <c r="AN48" i="8"/>
  <c r="AP48" i="8"/>
  <c r="AO48" i="8"/>
  <c r="AD48" i="8"/>
  <c r="AF48" i="8"/>
  <c r="AE48" i="8"/>
  <c r="AH48" i="8"/>
  <c r="AK48" i="8"/>
  <c r="AB48" i="8"/>
  <c r="AM48" i="8"/>
  <c r="AL48" i="8"/>
  <c r="AC48" i="8"/>
  <c r="AJ48" i="8"/>
  <c r="AG48" i="8"/>
  <c r="AI48" i="8"/>
  <c r="AQ48" i="8"/>
  <c r="AO12" i="8"/>
  <c r="AP12" i="8"/>
  <c r="AE12" i="8"/>
  <c r="AF12" i="8"/>
  <c r="AG12" i="8"/>
  <c r="AI12" i="8"/>
  <c r="AL12" i="8"/>
  <c r="AM12" i="8"/>
  <c r="AN12" i="8"/>
  <c r="AB12" i="8"/>
  <c r="AC12" i="8"/>
  <c r="AD12" i="8"/>
  <c r="AJ12" i="8"/>
  <c r="AK12" i="8"/>
  <c r="AH12" i="8"/>
  <c r="AQ12" i="8"/>
  <c r="AC49" i="8"/>
  <c r="AE49" i="8"/>
  <c r="AI49" i="8"/>
  <c r="AJ49" i="8"/>
  <c r="AK49" i="8"/>
  <c r="AM49" i="8"/>
  <c r="AP49" i="8"/>
  <c r="AQ49" i="8"/>
  <c r="AB49" i="8"/>
  <c r="AH49" i="8"/>
  <c r="AL49" i="8"/>
  <c r="AN49" i="8"/>
  <c r="AO49" i="8"/>
  <c r="AD49" i="8"/>
  <c r="AF49" i="8"/>
  <c r="AG49" i="8"/>
  <c r="AC57" i="8"/>
  <c r="AB57" i="8"/>
  <c r="AD57" i="8"/>
  <c r="AE57" i="8"/>
  <c r="AF57" i="8"/>
  <c r="AI57" i="8"/>
  <c r="AJ57" i="8"/>
  <c r="AK57" i="8"/>
  <c r="AM57" i="8"/>
  <c r="AN57" i="8"/>
  <c r="AP57" i="8"/>
  <c r="AQ57" i="8"/>
  <c r="AG57" i="8"/>
  <c r="AL57" i="8"/>
  <c r="AH57" i="8"/>
  <c r="AO57" i="8"/>
  <c r="AB33" i="8"/>
  <c r="AC33" i="8"/>
  <c r="AD33" i="8"/>
  <c r="AE33" i="8"/>
  <c r="AI33" i="8"/>
  <c r="AJ33" i="8"/>
  <c r="AK33" i="8"/>
  <c r="AM33" i="8"/>
  <c r="AP33" i="8"/>
  <c r="AQ33" i="8"/>
  <c r="AF33" i="8"/>
  <c r="AG33" i="8"/>
  <c r="AH33" i="8"/>
  <c r="AL33" i="8"/>
  <c r="AN33" i="8"/>
  <c r="AO33" i="8"/>
  <c r="AN72" i="8"/>
  <c r="AO72" i="8"/>
  <c r="AP72" i="8"/>
  <c r="AQ72" i="8"/>
  <c r="AD72" i="8"/>
  <c r="AE72" i="8"/>
  <c r="AF72" i="8"/>
  <c r="AH72" i="8"/>
  <c r="AI72" i="8"/>
  <c r="AK72" i="8"/>
  <c r="AL72" i="8"/>
  <c r="AM72" i="8"/>
  <c r="AB72" i="8"/>
  <c r="AC72" i="8"/>
  <c r="AG72" i="8"/>
  <c r="AJ72" i="8"/>
  <c r="AN44" i="8"/>
  <c r="AP44" i="8"/>
  <c r="AO44" i="8"/>
  <c r="AD44" i="8"/>
  <c r="AE44" i="8"/>
  <c r="AF44" i="8"/>
  <c r="AH44" i="8"/>
  <c r="AK44" i="8"/>
  <c r="AL44" i="8"/>
  <c r="AM44" i="8"/>
  <c r="AG44" i="8"/>
  <c r="AB44" i="8"/>
  <c r="AI44" i="8"/>
  <c r="AQ44" i="8"/>
  <c r="AC44" i="8"/>
  <c r="AJ44" i="8"/>
  <c r="AC14" i="8"/>
  <c r="AD14" i="8"/>
  <c r="AG14" i="8"/>
  <c r="AI14" i="8"/>
  <c r="AM14" i="8"/>
  <c r="AN14" i="8"/>
  <c r="AO14" i="8"/>
  <c r="AQ14" i="8"/>
  <c r="AB14" i="8"/>
  <c r="AJ14" i="8"/>
  <c r="AK14" i="8"/>
  <c r="AL14" i="8"/>
  <c r="AP14" i="8"/>
  <c r="AH14" i="8"/>
  <c r="AE14" i="8"/>
  <c r="AF14" i="8"/>
  <c r="AC45" i="8"/>
  <c r="AE45" i="8"/>
  <c r="AI45" i="8"/>
  <c r="AK45" i="8"/>
  <c r="AJ45" i="8"/>
  <c r="AM45" i="8"/>
  <c r="AB45" i="8"/>
  <c r="AP45" i="8"/>
  <c r="AQ45" i="8"/>
  <c r="AO45" i="8"/>
  <c r="AD45" i="8"/>
  <c r="AF45" i="8"/>
  <c r="AG45" i="8"/>
  <c r="AH45" i="8"/>
  <c r="AL45" i="8"/>
  <c r="AN45" i="8"/>
  <c r="AB73" i="8"/>
  <c r="AC73" i="8"/>
  <c r="AD73" i="8"/>
  <c r="AE73" i="8"/>
  <c r="AF73" i="8"/>
  <c r="AI73" i="8"/>
  <c r="AJ73" i="8"/>
  <c r="AK73" i="8"/>
  <c r="AM73" i="8"/>
  <c r="AN73" i="8"/>
  <c r="AP73" i="8"/>
  <c r="AQ73" i="8"/>
  <c r="AG73" i="8"/>
  <c r="AH73" i="8"/>
  <c r="AL73" i="8"/>
  <c r="AO73" i="8"/>
  <c r="AI43" i="8"/>
  <c r="AJ43" i="8"/>
  <c r="AK43" i="8"/>
  <c r="AM43" i="8"/>
  <c r="AO43" i="8"/>
  <c r="AB43" i="8"/>
  <c r="AC43" i="8"/>
  <c r="AF43" i="8"/>
  <c r="AH43" i="8"/>
  <c r="AG43" i="8"/>
  <c r="AD43" i="8"/>
  <c r="AE43" i="8"/>
  <c r="AL43" i="8"/>
  <c r="AN43" i="8"/>
  <c r="AP43" i="8"/>
  <c r="AQ43" i="8"/>
  <c r="AK16" i="8"/>
  <c r="AL16" i="8"/>
  <c r="AO16" i="8"/>
  <c r="AQ16" i="8"/>
  <c r="AC16" i="8"/>
  <c r="AB16" i="8"/>
  <c r="AE16" i="8"/>
  <c r="AH16" i="8"/>
  <c r="AI16" i="8"/>
  <c r="AD16" i="8"/>
  <c r="AJ16" i="8"/>
  <c r="AF16" i="8"/>
  <c r="AG16" i="8"/>
  <c r="AM16" i="8"/>
  <c r="AN16" i="8"/>
  <c r="AP16" i="8"/>
  <c r="AD46" i="8"/>
  <c r="AF46" i="8"/>
  <c r="AE46" i="8"/>
  <c r="AH46" i="8"/>
  <c r="AJ46" i="8"/>
  <c r="AN46" i="8"/>
  <c r="AO46" i="8"/>
  <c r="AP46" i="8"/>
  <c r="AC46" i="8"/>
  <c r="AG46" i="8"/>
  <c r="AK46" i="8"/>
  <c r="AI46" i="8"/>
  <c r="AL46" i="8"/>
  <c r="AM46" i="8"/>
  <c r="AQ46" i="8"/>
  <c r="AB46" i="8"/>
  <c r="AC69" i="8"/>
  <c r="AD69" i="8"/>
  <c r="AE69" i="8"/>
  <c r="AF69" i="8"/>
  <c r="AI69" i="8"/>
  <c r="AJ69" i="8"/>
  <c r="AK69" i="8"/>
  <c r="AM69" i="8"/>
  <c r="AN69" i="8"/>
  <c r="AP69" i="8"/>
  <c r="AQ69" i="8"/>
  <c r="AB69" i="8"/>
  <c r="AO69" i="8"/>
  <c r="AG69" i="8"/>
  <c r="AH69" i="8"/>
  <c r="AL69" i="8"/>
  <c r="AN64" i="8"/>
  <c r="AO64" i="8"/>
  <c r="AP64" i="8"/>
  <c r="AQ64" i="8"/>
  <c r="AD64" i="8"/>
  <c r="AE64" i="8"/>
  <c r="AB64" i="8"/>
  <c r="AF64" i="8"/>
  <c r="AH64" i="8"/>
  <c r="AI64" i="8"/>
  <c r="AK64" i="8"/>
  <c r="AL64" i="8"/>
  <c r="AM64" i="8"/>
  <c r="AJ64" i="8"/>
  <c r="AC64" i="8"/>
  <c r="AG64" i="8"/>
  <c r="AG5" i="8"/>
  <c r="AI5" i="8"/>
  <c r="AH5" i="8"/>
  <c r="AK5" i="8"/>
  <c r="AM5" i="8"/>
  <c r="AQ5" i="8"/>
  <c r="AD5" i="8"/>
  <c r="AE5" i="8"/>
  <c r="AF5" i="8"/>
  <c r="AJ5" i="8"/>
  <c r="AN5" i="8"/>
  <c r="AL5" i="8"/>
  <c r="AO5" i="8"/>
  <c r="AP5" i="8"/>
  <c r="AC5" i="8"/>
  <c r="AB5" i="8"/>
  <c r="AC13" i="8"/>
  <c r="AE13" i="8"/>
  <c r="AI13" i="8"/>
  <c r="AK13" i="8"/>
  <c r="AJ13" i="8"/>
  <c r="AM13" i="8"/>
  <c r="AP13" i="8"/>
  <c r="AQ13" i="8"/>
  <c r="AB13" i="8"/>
  <c r="AD13" i="8"/>
  <c r="AF13" i="8"/>
  <c r="AG13" i="8"/>
  <c r="AH13" i="8"/>
  <c r="AL13" i="8"/>
  <c r="AN13" i="8"/>
  <c r="AO13" i="8"/>
  <c r="AO17" i="8"/>
  <c r="AP17" i="8"/>
  <c r="AE17" i="8"/>
  <c r="AF17" i="8"/>
  <c r="AG17" i="8"/>
  <c r="AI17" i="8"/>
  <c r="AL17" i="8"/>
  <c r="AM17" i="8"/>
  <c r="AC17" i="8"/>
  <c r="AH17" i="8"/>
  <c r="AD17" i="8"/>
  <c r="AJ17" i="8"/>
  <c r="AK17" i="8"/>
  <c r="AQ17" i="8"/>
  <c r="AN17" i="8"/>
  <c r="AB17" i="8"/>
  <c r="AI47" i="8"/>
  <c r="AJ47" i="8"/>
  <c r="AK47" i="8"/>
  <c r="AM47" i="8"/>
  <c r="AO47" i="8"/>
  <c r="AC47" i="8"/>
  <c r="AF47" i="8"/>
  <c r="AG47" i="8"/>
  <c r="AH47" i="8"/>
  <c r="AD47" i="8"/>
  <c r="AE47" i="8"/>
  <c r="AL47" i="8"/>
  <c r="AN47" i="8"/>
  <c r="AP47" i="8"/>
  <c r="AQ47" i="8"/>
  <c r="AB47" i="8"/>
  <c r="AN68" i="8"/>
  <c r="AO68" i="8"/>
  <c r="AP68" i="8"/>
  <c r="AQ68" i="8"/>
  <c r="AD68" i="8"/>
  <c r="AE68" i="8"/>
  <c r="AF68" i="8"/>
  <c r="AH68" i="8"/>
  <c r="AI68" i="8"/>
  <c r="AB68" i="8"/>
  <c r="AK68" i="8"/>
  <c r="AL68" i="8"/>
  <c r="AM68" i="8"/>
  <c r="AC68" i="8"/>
  <c r="AG68" i="8"/>
  <c r="AJ68" i="8"/>
  <c r="AN32" i="8"/>
  <c r="AO32" i="8"/>
  <c r="AB32" i="8"/>
  <c r="AP32" i="8"/>
  <c r="AD32" i="8"/>
  <c r="AE32" i="8"/>
  <c r="AF32" i="8"/>
  <c r="AH32" i="8"/>
  <c r="AK32" i="8"/>
  <c r="AL32" i="8"/>
  <c r="AM32" i="8"/>
  <c r="AJ32" i="8"/>
  <c r="AQ32" i="8"/>
  <c r="AC32" i="8"/>
  <c r="AG32" i="8"/>
  <c r="AI32" i="8"/>
  <c r="AC41" i="8"/>
  <c r="AE41" i="8"/>
  <c r="AI41" i="8"/>
  <c r="AB41" i="8"/>
  <c r="AJ41" i="8"/>
  <c r="AK41" i="8"/>
  <c r="AM41" i="8"/>
  <c r="AP41" i="8"/>
  <c r="AQ41" i="8"/>
  <c r="AD41" i="8"/>
  <c r="AF41" i="8"/>
  <c r="AG41" i="8"/>
  <c r="AH41" i="8"/>
  <c r="AO41" i="8"/>
  <c r="AL41" i="8"/>
  <c r="AN41" i="8"/>
  <c r="AI67" i="8"/>
  <c r="AJ67" i="8"/>
  <c r="AK67" i="8"/>
  <c r="AL67" i="8"/>
  <c r="AM67" i="8"/>
  <c r="AN67" i="8"/>
  <c r="AO67" i="8"/>
  <c r="AP67" i="8"/>
  <c r="AC67" i="8"/>
  <c r="AB67" i="8"/>
  <c r="AD67" i="8"/>
  <c r="AF67" i="8"/>
  <c r="AH67" i="8"/>
  <c r="AG67" i="8"/>
  <c r="AE67" i="8"/>
  <c r="AQ67" i="8"/>
  <c r="AI31" i="8"/>
  <c r="AB31" i="8"/>
  <c r="AK31" i="8"/>
  <c r="AJ31" i="8"/>
  <c r="AM31" i="8"/>
  <c r="AN31" i="8"/>
  <c r="AO31" i="8"/>
  <c r="AC31" i="8"/>
  <c r="AD31" i="8"/>
  <c r="AF31" i="8"/>
  <c r="AH31" i="8"/>
  <c r="AG31" i="8"/>
  <c r="AE31" i="8"/>
  <c r="AL31" i="8"/>
  <c r="AP31" i="8"/>
  <c r="AQ31" i="8"/>
  <c r="AC65" i="8"/>
  <c r="AD65" i="8"/>
  <c r="AE65" i="8"/>
  <c r="AF65" i="8"/>
  <c r="AI65" i="8"/>
  <c r="AK65" i="8"/>
  <c r="AB65" i="8"/>
  <c r="AJ65" i="8"/>
  <c r="AM65" i="8"/>
  <c r="AN65" i="8"/>
  <c r="AP65" i="8"/>
  <c r="AQ65" i="8"/>
  <c r="AG65" i="8"/>
  <c r="AO65" i="8"/>
  <c r="AH65" i="8"/>
  <c r="AL65" i="8"/>
  <c r="AC18" i="8"/>
  <c r="AE18" i="8"/>
  <c r="AI18" i="8"/>
  <c r="AK18" i="8"/>
  <c r="AJ18" i="8"/>
  <c r="AM18" i="8"/>
  <c r="AP18" i="8"/>
  <c r="AQ18" i="8"/>
  <c r="AB18" i="8"/>
  <c r="AF18" i="8"/>
  <c r="AG18" i="8"/>
  <c r="AD18" i="8"/>
  <c r="AH18" i="8"/>
  <c r="AL18" i="8"/>
  <c r="AN18" i="8"/>
  <c r="AO18" i="8"/>
  <c r="AC19" i="8"/>
  <c r="AD19" i="8"/>
  <c r="AG19" i="8"/>
  <c r="AI19" i="8"/>
  <c r="AM19" i="8"/>
  <c r="AN19" i="8"/>
  <c r="AO19" i="8"/>
  <c r="AQ19" i="8"/>
  <c r="AK19" i="8"/>
  <c r="AL19" i="8"/>
  <c r="AP19" i="8"/>
  <c r="AJ19" i="8"/>
  <c r="AB19" i="8"/>
  <c r="AE19" i="8"/>
  <c r="AF19" i="8"/>
  <c r="AH19" i="8"/>
  <c r="AG20" i="8"/>
  <c r="AH20" i="8"/>
  <c r="AK20" i="8"/>
  <c r="AM20" i="8"/>
  <c r="AQ20" i="8"/>
  <c r="AD20" i="8"/>
  <c r="AE20" i="8"/>
  <c r="AL20" i="8"/>
  <c r="AB20" i="8"/>
  <c r="AJ20" i="8"/>
  <c r="AC20" i="8"/>
  <c r="AF20" i="8"/>
  <c r="AI20" i="8"/>
  <c r="AN20" i="8"/>
  <c r="AO20" i="8"/>
  <c r="AP20" i="8"/>
  <c r="AG15" i="8"/>
  <c r="AH15" i="8"/>
  <c r="AK15" i="8"/>
  <c r="AM15" i="8"/>
  <c r="AQ15" i="8"/>
  <c r="AD15" i="8"/>
  <c r="AE15" i="8"/>
  <c r="AF15" i="8"/>
  <c r="AL15" i="8"/>
  <c r="AB15" i="8"/>
  <c r="AC15" i="8"/>
  <c r="AI15" i="8"/>
  <c r="AJ15" i="8"/>
  <c r="AN15" i="8"/>
  <c r="AO15" i="8"/>
  <c r="AP15" i="8"/>
  <c r="AD30" i="8"/>
  <c r="AE30" i="8"/>
  <c r="AF30" i="8"/>
  <c r="AH30" i="8"/>
  <c r="AI30" i="8"/>
  <c r="AJ30" i="8"/>
  <c r="AN30" i="8"/>
  <c r="AP30" i="8"/>
  <c r="AO30" i="8"/>
  <c r="AC30" i="8"/>
  <c r="AB30" i="8"/>
  <c r="AK30" i="8"/>
  <c r="AL30" i="8"/>
  <c r="AM30" i="8"/>
  <c r="AQ30" i="8"/>
  <c r="AG30" i="8"/>
  <c r="AK21" i="8"/>
  <c r="AL21" i="8"/>
  <c r="AO21" i="8"/>
  <c r="AQ21" i="8"/>
  <c r="AB21" i="8"/>
  <c r="AC21" i="8"/>
  <c r="AE21" i="8"/>
  <c r="AH21" i="8"/>
  <c r="AI21" i="8"/>
  <c r="AD21" i="8"/>
  <c r="AJ21" i="8"/>
  <c r="AF21" i="8"/>
  <c r="AG21" i="8"/>
  <c r="AM21" i="8"/>
  <c r="AP21" i="8"/>
  <c r="AN21" i="8"/>
  <c r="AA74" i="8"/>
  <c r="AA71" i="8"/>
  <c r="AA76" i="8"/>
  <c r="AA29" i="8"/>
  <c r="AA75" i="8"/>
  <c r="AA70" i="8"/>
  <c r="AA3" i="8"/>
  <c r="AI71" i="8" l="1"/>
  <c r="AK71" i="8"/>
  <c r="AJ71" i="8"/>
  <c r="AL71" i="8"/>
  <c r="AM71" i="8"/>
  <c r="AN71" i="8"/>
  <c r="AO71" i="8"/>
  <c r="AP71" i="8"/>
  <c r="AC71" i="8"/>
  <c r="AD71" i="8"/>
  <c r="AF71" i="8"/>
  <c r="AG71" i="8"/>
  <c r="AB71" i="8"/>
  <c r="AH71" i="8"/>
  <c r="AE71" i="8"/>
  <c r="AQ71" i="8"/>
  <c r="AD74" i="8"/>
  <c r="AE74" i="8"/>
  <c r="AB74" i="8"/>
  <c r="AF74" i="8"/>
  <c r="AG74" i="8"/>
  <c r="AH74" i="8"/>
  <c r="AI74" i="8"/>
  <c r="AJ74" i="8"/>
  <c r="AK74" i="8"/>
  <c r="AN74" i="8"/>
  <c r="AP74" i="8"/>
  <c r="AO74" i="8"/>
  <c r="AC74" i="8"/>
  <c r="AL74" i="8"/>
  <c r="AM74" i="8"/>
  <c r="AQ74" i="8"/>
  <c r="AD70" i="8"/>
  <c r="AE70" i="8"/>
  <c r="AF70" i="8"/>
  <c r="AG70" i="8"/>
  <c r="AH70" i="8"/>
  <c r="AI70" i="8"/>
  <c r="AJ70" i="8"/>
  <c r="AK70" i="8"/>
  <c r="AN70" i="8"/>
  <c r="AP70" i="8"/>
  <c r="AO70" i="8"/>
  <c r="AB70" i="8"/>
  <c r="AC70" i="8"/>
  <c r="AL70" i="8"/>
  <c r="AQ70" i="8"/>
  <c r="AM70" i="8"/>
  <c r="AI75" i="8"/>
  <c r="AJ75" i="8"/>
  <c r="AK75" i="8"/>
  <c r="AB75" i="8"/>
  <c r="AL75" i="8"/>
  <c r="AM75" i="8"/>
  <c r="AN75" i="8"/>
  <c r="AO75" i="8"/>
  <c r="AP75" i="8"/>
  <c r="AC75" i="8"/>
  <c r="AD75" i="8"/>
  <c r="AF75" i="8"/>
  <c r="AG75" i="8"/>
  <c r="AH75" i="8"/>
  <c r="AE75" i="8"/>
  <c r="AQ75" i="8"/>
  <c r="AC29" i="8"/>
  <c r="AC50" i="8" s="1"/>
  <c r="AD29" i="8"/>
  <c r="AD50" i="8" s="1"/>
  <c r="AE29" i="8"/>
  <c r="AE50" i="8" s="1"/>
  <c r="AF29" i="8"/>
  <c r="AF50" i="8" s="1"/>
  <c r="AI29" i="8"/>
  <c r="AI50" i="8" s="1"/>
  <c r="AJ29" i="8"/>
  <c r="AJ50" i="8" s="1"/>
  <c r="AK29" i="8"/>
  <c r="AK50" i="8" s="1"/>
  <c r="AM29" i="8"/>
  <c r="AM50" i="8" s="1"/>
  <c r="AN29" i="8"/>
  <c r="AN50" i="8" s="1"/>
  <c r="AP29" i="8"/>
  <c r="AP50" i="8" s="1"/>
  <c r="AQ29" i="8"/>
  <c r="AQ50" i="8" s="1"/>
  <c r="AG29" i="8"/>
  <c r="AG50" i="8" s="1"/>
  <c r="AL29" i="8"/>
  <c r="AL50" i="8" s="1"/>
  <c r="AO29" i="8"/>
  <c r="AO50" i="8" s="1"/>
  <c r="AH29" i="8"/>
  <c r="AH50" i="8" s="1"/>
  <c r="AN76" i="8"/>
  <c r="AO76" i="8"/>
  <c r="AP76" i="8"/>
  <c r="AQ76" i="8"/>
  <c r="AB76" i="8"/>
  <c r="AD76" i="8"/>
  <c r="AE76" i="8"/>
  <c r="AF76" i="8"/>
  <c r="AH76" i="8"/>
  <c r="AI76" i="8"/>
  <c r="AK76" i="8"/>
  <c r="AM76" i="8"/>
  <c r="AL76" i="8"/>
  <c r="AC76" i="8"/>
  <c r="AG76" i="8"/>
  <c r="AJ76" i="8"/>
  <c r="AD3" i="8"/>
  <c r="AD24" i="8" s="1"/>
  <c r="AE3" i="8"/>
  <c r="AE24" i="8" s="1"/>
  <c r="AH3" i="8"/>
  <c r="AH24" i="8" s="1"/>
  <c r="AJ3" i="8"/>
  <c r="AJ24" i="8" s="1"/>
  <c r="AN3" i="8"/>
  <c r="AN24" i="8" s="1"/>
  <c r="AP3" i="8"/>
  <c r="AP24" i="8" s="1"/>
  <c r="AO3" i="8"/>
  <c r="AO24" i="8" s="1"/>
  <c r="AL3" i="8"/>
  <c r="AL24" i="8" s="1"/>
  <c r="AM3" i="8"/>
  <c r="AM24" i="8" s="1"/>
  <c r="AQ3" i="8"/>
  <c r="AQ24" i="8" s="1"/>
  <c r="AC3" i="8"/>
  <c r="AC24" i="8" s="1"/>
  <c r="AF3" i="8"/>
  <c r="AF24" i="8" s="1"/>
  <c r="AG3" i="8"/>
  <c r="AG24" i="8" s="1"/>
  <c r="AI3" i="8"/>
  <c r="AI24" i="8" s="1"/>
  <c r="AK3" i="8"/>
  <c r="AK24" i="8" s="1"/>
  <c r="AB29" i="8"/>
  <c r="AB50" i="8" s="1"/>
  <c r="AA56" i="8"/>
  <c r="AN56" i="8" l="1"/>
  <c r="AN77" i="8" s="1"/>
  <c r="AO56" i="8"/>
  <c r="AO77" i="8" s="1"/>
  <c r="AO78" i="8" s="1"/>
  <c r="AP56" i="8"/>
  <c r="AP77" i="8" s="1"/>
  <c r="AQ56" i="8"/>
  <c r="AQ77" i="8" s="1"/>
  <c r="AQ78" i="8" s="1"/>
  <c r="AD56" i="8"/>
  <c r="AD77" i="8" s="1"/>
  <c r="AD25" i="8" s="1"/>
  <c r="AF56" i="8"/>
  <c r="AF77" i="8" s="1"/>
  <c r="AE56" i="8"/>
  <c r="AE77" i="8" s="1"/>
  <c r="AE78" i="8" s="1"/>
  <c r="D6" i="8" s="1"/>
  <c r="AH56" i="8"/>
  <c r="AH77" i="8" s="1"/>
  <c r="AH78" i="8" s="1"/>
  <c r="AI56" i="8"/>
  <c r="AI77" i="8" s="1"/>
  <c r="AK56" i="8"/>
  <c r="AK77" i="8" s="1"/>
  <c r="AL56" i="8"/>
  <c r="AL77" i="8" s="1"/>
  <c r="AL78" i="8" s="1"/>
  <c r="AM56" i="8"/>
  <c r="AM77" i="8" s="1"/>
  <c r="AM78" i="8" s="1"/>
  <c r="AC56" i="8"/>
  <c r="AC77" i="8" s="1"/>
  <c r="AC78" i="8" s="1"/>
  <c r="AG56" i="8"/>
  <c r="AG77" i="8" s="1"/>
  <c r="AJ56" i="8"/>
  <c r="AJ77" i="8" s="1"/>
  <c r="AJ78" i="8" s="1"/>
  <c r="AF25" i="8"/>
  <c r="AE51" i="8"/>
  <c r="AQ25" i="8"/>
  <c r="AC25" i="8"/>
  <c r="AC51" i="8"/>
  <c r="AO25" i="8"/>
  <c r="AP25" i="8"/>
  <c r="H10" i="8"/>
  <c r="H11" i="8"/>
  <c r="H16" i="8"/>
  <c r="H17" i="8"/>
  <c r="H5" i="8"/>
  <c r="H6" i="8"/>
  <c r="H13" i="8"/>
  <c r="H9" i="8"/>
  <c r="H12" i="8"/>
  <c r="H15" i="8"/>
  <c r="H14" i="8"/>
  <c r="AB24" i="8"/>
  <c r="AB56" i="8"/>
  <c r="AB77" i="8" s="1"/>
  <c r="H3" i="8"/>
  <c r="AG78" i="8" l="1"/>
  <c r="D8" i="8" s="1"/>
  <c r="AG25" i="8"/>
  <c r="AK78" i="8"/>
  <c r="AK25" i="8"/>
  <c r="AI78" i="8"/>
  <c r="AI25" i="8"/>
  <c r="AI51" i="8"/>
  <c r="AF78" i="8"/>
  <c r="AF51" i="8"/>
  <c r="AP78" i="8"/>
  <c r="AP51" i="8"/>
  <c r="AN78" i="8"/>
  <c r="AN25" i="8"/>
  <c r="AN51" i="8"/>
  <c r="G14" i="8"/>
  <c r="G13" i="8"/>
  <c r="AK51" i="8"/>
  <c r="AM51" i="8"/>
  <c r="AQ51" i="8"/>
  <c r="AH25" i="8"/>
  <c r="C9" i="8" s="1"/>
  <c r="AG51" i="8"/>
  <c r="B8" i="8" s="1"/>
  <c r="AD51" i="8"/>
  <c r="AD78" i="8"/>
  <c r="D5" i="8" s="1"/>
  <c r="AL51" i="8"/>
  <c r="AJ51" i="8"/>
  <c r="B11" i="8" s="1"/>
  <c r="AE25" i="8"/>
  <c r="AO51" i="8"/>
  <c r="B16" i="8" s="1"/>
  <c r="AL25" i="8"/>
  <c r="C13" i="8" s="1"/>
  <c r="AH51" i="8"/>
  <c r="B9" i="8" s="1"/>
  <c r="AM25" i="8"/>
  <c r="AJ25" i="8"/>
  <c r="C11" i="8" s="1"/>
  <c r="G10" i="8"/>
  <c r="G7" i="8"/>
  <c r="G9" i="8"/>
  <c r="F16" i="8"/>
  <c r="F5" i="8"/>
  <c r="G16" i="8"/>
  <c r="G5" i="8"/>
  <c r="F4" i="8"/>
  <c r="H4" i="8"/>
  <c r="G17" i="8"/>
  <c r="H18" i="8"/>
  <c r="G18" i="8"/>
  <c r="F14" i="8"/>
  <c r="F6" i="8"/>
  <c r="F15" i="8"/>
  <c r="F11" i="8"/>
  <c r="F8" i="8"/>
  <c r="H8" i="8"/>
  <c r="F9" i="8"/>
  <c r="F10" i="8"/>
  <c r="G8" i="8"/>
  <c r="G11" i="8"/>
  <c r="F18" i="8"/>
  <c r="G12" i="8"/>
  <c r="F12" i="8"/>
  <c r="F17" i="8"/>
  <c r="F3" i="8"/>
  <c r="G15" i="8"/>
  <c r="G3" i="8"/>
  <c r="H7" i="8"/>
  <c r="AB78" i="8"/>
  <c r="D3" i="8" s="1"/>
  <c r="F13" i="8"/>
  <c r="F7" i="8"/>
  <c r="G6" i="8"/>
  <c r="G4" i="8"/>
  <c r="D13" i="8"/>
  <c r="B13" i="8"/>
  <c r="D12" i="8"/>
  <c r="B12" i="8"/>
  <c r="AB25" i="8"/>
  <c r="C3" i="8" s="1"/>
  <c r="AB51" i="8"/>
  <c r="B3" i="8" s="1"/>
  <c r="D15" i="8"/>
  <c r="C15" i="8"/>
  <c r="B15" i="8"/>
  <c r="D18" i="8"/>
  <c r="B18" i="8"/>
  <c r="C18" i="8"/>
  <c r="D10" i="8"/>
  <c r="B10" i="8"/>
  <c r="C10" i="8"/>
  <c r="D4" i="8"/>
  <c r="B4" i="8"/>
  <c r="C4" i="8"/>
  <c r="D14" i="8"/>
  <c r="C14" i="8"/>
  <c r="B14" i="8"/>
  <c r="D16" i="8"/>
  <c r="C16" i="8"/>
  <c r="D9" i="8"/>
  <c r="D11" i="8"/>
  <c r="B5" i="8"/>
  <c r="C5" i="8"/>
  <c r="D7" i="8"/>
  <c r="B7" i="8"/>
  <c r="C7" i="8"/>
  <c r="D17" i="8"/>
  <c r="C17" i="8"/>
  <c r="B17" i="8"/>
  <c r="C8" i="8"/>
  <c r="B6" i="8"/>
  <c r="C6" i="8"/>
  <c r="C12" i="8"/>
  <c r="M16" i="8" l="1"/>
  <c r="M18" i="8"/>
  <c r="M5" i="8"/>
  <c r="M4" i="8"/>
  <c r="M6" i="8"/>
  <c r="M17" i="8"/>
  <c r="M9" i="8"/>
  <c r="M10" i="8"/>
  <c r="M15" i="8"/>
  <c r="M7" i="8"/>
  <c r="M12" i="8"/>
  <c r="M8" i="8"/>
  <c r="M13" i="8"/>
  <c r="M14" i="8"/>
  <c r="M11" i="8"/>
  <c r="M3"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<sst xmlns="http://schemas.openxmlformats.org/spreadsheetml/2006/main" count="2816" uniqueCount="969">
  <si>
    <t>Data Sources</t>
  </si>
  <si>
    <t>Dataset</t>
  </si>
  <si>
    <t>Dodge 2023</t>
  </si>
  <si>
    <t xml:space="preserve"> </t>
  </si>
  <si>
    <t>CEUS 2022</t>
  </si>
  <si>
    <t>CBECS 2018</t>
  </si>
  <si>
    <t>ComStock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</si>
  <si>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</si>
  <si>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</si>
  <si>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</si>
  <si>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</si>
  <si>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</si>
  <si>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DEER prototype (June 2023)</t>
  </si>
  <si>
    <t>https://github.com/sound-data/DEER-Prototypes-EnergyPlus</t>
  </si>
  <si>
    <t>Codes</t>
  </si>
  <si>
    <t>Title 24, part 6, referred to as T24 (1986, 1992, 2001, 2007, 2013, 2016, 2019, 2022, 2025)</t>
  </si>
  <si>
    <t>ASHRAE 90.1 (2022)</t>
  </si>
  <si>
    <t>Others</t>
  </si>
  <si>
    <t>ACM (2013, 2019, 2022, 2025)</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</si>
  <si>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</si>
  <si>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</si>
  <si>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</si>
  <si>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</si>
  <si>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</si>
  <si>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</si>
  <si>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</si>
  <si>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</si>
  <si>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</si>
  <si>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</si>
  <si>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Design Guide: Advanced Water Heating for Foodservice (2022) (by GTI and Frontier funded by SoCalGas and Pacific Gas and Electric Company</t>
  </si>
  <si>
    <t>https://caenergywise.com/design-guides/hot-water/Technical_Design_Guide.pdf</t>
  </si>
  <si>
    <t>Design Guide 1: Improving Commercial Kitchen Ventilation System Performance : Selecting &amp; Sizing Exhaust Hoods referred as CKV (2004) (by SCE)</t>
  </si>
  <si>
    <t>https://www.streivor.com/wp-content/uploads/2020/11/CKV-Design-Guide-1-Selecting-and-Sizing-Exhaust-Hoods.pdf</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</si>
  <si>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</si>
  <si>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</si>
  <si>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</si>
  <si>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</si>
  <si>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</si>
  <si>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</si>
  <si>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</si>
  <si>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</si>
  <si>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</si>
  <si>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Notes</t>
  </si>
  <si>
    <t>EIS, 2018:</t>
  </si>
  <si>
    <t>U.S. Energy Information Administration - EIA - Independent Statistics and Analysis</t>
  </si>
  <si>
    <t>Dodge Construction data , 2023</t>
  </si>
  <si>
    <t>NORESCO, Updated September 2026</t>
  </si>
  <si>
    <t>RestaurantSitDown</t>
  </si>
  <si>
    <t>Characteristic</t>
  </si>
  <si>
    <t>Value</t>
  </si>
  <si>
    <t>Building Type</t>
  </si>
  <si>
    <t>Sit Down Restaurant</t>
  </si>
  <si>
    <t>Building Category</t>
  </si>
  <si>
    <t>Nonresidential</t>
  </si>
  <si>
    <t>Vintages</t>
  </si>
  <si>
    <t>4 Vintages: Pre-1978 , 1978-1997 ,1998-2007 , 2008-2018
New Construction (2019+)</t>
  </si>
  <si>
    <r>
      <rPr>
        <sz val="10"/>
        <color rgb="FF000000"/>
        <rFont val="Arial"/>
      </rPr>
      <t xml:space="preserve">Based on the vintage bin analysis. 
</t>
    </r>
    <r>
      <rPr>
        <sz val="10"/>
        <color rgb="FF000000"/>
        <rFont val="Arial"/>
      </rPr>
      <t>A summary of the findings is presented in the following paper, with a link provided in the Notes tab:
Yousefi, F., Athalye, R. (2025). “Determining Vintage Bins for Prototype Development: An Analysis of California Commercial Buildings.” ASHRAE Annual Conference.</t>
    </r>
  </si>
  <si>
    <t>Shape</t>
  </si>
  <si>
    <t>PNNL prototype, 2022</t>
  </si>
  <si>
    <t>Total Floor Area (ft²)</t>
  </si>
  <si>
    <t>5,502.1 (74.18 ft * 74.18 ft)</t>
  </si>
  <si>
    <t>Aspect Ratio</t>
  </si>
  <si>
    <t>Number of Floors</t>
  </si>
  <si>
    <t>Roof type</t>
  </si>
  <si>
    <t>Attic (17°)</t>
  </si>
  <si>
    <t>PNNL prototype, 2022, suppoerted by CBECS 2018</t>
  </si>
  <si>
    <t>WWR</t>
  </si>
  <si>
    <t>Average 17.11%
(South: 28% , East: 20.22% ,North: 0% ,West: 20.22%</t>
  </si>
  <si>
    <t>Shading Geometry</t>
  </si>
  <si>
    <t>No shades</t>
  </si>
  <si>
    <t>PNNL prototype, 2021</t>
  </si>
  <si>
    <t>Floor to floor height (ft)</t>
  </si>
  <si>
    <t>N/A</t>
  </si>
  <si>
    <t>Floor to ceiling height (ft)</t>
  </si>
  <si>
    <t>Glazing sill height (ft)</t>
  </si>
  <si>
    <t>3.5 (top of the window is 6.5 ft high with 3 ft high glass)</t>
  </si>
  <si>
    <t>Existing public prototypes</t>
  </si>
  <si>
    <r>
      <t>Kitchen height:</t>
    </r>
    <r>
      <rPr>
        <sz val="10"/>
        <color theme="1"/>
        <rFont val="Arial"/>
        <family val="2"/>
      </rPr>
      <t xml:space="preserve"> 10 ft</t>
    </r>
  </si>
  <si>
    <t>https://www.naksinc.com/ceiling-height-and-cooking-equipment-specifications-for-hoods-an-in-depth-look/</t>
  </si>
  <si>
    <t>PNNL (Sit down)</t>
  </si>
  <si>
    <t>CPUC  (Sit down)</t>
  </si>
  <si>
    <t>CEC (Small Restaurant)</t>
  </si>
  <si>
    <t>Geometry</t>
  </si>
  <si>
    <t>Whole building</t>
  </si>
  <si>
    <t>Floor area (ft²)</t>
  </si>
  <si>
    <t>Total</t>
  </si>
  <si>
    <t>Height (ft)</t>
  </si>
  <si>
    <t xml:space="preserve">All </t>
  </si>
  <si>
    <t>Zones</t>
  </si>
  <si>
    <t> </t>
  </si>
  <si>
    <t>Dining 73% (4001.46 ft2), Kitchen 27% (1500.54 ft2), Attic (NOT conditioned)</t>
  </si>
  <si>
    <t xml:space="preserve">Dining 54% , Kitchen 29% , Waiting Area 14% , Restroom 4% (200 sf) </t>
  </si>
  <si>
    <t>Dining 50% , Kitchen 50%, Attic (NOT conditioned)</t>
  </si>
  <si>
    <t>Internal Load</t>
  </si>
  <si>
    <t>People (person/ft²)</t>
  </si>
  <si>
    <t>Dining</t>
  </si>
  <si>
    <t>Kitchen</t>
  </si>
  <si>
    <t>0.005 (7.5 People)</t>
  </si>
  <si>
    <t>Other zones (if any)</t>
  </si>
  <si>
    <t xml:space="preserve">0.0033 Lobby &amp;  0.005 Restroom </t>
  </si>
  <si>
    <t>-</t>
  </si>
  <si>
    <t>Lights (W/ft²)</t>
  </si>
  <si>
    <t>0.7 Lobby &amp; 0.65 Restroom</t>
  </si>
  <si>
    <t>Ext lights (W)</t>
  </si>
  <si>
    <t>1509      (204 and 1305)</t>
  </si>
  <si>
    <t>Gas Equipment (Btu/h-ft2)</t>
  </si>
  <si>
    <r>
      <rPr>
        <sz val="10"/>
        <color rgb="FF000000"/>
        <rFont val="Arial"/>
        <family val="2"/>
      </rPr>
      <t xml:space="preserve">194.7    </t>
    </r>
    <r>
      <rPr>
        <sz val="10"/>
        <rFont val="Arial"/>
        <family val="2"/>
      </rPr>
      <t xml:space="preserve"> (292,164 Btu/h)</t>
    </r>
  </si>
  <si>
    <t>Electric Equipment (W/ft²)</t>
  </si>
  <si>
    <t xml:space="preserve">5.7        (22833 W) </t>
  </si>
  <si>
    <t>0.75     (0.5 receptacle &amp; 0.25 refrigerator )</t>
  </si>
  <si>
    <t xml:space="preserve">35.91     (53,277 W Receptacle &amp; 313 W ReachIn Refrigerator &amp;  277 W ReachInFreezer) </t>
  </si>
  <si>
    <t>2.62      (1.5 receptacle &amp; 1.12 refrigerator)</t>
  </si>
  <si>
    <t>0.5 Lobby</t>
  </si>
  <si>
    <t>Refrigerator</t>
  </si>
  <si>
    <t xml:space="preserve">In addition to the Reachin freezer and refrigerator load defined as electric load, it has :
2 Case refrigerator : 716 and 763 Btu/hr-ft for 8 and 10 ft cases 
2.5 COP for design compressor rack
1126 Btu/h for fan power of design compressor </t>
  </si>
  <si>
    <t>Refrigerator loads is defined as electric equipment load for  kitchen</t>
  </si>
  <si>
    <t>Two Refrigerator loads is defined as electric equipment load for dining and kitchen</t>
  </si>
  <si>
    <t>Heating Sizing Factor</t>
  </si>
  <si>
    <t>H&amp;C: 1.2</t>
  </si>
  <si>
    <t>H: 2.5 , C: 2.3</t>
  </si>
  <si>
    <t>H&amp;C:1</t>
  </si>
  <si>
    <t>HVAC</t>
  </si>
  <si>
    <t>PSZ AC: CAV no reheat, DX cooling coil: multi speed, Gas heating coil</t>
  </si>
  <si>
    <r>
      <t xml:space="preserve"> Single Zone VAV  Reheat (Sys7)+ 1 DX cooling coil:multi speed + 1 water heating coil (+ 1 water heating coil for Reheat) 
</t>
    </r>
    <r>
      <rPr>
        <sz val="10"/>
        <color rgb="FF000000"/>
        <rFont val="Arial"/>
        <family val="2"/>
      </rPr>
      <t>Boiler</t>
    </r>
    <r>
      <rPr>
        <sz val="10"/>
        <rFont val="Arial"/>
        <family val="2"/>
      </rPr>
      <t xml:space="preserve"> (2 objects)</t>
    </r>
  </si>
  <si>
    <t xml:space="preserve"> (BAseAirSys 13): VAV no Reheat +DX cooling coil:two speed,  Gas Heating coil</t>
  </si>
  <si>
    <t>PSZ AC : CAV no reheat, DX cooling coil: multi speed, Gas heating coil</t>
  </si>
  <si>
    <t xml:space="preserve">Single Zone VAV no  Reheat + 1 DX cooling coil:single speed +  Gas heating coil </t>
  </si>
  <si>
    <t xml:space="preserve"> (sys7or3a): CAV no Reheat+DX cooling coil: single speed+ Gas Heating coil</t>
  </si>
  <si>
    <t xml:space="preserve">Lobby &amp; Restroom: Single Zone VAV no Reheat + 2 DX cooling coil:multi speed + 2 Gas heating coil </t>
  </si>
  <si>
    <t>Exhaust Fan (cfm)</t>
  </si>
  <si>
    <t>2821 cfm with efficiency of 1</t>
  </si>
  <si>
    <t>5400 cfm with efficiency of 0.385</t>
  </si>
  <si>
    <t>2400 cfm with efficiency of 0.43)</t>
  </si>
  <si>
    <t>Thermostat setpoint (F)</t>
  </si>
  <si>
    <t>Dining Heating</t>
  </si>
  <si>
    <t>70 (setback: 60)</t>
  </si>
  <si>
    <t>Dining Cooling</t>
  </si>
  <si>
    <t>75 (setback: 86)</t>
  </si>
  <si>
    <t>75 (setback: 85)</t>
  </si>
  <si>
    <t>Kitchen Heating</t>
  </si>
  <si>
    <r>
      <t>66</t>
    </r>
    <r>
      <rPr>
        <sz val="10"/>
        <color rgb="FF000000"/>
        <rFont val="Arial"/>
        <family val="2"/>
      </rPr>
      <t xml:space="preserve"> (setback: 60)</t>
    </r>
  </si>
  <si>
    <t>Kitchen Cooling</t>
  </si>
  <si>
    <r>
      <t>79</t>
    </r>
    <r>
      <rPr>
        <sz val="10"/>
        <color rgb="FF000000"/>
        <rFont val="Arial"/>
        <family val="2"/>
      </rPr>
      <t xml:space="preserve"> (setback: 86)</t>
    </r>
  </si>
  <si>
    <t>Tank Volume (gal</t>
  </si>
  <si>
    <t>200     (+ 6 gal electric booster water heater)</t>
  </si>
  <si>
    <r>
      <rPr>
        <sz val="10"/>
        <rFont val="Arial"/>
        <family val="2"/>
      </rPr>
      <t>Autosize (Nominal tank volume for autosizing: 39.6)</t>
    </r>
    <r>
      <rPr>
        <sz val="10"/>
        <color rgb="FF000000"/>
        <rFont val="Arial"/>
        <family val="2"/>
      </rPr>
      <t xml:space="preserve">
Output file :69 gal</t>
    </r>
  </si>
  <si>
    <t>Peak Flow Rate (gpm)</t>
  </si>
  <si>
    <t>0.08 Lobby</t>
  </si>
  <si>
    <t>Loop Max and Min Temperature (F)</t>
  </si>
  <si>
    <t>140, 50</t>
  </si>
  <si>
    <t>212 , 50</t>
  </si>
  <si>
    <r>
      <t xml:space="preserve">212, </t>
    </r>
    <r>
      <rPr>
        <sz val="10"/>
        <color rgb="FF000000"/>
        <rFont val="Arial"/>
        <family val="2"/>
      </rPr>
      <t>32</t>
    </r>
  </si>
  <si>
    <t>Tank Max Temperature (F)</t>
  </si>
  <si>
    <t>Yealy Water Usage (gal) from the output files</t>
  </si>
  <si>
    <t>* almost 2.8 time water usage compared to fast food</t>
  </si>
  <si>
    <t>* almost 3.5 time water usage compared to fast food</t>
  </si>
  <si>
    <t>ASHRAE DOE</t>
  </si>
  <si>
    <t>Kitchen loads are included in the EnergyPlus ElectricEquipment and GasEquipment objects</t>
  </si>
  <si>
    <t>Building</t>
  </si>
  <si>
    <t>Space/Thermal Zone</t>
  </si>
  <si>
    <r>
      <t>Space Type</t>
    </r>
    <r>
      <rPr>
        <b/>
        <sz val="10"/>
        <color rgb="FF000000"/>
        <rFont val="Arial"/>
        <family val="2"/>
      </rPr>
      <t xml:space="preserve">
[Primarily from: T24, 2022 Appendix 5.4A] - See Notes column</t>
    </r>
  </si>
  <si>
    <t>HVAC Zone</t>
  </si>
  <si>
    <t>Schedule Category</t>
  </si>
  <si>
    <t>Conditioned (Y/N)</t>
  </si>
  <si>
    <t>Area Fraction</t>
  </si>
  <si>
    <t>Area (ft²)</t>
  </si>
  <si>
    <t>Volume (ft³)</t>
  </si>
  <si>
    <t>Multipliers</t>
  </si>
  <si>
    <t>Number of People</t>
  </si>
  <si>
    <t xml:space="preserve">People 
(Persons/1,000 ft²)
[T24, 2025,Table 120.1-A] </t>
  </si>
  <si>
    <t xml:space="preserve">
Kitchen (North) , Dining (south)</t>
  </si>
  <si>
    <t>Dining Area (Bar/Lounge and Fine Dining)</t>
  </si>
  <si>
    <t>AHU_1</t>
  </si>
  <si>
    <t>Restaurant</t>
  </si>
  <si>
    <t>Y</t>
  </si>
  <si>
    <t>Kitchen/Food Preparation Area</t>
  </si>
  <si>
    <t>AHU_2</t>
  </si>
  <si>
    <t>Attic</t>
  </si>
  <si>
    <t>n/a</t>
  </si>
  <si>
    <t>N</t>
  </si>
  <si>
    <t>Total (1 Building)</t>
  </si>
  <si>
    <t>Total (3 Space)</t>
  </si>
  <si>
    <t>Total (3 space type)</t>
  </si>
  <si>
    <t>Total ( 2 HVAC Zones)</t>
  </si>
  <si>
    <t xml:space="preserve"> Total (2 category)</t>
  </si>
  <si>
    <t xml:space="preserve"> Total (2 Conditioned zones)</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</si>
  <si>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</si>
  <si>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</si>
  <si>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</si>
  <si>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</si>
  <si>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</si>
  <si>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</si>
  <si>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</si>
  <si>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</si>
  <si>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</si>
  <si>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</si>
  <si>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</si>
  <si>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</si>
  <si>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</si>
  <si>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</si>
  <si>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</si>
  <si>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</si>
  <si>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</si>
  <si>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</si>
  <si>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</si>
  <si>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</si>
  <si>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</si>
  <si>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</si>
  <si>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</si>
  <si>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</si>
  <si>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stucco + insulation +gypsum board</t>
  </si>
  <si>
    <t>U-factor IP</t>
  </si>
  <si>
    <t>Pre 1978</t>
  </si>
  <si>
    <t>ASHRAE 90.1, 2022 Table A3.3.3.1, 3.5", R-0</t>
  </si>
  <si>
    <t>1978-1997</t>
  </si>
  <si>
    <t xml:space="preserve">Copied from low-rise office alternative table: Package A with heat capacity of 0.0-3.99 (Btu/F-ft²) </t>
  </si>
  <si>
    <t>These values have better performance than the next vintage</t>
  </si>
  <si>
    <t>1998-2007</t>
  </si>
  <si>
    <t xml:space="preserve"> Table 1-H</t>
  </si>
  <si>
    <t>2008-2018</t>
  </si>
  <si>
    <t>Table 140.3-B</t>
  </si>
  <si>
    <t>Existing</t>
  </si>
  <si>
    <t>2019+</t>
  </si>
  <si>
    <t>Ceiling/Roof</t>
  </si>
  <si>
    <t>AtticFloor Reversed</t>
  </si>
  <si>
    <t>Attic roof (no insulation): asphalt shingles + gypsum board
 Ceiling (wood-joist): insulation + gypsum board</t>
  </si>
  <si>
    <t>Considering 30 years for roof/ insulation replacement.</t>
  </si>
  <si>
    <t>Table 1-H</t>
  </si>
  <si>
    <r>
      <t xml:space="preserve">Table 140.3-B </t>
    </r>
    <r>
      <rPr>
        <sz val="10"/>
        <color rgb="FF000000"/>
        <rFont val="Arial"/>
        <family val="2"/>
      </rPr>
      <t>(Wood Framed and Other)</t>
    </r>
  </si>
  <si>
    <r>
      <t>Table 140.3-B</t>
    </r>
    <r>
      <rPr>
        <sz val="10"/>
        <color rgb="FF000000"/>
        <rFont val="Arial"/>
        <family val="2"/>
      </rPr>
      <t xml:space="preserve"> (Wood Framed and Other)</t>
    </r>
  </si>
  <si>
    <t>Windows</t>
  </si>
  <si>
    <t>FixedWindow_NonRes</t>
  </si>
  <si>
    <t xml:space="preserve">Single Pane (CBECS 2018, ~ 30 % of windows of Restaurant built before 2000 are single pane) </t>
  </si>
  <si>
    <t>2021 ASHRAE Handbook of Fundamentals for single pane (Table 4- Ch15, Section 15.9) &amp; T24, 2013 Table 140.3-B for double pane (30%-70%)</t>
  </si>
  <si>
    <t>These vintages have better performance because of partial retrofit</t>
  </si>
  <si>
    <t>Double pane</t>
  </si>
  <si>
    <t xml:space="preserve">Table 1-H </t>
  </si>
  <si>
    <t xml:space="preserve">Table 140.3-B </t>
  </si>
  <si>
    <t>SHGC</t>
  </si>
  <si>
    <t>2021 ASHRAE Handbook of Fundamentals for single pane (Table 10- Ch15, Section 15.22) &amp; T24, 2013 Table 140.3-B for double pane (30%-70%)</t>
  </si>
  <si>
    <t>Table 1-H (Non North, 10-20% total WWR)</t>
  </si>
  <si>
    <t>Infiltration</t>
  </si>
  <si>
    <t xml:space="preserve">I_75 (cfm/ft2)
6-sdied Infiltration rate @ 75 pa </t>
  </si>
  <si>
    <t>Source</t>
  </si>
  <si>
    <t xml:space="preserve"> I-design (cfm/ft²) 
(4-sided Infiltration rate at normal pressure) 
(Design flow rate approach and Flow/Exterior Wall Area calculation method) </t>
  </si>
  <si>
    <t>2022 CASE report (Table 38)</t>
  </si>
  <si>
    <t>2022 CASE report (Table 38) &amp;
T24, 2008-2016 (Table 140.3-B)</t>
  </si>
  <si>
    <t>2022 CASE report (Table 38) &amp;  
T24, 2025 (Table 140.3-B)</t>
  </si>
  <si>
    <t>Source:  T24 air barrier requirements (all editions) , the standardized infiltration rate reported in the 2022 CASE report, and Dodge 2023 data</t>
  </si>
  <si>
    <t>Infiltration_rate_report_14May2025-Short-Version.docx</t>
  </si>
  <si>
    <t>6 sided area</t>
  </si>
  <si>
    <t>4 sided area</t>
  </si>
  <si>
    <t>6 sided/4sided fraction</t>
  </si>
  <si>
    <t xml:space="preserve">Heating </t>
  </si>
  <si>
    <t>Cooling</t>
  </si>
  <si>
    <t>Air Distribution</t>
  </si>
  <si>
    <t>Other Systems</t>
  </si>
  <si>
    <t xml:space="preserve">Existing  </t>
  </si>
  <si>
    <t>Gas Furnace (PSZAC)</t>
  </si>
  <si>
    <t>DX Coil (PSZAC)</t>
  </si>
  <si>
    <t>CAV (PSZAC)</t>
  </si>
  <si>
    <t>Economizer for after 2008</t>
  </si>
  <si>
    <t>CEUS 2022 + Engineering Judgement</t>
  </si>
  <si>
    <t>Makeup Air Unit (Combo with RTU) to supply make-up air exceeding transfer air from dining space (can be included in system13b)</t>
  </si>
  <si>
    <t>New Construction</t>
  </si>
  <si>
    <t>Economizer</t>
  </si>
  <si>
    <t>T24, 2025</t>
  </si>
  <si>
    <t>HR-Makeup Air Unit (systems that integrate make-up air and heat recovery functions) (can be included in system13b)</t>
  </si>
  <si>
    <t xml:space="preserve">*CPUC considres Boiler in the Dining space for heating </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</si>
  <si>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</si>
  <si>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</si>
  <si>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 xml:space="preserve"> Gas Furnace</t>
  </si>
  <si>
    <t>Dining DX cooling 
(&gt;=65,000 and &lt; 135,000 Btu/h )</t>
  </si>
  <si>
    <t>Kitchen DX cooling 
(&gt;=65,000 and &lt; 135,000 Btu/h )</t>
  </si>
  <si>
    <t xml:space="preserve">Note </t>
  </si>
  <si>
    <t xml:space="preserve"> Efficiency 80%</t>
  </si>
  <si>
    <t>EER 10.3</t>
  </si>
  <si>
    <t xml:space="preserve"> T24, 2008, Table 112-A </t>
  </si>
  <si>
    <r>
      <t xml:space="preserve">Econ Max Position=0.9.
</t>
    </r>
    <r>
      <rPr>
        <sz val="9"/>
        <color theme="1"/>
        <rFont val="Arial"/>
        <family val="2"/>
      </rPr>
      <t>*Econ Max Position is set to below 1 to approximate effects of not having fault detection and diagnostics (FDD) requirements, which began in 2013. it can be modeled in E+ either by:
- Reducing Maximum Outdoor Air Flow Rate in Controller:OutdoorAir.
- Or using FaultModel objects to simulate pre-2013 “no FDD” conditions</t>
    </r>
  </si>
  <si>
    <t>EER 11.2</t>
  </si>
  <si>
    <t xml:space="preserve"> T24, 2013, Table 110.2-A</t>
  </si>
  <si>
    <t>Econ Max Position=0.9</t>
  </si>
  <si>
    <t xml:space="preserve">T24, 2025, Table 110.2-A </t>
  </si>
  <si>
    <t>- Econ Max Position=1
- Deduct 0.2 from the required EERs and IEERs for units with a heating section other than electric resistance heat.</t>
  </si>
  <si>
    <t>Fan Power</t>
  </si>
  <si>
    <t>Approach</t>
  </si>
  <si>
    <t>System</t>
  </si>
  <si>
    <t>Total Static Pressure (TSP)
(in w.c.)</t>
  </si>
  <si>
    <t>Fan Efficiency
[ACM 2025]</t>
  </si>
  <si>
    <t xml:space="preserve">Motor Efficiency </t>
  </si>
  <si>
    <t xml:space="preserve"> Fan Power Index 
(W/cfm)</t>
  </si>
  <si>
    <t>Data Source</t>
  </si>
  <si>
    <t>PNNL TSP</t>
  </si>
  <si>
    <t>CAV Kitchen (system &lt;7,437 cfm)</t>
  </si>
  <si>
    <t>~0.9 (The full-load efficiency of the motor serving the fan- will be determined based on ACM 2025, Table 13)</t>
  </si>
  <si>
    <t>TSP: [PNNL 20405, 2010, Table 5.11,
Fan, motor and drive efficiency: ACM 2025</t>
  </si>
  <si>
    <t>CAV Dining (system &lt;7,437 cfm)
CAV Dining (system &gt;7,437 cfm)</t>
  </si>
  <si>
    <t>2.5  (system &lt;7,437 cfm)
4.46 (system &gt;7,437 cfm)</t>
  </si>
  <si>
    <t>Brake horsepower (bhp) = (Supply cfm × TSP in w.c.) / (6356 × fan efficiency)</t>
  </si>
  <si>
    <t>Fan power (w/cfm) = (bhp ×  746) / ( supply cfm × motor efficiency )</t>
  </si>
  <si>
    <t>ACM 2025</t>
  </si>
  <si>
    <t>CAV Kitchen (system &lt;5,000 cfm)</t>
  </si>
  <si>
    <t xml:space="preserve">ACM 2025 </t>
  </si>
  <si>
    <t>CAV Dining (system &gt;5,000 cfm and &lt;10,000 cfm)</t>
  </si>
  <si>
    <t>* 0.9 is an average fan efficiency according to ACM 2025, Table 13</t>
  </si>
  <si>
    <t>Fan total eff (E+ input) = 0.65 x Motor_eff</t>
  </si>
  <si>
    <t>TSP (E+ input) in w.c. = Motor_eff/746 x (6356 x Fan_eff) x W/cfm</t>
  </si>
  <si>
    <t>Fan_eff=0.65</t>
  </si>
  <si>
    <t xml:space="preserve">Small Office
Heating System </t>
  </si>
  <si>
    <t>Only Conversion factors</t>
  </si>
  <si>
    <t>Multiplied by  Floor area at FZ level</t>
  </si>
  <si>
    <t>No. of zones with</t>
  </si>
  <si>
    <t>Converting the FZ data to the CZ level by applying total small office floor area in each FZ</t>
  </si>
  <si>
    <t>Elec</t>
  </si>
  <si>
    <t>Gas</t>
  </si>
  <si>
    <t>Forecast Zone</t>
  </si>
  <si>
    <t>Building-type</t>
  </si>
  <si>
    <t>End Use</t>
  </si>
  <si>
    <t xml:space="preserve">End Use Saturation </t>
  </si>
  <si>
    <t>Electric Fuel Share</t>
  </si>
  <si>
    <t>Gas Fuel Share</t>
  </si>
  <si>
    <t>Other Fuel Share</t>
  </si>
  <si>
    <t>Saturation (Electric)</t>
  </si>
  <si>
    <t>Saturation (Gas)</t>
  </si>
  <si>
    <t>Saturation
(Other Fuels)</t>
  </si>
  <si>
    <t>Statewide</t>
  </si>
  <si>
    <t>Office, Small</t>
  </si>
  <si>
    <t>Heating</t>
  </si>
  <si>
    <t>FZ0</t>
  </si>
  <si>
    <t>FCZ1</t>
  </si>
  <si>
    <t>FCZ2</t>
  </si>
  <si>
    <t>FCZ3</t>
  </si>
  <si>
    <t>FCZ4</t>
  </si>
  <si>
    <t>FCZ5</t>
  </si>
  <si>
    <t>FCZ6</t>
  </si>
  <si>
    <t>FCZ7</t>
  </si>
  <si>
    <t>FCZ8</t>
  </si>
  <si>
    <t>FCZ9</t>
  </si>
  <si>
    <t>FCZ10</t>
  </si>
  <si>
    <t>FCZ11</t>
  </si>
  <si>
    <t>FCZ12c</t>
  </si>
  <si>
    <t>FCZ12</t>
  </si>
  <si>
    <t>FCZ12i</t>
  </si>
  <si>
    <t>FCZ13</t>
  </si>
  <si>
    <t>FCZ14</t>
  </si>
  <si>
    <t>FCZ16</t>
  </si>
  <si>
    <t>FCZ15</t>
  </si>
  <si>
    <t>FCZ17</t>
  </si>
  <si>
    <t>FCZ18</t>
  </si>
  <si>
    <t>FCZ19</t>
  </si>
  <si>
    <t>FCZ20</t>
  </si>
  <si>
    <t>Sum</t>
  </si>
  <si>
    <t>Saturation (Elec) at CZ</t>
  </si>
  <si>
    <t>Setpoint</t>
  </si>
  <si>
    <t xml:space="preserve"> Heating Setpoint (F)</t>
  </si>
  <si>
    <t>T24 2022 - Appendix 5.4B</t>
  </si>
  <si>
    <t xml:space="preserve"> Heating Setback (F)</t>
  </si>
  <si>
    <t xml:space="preserve"> Cooling Setpoint (F)</t>
  </si>
  <si>
    <t xml:space="preserve"> Cooling Setback (F)</t>
  </si>
  <si>
    <t xml:space="preserve">PNNL 09.1, 2022 Restaurant prototype </t>
  </si>
  <si>
    <t>PNNL's comfort range in kitchen is 4 F wider : 66 -79 F (with Heating setback of 60 F and Cooling setback of 86 F)</t>
  </si>
  <si>
    <t xml:space="preserve">PNNL comfort range in Dining is  70 -75 F (with Heating setback of 60 F and Cooling setback of 86 F) </t>
  </si>
  <si>
    <t xml:space="preserve">CPUC comfort range is  70 -75 F (with Heating setback of 60 F and Cooling setback of 85 F) </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</si>
  <si>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</si>
  <si>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</si>
  <si>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</si>
  <si>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</si>
  <si>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</si>
  <si>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</si>
  <si>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</si>
  <si>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</si>
  <si>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4 restroom, each 25/50 cfm pr unit</t>
  </si>
  <si>
    <t>0.7 cfm/ft2</t>
  </si>
  <si>
    <t>Fine storage is defined for normal inventory that doesn't require an extra exhaust rate based on the space functions  in T24, Part6, 2025, Table 120.1 B.</t>
  </si>
  <si>
    <t>Exhaust hood</t>
  </si>
  <si>
    <t xml:space="preserve">Type of Hood </t>
  </si>
  <si>
    <t>Max Exhaust Flow Rate (cfm/ft)
[T24, 2025, Table 140.9-C]</t>
  </si>
  <si>
    <t xml:space="preserve">Hood Length (ft) * 
[CKV, 2004] &amp; </t>
  </si>
  <si>
    <t>Hood Exhaust Rate (cfm)</t>
  </si>
  <si>
    <t>Note</t>
  </si>
  <si>
    <t>Type I , wall-mounted canopy, medium duty hood</t>
  </si>
  <si>
    <t>Efficiency of exhaust fan is 50% (according to ACM, 2025,section 5.7.3)</t>
  </si>
  <si>
    <t>Quick Service Restaurant Hood Appliance</t>
  </si>
  <si>
    <t>Appliance</t>
  </si>
  <si>
    <t>Length  (ft)</t>
  </si>
  <si>
    <t xml:space="preserve">Fryers side </t>
  </si>
  <si>
    <t xml:space="preserve">CKV Design Guide, 2004 (with equipment of a casual dining restaurant) 
*Charbroiler length is extended from 3 to 4
</t>
  </si>
  <si>
    <t>Fryer drip station (doesn't generate heat or grease but still need to be covered)</t>
  </si>
  <si>
    <t>Griddle</t>
  </si>
  <si>
    <t>Prep surface</t>
  </si>
  <si>
    <t>Open range burners (top)</t>
  </si>
  <si>
    <t>Charbroiler</t>
  </si>
  <si>
    <t>Convection oven</t>
  </si>
  <si>
    <t>added from the list of fast food restaurant</t>
  </si>
  <si>
    <t>Total cooking line length (ft)</t>
  </si>
  <si>
    <t>Hood length (ft) (+1 ft buffer)</t>
  </si>
  <si>
    <t>Space Type</t>
  </si>
  <si>
    <t xml:space="preserve">New Construction </t>
  </si>
  <si>
    <t>LPD (W/ft²)</t>
  </si>
  <si>
    <t>Additional LPD for Portable Lighting (W/ft²)</t>
  </si>
  <si>
    <t xml:space="preserve">LPD (W/ft²) </t>
  </si>
  <si>
    <t xml:space="preserve">T24, 2025, Table 140.6-C
(Area category method) </t>
  </si>
  <si>
    <t>T24, 2016, Table 140.6-C
(Area category method) 
LPD of "All other spaces" is considered for storage space</t>
  </si>
  <si>
    <t>End Use Saturation</t>
  </si>
  <si>
    <t>Commercial-Grade Cooking Equipment</t>
  </si>
  <si>
    <t>Planning Area
&amp;
Forecast Zone</t>
  </si>
  <si>
    <t>End Use Saturation or Penetration</t>
  </si>
  <si>
    <t>Commercial Cooking Space</t>
  </si>
  <si>
    <t>Air Compressors</t>
  </si>
  <si>
    <t>NA</t>
  </si>
  <si>
    <t>Commercial-Grade Refrigerators</t>
  </si>
  <si>
    <t>Commercial-Grade Freezers</t>
  </si>
  <si>
    <t>Frozen Floor Space</t>
  </si>
  <si>
    <t>WH Type</t>
  </si>
  <si>
    <t>Efficiency</t>
  </si>
  <si>
    <t>Number of WH</t>
  </si>
  <si>
    <t>Tank Volume (gal)</t>
  </si>
  <si>
    <t>Tank Loss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</si>
  <si>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</si>
  <si>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</si>
  <si>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</si>
  <si>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</si>
  <si>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</si>
  <si>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 xml:space="preserve">Baseline WH Type 
</t>
  </si>
  <si>
    <t>Total Area (ft²)</t>
  </si>
  <si>
    <t xml:space="preserve">Hot Water Usage Specification
(gal/hr per person)  
</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</si>
  <si>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</si>
  <si>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</si>
  <si>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</si>
  <si>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</si>
  <si>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</si>
  <si>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</si>
  <si>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</si>
  <si>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</si>
  <si>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</si>
  <si>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</si>
  <si>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</si>
  <si>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</si>
  <si>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</si>
  <si>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</si>
  <si>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</si>
  <si>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</si>
  <si>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</si>
  <si>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</si>
  <si>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</si>
  <si>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</si>
  <si>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</si>
  <si>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</si>
  <si>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</si>
  <si>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</si>
  <si>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</si>
  <si>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</si>
  <si>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</si>
  <si>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</si>
  <si>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</si>
  <si>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</si>
  <si>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</si>
  <si>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</si>
  <si>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</si>
  <si>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</si>
  <si>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</si>
  <si>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</si>
  <si>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</si>
  <si>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</si>
  <si>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</si>
  <si>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</si>
  <si>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</si>
  <si>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</si>
  <si>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</si>
  <si>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</si>
  <si>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</si>
  <si>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</si>
  <si>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</si>
  <si>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</si>
  <si>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Plug Load Power Density (W/ft²) </t>
  </si>
  <si>
    <t>ReachIn Refrigerator and ReachInFreezer Power (W) - 24/7</t>
  </si>
  <si>
    <t>Refrigerator Power Density (W/ft²)</t>
  </si>
  <si>
    <t>Gas Power Density (Btu/hr-ft²)</t>
  </si>
  <si>
    <t xml:space="preserve"> Others inputs: T24 2025 - Appendix 5.4A: "2022 SpaceFuncData-Input" </t>
  </si>
  <si>
    <t>ReachIn Refrigerator and ReachInFreezer: [PNNL ASHRAE 90.1 2022 SitDown prototype]
Other inputs: 
T24 2025 - Appendix 5.4A: "2022 SpaceFuncData-Input"
Plug load density is confirmed by the findings Plug load and schedules project with CEC, 2025</t>
  </si>
  <si>
    <t>*ReachIn Refrigerator and ReachInFreezer Power is based on PNNL model.  It doesn’t exist in the CPUC model.</t>
  </si>
  <si>
    <t>* Gas load is very low compared to PNNL model (194 Btu/hr-ft2 for Kitchen)</t>
  </si>
  <si>
    <t xml:space="preserve">Refrigerator load will be simulated as equipment load </t>
  </si>
  <si>
    <t>Motion Controlled Luminaires (W)</t>
  </si>
  <si>
    <t>Non-motion Controlled Luminaires (W)</t>
  </si>
  <si>
    <t>Total (W)</t>
  </si>
  <si>
    <t>T24, 2022</t>
  </si>
  <si>
    <t xml:space="preserve">Exterior Lighting </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</si>
  <si>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</si>
  <si>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</si>
  <si>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</si>
  <si>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</si>
  <si>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</si>
  <si>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</si>
  <si>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</si>
  <si>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</si>
  <si>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 400 ft² for every parking space 
1 parking space per 250 ft² of gross building area </t>
  </si>
  <si>
    <t>(ft²)</t>
  </si>
  <si>
    <t>(W/ft²)</t>
  </si>
  <si>
    <t>Building Entrance</t>
  </si>
  <si>
    <t>2 building entrance (1 per 10,000 ft² footprint)</t>
  </si>
  <si>
    <t>(count)</t>
  </si>
  <si>
    <t>(W/ea)</t>
  </si>
  <si>
    <t>Hardscape Ornamental Light</t>
  </si>
  <si>
    <t>0.1 ft² per 1 ft² of gross building area for hardscape ornamental light</t>
  </si>
  <si>
    <t>Building façade</t>
  </si>
  <si>
    <t>0.1 W per 1 ft² of facade area 
Façade Area = Perimeter × 0.5 × 10 ft (10 ft is the building height ) * 
The 0.5 factor assumes that only half of the perimeter walls are lit.
-Formula ia developed based on the 2019 Outdoor Lighting CASE report</t>
  </si>
  <si>
    <t>Drive up windows</t>
  </si>
  <si>
    <t>1 per 1500 ft² of gross building area</t>
  </si>
  <si>
    <t>Outdoor dining</t>
  </si>
  <si>
    <t>1 ft² per 5 ft² of gross building area</t>
  </si>
  <si>
    <t>Sales canopy</t>
  </si>
  <si>
    <t>0.1 ft² per 1 ft² of gross building area</t>
  </si>
  <si>
    <t>*This row is newly added. The CASE report didn’t include it for 'restaurant' — they probably meant fast food.</t>
  </si>
  <si>
    <t>Motion controlled Luminaires</t>
  </si>
  <si>
    <t>Non-motion-controlled Luminaires</t>
  </si>
  <si>
    <t>TOTAL</t>
  </si>
  <si>
    <t>Perimeter (ft)</t>
  </si>
  <si>
    <t>Total floor area (ft²)</t>
  </si>
  <si>
    <t>Floors</t>
  </si>
  <si>
    <t>Background Data [To be deleted prior to publication]</t>
  </si>
  <si>
    <t>T24, part6, 2025, 130.2(c)3</t>
  </si>
  <si>
    <t>Title 24, 2025</t>
  </si>
  <si>
    <t>Zone</t>
  </si>
  <si>
    <t>Schedule</t>
  </si>
  <si>
    <t>Type</t>
  </si>
  <si>
    <t>Hour</t>
  </si>
  <si>
    <t>Occupancy</t>
  </si>
  <si>
    <t>PNNL,ASHRAE 90.1, 2022  RestaurantSitDown prototype 
(It has higher occupancy rate during morning compared to T24 2022 - Appendix 5.4B)</t>
  </si>
  <si>
    <t>Weekday</t>
  </si>
  <si>
    <t>Saturday</t>
  </si>
  <si>
    <t>Sunday</t>
  </si>
  <si>
    <t>Lights</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</si>
  <si>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</si>
  <si>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ElecEquipment</t>
  </si>
  <si>
    <t>Plug load and schedules project with CEC, 2025</t>
  </si>
  <si>
    <t>HVACAvail</t>
  </si>
  <si>
    <r>
      <t xml:space="preserve">T24 2022 - Appendix 5.4B , [Restaurant]
</t>
    </r>
    <r>
      <rPr>
        <sz val="9"/>
        <color rgb="FF00B050"/>
        <rFont val="Arial"/>
        <family val="2"/>
      </rPr>
      <t xml:space="preserve">Updated based on the adopted PNNL occupancy 
</t>
    </r>
  </si>
  <si>
    <t>ServiceHotWater</t>
  </si>
  <si>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</si>
  <si>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</si>
  <si>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Refrigeration</t>
  </si>
  <si>
    <t>T24 2022 - Appendix 5.4B, [Restaurant]</t>
  </si>
  <si>
    <t>HtgSetpt</t>
  </si>
  <si>
    <t>ClgSetpt</t>
  </si>
  <si>
    <t>occupancy</t>
  </si>
  <si>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</si>
  <si>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</si>
  <si>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</si>
  <si>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t>GasEquipment</t>
  </si>
  <si>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</si>
  <si>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</si>
  <si>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Other</t>
  </si>
  <si>
    <t>ExtLightingNonMotionCtrl</t>
  </si>
  <si>
    <t>ExtLightingMotionCtrl</t>
  </si>
  <si>
    <t>DiningAreaPeopleActivityLevel</t>
  </si>
  <si>
    <t>Based on Activity level schedules in  CEC Prototypes and assumed spaces for Basement</t>
  </si>
  <si>
    <t>KitchenPeopleActivityLevel</t>
  </si>
  <si>
    <t>T24 2022</t>
  </si>
  <si>
    <t xml:space="preserve">ComNET </t>
  </si>
  <si>
    <t>Plug load and schedules project</t>
  </si>
  <si>
    <t>CPUC</t>
  </si>
  <si>
    <t>PNNL90.1 2022</t>
  </si>
  <si>
    <t>Proposed</t>
  </si>
  <si>
    <t>COMNET/Building_Space_Specific_Loads/dining__cafeteria_fast_food/kitchen/space_specific_schedules.json at master · pnnl/COMNET · GitHub</t>
  </si>
  <si>
    <t>COMNET/Building_Space_Specific_Loads/dining__cafeteria_fast_food/dining_cafeteria_fast_food/space_specific_schedules.json at master · pnnl/COMNET · GitHub</t>
  </si>
  <si>
    <t>Equipment</t>
  </si>
  <si>
    <t>All zones</t>
  </si>
  <si>
    <t>Lighting</t>
  </si>
  <si>
    <t>0.05,</t>
  </si>
  <si>
    <t>lighting</t>
  </si>
  <si>
    <t>RestaurantFastFood Equipment</t>
  </si>
  <si>
    <t xml:space="preserve">T24 2022 - Appendix 5.4B
</t>
  </si>
  <si>
    <t>RestaurantFastFood Occupancy</t>
  </si>
  <si>
    <t>RestaurantFastFoodLighting</t>
  </si>
  <si>
    <t>RestaurantFastFood HVAC availability</t>
  </si>
  <si>
    <t>RestaurantFastFood Service Hot Water</t>
  </si>
  <si>
    <t>RestaurantFastFood Infiltration</t>
  </si>
  <si>
    <t>Exhaust Hood Equal Or Less Than 5000cfm</t>
  </si>
  <si>
    <t>Exhaust Hood Greater Than 5000cfm</t>
  </si>
  <si>
    <t>Gas Equipment</t>
  </si>
  <si>
    <t>;</t>
  </si>
  <si>
    <t>HVAC  Operating Hour</t>
  </si>
  <si>
    <t>Period</t>
  </si>
  <si>
    <t>Weekdays Multiplier</t>
  </si>
  <si>
    <t>12:00 am - 6:00 am</t>
  </si>
  <si>
    <t>6:00 am -7:00 am</t>
  </si>
  <si>
    <t>20% capcaity</t>
  </si>
  <si>
    <t>7:00 am - 8:00 am</t>
  </si>
  <si>
    <t>70% Capacity</t>
  </si>
  <si>
    <t xml:space="preserve">8:00 am - 17:00 pm </t>
  </si>
  <si>
    <t>Full capacity</t>
  </si>
  <si>
    <t>17:00 pm - 18:00 pm</t>
  </si>
  <si>
    <t>18:00 pm - 19:00 pm</t>
  </si>
  <si>
    <t>50% capacity</t>
  </si>
  <si>
    <t>19:00 pm - 20:00 pm</t>
  </si>
  <si>
    <t>20:00 pm - 22:00 pm</t>
  </si>
  <si>
    <t>22:00 pm - 12:00 am</t>
  </si>
  <si>
    <t>CEUS 2022 data</t>
  </si>
  <si>
    <t>Total Weighted Average Annual Operating Hours</t>
  </si>
  <si>
    <t>Working day</t>
  </si>
  <si>
    <t xml:space="preserve"> Weighted Average Operating Hours Per Day </t>
  </si>
  <si>
    <t>Weighted average operating hours  per working day (assuming zeo load for weekends)</t>
  </si>
  <si>
    <t>Operating Hours Per Day (in 4-hrs bin) By Planning Area &amp; Forecast Zone</t>
  </si>
  <si>
    <t>Calculation Method</t>
  </si>
  <si>
    <t>Statewide/  Utility/ FCZ</t>
  </si>
  <si>
    <t>0&lt; X &lt;=4</t>
  </si>
  <si>
    <t>4&lt; X &lt;=8</t>
  </si>
  <si>
    <t>8&lt; X &lt;=12</t>
  </si>
  <si>
    <t>12&lt; X &lt;=16</t>
  </si>
  <si>
    <t>16&lt; X &lt;=20</t>
  </si>
  <si>
    <t>20&lt;= X &lt;24</t>
  </si>
  <si>
    <t>24 Hrs/Day</t>
  </si>
  <si>
    <t>Not Available</t>
  </si>
  <si>
    <r>
      <rPr>
        <b/>
        <sz val="14"/>
        <color rgb="FF0070C0"/>
        <rFont val="Calibri"/>
        <family val="2"/>
        <scheme val="minor"/>
      </rPr>
      <t xml:space="preserve">←  </t>
    </r>
    <r>
      <rPr>
        <b/>
        <sz val="11"/>
        <color rgb="FF0070C0"/>
        <rFont val="Calibri"/>
        <family val="2"/>
        <scheme val="minor"/>
      </rPr>
      <t xml:space="preserve"> Operating Hours Per Day</t>
    </r>
  </si>
  <si>
    <t>Floorspace-Based</t>
  </si>
  <si>
    <t>Annual Operating Hours By Planning Area &amp; Forecast Zone</t>
  </si>
  <si>
    <t>&lt;=500 Hrs</t>
  </si>
  <si>
    <t>500 &lt; Hrs &lt;=1000</t>
  </si>
  <si>
    <t>1000 &lt; Hrs &lt;=1500</t>
  </si>
  <si>
    <t>1500 &lt; Hrs &lt;=2000</t>
  </si>
  <si>
    <t>2000 &lt; Hrs &lt;=2500</t>
  </si>
  <si>
    <t>2500 &lt; Hrs &lt;=3000</t>
  </si>
  <si>
    <t>3000 &lt; Hrs &lt;=3500</t>
  </si>
  <si>
    <t>3500 &lt; Hrs &lt;=4000</t>
  </si>
  <si>
    <t>4000 &lt; Hrs &lt;=4500</t>
  </si>
  <si>
    <t>4500 &lt; Hrs &lt;=5000</t>
  </si>
  <si>
    <t>5000 &lt; Hrs &lt;=5500</t>
  </si>
  <si>
    <t>5500 &lt; Hrs &lt;=6000</t>
  </si>
  <si>
    <t>6500 &lt; Hrs &lt;=7000</t>
  </si>
  <si>
    <t>7000 &lt; Hrs &lt;=7000</t>
  </si>
  <si>
    <t>7500 &lt; Hrs &lt;=8000</t>
  </si>
  <si>
    <t>8000&lt; Hrs &lt;=8500</t>
  </si>
  <si>
    <t>8001 &lt; Hrs &lt;=8500</t>
  </si>
  <si>
    <t xml:space="preserve"> 8500 &lt; Hrs &lt;8760</t>
  </si>
  <si>
    <t>8760 Hours</t>
  </si>
  <si>
    <t xml:space="preserve">←   Annual Operating Hours </t>
  </si>
  <si>
    <t>Occupnacy Schedules (existing prototypes extracted from the idf files (presented below)</t>
  </si>
  <si>
    <t>PNNL</t>
  </si>
  <si>
    <t>DEER</t>
  </si>
  <si>
    <t>CEC</t>
  </si>
  <si>
    <t>m2/person</t>
  </si>
  <si>
    <t>Person/m2: 0.0538195521</t>
  </si>
  <si>
    <t>Person/m2 :0.0538195521</t>
  </si>
  <si>
    <t>PNNL (Core+ 3 Perimeter)</t>
  </si>
  <si>
    <t>PNNL( 1 Perimeter)</t>
  </si>
  <si>
    <t>DEER Normal day</t>
  </si>
  <si>
    <t>DEER Saturday</t>
  </si>
  <si>
    <t>DEER (Other day)</t>
  </si>
  <si>
    <t>CEC Weekday</t>
  </si>
  <si>
    <t>CEC Saturday</t>
  </si>
  <si>
    <t>CEC Sunday</t>
  </si>
  <si>
    <t xml:space="preserve">10 h entirely occupied </t>
  </si>
  <si>
    <t xml:space="preserve">9 h entirely occupied </t>
  </si>
  <si>
    <t>DEER 2024 (Old model rebuilt in E+)</t>
  </si>
  <si>
    <t>DEERSmall Office idf: 07-2024</t>
  </si>
  <si>
    <t xml:space="preserve"> Schedule:Compact,</t>
  </si>
  <si>
    <t xml:space="preserve">    Hall EL1 Core Spc (G.C5) Occupant Sch,  !- Name</t>
  </si>
  <si>
    <t xml:space="preserve">    OfficeSmall EL1 North Perim Spc (G.N3) Occupant Sch,  !- Name</t>
  </si>
  <si>
    <t xml:space="preserve">    OfficeSmall EL1 East Perim Spc (G.E2) Occupant Sch,  !- Name</t>
  </si>
  <si>
    <t xml:space="preserve">    OfficeSmall EL1 South Perim Spc (G.S1) Occupant Sch,  !- Name</t>
  </si>
  <si>
    <t xml:space="preserve">    OfficeSmall EL1 West Perim Spc (G.W4) Occupant Sch,  !- Name</t>
  </si>
  <si>
    <t xml:space="preserve">    Hall EL1 Core Spc (T.C15) Occupant Sch,  !- Name</t>
  </si>
  <si>
    <t xml:space="preserve">    OfficeSmall EL1 East Perim Spc (T.E12) Occupant Sch,  !- Name</t>
  </si>
  <si>
    <t xml:space="preserve">    OfficeSmall EL1 North Perim Spc (T.N13) Occupant Sch,  !- Name</t>
  </si>
  <si>
    <t xml:space="preserve">    OfficeSmall EL1 South Perim Spc (T.S11) Occupant Sch,  !- Name</t>
  </si>
  <si>
    <t xml:space="preserve">    OfficeSmall EL1 West Perim Spc (T.W14) Occupant Sch,  !- Name</t>
  </si>
  <si>
    <t xml:space="preserve">    Unit Interval,           !- Schedule Type Limits Name</t>
  </si>
  <si>
    <t xml:space="preserve">    Through: 12/31,          !- Field 1</t>
  </si>
  <si>
    <t xml:space="preserve">    For: SummerDesignDay,    !- Field 2</t>
  </si>
  <si>
    <t xml:space="preserve">    Until: 24:00,1.0,        !- Field 3</t>
  </si>
  <si>
    <t xml:space="preserve">    For: WinterDesignDay,    !- Field 5</t>
  </si>
  <si>
    <t xml:space="preserve">    Until: 24:00,0.0,        !- Field 6</t>
  </si>
  <si>
    <t xml:space="preserve">    For: Weekdays,           !- Field 8</t>
  </si>
  <si>
    <t xml:space="preserve">    Until: 06:00,0.0,        !- Field 9</t>
  </si>
  <si>
    <t xml:space="preserve">    Until: 07:00,0.10,       !- Field 11</t>
  </si>
  <si>
    <t xml:space="preserve">    Until: 08:00,0.20,       !- Field 13</t>
  </si>
  <si>
    <t xml:space="preserve">    Until: 12:00,0.95,       !- Field 15</t>
  </si>
  <si>
    <t xml:space="preserve">    Until: 13:00,0.50,       !- Field 17</t>
  </si>
  <si>
    <t xml:space="preserve">    Until: 17:00,0.95,       !- Field 19</t>
  </si>
  <si>
    <t xml:space="preserve">    Until: 18:00,0.30,       !- Field 21</t>
  </si>
  <si>
    <t xml:space="preserve">    Until: 22:00,0.10,       !- Field 23</t>
  </si>
  <si>
    <t xml:space="preserve">    Until: 24:00,0.05,       !- Field 25</t>
  </si>
  <si>
    <t xml:space="preserve">    For: Saturday,           !- Field 27</t>
  </si>
  <si>
    <t xml:space="preserve">    Until: 06:00,0.0,        !- Field 28</t>
  </si>
  <si>
    <t xml:space="preserve">    Until: 08:00,0.10,       !- Field 30</t>
  </si>
  <si>
    <t xml:space="preserve">    Until: 12:00,0.30,       !- Field 32</t>
  </si>
  <si>
    <t xml:space="preserve">    Until: 17:00,0.10,       !- Field 34</t>
  </si>
  <si>
    <t xml:space="preserve">    Until: 19:00,0.05,       !- Field 36</t>
  </si>
  <si>
    <t xml:space="preserve">    Until: 24:00,0.0,        !- Field 38</t>
  </si>
  <si>
    <t xml:space="preserve">    For: AllOtherDays,       !- Field 40</t>
  </si>
  <si>
    <t xml:space="preserve">    Until: 06:00,0.0,        !- Field 41</t>
  </si>
  <si>
    <t xml:space="preserve">    Until: 18:00,0.05,       !- Field 43</t>
  </si>
  <si>
    <t xml:space="preserve">    Until: 24:00,0.0;        !- Field 45</t>
  </si>
  <si>
    <t>PNNL 2022</t>
  </si>
  <si>
    <t>PNNL Small Office</t>
  </si>
  <si>
    <t xml:space="preserve">For only 1 perimeter zone </t>
  </si>
  <si>
    <t xml:space="preserve">    BLDG_OCC_SCH_w_SB,       !- Name</t>
  </si>
  <si>
    <t xml:space="preserve">    BLDG_OCC_SCH_wo_SB,      !- Name</t>
  </si>
  <si>
    <t xml:space="preserve">    Fraction,                !- Schedule Type Limits Name</t>
  </si>
  <si>
    <t xml:space="preserve">    For: Weekdays,           !- Field 2</t>
  </si>
  <si>
    <t xml:space="preserve">    Until: 01:00,0,          !- Field 3</t>
  </si>
  <si>
    <t xml:space="preserve">    Until: 02:00,0,          !- Field 5</t>
  </si>
  <si>
    <t xml:space="preserve">    Until: 03:00,0,          !- Field 7</t>
  </si>
  <si>
    <t xml:space="preserve">    Until: 04:00,0,          !- Field 9</t>
  </si>
  <si>
    <t xml:space="preserve">    Until: 05:00,0,          !- Field 11</t>
  </si>
  <si>
    <t xml:space="preserve">    Until: 06:00,0,          !- Field 13</t>
  </si>
  <si>
    <t xml:space="preserve">    Until: 07:00,0.11,       !- Field 15</t>
  </si>
  <si>
    <t xml:space="preserve">    Until: 08:00,0.21,       !- Field 17</t>
  </si>
  <si>
    <t xml:space="preserve">    Until: 09:00,1,          !- Field 19</t>
  </si>
  <si>
    <t xml:space="preserve">    Until: 10:00,1,          !- Field 21</t>
  </si>
  <si>
    <t xml:space="preserve">    Until: 11:00,0,          !- Field 23</t>
  </si>
  <si>
    <t xml:space="preserve">    Until: 11:00,1,          !- Field 23</t>
  </si>
  <si>
    <t xml:space="preserve">    Until: 12:00,1,          !- Field 25</t>
  </si>
  <si>
    <t xml:space="preserve">    Until: 13:00,0,          !- Field 27</t>
  </si>
  <si>
    <t xml:space="preserve">    Until: 13:00,0.610394505402463, !- Field 27</t>
  </si>
  <si>
    <t xml:space="preserve">    Until: 14:00,1,          !- Field 29</t>
  </si>
  <si>
    <t xml:space="preserve">    Until: 15:00,0,          !- Field 31</t>
  </si>
  <si>
    <t xml:space="preserve">    Until: 15:00,1,          !- Field 31</t>
  </si>
  <si>
    <t xml:space="preserve">    Until: 16:00,1,          !- Field 33</t>
  </si>
  <si>
    <t xml:space="preserve">    Until: 17:00,1,          !- Field 35</t>
  </si>
  <si>
    <t xml:space="preserve">    Until: 18:00,0.32,       !- Field 37</t>
  </si>
  <si>
    <t xml:space="preserve">    Until: 19:00,0.11,       !- Field 39</t>
  </si>
  <si>
    <t xml:space="preserve">    Until: 20:00,0.11,       !- Field 41</t>
  </si>
  <si>
    <t xml:space="preserve">    Until: 21:00,0.11,       !- Field 43</t>
  </si>
  <si>
    <t xml:space="preserve">    Until: 22:00,0.11,       !- Field 45</t>
  </si>
  <si>
    <t xml:space="preserve">    Until: 23:00,0.05,       !- Field 47</t>
  </si>
  <si>
    <t xml:space="preserve">    Until: 24:00,0,          !- Field 49</t>
  </si>
  <si>
    <t xml:space="preserve">    For: Weekends,           !- Field 51</t>
  </si>
  <si>
    <t xml:space="preserve">    Until: 01:00,0,          !- Field 52</t>
  </si>
  <si>
    <t xml:space="preserve">    Until: 02:00,0,          !- Field 54</t>
  </si>
  <si>
    <t xml:space="preserve">    Until: 03:00,0,          !- Field 56</t>
  </si>
  <si>
    <t xml:space="preserve">    Until: 04:00,0,          !- Field 58</t>
  </si>
  <si>
    <t xml:space="preserve">    Until: 05:00,0,          !- Field 60</t>
  </si>
  <si>
    <t xml:space="preserve">    Until: 06:00,0,          !- Field 62</t>
  </si>
  <si>
    <t xml:space="preserve">    Until: 07:00,0,          !- Field 64</t>
  </si>
  <si>
    <t xml:space="preserve">    Until: 08:00,0,          !- Field 66</t>
  </si>
  <si>
    <t xml:space="preserve">    Until: 09:00,0,          !- Field 68</t>
  </si>
  <si>
    <t xml:space="preserve">    Until: 10:00,0,          !- Field 70</t>
  </si>
  <si>
    <t xml:space="preserve">    Until: 11:00,0,          !- Field 72</t>
  </si>
  <si>
    <t xml:space="preserve">    Until: 12:00,0,          !- Field 74</t>
  </si>
  <si>
    <t xml:space="preserve">    Until: 13:00,0,          !- Field 76</t>
  </si>
  <si>
    <t xml:space="preserve">    Until: 14:00,0,          !- Field 78</t>
  </si>
  <si>
    <t xml:space="preserve">    Until: 15:00,0,          !- Field 80</t>
  </si>
  <si>
    <t xml:space="preserve">    Until: 16:00,0,          !- Field 82</t>
  </si>
  <si>
    <t xml:space="preserve">    Until: 17:00,0,          !- Field 84</t>
  </si>
  <si>
    <t xml:space="preserve">    Until: 18:00,0,          !- Field 86</t>
  </si>
  <si>
    <t xml:space="preserve">    Until: 19:00,0,          !- Field 88</t>
  </si>
  <si>
    <t xml:space="preserve">    Until: 20:00,0,          !- Field 90</t>
  </si>
  <si>
    <t xml:space="preserve">    Until: 21:00,0,          !- Field 92</t>
  </si>
  <si>
    <t xml:space="preserve">    Until: 22:00,0,          !- Field 94</t>
  </si>
  <si>
    <t xml:space="preserve">    Until: 23:00,0,          !- Field 96</t>
  </si>
  <si>
    <t xml:space="preserve">Occupancy Load </t>
  </si>
  <si>
    <t>13 hours</t>
  </si>
  <si>
    <t xml:space="preserve">    Until: 24:00,0,          !- Field 98</t>
  </si>
  <si>
    <t xml:space="preserve">    For: Holiday,            !- Field 100</t>
  </si>
  <si>
    <t xml:space="preserve">    Until: 24:00,0.0,        !- Field 101</t>
  </si>
  <si>
    <t xml:space="preserve">    For: WinterDesignDay,    !- Field 103</t>
  </si>
  <si>
    <t>CEUS</t>
  </si>
  <si>
    <t>Entirely occupied</t>
  </si>
  <si>
    <t xml:space="preserve">    Until: 24:00,0.0,        !- Field 104</t>
  </si>
  <si>
    <t xml:space="preserve">    For: SummerDesignDay,    !- Field 106</t>
  </si>
  <si>
    <t xml:space="preserve">    Until: 24:00,1.0,        !- Field 107</t>
  </si>
  <si>
    <t>Weighted average operating hours per working day</t>
  </si>
  <si>
    <t xml:space="preserve">    For: CustomDay1,         !- Field 109</t>
  </si>
  <si>
    <t xml:space="preserve">    Until: 24:00,0.0,        !- Field 110</t>
  </si>
  <si>
    <t xml:space="preserve">    For: CustomDay2,         !- Field 112</t>
  </si>
  <si>
    <t xml:space="preserve">    Until: 24:00,0.0;        !- Field 113</t>
  </si>
  <si>
    <t>CBECC 2023</t>
  </si>
  <si>
    <t>CEC: CBEC 2023</t>
  </si>
  <si>
    <t xml:space="preserve">  Schedule:Day:Interval,</t>
  </si>
  <si>
    <t xml:space="preserve"> Schedule:Day:Interval,</t>
  </si>
  <si>
    <t>Schedule:Day:Interval,</t>
  </si>
  <si>
    <t xml:space="preserve">    OfficeOccupancyWD,       !- Name</t>
  </si>
  <si>
    <t xml:space="preserve">    OfficeOccupancySat,      !- Name</t>
  </si>
  <si>
    <t xml:space="preserve">    OfficeOccupancySun,      !- Name</t>
  </si>
  <si>
    <t xml:space="preserve">    No,                      !- Interpolate to Timestep</t>
  </si>
  <si>
    <t xml:space="preserve">    01:00,                   !- Time 1</t>
  </si>
  <si>
    <t xml:space="preserve">    0,                       !- Value Until Time 1</t>
  </si>
  <si>
    <t xml:space="preserve">    02:00,                   !- Time 2</t>
  </si>
  <si>
    <t xml:space="preserve">    0,                       !- Value Until Time 2</t>
  </si>
  <si>
    <t xml:space="preserve">    03:00,                   !- Time 3</t>
  </si>
  <si>
    <t xml:space="preserve">    0,                       !- Value Until Time 3</t>
  </si>
  <si>
    <t xml:space="preserve">    04:00,                   !- Time 4</t>
  </si>
  <si>
    <t xml:space="preserve">    0,                       !- Value Until Time 4</t>
  </si>
  <si>
    <t xml:space="preserve">    05:00,                   !- Time 5</t>
  </si>
  <si>
    <t xml:space="preserve">    0,                       !- Value Until Time 5</t>
  </si>
  <si>
    <t xml:space="preserve">    06:00,                   !- Time 6</t>
  </si>
  <si>
    <t xml:space="preserve">    0,                       !- Value Until Time 6</t>
  </si>
  <si>
    <t xml:space="preserve">    07:00,                   !- Time 7</t>
  </si>
  <si>
    <t xml:space="preserve">    0.1,                     !- Value Until Time 7</t>
  </si>
  <si>
    <t xml:space="preserve">    0.05,                    !- Value Until Time 7</t>
  </si>
  <si>
    <t xml:space="preserve">    08:00,                   !- Time 8</t>
  </si>
  <si>
    <t xml:space="preserve">    0.2,                     !- Value Until Time 8</t>
  </si>
  <si>
    <t xml:space="preserve">    0.1,                     !- Value Until Time 8</t>
  </si>
  <si>
    <t xml:space="preserve">    0.05,                    !- Value Until Time 8</t>
  </si>
  <si>
    <t xml:space="preserve">    09:00,                   !- Time 9</t>
  </si>
  <si>
    <t xml:space="preserve">    0.95,                    !- Value Until Time 9</t>
  </si>
  <si>
    <t xml:space="preserve">    0.3,                     !- Value Until Time 9</t>
  </si>
  <si>
    <t xml:space="preserve">    0.05,                    !- Value Until Time 9</t>
  </si>
  <si>
    <t xml:space="preserve">    10:00,                   !- Time 10</t>
  </si>
  <si>
    <t xml:space="preserve">    0.95,                    !- Value Until Time 10</t>
  </si>
  <si>
    <t xml:space="preserve">    0.3,                     !- Value Until Time 10</t>
  </si>
  <si>
    <t xml:space="preserve">    0.05,                    !- Value Until Time 10</t>
  </si>
  <si>
    <t xml:space="preserve">    11:00,                   !- Time 11</t>
  </si>
  <si>
    <t xml:space="preserve">    0.95,                    !- Value Until Time 11</t>
  </si>
  <si>
    <t xml:space="preserve">    0.3,                     !- Value Until Time 11</t>
  </si>
  <si>
    <t xml:space="preserve">    0.05,                    !- Value Until Time 11</t>
  </si>
  <si>
    <t xml:space="preserve">    12:00,                   !- Time 12</t>
  </si>
  <si>
    <t xml:space="preserve">    0.95,                    !- Value Until Time 12</t>
  </si>
  <si>
    <t xml:space="preserve">    0.3,                     !- Value Until Time 12</t>
  </si>
  <si>
    <t xml:space="preserve">    0.05,                    !- Value Until Time 12</t>
  </si>
  <si>
    <t xml:space="preserve">    13:00,                   !- Time 13</t>
  </si>
  <si>
    <t xml:space="preserve">    0.5,                     !- Value Until Time 13</t>
  </si>
  <si>
    <t xml:space="preserve">    0.1,                     !- Value Until Time 13</t>
  </si>
  <si>
    <t xml:space="preserve">    0.05,                    !- Value Until Time 13</t>
  </si>
  <si>
    <t xml:space="preserve">    14:00,                   !- Time 14</t>
  </si>
  <si>
    <t xml:space="preserve">    0.95,                    !- Value Until Time 14</t>
  </si>
  <si>
    <t xml:space="preserve">    0.1,                     !- Value Until Time 14</t>
  </si>
  <si>
    <t xml:space="preserve">    0.05,                    !- Value Until Time 14</t>
  </si>
  <si>
    <t xml:space="preserve">    15:00,                   !- Time 15</t>
  </si>
  <si>
    <t xml:space="preserve">    0.95,                    !- Value Until Time 15</t>
  </si>
  <si>
    <t xml:space="preserve">    0.1,                     !- Value Until Time 15</t>
  </si>
  <si>
    <t xml:space="preserve">    0.05,                    !- Value Until Time 15</t>
  </si>
  <si>
    <t xml:space="preserve">    16:00,                   !- Time 16</t>
  </si>
  <si>
    <t xml:space="preserve">    0.95,                    !- Value Until Time 16</t>
  </si>
  <si>
    <t xml:space="preserve">    0.1,                     !- Value Until Time 16</t>
  </si>
  <si>
    <t xml:space="preserve">    0.05,                    !- Value Until Time 16</t>
  </si>
  <si>
    <t xml:space="preserve">    17:00,                   !- Time 17</t>
  </si>
  <si>
    <t xml:space="preserve">    0.95,                    !- Value Until Time 17</t>
  </si>
  <si>
    <t xml:space="preserve">    0.1,                     !- Value Until Time 17</t>
  </si>
  <si>
    <t xml:space="preserve">    0.05,                    !- Value Until Time 17</t>
  </si>
  <si>
    <t xml:space="preserve">    18:00,                   !- Time 18</t>
  </si>
  <si>
    <t xml:space="preserve">    0.3,                     !- Value Until Time 18</t>
  </si>
  <si>
    <t xml:space="preserve">    0.05,                    !- Value Until Time 18</t>
  </si>
  <si>
    <t xml:space="preserve">    19:00,                   !- Time 19</t>
  </si>
  <si>
    <t xml:space="preserve">    0.1,                     !- Value Until Time 19</t>
  </si>
  <si>
    <t xml:space="preserve">    0.05,                    !- Value Until Time 19</t>
  </si>
  <si>
    <t xml:space="preserve">    0,                       !- Value Until Time 19</t>
  </si>
  <si>
    <t xml:space="preserve">    20:00,                   !- Time 20</t>
  </si>
  <si>
    <t xml:space="preserve">    0.1,                     !- Value Until Time 20</t>
  </si>
  <si>
    <t xml:space="preserve">    0,                       !- Value Until Time 20</t>
  </si>
  <si>
    <t xml:space="preserve">    21:00,                   !- Time 21</t>
  </si>
  <si>
    <t xml:space="preserve">    0.1,                     !- Value Until Time 21</t>
  </si>
  <si>
    <t xml:space="preserve">    0,                       !- Value Until Time 21</t>
  </si>
  <si>
    <t xml:space="preserve">    22:00,                   !- Time 22</t>
  </si>
  <si>
    <t xml:space="preserve">    0.1,                     !- Value Until Time 22</t>
  </si>
  <si>
    <t xml:space="preserve">    0,                       !- Value Until Time 22</t>
  </si>
  <si>
    <t xml:space="preserve">    23:00,                   !- Time 23</t>
  </si>
  <si>
    <t xml:space="preserve">    0.05,                    !- Value Until Time 23</t>
  </si>
  <si>
    <t xml:space="preserve">    0,                       !- Value Until Time 23</t>
  </si>
  <si>
    <t xml:space="preserve">    24:00,                   !- Time 24</t>
  </si>
  <si>
    <t xml:space="preserve">    0.05;                    !- Value Until Time 24</t>
  </si>
  <si>
    <t xml:space="preserve">    0;                       !- Value Until Time 24</t>
  </si>
  <si>
    <t>National Average (EnergyStar Portfolio Manager)</t>
  </si>
  <si>
    <t>CEUS Energy Consumption - Restaurant</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</si>
  <si>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</si>
  <si>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</si>
  <si>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</si>
  <si>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</si>
  <si>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</si>
  <si>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</si>
  <si>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</si>
  <si>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</si>
  <si>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</si>
  <si>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</si>
  <si>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</si>
  <si>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</si>
  <si>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2022 Electricity EUI (kBtu/ft²)</t>
  </si>
  <si>
    <t>CEUS 2022 Gas EUI  (kBtu/ft²)</t>
  </si>
  <si>
    <t>CEUS 2022 Total EUI (kBtu/ft²)</t>
  </si>
  <si>
    <t xml:space="preserve">CEUS 2022 Acceptable EUI Range </t>
  </si>
  <si>
    <t>RetailStripMall</t>
  </si>
  <si>
    <t>Same for all ZIP code</t>
  </si>
  <si>
    <t xml:space="preserve">Ref: CEUS 2022 Report </t>
  </si>
  <si>
    <t xml:space="preserve">And converted FZ level data to CZ level </t>
  </si>
  <si>
    <t>Restaurants have only one category in CEUS data.</t>
  </si>
  <si>
    <t xml:space="preserve">EIA 2018: </t>
  </si>
  <si>
    <t>In CZ 15 Design day gives us coil capacity of 6419 but I hard sized it to 90,000  btu/hr to decrease Heating Unmet hr in Kitchen</t>
  </si>
  <si>
    <t xml:space="preserve">Design day Coil size in CZ15 for V2 is about 250,000! </t>
  </si>
  <si>
    <t>Screenshot of assumption for the national average in the EnergyStar Portfolio Manager website</t>
  </si>
  <si>
    <t>ENERGY STAR Portfolio Manager Upgrade</t>
  </si>
  <si>
    <t>Vintage Bin</t>
  </si>
  <si>
    <t>Pre-1978</t>
  </si>
  <si>
    <t>Not available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</si>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</sst>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s>
  <fonts count="79" x14ac:knownFonts="1">
    <font>
      <sz val="11"/>
      <color theme="1"/>
      <name val="Calibri"/>
      <family val="2"/>
      <scheme val="minor"/>
    </font>
    <font>
      <b/>
      <sz val="14"/>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4"/>
      <name val="Calibri"/>
      <family val="2"/>
      <scheme val="minor"/>
    </font>
    <font>
      <b/>
      <sz val="10"/>
      <color theme="1"/>
      <name val="Arial"/>
      <family val="2"/>
    </font>
    <font>
      <u/>
      <sz val="11"/>
      <color theme="10"/>
      <name val="Calibri"/>
      <family val="2"/>
      <scheme val="minor"/>
    </font>
    <font>
      <b/>
      <sz val="11"/>
      <color theme="0"/>
      <name val="Calibri"/>
      <family val="2"/>
      <scheme val="minor"/>
    </font>
    <font>
      <b/>
      <sz val="14"/>
      <color theme="0"/>
      <name val="Calibri"/>
      <family val="2"/>
      <scheme val="minor"/>
    </font>
    <font>
      <sz val="14"/>
      <color theme="1"/>
      <name val="Calibri"/>
      <family val="2"/>
      <scheme val="minor"/>
    </font>
    <font>
      <b/>
      <sz val="12"/>
      <color theme="1"/>
      <name val="Calibri"/>
      <family val="2"/>
      <scheme val="minor"/>
    </font>
    <font>
      <b/>
      <sz val="12"/>
      <color theme="0"/>
      <name val="Calibri"/>
      <family val="2"/>
      <scheme val="minor"/>
    </font>
    <font>
      <b/>
      <sz val="11"/>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b/>
      <sz val="18"/>
      <color theme="0"/>
      <name val="Calibri"/>
      <family val="2"/>
      <scheme val="minor"/>
    </font>
    <font>
      <b/>
      <sz val="11"/>
      <color rgb="FF0070C0"/>
      <name val="Calibri"/>
      <family val="2"/>
      <scheme val="minor"/>
    </font>
    <font>
      <b/>
      <sz val="14"/>
      <color rgb="FF0070C0"/>
      <name val="Calibri"/>
      <family val="2"/>
      <scheme val="minor"/>
    </font>
    <font>
      <sz val="8"/>
      <color rgb="FF000000"/>
      <name val="Calibri"/>
      <family val="2"/>
      <scheme val="minor"/>
    </font>
    <font>
      <b/>
      <sz val="11"/>
      <color rgb="FF000000"/>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sz val="11"/>
      <color theme="0"/>
      <name val="Arial"/>
      <family val="2"/>
    </font>
    <font>
      <sz val="12"/>
      <color theme="1"/>
      <name val="Arial"/>
      <family val="2"/>
    </font>
    <font>
      <b/>
      <sz val="11"/>
      <color rgb="FF0000CC"/>
      <name val="Arial"/>
      <family val="2"/>
    </font>
    <font>
      <sz val="11"/>
      <color rgb="FF000000"/>
      <name val="Arial"/>
      <family val="2"/>
    </font>
    <font>
      <sz val="10"/>
      <color rgb="FF0070C0"/>
      <name val="Arial"/>
      <family val="2"/>
    </font>
    <font>
      <b/>
      <sz val="12"/>
      <color rgb="FFFFFFFF"/>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9"/>
      <name val="Arial"/>
      <family val="2"/>
    </font>
    <font>
      <sz val="9"/>
      <color rgb="FF00B050"/>
      <name val="Arial"/>
      <family val="2"/>
    </font>
    <font>
      <sz val="11"/>
      <name val="Arial"/>
      <family val="2"/>
    </font>
    <font>
      <sz val="9"/>
      <color rgb="FF000000"/>
      <name val="Arial"/>
      <family val="2"/>
    </font>
    <font>
      <sz val="11"/>
      <name val="Aptos Narrow"/>
      <family val="2"/>
    </font>
    <font>
      <sz val="10"/>
      <color rgb="FF92D050"/>
      <name val="Arial"/>
      <family val="2"/>
    </font>
    <font>
      <sz val="11"/>
      <name val="Calibri"/>
      <family val="2"/>
      <scheme val="minor"/>
    </font>
    <font>
      <b/>
      <sz val="11"/>
      <name val="Arial"/>
      <family val="2"/>
    </font>
    <font>
      <sz val="12"/>
      <color rgb="FF000000"/>
      <name val="Arial"/>
      <family val="2"/>
    </font>
    <font>
      <b/>
      <sz val="11"/>
      <color rgb="FFFFFFFF"/>
      <name val="Arial"/>
      <family val="2"/>
    </font>
    <font>
      <sz val="9"/>
      <color rgb="FF0070C0"/>
      <name val="Arial"/>
      <family val="2"/>
    </font>
    <font>
      <b/>
      <sz val="11"/>
      <color rgb="FF000000"/>
      <name val="Arial"/>
      <family val="2"/>
    </font>
    <font>
      <sz val="11"/>
      <color rgb="FF000000"/>
      <name val="Calibri"/>
      <family val="2"/>
    </font>
    <font>
      <sz val="9"/>
      <color rgb="FF2E9F17"/>
      <name val="Arial"/>
      <family val="2"/>
    </font>
    <font>
      <sz val="11"/>
      <color theme="1"/>
      <name val="Calibri"/>
      <family val="2"/>
    </font>
    <font>
      <u/>
      <sz val="10"/>
      <color theme="10"/>
      <name val="Calibri"/>
      <family val="2"/>
      <scheme val="minor"/>
    </font>
    <font>
      <sz val="10"/>
      <color theme="1"/>
      <name val="Arial"/>
    </font>
    <font>
      <sz val="10"/>
      <color rgb="FF000000"/>
      <name val="Arial"/>
    </font>
    <font>
      <b/>
      <sz val="12"/>
      <color rgb="FFFFFFFF"/>
      <name val="Arial"/>
    </font>
    <font>
      <sz val="10"/>
      <color rgb="FFFFFFFF"/>
      <name val="Arial"/>
    </font>
  </fonts>
  <fills count="78">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rgb="FF00206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499984740745262"/>
        <bgColor indexed="64"/>
      </patternFill>
    </fill>
    <fill>
      <patternFill patternType="solid">
        <fgColor rgb="FF0000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rgb="FFD9E1F2"/>
        <bgColor rgb="FF000000"/>
      </patternFill>
    </fill>
    <fill>
      <patternFill patternType="solid">
        <fgColor rgb="FF203764"/>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EFDA"/>
        <bgColor rgb="FF000000"/>
      </patternFill>
    </fill>
    <fill>
      <patternFill patternType="solid">
        <fgColor rgb="FFFFFFFF"/>
        <bgColor rgb="FF000000"/>
      </patternFill>
    </fill>
    <fill>
      <patternFill patternType="solid">
        <fgColor rgb="FFCCCCFF"/>
        <bgColor indexed="64"/>
      </patternFill>
    </fill>
    <fill>
      <patternFill patternType="solid">
        <fgColor rgb="FFF2F2F2"/>
        <bgColor rgb="FF000000"/>
      </patternFill>
    </fill>
    <fill>
      <patternFill patternType="solid">
        <fgColor rgb="FFC6E0B4"/>
        <bgColor rgb="FF000000"/>
      </patternFill>
    </fill>
    <fill>
      <patternFill patternType="solid">
        <fgColor rgb="FFB4C6E7"/>
        <bgColor rgb="FF000000"/>
      </patternFill>
    </fill>
    <fill>
      <patternFill patternType="solid">
        <fgColor rgb="FFDFD1E1"/>
        <bgColor indexed="64"/>
      </patternFill>
    </fill>
    <fill>
      <patternFill patternType="solid">
        <fgColor rgb="FFEFE8F0"/>
        <bgColor indexed="64"/>
      </patternFill>
    </fill>
    <fill>
      <patternFill patternType="solid">
        <fgColor rgb="FFF1EAF2"/>
        <bgColor indexed="64"/>
      </patternFill>
    </fill>
    <fill>
      <patternFill patternType="solid">
        <fgColor rgb="FFD6DCE4"/>
        <bgColor rgb="FF000000"/>
      </patternFill>
    </fill>
    <fill>
      <patternFill patternType="solid">
        <fgColor rgb="FFFFF2CC"/>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BFBFBF"/>
        <bgColor rgb="FF000000"/>
      </patternFill>
    </fill>
    <fill>
      <patternFill patternType="solid">
        <fgColor rgb="FF919090"/>
        <bgColor indexed="64"/>
      </patternFill>
    </fill>
    <fill>
      <patternFill patternType="solid">
        <fgColor rgb="FFF2F2F2"/>
        <bgColor indexed="64"/>
      </patternFill>
    </fill>
  </fills>
  <borders count="260">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right style="thin">
        <color theme="1" tint="0.499984740745262"/>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style="thin">
        <color theme="1" tint="0.499984740745262"/>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medium">
        <color indexed="64"/>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bottom style="thin">
        <color theme="1" tint="0.499984740745262"/>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left>
      <right style="thin">
        <color theme="1"/>
      </right>
      <top style="thin">
        <color theme="1"/>
      </top>
      <bottom/>
      <diagonal/>
    </border>
    <border>
      <left style="thin">
        <color theme="1" tint="0.34998626667073579"/>
      </left>
      <right style="thin">
        <color theme="1" tint="0.34998626667073579"/>
      </right>
      <top style="thin">
        <color theme="1"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style="medium">
        <color indexed="64"/>
      </right>
      <top/>
      <bottom style="medium">
        <color indexed="64"/>
      </bottom>
      <diagonal/>
    </border>
    <border>
      <left/>
      <right style="thin">
        <color theme="1" tint="4.9989318521683403E-2"/>
      </right>
      <top style="thin">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right/>
      <top style="thin">
        <color theme="1" tint="4.9989318521683403E-2"/>
      </top>
      <bottom style="thin">
        <color theme="1" tint="4.9989318521683403E-2"/>
      </bottom>
      <diagonal/>
    </border>
    <border>
      <left/>
      <right/>
      <top style="thin">
        <color theme="1" tint="0.34998626667073579"/>
      </top>
      <bottom/>
      <diagonal/>
    </border>
    <border>
      <left/>
      <right style="thin">
        <color theme="1" tint="0.34998626667073579"/>
      </right>
      <top style="thin">
        <color theme="1" tint="0.34998626667073579"/>
      </top>
      <bottom/>
      <diagonal/>
    </border>
    <border>
      <left/>
      <right style="thin">
        <color theme="1" tint="0.34998626667073579"/>
      </right>
      <top/>
      <bottom/>
      <diagonal/>
    </border>
    <border>
      <left/>
      <right/>
      <top/>
      <bottom style="thin">
        <color theme="1" tint="0.34998626667073579"/>
      </bottom>
      <diagonal/>
    </border>
    <border>
      <left style="thin">
        <color rgb="FF595959"/>
      </left>
      <right style="thin">
        <color rgb="FF595959"/>
      </right>
      <top style="thin">
        <color rgb="FF595959"/>
      </top>
      <bottom style="thin">
        <color rgb="FF595959"/>
      </bottom>
      <diagonal/>
    </border>
    <border>
      <left style="thin">
        <color rgb="FF595959"/>
      </left>
      <right/>
      <top style="thin">
        <color rgb="FF595959"/>
      </top>
      <bottom/>
      <diagonal/>
    </border>
    <border>
      <left/>
      <right style="thin">
        <color rgb="FF595959"/>
      </right>
      <top style="thin">
        <color rgb="FF595959"/>
      </top>
      <bottom/>
      <diagonal/>
    </border>
    <border>
      <left style="thin">
        <color rgb="FF595959"/>
      </left>
      <right style="thin">
        <color rgb="FF595959"/>
      </right>
      <top style="thin">
        <color rgb="FF595959"/>
      </top>
      <bottom/>
      <diagonal/>
    </border>
    <border>
      <left style="thin">
        <color rgb="FF595959"/>
      </left>
      <right/>
      <top style="thin">
        <color rgb="FF595959"/>
      </top>
      <bottom style="thin">
        <color rgb="FF595959"/>
      </bottom>
      <diagonal/>
    </border>
    <border>
      <left/>
      <right style="thin">
        <color rgb="FF595959"/>
      </right>
      <top style="thin">
        <color rgb="FF595959"/>
      </top>
      <bottom style="thin">
        <color rgb="FF595959"/>
      </bottom>
      <diagonal/>
    </border>
    <border>
      <left/>
      <right/>
      <top/>
      <bottom style="thin">
        <color rgb="FF595959"/>
      </bottom>
      <diagonal/>
    </border>
    <border>
      <left style="thin">
        <color rgb="FF595959"/>
      </left>
      <right/>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left>
      <right/>
      <top style="thin">
        <color theme="1"/>
      </top>
      <bottom/>
      <diagonal/>
    </border>
    <border>
      <left style="thin">
        <color indexed="64"/>
      </left>
      <right/>
      <top/>
      <bottom style="thin">
        <color theme="1" tint="0.34998626667073579"/>
      </bottom>
      <diagonal/>
    </border>
    <border>
      <left style="medium">
        <color theme="1"/>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style="medium">
        <color theme="1"/>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right/>
      <top style="medium">
        <color theme="1"/>
      </top>
      <bottom/>
      <diagonal/>
    </border>
    <border>
      <left/>
      <right/>
      <top/>
      <bottom style="medium">
        <color theme="1"/>
      </bottom>
      <diagonal/>
    </border>
    <border>
      <left style="thin">
        <color theme="1"/>
      </left>
      <right/>
      <top/>
      <bottom/>
      <diagonal/>
    </border>
    <border>
      <left style="thin">
        <color theme="1" tint="0.499984740745262"/>
      </left>
      <right style="thin">
        <color theme="1" tint="0.499984740745262"/>
      </right>
      <top/>
      <bottom/>
      <diagonal/>
    </border>
    <border>
      <left/>
      <right style="thin">
        <color theme="1"/>
      </right>
      <top/>
      <bottom style="thin">
        <color theme="1"/>
      </bottom>
      <diagonal/>
    </border>
    <border>
      <left style="thin">
        <color theme="1" tint="0.499984740745262"/>
      </left>
      <right style="thin">
        <color theme="1" tint="0.499984740745262"/>
      </right>
      <top style="medium">
        <color theme="1"/>
      </top>
      <bottom/>
      <diagonal/>
    </border>
    <border>
      <left style="thin">
        <color theme="1" tint="0.499984740745262"/>
      </left>
      <right style="thin">
        <color theme="1" tint="0.499984740745262"/>
      </right>
      <top/>
      <bottom style="medium">
        <color theme="1"/>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bottom style="thin">
        <color theme="1"/>
      </bottom>
      <diagonal/>
    </border>
    <border>
      <left style="thin">
        <color theme="1" tint="0.499984740745262"/>
      </left>
      <right style="medium">
        <color indexed="64"/>
      </right>
      <top style="medium">
        <color theme="1"/>
      </top>
      <bottom style="thin">
        <color theme="1" tint="0.499984740745262"/>
      </bottom>
      <diagonal/>
    </border>
    <border>
      <left/>
      <right style="thin">
        <color theme="1"/>
      </right>
      <top style="medium">
        <color theme="1"/>
      </top>
      <bottom/>
      <diagonal/>
    </border>
    <border>
      <left style="thin">
        <color theme="1" tint="0.499984740745262"/>
      </left>
      <right style="medium">
        <color indexed="64"/>
      </right>
      <top style="thin">
        <color theme="1" tint="0.499984740745262"/>
      </top>
      <bottom style="medium">
        <color theme="1"/>
      </bottom>
      <diagonal/>
    </border>
    <border>
      <left/>
      <right style="thin">
        <color theme="1"/>
      </right>
      <top/>
      <bottom style="medium">
        <color theme="1"/>
      </bottom>
      <diagonal/>
    </border>
    <border>
      <left style="thin">
        <color rgb="FF000000"/>
      </left>
      <right/>
      <top style="thin">
        <color rgb="FF000000"/>
      </top>
      <bottom/>
      <diagonal/>
    </border>
    <border>
      <left style="thin">
        <color theme="1" tint="0.499984740745262"/>
      </left>
      <right style="thin">
        <color indexed="64"/>
      </right>
      <top/>
      <bottom/>
      <diagonal/>
    </border>
    <border>
      <left/>
      <right style="thin">
        <color theme="1" tint="0.499984740745262"/>
      </right>
      <top/>
      <bottom/>
      <diagonal/>
    </border>
    <border>
      <left style="thin">
        <color theme="1"/>
      </left>
      <right style="thin">
        <color theme="1" tint="0.499984740745262"/>
      </right>
      <top style="thin">
        <color theme="1" tint="0.499984740745262"/>
      </top>
      <bottom style="thin">
        <color theme="1"/>
      </bottom>
      <diagonal/>
    </border>
    <border>
      <left style="thin">
        <color rgb="FF000000"/>
      </left>
      <right style="thin">
        <color theme="1" tint="0.499984740745262"/>
      </right>
      <top style="thin">
        <color rgb="FF000000"/>
      </top>
      <bottom/>
      <diagonal/>
    </border>
    <border>
      <left style="thin">
        <color theme="1" tint="0.499984740745262"/>
      </left>
      <right style="thin">
        <color theme="1" tint="0.499984740745262"/>
      </right>
      <top style="thin">
        <color theme="1" tint="0.499984740745262"/>
      </top>
      <bottom style="thin">
        <color indexed="64"/>
      </bottom>
      <diagonal/>
    </border>
    <border>
      <left/>
      <right style="thin">
        <color theme="1" tint="0.249977111117893"/>
      </right>
      <top/>
      <bottom style="thin">
        <color theme="1" tint="0.249977111117893"/>
      </bottom>
      <diagonal/>
    </border>
    <border>
      <left style="thin">
        <color indexed="64"/>
      </left>
      <right style="thin">
        <color indexed="64"/>
      </right>
      <top style="thin">
        <color indexed="64"/>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right style="thin">
        <color theme="1"/>
      </right>
      <top/>
      <bottom style="thin">
        <color indexed="64"/>
      </bottom>
      <diagonal/>
    </border>
    <border>
      <left/>
      <right style="thin">
        <color theme="1"/>
      </right>
      <top style="thin">
        <color theme="1" tint="0.499984740745262"/>
      </top>
      <bottom style="thin">
        <color theme="1"/>
      </bottom>
      <diagonal/>
    </border>
    <border>
      <left style="thin">
        <color theme="1" tint="0.499984740745262"/>
      </left>
      <right style="thin">
        <color theme="1"/>
      </right>
      <top/>
      <bottom/>
      <diagonal/>
    </border>
    <border>
      <left style="thin">
        <color indexed="64"/>
      </left>
      <right style="thin">
        <color indexed="64"/>
      </right>
      <top style="thin">
        <color theme="1"/>
      </top>
      <bottom style="thin">
        <color theme="1" tint="0.34998626667073579"/>
      </bottom>
      <diagonal/>
    </border>
    <border>
      <left style="thin">
        <color indexed="64"/>
      </left>
      <right style="medium">
        <color indexed="64"/>
      </right>
      <top style="medium">
        <color indexed="64"/>
      </top>
      <bottom/>
      <diagonal/>
    </border>
    <border>
      <left/>
      <right style="thin">
        <color theme="1" tint="0.499984740745262"/>
      </right>
      <top style="medium">
        <color theme="1"/>
      </top>
      <bottom style="thin">
        <color theme="1" tint="0.499984740745262"/>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theme="1" tint="0.499984740745262"/>
      </right>
      <top style="thin">
        <color theme="1" tint="0.499984740745262"/>
      </top>
      <bottom style="medium">
        <color theme="1"/>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theme="1"/>
      </right>
      <top style="medium">
        <color indexed="64"/>
      </top>
      <bottom/>
      <diagonal/>
    </border>
    <border>
      <left style="thin">
        <color indexed="64"/>
      </left>
      <right style="medium">
        <color theme="1"/>
      </right>
      <top/>
      <bottom/>
      <diagonal/>
    </border>
    <border>
      <left style="thin">
        <color indexed="64"/>
      </left>
      <right style="medium">
        <color theme="1"/>
      </right>
      <top/>
      <bottom style="medium">
        <color indexed="64"/>
      </bottom>
      <diagonal/>
    </border>
    <border>
      <left style="thin">
        <color indexed="64"/>
      </left>
      <right style="thin">
        <color indexed="64"/>
      </right>
      <top style="medium">
        <color indexed="64"/>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indexed="64"/>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rgb="FF000000"/>
      </right>
      <top style="medium">
        <color theme="1" tint="0.34998626667073579"/>
      </top>
      <bottom style="thin">
        <color rgb="FF000000"/>
      </bottom>
      <diagonal/>
    </border>
    <border>
      <left style="thin">
        <color indexed="64"/>
      </left>
      <right/>
      <top style="medium">
        <color theme="1" tint="0.34998626667073579"/>
      </top>
      <bottom/>
      <diagonal/>
    </border>
    <border>
      <left style="thin">
        <color indexed="64"/>
      </left>
      <right style="medium">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rgb="FF000000"/>
      </right>
      <top style="thin">
        <color rgb="FF000000"/>
      </top>
      <bottom style="thin">
        <color rgb="FF000000"/>
      </bottom>
      <diagonal/>
    </border>
    <border>
      <left style="thin">
        <color indexed="64"/>
      </left>
      <right style="medium">
        <color theme="1" tint="0.34998626667073579"/>
      </right>
      <top style="thin">
        <color indexed="64"/>
      </top>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top style="thin">
        <color rgb="FF000000"/>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medium">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rgb="FF000000"/>
      </right>
      <top style="medium">
        <color indexed="64"/>
      </top>
      <bottom style="thin">
        <color rgb="FF000000"/>
      </bottom>
      <diagonal/>
    </border>
    <border>
      <left style="thin">
        <color indexed="64"/>
      </left>
      <right/>
      <top style="medium">
        <color indexed="64"/>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rgb="FF000000"/>
      </right>
      <top style="thin">
        <color rgb="FF000000"/>
      </top>
      <bottom style="thin">
        <color rgb="FF000000"/>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medium">
        <color indexed="64"/>
      </left>
      <right style="thin">
        <color rgb="FF000000"/>
      </right>
      <top style="thin">
        <color rgb="FF000000"/>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top style="medium">
        <color theme="1" tint="0.34998626667073579"/>
      </top>
      <bottom style="thin">
        <color rgb="FF000000"/>
      </bottom>
      <diagonal/>
    </border>
    <border>
      <left style="medium">
        <color indexed="64"/>
      </left>
      <right/>
      <top style="thin">
        <color rgb="FF000000"/>
      </top>
      <bottom style="thin">
        <color rgb="FF000000"/>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top style="thin">
        <color rgb="FF000000"/>
      </top>
      <bottom style="medium">
        <color indexed="64"/>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indexed="64"/>
      </left>
      <right style="thin">
        <color indexed="64"/>
      </right>
      <top style="thin">
        <color theme="1" tint="0.499984740745262"/>
      </top>
      <bottom/>
      <diagonal/>
    </border>
    <border>
      <left style="thin">
        <color theme="1" tint="0.34998626667073579"/>
      </left>
      <right style="medium">
        <color indexed="64"/>
      </right>
      <top style="thin">
        <color theme="1" tint="0.34998626667073579"/>
      </top>
      <bottom style="medium">
        <color theme="1" tint="0.34998626667073579"/>
      </bottom>
      <diagonal/>
    </border>
    <border>
      <left style="medium">
        <color theme="1"/>
      </left>
      <right style="thin">
        <color theme="1" tint="0.499984740745262"/>
      </right>
      <top style="thin">
        <color theme="1" tint="0.499984740745262"/>
      </top>
      <bottom/>
      <diagonal/>
    </border>
    <border>
      <left style="thin">
        <color theme="1" tint="0.499984740745262"/>
      </left>
      <right style="medium">
        <color theme="1"/>
      </right>
      <top style="thin">
        <color theme="1" tint="0.499984740745262"/>
      </top>
      <bottom/>
      <diagonal/>
    </border>
    <border>
      <left style="medium">
        <color theme="1" tint="0.499984740745262"/>
      </left>
      <right style="thin">
        <color indexed="64"/>
      </right>
      <top style="medium">
        <color theme="1" tint="0.499984740745262"/>
      </top>
      <bottom style="thin">
        <color indexed="64"/>
      </bottom>
      <diagonal/>
    </border>
    <border>
      <left/>
      <right/>
      <top style="medium">
        <color theme="1" tint="0.499984740745262"/>
      </top>
      <bottom style="thin">
        <color indexed="64"/>
      </bottom>
      <diagonal/>
    </border>
    <border>
      <left/>
      <right style="medium">
        <color indexed="64"/>
      </right>
      <top style="medium">
        <color indexed="64"/>
      </top>
      <bottom style="thin">
        <color indexed="64"/>
      </bottom>
      <diagonal/>
    </border>
    <border>
      <left style="medium">
        <color theme="1" tint="0.499984740745262"/>
      </left>
      <right style="thin">
        <color indexed="64"/>
      </right>
      <top/>
      <bottom/>
      <diagonal/>
    </border>
    <border>
      <left/>
      <right style="medium">
        <color indexed="64"/>
      </right>
      <top/>
      <bottom style="thin">
        <color indexed="64"/>
      </bottom>
      <diagonal/>
    </border>
    <border>
      <left style="medium">
        <color theme="1" tint="0.499984740745262"/>
      </left>
      <right style="thin">
        <color indexed="64"/>
      </right>
      <top/>
      <bottom style="medium">
        <color theme="1" tint="0.499984740745262"/>
      </bottom>
      <diagonal/>
    </border>
    <border>
      <left/>
      <right/>
      <top/>
      <bottom style="medium">
        <color theme="1" tint="0.499984740745262"/>
      </bottom>
      <diagonal/>
    </border>
    <border>
      <left/>
      <right style="thin">
        <color indexed="64"/>
      </right>
      <top/>
      <bottom style="medium">
        <color indexed="64"/>
      </bottom>
      <diagonal/>
    </border>
    <border>
      <left style="medium">
        <color theme="1" tint="0.499984740745262"/>
      </left>
      <right/>
      <top/>
      <bottom/>
      <diagonal/>
    </border>
    <border>
      <left style="thin">
        <color theme="1" tint="0.499984740745262"/>
      </left>
      <right/>
      <top/>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4.9989318521683403E-2"/>
      </bottom>
      <diagonal/>
    </border>
    <border>
      <left style="thin">
        <color theme="1" tint="0.34998626667073579"/>
      </left>
      <right style="thin">
        <color theme="1" tint="0.34998626667073579"/>
      </right>
      <top style="thin">
        <color theme="1" tint="0.34998626667073579"/>
      </top>
      <bottom style="thin">
        <color theme="1" tint="4.9989318521683403E-2"/>
      </bottom>
      <diagonal/>
    </border>
    <border>
      <left style="thin">
        <color indexed="64"/>
      </left>
      <right style="thin">
        <color theme="1" tint="4.9989318521683403E-2"/>
      </right>
      <top style="thin">
        <color theme="1" tint="4.9989318521683403E-2"/>
      </top>
      <bottom style="thin">
        <color indexed="64"/>
      </bottom>
      <diagonal/>
    </border>
    <border>
      <left style="thin">
        <color theme="1" tint="4.9989318521683403E-2"/>
      </left>
      <right style="thin">
        <color theme="1" tint="4.9989318521683403E-2"/>
      </right>
      <top style="thin">
        <color theme="1" tint="4.9989318521683403E-2"/>
      </top>
      <bottom style="thin">
        <color indexed="64"/>
      </bottom>
      <diagonal/>
    </border>
    <border>
      <left style="thin">
        <color indexed="64"/>
      </left>
      <right style="thin">
        <color theme="1" tint="4.9989318521683403E-2"/>
      </right>
      <top style="thin">
        <color indexed="64"/>
      </top>
      <bottom style="thin">
        <color theme="1" tint="0.34998626667073579"/>
      </bottom>
      <diagonal/>
    </border>
    <border>
      <left style="thin">
        <color theme="1" tint="4.9989318521683403E-2"/>
      </left>
      <right style="thin">
        <color theme="1" tint="4.9989318521683403E-2"/>
      </right>
      <top style="thin">
        <color indexed="64"/>
      </top>
      <bottom style="thin">
        <color theme="1" tint="0.34998626667073579"/>
      </bottom>
      <diagonal/>
    </border>
    <border>
      <left style="thin">
        <color indexed="64"/>
      </left>
      <right style="thin">
        <color indexed="64"/>
      </right>
      <top style="thin">
        <color rgb="FF000000"/>
      </top>
      <bottom style="thin">
        <color theme="1" tint="4.9989318521683403E-2"/>
      </bottom>
      <diagonal/>
    </border>
    <border>
      <left style="thin">
        <color indexed="64"/>
      </left>
      <right style="thin">
        <color indexed="64"/>
      </right>
      <top style="thin">
        <color theme="1" tint="4.9989318521683403E-2"/>
      </top>
      <bottom style="thin">
        <color rgb="FF000000"/>
      </bottom>
      <diagonal/>
    </border>
    <border>
      <left style="thin">
        <color rgb="FF000000"/>
      </left>
      <right/>
      <top style="thin">
        <color rgb="FF595959"/>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57">
    <xf numFmtId="0" fontId="0" fillId="0" borderId="0"/>
    <xf numFmtId="0" fontId="2" fillId="0" borderId="0"/>
    <xf numFmtId="9" fontId="3" fillId="0" borderId="0" applyFont="0" applyFill="0" applyBorder="0" applyAlignment="0" applyProtection="0"/>
    <xf numFmtId="0" fontId="5" fillId="0" borderId="0" applyNumberFormat="0" applyFill="0" applyBorder="0" applyAlignment="0" applyProtection="0"/>
    <xf numFmtId="0" fontId="8" fillId="0" borderId="0"/>
    <xf numFmtId="0" fontId="11" fillId="0" borderId="0" applyNumberFormat="0" applyFill="0" applyBorder="0" applyAlignment="0" applyProtection="0"/>
    <xf numFmtId="43" fontId="3" fillId="0" borderId="0" applyFont="0" applyFill="0" applyBorder="0" applyAlignment="0" applyProtection="0"/>
    <xf numFmtId="0" fontId="3" fillId="0" borderId="0"/>
    <xf numFmtId="9" fontId="8" fillId="0" borderId="0" applyFont="0" applyFill="0" applyBorder="0" applyAlignment="0" applyProtection="0"/>
    <xf numFmtId="0" fontId="22" fillId="0" borderId="0"/>
    <xf numFmtId="0" fontId="24" fillId="0" borderId="0" applyNumberFormat="0" applyFill="0" applyBorder="0" applyAlignment="0" applyProtection="0"/>
    <xf numFmtId="0" fontId="8" fillId="0" borderId="0"/>
    <xf numFmtId="0" fontId="8" fillId="0" borderId="0"/>
    <xf numFmtId="0" fontId="46" fillId="0" borderId="63" applyNumberFormat="0" applyFill="0" applyAlignment="0" applyProtection="0"/>
    <xf numFmtId="0" fontId="47" fillId="0" borderId="64" applyNumberFormat="0" applyFill="0" applyAlignment="0" applyProtection="0"/>
    <xf numFmtId="0" fontId="48" fillId="0" borderId="65" applyNumberFormat="0" applyFill="0" applyAlignment="0" applyProtection="0"/>
    <xf numFmtId="0" fontId="48" fillId="0" borderId="0" applyNumberFormat="0" applyFill="0" applyBorder="0" applyAlignment="0" applyProtection="0"/>
    <xf numFmtId="0" fontId="49" fillId="28" borderId="0" applyNumberFormat="0" applyBorder="0" applyAlignment="0" applyProtection="0"/>
    <xf numFmtId="0" fontId="50" fillId="29" borderId="0" applyNumberFormat="0" applyBorder="0" applyAlignment="0" applyProtection="0"/>
    <xf numFmtId="0" fontId="51" fillId="31" borderId="66" applyNumberFormat="0" applyAlignment="0" applyProtection="0"/>
    <xf numFmtId="0" fontId="52" fillId="32" borderId="67" applyNumberFormat="0" applyAlignment="0" applyProtection="0"/>
    <xf numFmtId="0" fontId="53" fillId="32" borderId="66" applyNumberFormat="0" applyAlignment="0" applyProtection="0"/>
    <xf numFmtId="0" fontId="54" fillId="0" borderId="68" applyNumberFormat="0" applyFill="0" applyAlignment="0" applyProtection="0"/>
    <xf numFmtId="0" fontId="12" fillId="33" borderId="69" applyNumberFormat="0" applyAlignment="0" applyProtection="0"/>
    <xf numFmtId="0" fontId="55" fillId="0" borderId="0" applyNumberFormat="0" applyFill="0" applyBorder="0" applyAlignment="0" applyProtection="0"/>
    <xf numFmtId="0" fontId="3" fillId="34" borderId="70" applyNumberFormat="0" applyFont="0" applyAlignment="0" applyProtection="0"/>
    <xf numFmtId="0" fontId="56" fillId="0" borderId="0" applyNumberFormat="0" applyFill="0" applyBorder="0" applyAlignment="0" applyProtection="0"/>
    <xf numFmtId="0" fontId="4" fillId="0" borderId="71" applyNumberFormat="0" applyFill="0" applyAlignment="0" applyProtection="0"/>
    <xf numFmtId="0" fontId="19"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19" fillId="39"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19" fillId="43"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19" fillId="47" borderId="0" applyNumberFormat="0" applyBorder="0" applyAlignment="0" applyProtection="0"/>
    <xf numFmtId="0" fontId="3" fillId="48" borderId="0" applyNumberFormat="0" applyBorder="0" applyAlignment="0" applyProtection="0"/>
    <xf numFmtId="0" fontId="3" fillId="49" borderId="0" applyNumberFormat="0" applyBorder="0" applyAlignment="0" applyProtection="0"/>
    <xf numFmtId="0" fontId="19" fillId="51"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19"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57" fillId="0" borderId="0" applyNumberFormat="0" applyFill="0" applyBorder="0" applyAlignment="0" applyProtection="0"/>
    <xf numFmtId="0" fontId="58" fillId="30"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58" borderId="0" applyNumberFormat="0" applyBorder="0" applyAlignment="0" applyProtection="0"/>
    <xf numFmtId="0" fontId="3" fillId="0" borderId="0"/>
    <xf numFmtId="0" fontId="20" fillId="0" borderId="0"/>
    <xf numFmtId="0" fontId="73" fillId="0" borderId="0"/>
  </cellStyleXfs>
  <cellXfs count="1033">
    <xf numFmtId="0" fontId="0" fillId="0" borderId="0" xfId="0"/>
    <xf numFmtId="0" fontId="0" fillId="0" borderId="0" xfId="0" applyAlignment="1">
      <alignment wrapText="1"/>
    </xf>
    <xf numFmtId="0" fontId="0" fillId="0" borderId="0" xfId="0" applyAlignment="1">
      <alignment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9" fontId="0" fillId="0" borderId="2" xfId="2" applyFont="1" applyBorder="1"/>
    <xf numFmtId="0" fontId="0" fillId="0" borderId="2" xfId="0" applyBorder="1"/>
    <xf numFmtId="9" fontId="0" fillId="0" borderId="2" xfId="2" applyFont="1" applyBorder="1" applyAlignment="1">
      <alignment horizontal="center"/>
    </xf>
    <xf numFmtId="9" fontId="0" fillId="4" borderId="2" xfId="2" applyFont="1" applyFill="1" applyBorder="1" applyAlignment="1">
      <alignment horizontal="center"/>
    </xf>
    <xf numFmtId="9" fontId="0" fillId="4" borderId="2" xfId="2" applyFont="1" applyFill="1" applyBorder="1"/>
    <xf numFmtId="0" fontId="4" fillId="3" borderId="2" xfId="0" applyFont="1" applyFill="1" applyBorder="1" applyAlignment="1">
      <alignment horizontal="center" wrapText="1"/>
    </xf>
    <xf numFmtId="0" fontId="0" fillId="0" borderId="2" xfId="0" applyBorder="1" applyAlignment="1">
      <alignment vertical="center"/>
    </xf>
    <xf numFmtId="164" fontId="0" fillId="0" borderId="2" xfId="2" applyNumberFormat="1" applyFont="1" applyBorder="1" applyAlignment="1">
      <alignment horizontal="center"/>
    </xf>
    <xf numFmtId="9" fontId="0" fillId="5" borderId="2" xfId="2" applyFont="1" applyFill="1" applyBorder="1"/>
    <xf numFmtId="0" fontId="0" fillId="5" borderId="2" xfId="0" applyFill="1" applyBorder="1"/>
    <xf numFmtId="164" fontId="0" fillId="5" borderId="2" xfId="2" applyNumberFormat="1" applyFont="1" applyFill="1" applyBorder="1" applyAlignment="1">
      <alignment horizontal="center"/>
    </xf>
    <xf numFmtId="9" fontId="0" fillId="0" borderId="2" xfId="2" applyFont="1" applyFill="1" applyBorder="1"/>
    <xf numFmtId="164" fontId="0" fillId="0" borderId="2" xfId="2" applyNumberFormat="1" applyFont="1" applyFill="1" applyBorder="1" applyAlignment="1">
      <alignment horizontal="center"/>
    </xf>
    <xf numFmtId="11" fontId="0" fillId="0" borderId="0" xfId="0" applyNumberFormat="1"/>
    <xf numFmtId="0" fontId="4" fillId="2" borderId="2" xfId="0" applyFont="1" applyFill="1" applyBorder="1" applyAlignment="1">
      <alignment horizontal="left" vertical="center" wrapText="1"/>
    </xf>
    <xf numFmtId="164" fontId="0" fillId="0" borderId="0" xfId="2" applyNumberFormat="1" applyFont="1" applyFill="1" applyBorder="1" applyAlignment="1">
      <alignment horizontal="center"/>
    </xf>
    <xf numFmtId="0" fontId="4" fillId="0" borderId="0" xfId="0" applyFont="1" applyAlignment="1">
      <alignment horizontal="left" vertical="center" wrapText="1"/>
    </xf>
    <xf numFmtId="9" fontId="0" fillId="0" borderId="0" xfId="2" applyFont="1" applyBorder="1"/>
    <xf numFmtId="9" fontId="0" fillId="0" borderId="0" xfId="2" applyFont="1" applyFill="1" applyBorder="1"/>
    <xf numFmtId="0" fontId="10" fillId="9" borderId="2" xfId="4" applyFont="1" applyFill="1" applyBorder="1" applyAlignment="1">
      <alignment horizontal="center"/>
    </xf>
    <xf numFmtId="0" fontId="10" fillId="9" borderId="12" xfId="4" applyFont="1" applyFill="1" applyBorder="1" applyAlignment="1">
      <alignment horizontal="center"/>
    </xf>
    <xf numFmtId="0" fontId="10" fillId="9" borderId="16" xfId="4" applyFont="1" applyFill="1" applyBorder="1" applyAlignment="1">
      <alignment horizontal="center"/>
    </xf>
    <xf numFmtId="0" fontId="10" fillId="9" borderId="19" xfId="4" applyFont="1" applyFill="1" applyBorder="1" applyAlignment="1">
      <alignment horizontal="center"/>
    </xf>
    <xf numFmtId="164" fontId="0" fillId="0" borderId="0" xfId="0" applyNumberFormat="1"/>
    <xf numFmtId="0" fontId="4" fillId="3" borderId="0" xfId="0" applyFont="1" applyFill="1" applyAlignment="1">
      <alignment horizontal="left" vertical="center" wrapText="1"/>
    </xf>
    <xf numFmtId="9" fontId="0" fillId="0" borderId="0" xfId="2" applyFont="1" applyAlignment="1">
      <alignment horizontal="left"/>
    </xf>
    <xf numFmtId="9" fontId="4" fillId="0" borderId="0" xfId="2" applyFont="1" applyFill="1" applyBorder="1"/>
    <xf numFmtId="9" fontId="0" fillId="0" borderId="2" xfId="0" applyNumberFormat="1" applyBorder="1" applyAlignment="1">
      <alignment horizontal="center"/>
    </xf>
    <xf numFmtId="0" fontId="7" fillId="0" borderId="0" xfId="0" applyFont="1" applyAlignment="1">
      <alignment horizontal="left"/>
    </xf>
    <xf numFmtId="0" fontId="4" fillId="8" borderId="2" xfId="0" applyFont="1" applyFill="1" applyBorder="1" applyAlignment="1">
      <alignment horizontal="center" vertical="center"/>
    </xf>
    <xf numFmtId="0" fontId="12" fillId="7" borderId="0" xfId="0" applyFont="1" applyFill="1" applyAlignment="1">
      <alignment wrapText="1"/>
    </xf>
    <xf numFmtId="9" fontId="0" fillId="7" borderId="0" xfId="0" applyNumberFormat="1" applyFill="1" applyAlignment="1">
      <alignment horizontal="center"/>
    </xf>
    <xf numFmtId="0" fontId="15" fillId="0" borderId="14" xfId="0" applyFont="1" applyBorder="1" applyAlignment="1">
      <alignment horizontal="center" vertical="center" wrapText="1"/>
    </xf>
    <xf numFmtId="0" fontId="17" fillId="12" borderId="2" xfId="0" applyFont="1" applyFill="1" applyBorder="1" applyAlignment="1">
      <alignment wrapText="1"/>
    </xf>
    <xf numFmtId="9" fontId="0" fillId="0" borderId="0" xfId="2" applyFont="1" applyBorder="1" applyAlignment="1">
      <alignment horizontal="left"/>
    </xf>
    <xf numFmtId="9" fontId="0" fillId="0" borderId="21" xfId="2" applyFont="1" applyFill="1" applyBorder="1"/>
    <xf numFmtId="9" fontId="0" fillId="0" borderId="21" xfId="2" applyFont="1" applyBorder="1" applyAlignment="1">
      <alignment horizontal="left"/>
    </xf>
    <xf numFmtId="0" fontId="4" fillId="3" borderId="21" xfId="0" applyFont="1" applyFill="1" applyBorder="1" applyAlignment="1">
      <alignment horizontal="left" vertical="center" wrapText="1"/>
    </xf>
    <xf numFmtId="0" fontId="10" fillId="9" borderId="21" xfId="4" applyFont="1" applyFill="1" applyBorder="1" applyAlignment="1">
      <alignment horizontal="center"/>
    </xf>
    <xf numFmtId="164" fontId="0" fillId="0" borderId="0" xfId="2" applyNumberFormat="1" applyFont="1"/>
    <xf numFmtId="2" fontId="0" fillId="0" borderId="0" xfId="0" applyNumberFormat="1"/>
    <xf numFmtId="9" fontId="0" fillId="15" borderId="2" xfId="2" applyFont="1" applyFill="1" applyBorder="1" applyAlignment="1">
      <alignment horizontal="center"/>
    </xf>
    <xf numFmtId="0" fontId="17" fillId="16" borderId="2" xfId="0" applyFont="1" applyFill="1" applyBorder="1" applyAlignment="1">
      <alignment wrapText="1"/>
    </xf>
    <xf numFmtId="0" fontId="16" fillId="0" borderId="0" xfId="0" applyFont="1" applyAlignment="1">
      <alignment horizontal="center" vertical="center" wrapText="1"/>
    </xf>
    <xf numFmtId="0" fontId="4" fillId="0" borderId="0" xfId="0" applyFont="1" applyAlignment="1">
      <alignment horizontal="center" vertical="center"/>
    </xf>
    <xf numFmtId="0" fontId="16" fillId="10" borderId="3" xfId="0" applyFont="1" applyFill="1" applyBorder="1" applyAlignment="1">
      <alignment horizontal="center" vertical="center" wrapText="1"/>
    </xf>
    <xf numFmtId="0" fontId="17" fillId="10" borderId="2" xfId="0" applyFont="1" applyFill="1" applyBorder="1" applyAlignment="1">
      <alignment wrapText="1"/>
    </xf>
    <xf numFmtId="9" fontId="0" fillId="10" borderId="2" xfId="2" applyFont="1" applyFill="1" applyBorder="1" applyAlignment="1">
      <alignment horizontal="center"/>
    </xf>
    <xf numFmtId="0" fontId="0" fillId="10" borderId="0" xfId="0" applyFill="1"/>
    <xf numFmtId="9" fontId="0" fillId="0" borderId="0" xfId="0" applyNumberFormat="1" applyAlignment="1">
      <alignment horizontal="center"/>
    </xf>
    <xf numFmtId="9" fontId="0" fillId="13" borderId="2" xfId="0" applyNumberFormat="1" applyFill="1" applyBorder="1" applyAlignment="1">
      <alignment horizontal="center"/>
    </xf>
    <xf numFmtId="0" fontId="0" fillId="20" borderId="2" xfId="0" applyFill="1" applyBorder="1" applyAlignment="1">
      <alignment horizontal="center"/>
    </xf>
    <xf numFmtId="164" fontId="0" fillId="7" borderId="2" xfId="2" applyNumberFormat="1" applyFont="1" applyFill="1" applyBorder="1" applyAlignment="1">
      <alignment horizontal="center"/>
    </xf>
    <xf numFmtId="164" fontId="0" fillId="18" borderId="2" xfId="2" applyNumberFormat="1" applyFont="1" applyFill="1" applyBorder="1" applyAlignment="1">
      <alignment horizontal="center"/>
    </xf>
    <xf numFmtId="0" fontId="4" fillId="0" borderId="0" xfId="0" applyFont="1"/>
    <xf numFmtId="0" fontId="0" fillId="0" borderId="0" xfId="0" applyAlignment="1">
      <alignment horizontal="left"/>
    </xf>
    <xf numFmtId="0" fontId="22" fillId="0" borderId="0" xfId="0" applyFont="1" applyAlignment="1">
      <alignment horizontal="left"/>
    </xf>
    <xf numFmtId="0" fontId="22" fillId="0" borderId="2" xfId="0" applyFont="1" applyBorder="1" applyAlignment="1">
      <alignment horizontal="left"/>
    </xf>
    <xf numFmtId="0" fontId="0" fillId="0" borderId="2" xfId="0" applyBorder="1" applyAlignment="1">
      <alignment horizontal="center"/>
    </xf>
    <xf numFmtId="0" fontId="0" fillId="0" borderId="0" xfId="0" applyAlignment="1">
      <alignment horizontal="center" vertical="center"/>
    </xf>
    <xf numFmtId="0" fontId="27" fillId="23" borderId="0" xfId="0" applyFont="1" applyFill="1"/>
    <xf numFmtId="0" fontId="19" fillId="23" borderId="0" xfId="0" applyFont="1" applyFill="1"/>
    <xf numFmtId="0" fontId="13" fillId="0" borderId="0" xfId="0" applyFont="1" applyAlignment="1">
      <alignment horizontal="center"/>
    </xf>
    <xf numFmtId="9" fontId="0" fillId="0" borderId="0" xfId="0" applyNumberFormat="1"/>
    <xf numFmtId="10" fontId="0" fillId="0" borderId="0" xfId="8" applyNumberFormat="1" applyFont="1" applyBorder="1" applyAlignment="1">
      <alignment horizontal="center"/>
    </xf>
    <xf numFmtId="0" fontId="27" fillId="0" borderId="0" xfId="0" applyFont="1"/>
    <xf numFmtId="0" fontId="19" fillId="0" borderId="0" xfId="0" applyFont="1"/>
    <xf numFmtId="3" fontId="26" fillId="0" borderId="2" xfId="4" applyNumberFormat="1" applyFont="1" applyBorder="1" applyAlignment="1">
      <alignment horizontal="center"/>
    </xf>
    <xf numFmtId="166" fontId="26" fillId="0" borderId="2" xfId="4" applyNumberFormat="1" applyFont="1" applyBorder="1" applyAlignment="1">
      <alignment horizontal="center"/>
    </xf>
    <xf numFmtId="0" fontId="15" fillId="0" borderId="0" xfId="0" applyFont="1" applyAlignment="1">
      <alignment vertical="top"/>
    </xf>
    <xf numFmtId="0" fontId="28" fillId="0" borderId="0" xfId="4" applyFont="1" applyAlignment="1">
      <alignment horizontal="left" vertical="center"/>
    </xf>
    <xf numFmtId="0" fontId="26" fillId="0" borderId="0" xfId="4" applyFont="1"/>
    <xf numFmtId="167" fontId="0" fillId="0" borderId="0" xfId="0" applyNumberFormat="1"/>
    <xf numFmtId="0" fontId="0" fillId="21" borderId="0" xfId="0" applyFill="1"/>
    <xf numFmtId="0" fontId="0" fillId="6" borderId="0" xfId="0" applyFill="1"/>
    <xf numFmtId="165" fontId="0" fillId="0" borderId="2" xfId="0" applyNumberFormat="1" applyBorder="1"/>
    <xf numFmtId="10" fontId="19" fillId="0" borderId="0" xfId="8" applyNumberFormat="1" applyFont="1" applyBorder="1" applyAlignment="1">
      <alignment horizontal="center"/>
    </xf>
    <xf numFmtId="164" fontId="19" fillId="0" borderId="0" xfId="8" applyNumberFormat="1" applyFont="1" applyBorder="1" applyAlignment="1">
      <alignment horizontal="center"/>
    </xf>
    <xf numFmtId="0" fontId="4" fillId="0" borderId="0" xfId="0" applyFont="1" applyAlignment="1">
      <alignment vertical="top"/>
    </xf>
    <xf numFmtId="1" fontId="22" fillId="0" borderId="0" xfId="4" applyNumberFormat="1" applyFont="1" applyAlignment="1">
      <alignment horizontal="left"/>
    </xf>
    <xf numFmtId="0" fontId="22" fillId="0" borderId="0" xfId="4" applyFont="1" applyAlignment="1">
      <alignment horizontal="left"/>
    </xf>
    <xf numFmtId="0" fontId="0" fillId="0" borderId="0" xfId="4" applyFont="1" applyAlignment="1">
      <alignment horizontal="left"/>
    </xf>
    <xf numFmtId="164" fontId="0" fillId="0" borderId="0" xfId="8" applyNumberFormat="1" applyFont="1" applyFill="1" applyBorder="1" applyAlignment="1">
      <alignment horizontal="center"/>
    </xf>
    <xf numFmtId="0" fontId="22" fillId="20" borderId="10" xfId="4" applyFont="1" applyFill="1" applyBorder="1" applyAlignment="1">
      <alignment horizontal="left" vertical="center" wrapText="1"/>
    </xf>
    <xf numFmtId="0" fontId="22" fillId="20" borderId="10" xfId="4" applyFont="1" applyFill="1" applyBorder="1" applyAlignment="1">
      <alignment horizontal="left" vertical="center"/>
    </xf>
    <xf numFmtId="0" fontId="25" fillId="20" borderId="10" xfId="4" applyFont="1" applyFill="1" applyBorder="1" applyAlignment="1">
      <alignment horizontal="center" vertical="center" wrapText="1"/>
    </xf>
    <xf numFmtId="164" fontId="0" fillId="0" borderId="0" xfId="8" applyNumberFormat="1" applyFont="1" applyBorder="1" applyAlignment="1">
      <alignment horizontal="center"/>
    </xf>
    <xf numFmtId="164" fontId="0" fillId="13" borderId="0" xfId="8" applyNumberFormat="1" applyFont="1" applyFill="1" applyBorder="1" applyAlignment="1">
      <alignment horizontal="center"/>
    </xf>
    <xf numFmtId="164" fontId="0" fillId="15" borderId="0" xfId="8" applyNumberFormat="1" applyFont="1" applyFill="1" applyBorder="1" applyAlignment="1">
      <alignment horizontal="center"/>
    </xf>
    <xf numFmtId="164" fontId="0" fillId="4" borderId="0" xfId="8" applyNumberFormat="1" applyFont="1" applyFill="1" applyBorder="1" applyAlignment="1">
      <alignment horizontal="center"/>
    </xf>
    <xf numFmtId="0" fontId="25" fillId="20" borderId="10" xfId="4" applyFont="1" applyFill="1" applyBorder="1" applyAlignment="1">
      <alignment horizontal="left" vertical="center" wrapText="1"/>
    </xf>
    <xf numFmtId="0" fontId="25" fillId="20" borderId="10" xfId="4" applyFont="1" applyFill="1" applyBorder="1" applyAlignment="1">
      <alignment horizontal="left" vertical="center"/>
    </xf>
    <xf numFmtId="0" fontId="30" fillId="20" borderId="10" xfId="4" applyFont="1" applyFill="1" applyBorder="1" applyAlignment="1">
      <alignment horizontal="center" vertical="center" wrapText="1"/>
    </xf>
    <xf numFmtId="0" fontId="30" fillId="22" borderId="10" xfId="4" applyFont="1" applyFill="1" applyBorder="1" applyAlignment="1">
      <alignment horizontal="center" vertical="center" wrapText="1"/>
    </xf>
    <xf numFmtId="0" fontId="0" fillId="25" borderId="0" xfId="0" applyFill="1"/>
    <xf numFmtId="0" fontId="0" fillId="24" borderId="0" xfId="0" applyFill="1" applyAlignment="1">
      <alignment vertical="center"/>
    </xf>
    <xf numFmtId="0" fontId="13" fillId="0" borderId="0" xfId="0" applyFont="1" applyAlignment="1">
      <alignment horizontal="center" vertical="center"/>
    </xf>
    <xf numFmtId="165" fontId="0" fillId="0" borderId="0" xfId="0" applyNumberFormat="1" applyAlignment="1">
      <alignment horizontal="center"/>
    </xf>
    <xf numFmtId="165" fontId="0" fillId="0" borderId="2" xfId="0" applyNumberFormat="1" applyBorder="1" applyAlignment="1">
      <alignment horizontal="center" vertical="center" wrapText="1"/>
    </xf>
    <xf numFmtId="0" fontId="22" fillId="0" borderId="2" xfId="0" applyFont="1" applyBorder="1" applyAlignment="1">
      <alignment horizontal="left" vertical="center" wrapText="1"/>
    </xf>
    <xf numFmtId="0" fontId="9" fillId="0" borderId="0" xfId="0" applyFont="1" applyAlignment="1">
      <alignment horizontal="center"/>
    </xf>
    <xf numFmtId="0" fontId="0" fillId="0" borderId="2" xfId="0" applyBorder="1" applyAlignment="1">
      <alignment horizontal="center" vertical="center"/>
    </xf>
    <xf numFmtId="0" fontId="1" fillId="2" borderId="0" xfId="0" applyFont="1" applyFill="1"/>
    <xf numFmtId="9" fontId="0" fillId="0" borderId="0" xfId="2" applyFont="1"/>
    <xf numFmtId="0" fontId="1" fillId="0" borderId="0" xfId="0" applyFont="1" applyAlignment="1">
      <alignment horizontal="center" vertical="center"/>
    </xf>
    <xf numFmtId="0" fontId="1" fillId="2" borderId="0" xfId="0" applyFont="1" applyFill="1" applyAlignment="1">
      <alignment wrapText="1"/>
    </xf>
    <xf numFmtId="0" fontId="1" fillId="2" borderId="0" xfId="0" applyFont="1" applyFill="1" applyAlignment="1">
      <alignment horizontal="left"/>
    </xf>
    <xf numFmtId="0" fontId="1" fillId="2" borderId="0" xfId="0" applyFont="1" applyFill="1" applyAlignment="1">
      <alignment horizontal="center"/>
    </xf>
    <xf numFmtId="0" fontId="0" fillId="19" borderId="2" xfId="0" applyFill="1" applyBorder="1" applyAlignment="1">
      <alignment horizontal="center" vertical="center"/>
    </xf>
    <xf numFmtId="16" fontId="0" fillId="0" borderId="2" xfId="0" applyNumberFormat="1" applyBorder="1" applyAlignment="1">
      <alignment horizontal="center" vertical="center"/>
    </xf>
    <xf numFmtId="3" fontId="0" fillId="0" borderId="0" xfId="0" applyNumberFormat="1" applyAlignment="1">
      <alignment horizontal="center" vertical="center"/>
    </xf>
    <xf numFmtId="0" fontId="15" fillId="0" borderId="0" xfId="0" applyFont="1" applyAlignment="1">
      <alignment horizontal="center" vertical="center"/>
    </xf>
    <xf numFmtId="3" fontId="1" fillId="0" borderId="0" xfId="0" applyNumberFormat="1" applyFont="1" applyAlignment="1">
      <alignment vertical="center"/>
    </xf>
    <xf numFmtId="0" fontId="4" fillId="19" borderId="17" xfId="0" applyFont="1" applyFill="1" applyBorder="1" applyAlignment="1">
      <alignment vertical="center"/>
    </xf>
    <xf numFmtId="0" fontId="4" fillId="19" borderId="0" xfId="0" applyFont="1" applyFill="1" applyAlignment="1">
      <alignment vertical="center"/>
    </xf>
    <xf numFmtId="3" fontId="4" fillId="0" borderId="0" xfId="0" applyNumberFormat="1" applyFont="1" applyAlignment="1">
      <alignment horizontal="center" vertical="center"/>
    </xf>
    <xf numFmtId="3" fontId="31" fillId="0" borderId="0" xfId="0" applyNumberFormat="1" applyFont="1" applyAlignment="1">
      <alignment horizontal="center" vertical="center"/>
    </xf>
    <xf numFmtId="0" fontId="20" fillId="0" borderId="0" xfId="0" applyFont="1"/>
    <xf numFmtId="0" fontId="20" fillId="0" borderId="0" xfId="0" applyFont="1" applyAlignment="1">
      <alignment horizontal="center" vertical="center"/>
    </xf>
    <xf numFmtId="0" fontId="8" fillId="0" borderId="0" xfId="0" applyFont="1"/>
    <xf numFmtId="0" fontId="10" fillId="0" borderId="0" xfId="0" applyFont="1"/>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wrapText="1"/>
    </xf>
    <xf numFmtId="0" fontId="24" fillId="0" borderId="0" xfId="5" applyFont="1"/>
    <xf numFmtId="0" fontId="8" fillId="0" borderId="0" xfId="0" applyFont="1" applyAlignment="1">
      <alignment wrapText="1"/>
    </xf>
    <xf numFmtId="0" fontId="23" fillId="0" borderId="0" xfId="0" applyFont="1" applyAlignment="1">
      <alignment vertical="center"/>
    </xf>
    <xf numFmtId="0" fontId="2" fillId="0" borderId="2" xfId="1" applyBorder="1" applyAlignment="1">
      <alignment vertical="center" wrapText="1"/>
    </xf>
    <xf numFmtId="0" fontId="2" fillId="0" borderId="2" xfId="1" applyBorder="1" applyAlignment="1">
      <alignment vertical="center"/>
    </xf>
    <xf numFmtId="0" fontId="8" fillId="0" borderId="2" xfId="0" applyFont="1" applyBorder="1" applyAlignment="1">
      <alignment vertical="center"/>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33" fillId="19" borderId="2" xfId="0" applyFont="1" applyFill="1" applyBorder="1" applyAlignment="1">
      <alignment vertical="center"/>
    </xf>
    <xf numFmtId="0" fontId="33" fillId="19" borderId="2" xfId="0" applyFont="1" applyFill="1" applyBorder="1" applyAlignment="1">
      <alignment horizontal="left" vertical="center"/>
    </xf>
    <xf numFmtId="165" fontId="8" fillId="0" borderId="0" xfId="0" applyNumberFormat="1" applyFont="1" applyAlignment="1">
      <alignment horizontal="center" vertical="center"/>
    </xf>
    <xf numFmtId="0" fontId="8" fillId="0" borderId="0" xfId="0" applyFont="1" applyAlignment="1">
      <alignment horizontal="center" vertical="top" wrapText="1"/>
    </xf>
    <xf numFmtId="0" fontId="10" fillId="2" borderId="0" xfId="0" applyFont="1" applyFill="1"/>
    <xf numFmtId="0" fontId="10" fillId="2" borderId="0" xfId="0" applyFont="1" applyFill="1" applyAlignment="1">
      <alignment wrapText="1"/>
    </xf>
    <xf numFmtId="0" fontId="10" fillId="2" borderId="0" xfId="0" applyFont="1" applyFill="1" applyAlignment="1">
      <alignment horizontal="left"/>
    </xf>
    <xf numFmtId="0" fontId="10" fillId="2" borderId="0" xfId="0" applyFont="1" applyFill="1" applyAlignment="1">
      <alignment horizontal="center"/>
    </xf>
    <xf numFmtId="9" fontId="8" fillId="0" borderId="0" xfId="2" applyFont="1" applyFill="1" applyBorder="1" applyAlignment="1">
      <alignment horizontal="center" vertical="center"/>
    </xf>
    <xf numFmtId="9" fontId="8" fillId="0" borderId="0" xfId="2" applyFont="1" applyFill="1" applyBorder="1"/>
    <xf numFmtId="9" fontId="8" fillId="0" borderId="0" xfId="0" applyNumberFormat="1" applyFont="1"/>
    <xf numFmtId="0" fontId="2" fillId="0" borderId="2" xfId="0" applyFont="1" applyBorder="1" applyAlignment="1">
      <alignment horizontal="center" vertical="center"/>
    </xf>
    <xf numFmtId="0" fontId="10" fillId="19" borderId="23" xfId="0" applyFont="1" applyFill="1" applyBorder="1" applyAlignment="1">
      <alignment horizontal="center" vertical="center"/>
    </xf>
    <xf numFmtId="9" fontId="8" fillId="0" borderId="0" xfId="0" applyNumberFormat="1" applyFont="1" applyAlignment="1">
      <alignment vertical="center"/>
    </xf>
    <xf numFmtId="0" fontId="10" fillId="0" borderId="0" xfId="0" applyFont="1" applyAlignment="1">
      <alignment vertical="center"/>
    </xf>
    <xf numFmtId="0" fontId="8" fillId="0" borderId="23" xfId="4" applyBorder="1" applyAlignment="1">
      <alignment horizontal="center" vertical="center"/>
    </xf>
    <xf numFmtId="0" fontId="37" fillId="19" borderId="12" xfId="0" applyFont="1" applyFill="1" applyBorder="1" applyAlignment="1">
      <alignment horizontal="center" vertical="center"/>
    </xf>
    <xf numFmtId="0" fontId="36" fillId="0" borderId="0" xfId="0" applyFont="1" applyAlignment="1">
      <alignment horizontal="center" vertical="center"/>
    </xf>
    <xf numFmtId="0" fontId="38" fillId="7" borderId="0" xfId="0" applyFont="1" applyFill="1" applyAlignment="1">
      <alignment vertical="center" wrapText="1"/>
    </xf>
    <xf numFmtId="0" fontId="36" fillId="7" borderId="0" xfId="0" applyFont="1" applyFill="1" applyAlignment="1">
      <alignment horizontal="center" vertical="center"/>
    </xf>
    <xf numFmtId="165" fontId="36" fillId="7" borderId="0" xfId="0" applyNumberFormat="1" applyFont="1" applyFill="1" applyAlignment="1">
      <alignment horizontal="center" vertical="center"/>
    </xf>
    <xf numFmtId="0" fontId="33" fillId="19" borderId="26" xfId="0" applyFont="1" applyFill="1" applyBorder="1" applyAlignment="1">
      <alignment horizontal="center" vertical="center" wrapText="1"/>
    </xf>
    <xf numFmtId="0" fontId="37" fillId="0" borderId="0" xfId="0" applyFont="1" applyAlignment="1">
      <alignment horizontal="left" vertical="center" wrapText="1"/>
    </xf>
    <xf numFmtId="0" fontId="37" fillId="0" borderId="0" xfId="0" applyFont="1" applyAlignment="1">
      <alignment horizontal="left" vertical="center"/>
    </xf>
    <xf numFmtId="0" fontId="37" fillId="0" borderId="0" xfId="0" applyFont="1" applyAlignment="1">
      <alignment horizontal="center" vertical="center" wrapText="1"/>
    </xf>
    <xf numFmtId="10" fontId="8" fillId="0" borderId="0" xfId="8" applyNumberFormat="1" applyFont="1" applyFill="1" applyBorder="1" applyAlignment="1">
      <alignment horizontal="center"/>
    </xf>
    <xf numFmtId="9" fontId="8" fillId="0" borderId="0" xfId="2" applyFont="1" applyFill="1" applyBorder="1" applyAlignment="1">
      <alignment horizontal="left"/>
    </xf>
    <xf numFmtId="1" fontId="8" fillId="0" borderId="0" xfId="2" applyNumberFormat="1" applyFont="1" applyFill="1" applyBorder="1"/>
    <xf numFmtId="168" fontId="36" fillId="0" borderId="0" xfId="0" applyNumberFormat="1" applyFont="1" applyAlignment="1">
      <alignment horizontal="center" vertical="center"/>
    </xf>
    <xf numFmtId="0" fontId="21" fillId="0" borderId="0" xfId="0" applyFont="1" applyAlignment="1">
      <alignment vertical="center"/>
    </xf>
    <xf numFmtId="3" fontId="8" fillId="0" borderId="0" xfId="7" applyNumberFormat="1" applyFont="1" applyAlignment="1">
      <alignment horizontal="center" vertical="center"/>
    </xf>
    <xf numFmtId="0" fontId="39" fillId="0" borderId="0" xfId="0" applyFont="1"/>
    <xf numFmtId="0" fontId="40" fillId="0" borderId="0" xfId="0" quotePrefix="1" applyFont="1"/>
    <xf numFmtId="0" fontId="39" fillId="0" borderId="0" xfId="0" applyFont="1" applyAlignment="1">
      <alignment wrapText="1"/>
    </xf>
    <xf numFmtId="0" fontId="39" fillId="0" borderId="0" xfId="0" applyFont="1" applyAlignment="1">
      <alignment horizontal="center"/>
    </xf>
    <xf numFmtId="0" fontId="11" fillId="0" borderId="0" xfId="5" applyAlignment="1">
      <alignment vertical="center"/>
    </xf>
    <xf numFmtId="0" fontId="8" fillId="0" borderId="0" xfId="4" applyAlignment="1">
      <alignment horizontal="center" vertical="center"/>
    </xf>
    <xf numFmtId="9" fontId="8" fillId="0" borderId="0" xfId="0" applyNumberFormat="1" applyFont="1" applyAlignment="1">
      <alignment horizontal="center"/>
    </xf>
    <xf numFmtId="9" fontId="8" fillId="0" borderId="0" xfId="0" applyNumberFormat="1" applyFont="1" applyAlignment="1">
      <alignment horizontal="left"/>
    </xf>
    <xf numFmtId="0" fontId="10" fillId="19" borderId="23" xfId="0" applyFont="1" applyFill="1" applyBorder="1" applyAlignment="1">
      <alignment horizontal="center" vertical="center" wrapText="1"/>
    </xf>
    <xf numFmtId="0" fontId="8" fillId="0" borderId="2" xfId="0" applyFont="1" applyBorder="1"/>
    <xf numFmtId="0" fontId="33" fillId="19" borderId="12" xfId="0" applyFont="1" applyFill="1" applyBorder="1" applyAlignment="1">
      <alignment horizontal="center" vertical="center" wrapText="1"/>
    </xf>
    <xf numFmtId="0" fontId="10" fillId="19" borderId="26" xfId="0" applyFont="1" applyFill="1" applyBorder="1" applyAlignment="1">
      <alignment horizontal="center" vertical="center"/>
    </xf>
    <xf numFmtId="0" fontId="43" fillId="0" borderId="0" xfId="0" applyFont="1" applyAlignment="1">
      <alignment vertical="center"/>
    </xf>
    <xf numFmtId="169" fontId="8" fillId="0" borderId="0" xfId="6" applyNumberFormat="1" applyFont="1"/>
    <xf numFmtId="0" fontId="8" fillId="0" borderId="2" xfId="0" applyFont="1" applyBorder="1" applyAlignment="1">
      <alignment wrapText="1"/>
    </xf>
    <xf numFmtId="0" fontId="35" fillId="0" borderId="0" xfId="0" applyFont="1" applyAlignment="1">
      <alignment horizontal="left" vertical="center"/>
    </xf>
    <xf numFmtId="0" fontId="35" fillId="0" borderId="0" xfId="0" applyFont="1"/>
    <xf numFmtId="0" fontId="20" fillId="0" borderId="0" xfId="0" applyFont="1" applyAlignment="1">
      <alignment vertical="center"/>
    </xf>
    <xf numFmtId="0" fontId="8" fillId="7" borderId="0" xfId="0" applyFont="1" applyFill="1"/>
    <xf numFmtId="0" fontId="8" fillId="7" borderId="0" xfId="0" applyFont="1" applyFill="1" applyAlignment="1">
      <alignment horizontal="center"/>
    </xf>
    <xf numFmtId="0" fontId="8" fillId="24" borderId="0" xfId="0" applyFont="1" applyFill="1"/>
    <xf numFmtId="0" fontId="20" fillId="0" borderId="0" xfId="0" applyFont="1" applyAlignment="1">
      <alignment wrapText="1"/>
    </xf>
    <xf numFmtId="0" fontId="20" fillId="0" borderId="0" xfId="0" applyFont="1" applyAlignment="1">
      <alignment horizontal="center"/>
    </xf>
    <xf numFmtId="3" fontId="8" fillId="0" borderId="32" xfId="0" applyNumberFormat="1" applyFont="1" applyBorder="1" applyAlignment="1">
      <alignment horizontal="center"/>
    </xf>
    <xf numFmtId="0" fontId="2" fillId="0" borderId="0" xfId="0" applyFont="1"/>
    <xf numFmtId="0" fontId="36" fillId="0" borderId="38" xfId="0" applyFont="1" applyBorder="1" applyAlignment="1">
      <alignment horizontal="center" vertical="center"/>
    </xf>
    <xf numFmtId="2" fontId="36" fillId="0" borderId="36" xfId="0" applyNumberFormat="1" applyFont="1" applyBorder="1" applyAlignment="1">
      <alignment horizontal="center" vertical="center"/>
    </xf>
    <xf numFmtId="2" fontId="36" fillId="0" borderId="37" xfId="0" applyNumberFormat="1" applyFont="1" applyBorder="1" applyAlignment="1">
      <alignment horizontal="center" vertical="center"/>
    </xf>
    <xf numFmtId="0" fontId="36" fillId="0" borderId="42" xfId="0" applyFont="1" applyBorder="1" applyAlignment="1">
      <alignment horizontal="center" vertical="center"/>
    </xf>
    <xf numFmtId="2" fontId="36" fillId="0" borderId="40" xfId="0" applyNumberFormat="1" applyFont="1" applyBorder="1" applyAlignment="1">
      <alignment horizontal="center" vertical="center"/>
    </xf>
    <xf numFmtId="2" fontId="36" fillId="0" borderId="41" xfId="0" applyNumberFormat="1" applyFont="1" applyBorder="1" applyAlignment="1">
      <alignment horizontal="center" vertical="center"/>
    </xf>
    <xf numFmtId="0" fontId="36" fillId="0" borderId="46" xfId="0" applyFont="1" applyBorder="1" applyAlignment="1">
      <alignment horizontal="center" vertical="center"/>
    </xf>
    <xf numFmtId="2" fontId="36" fillId="0" borderId="44" xfId="0" applyNumberFormat="1" applyFont="1" applyBorder="1" applyAlignment="1">
      <alignment horizontal="center" vertical="center"/>
    </xf>
    <xf numFmtId="2" fontId="36" fillId="0" borderId="45" xfId="0" applyNumberFormat="1" applyFont="1" applyBorder="1" applyAlignment="1">
      <alignment horizontal="center" vertical="center"/>
    </xf>
    <xf numFmtId="0" fontId="36" fillId="0" borderId="50" xfId="0" applyFont="1" applyBorder="1" applyAlignment="1">
      <alignment horizontal="center" vertical="center"/>
    </xf>
    <xf numFmtId="2" fontId="36" fillId="0" borderId="48" xfId="0" applyNumberFormat="1" applyFont="1" applyBorder="1" applyAlignment="1">
      <alignment horizontal="center" vertical="center"/>
    </xf>
    <xf numFmtId="2" fontId="36" fillId="0" borderId="49" xfId="0" applyNumberFormat="1" applyFont="1" applyBorder="1" applyAlignment="1">
      <alignment horizontal="center" vertical="center"/>
    </xf>
    <xf numFmtId="0" fontId="36" fillId="0" borderId="54" xfId="0" applyFont="1" applyBorder="1" applyAlignment="1">
      <alignment horizontal="center" vertical="center"/>
    </xf>
    <xf numFmtId="2" fontId="36" fillId="0" borderId="52" xfId="0" applyNumberFormat="1" applyFont="1" applyBorder="1" applyAlignment="1">
      <alignment horizontal="center" vertical="center"/>
    </xf>
    <xf numFmtId="2" fontId="36" fillId="0" borderId="53" xfId="0" applyNumberFormat="1" applyFont="1" applyBorder="1" applyAlignment="1">
      <alignment horizontal="center" vertical="center"/>
    </xf>
    <xf numFmtId="0" fontId="36" fillId="0" borderId="55" xfId="0" applyFont="1" applyBorder="1" applyAlignment="1">
      <alignment horizontal="center" vertical="center"/>
    </xf>
    <xf numFmtId="2" fontId="36" fillId="0" borderId="1" xfId="0" applyNumberFormat="1" applyFont="1" applyBorder="1" applyAlignment="1">
      <alignment horizontal="center" vertical="center"/>
    </xf>
    <xf numFmtId="2" fontId="36" fillId="0" borderId="5" xfId="0" applyNumberFormat="1" applyFont="1" applyBorder="1" applyAlignment="1">
      <alignment horizontal="center" vertical="center"/>
    </xf>
    <xf numFmtId="0" fontId="36" fillId="0" borderId="11" xfId="0" applyFont="1" applyBorder="1" applyAlignment="1">
      <alignment horizontal="center" vertical="center"/>
    </xf>
    <xf numFmtId="2" fontId="36" fillId="0" borderId="2" xfId="0" applyNumberFormat="1" applyFont="1" applyBorder="1" applyAlignment="1">
      <alignment horizontal="center" vertical="center"/>
    </xf>
    <xf numFmtId="2" fontId="36" fillId="0" borderId="7" xfId="0" applyNumberFormat="1" applyFont="1" applyBorder="1" applyAlignment="1">
      <alignment horizontal="center" vertical="center"/>
    </xf>
    <xf numFmtId="0" fontId="36" fillId="0" borderId="15" xfId="0" applyFont="1" applyBorder="1" applyAlignment="1">
      <alignment horizontal="center" vertical="center"/>
    </xf>
    <xf numFmtId="2" fontId="36" fillId="0" borderId="12" xfId="0" applyNumberFormat="1" applyFont="1" applyBorder="1" applyAlignment="1">
      <alignment horizontal="center" vertical="center"/>
    </xf>
    <xf numFmtId="2" fontId="36" fillId="0" borderId="31" xfId="0" applyNumberFormat="1" applyFont="1" applyBorder="1" applyAlignment="1">
      <alignment horizontal="center" vertical="center"/>
    </xf>
    <xf numFmtId="0" fontId="36" fillId="0" borderId="57" xfId="0" applyFont="1" applyBorder="1" applyAlignment="1">
      <alignment horizontal="center" vertical="center"/>
    </xf>
    <xf numFmtId="2" fontId="36" fillId="0" borderId="28" xfId="0" applyNumberFormat="1" applyFont="1" applyBorder="1" applyAlignment="1">
      <alignment horizontal="center" vertical="center"/>
    </xf>
    <xf numFmtId="2" fontId="36" fillId="0" borderId="9" xfId="0" applyNumberFormat="1" applyFont="1" applyBorder="1" applyAlignment="1">
      <alignment horizontal="center" vertical="center"/>
    </xf>
    <xf numFmtId="0" fontId="36" fillId="0" borderId="22" xfId="0" applyFont="1" applyBorder="1" applyAlignment="1">
      <alignment horizontal="center" vertical="center"/>
    </xf>
    <xf numFmtId="2" fontId="36" fillId="0" borderId="19" xfId="0" applyNumberFormat="1" applyFont="1" applyBorder="1" applyAlignment="1">
      <alignment horizontal="center" vertical="center"/>
    </xf>
    <xf numFmtId="2" fontId="36" fillId="0" borderId="59" xfId="0" applyNumberFormat="1" applyFont="1" applyBorder="1" applyAlignment="1">
      <alignment horizontal="center" vertical="center"/>
    </xf>
    <xf numFmtId="0" fontId="36" fillId="0" borderId="0" xfId="0" applyFont="1" applyAlignment="1">
      <alignment horizontal="left" vertical="center" wrapText="1"/>
    </xf>
    <xf numFmtId="0" fontId="10" fillId="19" borderId="24" xfId="0" applyFont="1" applyFill="1" applyBorder="1" applyAlignment="1">
      <alignment horizontal="center" vertical="center"/>
    </xf>
    <xf numFmtId="0" fontId="21" fillId="24" borderId="0" xfId="0" applyFont="1" applyFill="1" applyAlignment="1">
      <alignment vertical="center"/>
    </xf>
    <xf numFmtId="0" fontId="10" fillId="19" borderId="60" xfId="0" applyFont="1" applyFill="1" applyBorder="1" applyAlignment="1">
      <alignment horizontal="center" vertical="center"/>
    </xf>
    <xf numFmtId="0" fontId="24" fillId="0" borderId="60" xfId="5" applyFont="1" applyBorder="1" applyAlignment="1">
      <alignment horizontal="center" vertical="center"/>
    </xf>
    <xf numFmtId="0" fontId="10" fillId="2" borderId="0" xfId="0" applyFont="1" applyFill="1" applyAlignment="1">
      <alignment vertical="center"/>
    </xf>
    <xf numFmtId="0" fontId="35" fillId="0" borderId="0" xfId="0" applyFont="1" applyAlignment="1">
      <alignment vertical="center"/>
    </xf>
    <xf numFmtId="0" fontId="11" fillId="0" borderId="0" xfId="5"/>
    <xf numFmtId="0" fontId="8" fillId="0" borderId="0" xfId="0" applyFont="1" applyAlignment="1">
      <alignment horizontal="left"/>
    </xf>
    <xf numFmtId="0" fontId="8" fillId="0" borderId="60" xfId="0" applyFont="1" applyBorder="1" applyAlignment="1">
      <alignment horizontal="center" vertical="center" wrapText="1"/>
    </xf>
    <xf numFmtId="0" fontId="10" fillId="19" borderId="60" xfId="0" applyFont="1" applyFill="1" applyBorder="1" applyAlignment="1">
      <alignment horizontal="center" vertical="center" wrapText="1"/>
    </xf>
    <xf numFmtId="2" fontId="60" fillId="0" borderId="36" xfId="0" applyNumberFormat="1" applyFont="1" applyBorder="1" applyAlignment="1">
      <alignment horizontal="center" vertical="center"/>
    </xf>
    <xf numFmtId="170" fontId="61" fillId="0" borderId="0" xfId="0" applyNumberFormat="1" applyFont="1" applyAlignment="1">
      <alignment vertical="center"/>
    </xf>
    <xf numFmtId="0" fontId="41" fillId="0" borderId="0" xfId="0" applyFont="1" applyAlignment="1">
      <alignment vertical="center"/>
    </xf>
    <xf numFmtId="170" fontId="2" fillId="0" borderId="0" xfId="0" applyNumberFormat="1" applyFont="1"/>
    <xf numFmtId="168" fontId="8" fillId="0" borderId="0" xfId="0" applyNumberFormat="1" applyFont="1" applyAlignment="1">
      <alignment horizontal="center" vertical="center"/>
    </xf>
    <xf numFmtId="0" fontId="35" fillId="0" borderId="0" xfId="0" applyFont="1" applyAlignment="1">
      <alignment horizontal="center" vertical="center" wrapText="1"/>
    </xf>
    <xf numFmtId="9" fontId="8" fillId="7" borderId="0" xfId="0" applyNumberFormat="1" applyFont="1" applyFill="1"/>
    <xf numFmtId="0" fontId="8" fillId="7" borderId="0" xfId="0" applyFont="1" applyFill="1" applyAlignment="1">
      <alignment vertical="center"/>
    </xf>
    <xf numFmtId="0" fontId="10" fillId="19" borderId="32" xfId="0" applyFont="1" applyFill="1" applyBorder="1" applyAlignment="1">
      <alignment horizontal="center" vertical="center"/>
    </xf>
    <xf numFmtId="0" fontId="8" fillId="0" borderId="32" xfId="0" applyFont="1" applyBorder="1" applyAlignment="1">
      <alignment vertical="center" wrapText="1"/>
    </xf>
    <xf numFmtId="0" fontId="37" fillId="19" borderId="32" xfId="0" applyFont="1" applyFill="1" applyBorder="1" applyAlignment="1">
      <alignment horizontal="left" vertical="center" wrapText="1"/>
    </xf>
    <xf numFmtId="0" fontId="37" fillId="19" borderId="32" xfId="0" applyFont="1" applyFill="1" applyBorder="1" applyAlignment="1">
      <alignment horizontal="center" vertical="center" wrapText="1"/>
    </xf>
    <xf numFmtId="0" fontId="8" fillId="0" borderId="32" xfId="0" applyFont="1" applyBorder="1" applyAlignment="1">
      <alignment vertical="center"/>
    </xf>
    <xf numFmtId="170" fontId="61" fillId="20" borderId="32" xfId="0" applyNumberFormat="1" applyFont="1" applyFill="1" applyBorder="1" applyAlignment="1">
      <alignment vertical="center"/>
    </xf>
    <xf numFmtId="3" fontId="8" fillId="0" borderId="32" xfId="0" applyNumberFormat="1" applyFont="1" applyBorder="1" applyAlignment="1">
      <alignment horizontal="center" vertical="center"/>
    </xf>
    <xf numFmtId="0" fontId="10" fillId="19" borderId="32" xfId="0" applyFont="1" applyFill="1" applyBorder="1" applyAlignment="1">
      <alignment horizontal="center" vertical="center" wrapText="1"/>
    </xf>
    <xf numFmtId="0" fontId="33" fillId="19" borderId="32" xfId="0" applyFont="1" applyFill="1" applyBorder="1" applyAlignment="1">
      <alignment horizontal="center" vertical="center" wrapText="1"/>
    </xf>
    <xf numFmtId="169" fontId="8" fillId="0" borderId="32" xfId="6" applyNumberFormat="1" applyFont="1" applyBorder="1" applyAlignment="1">
      <alignment horizontal="center" vertical="center"/>
    </xf>
    <xf numFmtId="169" fontId="8" fillId="0" borderId="32" xfId="6" applyNumberFormat="1" applyFont="1" applyBorder="1" applyAlignment="1">
      <alignment horizontal="center" vertical="center" wrapText="1"/>
    </xf>
    <xf numFmtId="2" fontId="8" fillId="0" borderId="32" xfId="6" applyNumberFormat="1" applyFont="1" applyFill="1" applyBorder="1" applyAlignment="1">
      <alignment horizontal="center" vertical="center"/>
    </xf>
    <xf numFmtId="0" fontId="37" fillId="26" borderId="32" xfId="0" applyFont="1" applyFill="1" applyBorder="1" applyAlignment="1">
      <alignment horizontal="center" vertical="center" wrapText="1"/>
    </xf>
    <xf numFmtId="0" fontId="18" fillId="0" borderId="32" xfId="3" applyFont="1" applyBorder="1" applyAlignment="1">
      <alignment horizontal="center" vertical="center" wrapText="1"/>
    </xf>
    <xf numFmtId="165" fontId="8" fillId="0" borderId="32" xfId="0" quotePrefix="1" applyNumberFormat="1" applyFont="1" applyBorder="1" applyAlignment="1">
      <alignment horizontal="center" vertical="center"/>
    </xf>
    <xf numFmtId="165" fontId="8" fillId="0" borderId="60" xfId="0" applyNumberFormat="1" applyFont="1" applyBorder="1" applyAlignment="1">
      <alignment horizontal="center" vertical="center"/>
    </xf>
    <xf numFmtId="0" fontId="8" fillId="0" borderId="2" xfId="0" applyFont="1" applyBorder="1" applyAlignment="1">
      <alignment horizontal="left" vertical="center" wrapText="1"/>
    </xf>
    <xf numFmtId="9" fontId="8" fillId="0" borderId="32" xfId="0" applyNumberFormat="1" applyFont="1" applyBorder="1" applyAlignment="1">
      <alignment horizontal="center"/>
    </xf>
    <xf numFmtId="0" fontId="8" fillId="0" borderId="32" xfId="4" applyBorder="1" applyAlignment="1">
      <alignment horizontal="center" vertical="center"/>
    </xf>
    <xf numFmtId="0" fontId="8" fillId="7" borderId="77" xfId="0" applyFont="1" applyFill="1" applyBorder="1" applyAlignment="1">
      <alignment horizontal="left" vertical="center"/>
    </xf>
    <xf numFmtId="0" fontId="8" fillId="7" borderId="77" xfId="0" applyFont="1" applyFill="1" applyBorder="1" applyAlignment="1">
      <alignment vertical="center"/>
    </xf>
    <xf numFmtId="0" fontId="8" fillId="7" borderId="78" xfId="0" applyFont="1" applyFill="1" applyBorder="1"/>
    <xf numFmtId="0" fontId="8" fillId="7" borderId="79" xfId="0" applyFont="1" applyFill="1" applyBorder="1"/>
    <xf numFmtId="0" fontId="11" fillId="0" borderId="0" xfId="5" applyAlignment="1">
      <alignment horizontal="left"/>
    </xf>
    <xf numFmtId="0" fontId="11" fillId="0" borderId="0" xfId="5" applyAlignment="1"/>
    <xf numFmtId="0" fontId="35" fillId="60" borderId="0" xfId="0" applyFont="1" applyFill="1" applyAlignment="1">
      <alignment wrapText="1"/>
    </xf>
    <xf numFmtId="0" fontId="35" fillId="0" borderId="0" xfId="0" applyFont="1" applyAlignment="1">
      <alignment horizontal="center" vertical="center"/>
    </xf>
    <xf numFmtId="0" fontId="35" fillId="0" borderId="0" xfId="0" applyFont="1" applyAlignment="1">
      <alignment horizontal="left"/>
    </xf>
    <xf numFmtId="0" fontId="35" fillId="0" borderId="0" xfId="0" applyFont="1" applyAlignment="1">
      <alignment wrapText="1"/>
    </xf>
    <xf numFmtId="0" fontId="2" fillId="0" borderId="60" xfId="0" applyFont="1" applyBorder="1" applyAlignment="1">
      <alignment horizontal="center" vertical="center" wrapText="1"/>
    </xf>
    <xf numFmtId="0" fontId="35" fillId="0" borderId="32" xfId="0" applyFont="1" applyBorder="1" applyAlignment="1">
      <alignment vertical="center"/>
    </xf>
    <xf numFmtId="2" fontId="59" fillId="0" borderId="36" xfId="0" applyNumberFormat="1" applyFont="1" applyBorder="1" applyAlignment="1">
      <alignment horizontal="center" vertical="center"/>
    </xf>
    <xf numFmtId="2" fontId="59" fillId="0" borderId="37" xfId="0" applyNumberFormat="1" applyFont="1" applyBorder="1" applyAlignment="1">
      <alignment horizontal="center" vertical="center"/>
    </xf>
    <xf numFmtId="2" fontId="59" fillId="0" borderId="40" xfId="0" applyNumberFormat="1" applyFont="1" applyBorder="1" applyAlignment="1">
      <alignment horizontal="center" vertical="center"/>
    </xf>
    <xf numFmtId="2" fontId="59" fillId="0" borderId="41" xfId="0" applyNumberFormat="1" applyFont="1" applyBorder="1" applyAlignment="1">
      <alignment horizontal="center" vertical="center"/>
    </xf>
    <xf numFmtId="9" fontId="2" fillId="0" borderId="2" xfId="0" applyNumberFormat="1" applyFont="1" applyBorder="1" applyAlignment="1">
      <alignment horizontal="center" vertical="center" wrapText="1"/>
    </xf>
    <xf numFmtId="0" fontId="59" fillId="7" borderId="0" xfId="0" applyFont="1" applyFill="1" applyAlignment="1">
      <alignment horizontal="center" vertical="center"/>
    </xf>
    <xf numFmtId="2" fontId="59" fillId="0" borderId="48" xfId="0" applyNumberFormat="1" applyFont="1" applyBorder="1" applyAlignment="1">
      <alignment horizontal="center" vertical="center"/>
    </xf>
    <xf numFmtId="2" fontId="59" fillId="0" borderId="49" xfId="0" applyNumberFormat="1" applyFont="1" applyBorder="1" applyAlignment="1">
      <alignment horizontal="center" vertical="center"/>
    </xf>
    <xf numFmtId="2" fontId="62" fillId="0" borderId="36" xfId="0" applyNumberFormat="1" applyFont="1" applyBorder="1" applyAlignment="1">
      <alignment horizontal="center" vertical="center"/>
    </xf>
    <xf numFmtId="2" fontId="62" fillId="0" borderId="40" xfId="0" applyNumberFormat="1" applyFont="1" applyBorder="1" applyAlignment="1">
      <alignment horizontal="center" vertical="center"/>
    </xf>
    <xf numFmtId="2" fontId="62" fillId="0" borderId="48" xfId="0" applyNumberFormat="1" applyFont="1" applyBorder="1" applyAlignment="1">
      <alignment horizontal="center" vertical="center"/>
    </xf>
    <xf numFmtId="0" fontId="2" fillId="0" borderId="2" xfId="0" applyFont="1" applyBorder="1" applyAlignment="1">
      <alignment horizontal="center" vertical="center" wrapText="1"/>
    </xf>
    <xf numFmtId="0" fontId="63" fillId="0" borderId="2" xfId="0" applyFont="1" applyBorder="1" applyAlignment="1">
      <alignment horizontal="center" vertical="center" wrapText="1"/>
    </xf>
    <xf numFmtId="0" fontId="2" fillId="0" borderId="2" xfId="0" applyFont="1" applyBorder="1" applyAlignment="1">
      <alignment vertical="center" wrapText="1"/>
    </xf>
    <xf numFmtId="3" fontId="2" fillId="0" borderId="2" xfId="1" applyNumberFormat="1" applyBorder="1" applyAlignment="1">
      <alignment horizontal="center" vertical="center" wrapText="1"/>
    </xf>
    <xf numFmtId="166" fontId="2" fillId="0" borderId="2" xfId="1" applyNumberFormat="1" applyBorder="1" applyAlignment="1">
      <alignment horizontal="center" vertical="center" wrapText="1"/>
    </xf>
    <xf numFmtId="0" fontId="10" fillId="0" borderId="0" xfId="0" applyFont="1" applyAlignment="1">
      <alignment wrapText="1"/>
    </xf>
    <xf numFmtId="0" fontId="10" fillId="0" borderId="0" xfId="0" applyFont="1" applyAlignment="1">
      <alignment horizontal="left"/>
    </xf>
    <xf numFmtId="0" fontId="10" fillId="0" borderId="0" xfId="0" applyFont="1" applyAlignment="1">
      <alignment horizontal="center"/>
    </xf>
    <xf numFmtId="9" fontId="2" fillId="0" borderId="32" xfId="2" applyFont="1" applyFill="1" applyBorder="1" applyAlignment="1">
      <alignment horizontal="center" vertical="center"/>
    </xf>
    <xf numFmtId="9" fontId="2" fillId="0" borderId="32" xfId="0" applyNumberFormat="1" applyFont="1" applyBorder="1" applyAlignment="1">
      <alignment horizontal="center"/>
    </xf>
    <xf numFmtId="169" fontId="2" fillId="0" borderId="23" xfId="6" applyNumberFormat="1" applyFont="1" applyBorder="1" applyAlignment="1">
      <alignment horizontal="center" vertical="center"/>
    </xf>
    <xf numFmtId="0" fontId="2" fillId="0" borderId="32" xfId="0" applyFont="1" applyBorder="1" applyAlignment="1">
      <alignment vertical="center" wrapText="1"/>
    </xf>
    <xf numFmtId="0" fontId="2" fillId="0" borderId="0" xfId="3" applyFont="1" applyFill="1" applyBorder="1" applyAlignment="1">
      <alignment horizontal="left" vertical="center" wrapText="1"/>
    </xf>
    <xf numFmtId="3" fontId="2" fillId="0" borderId="0" xfId="3" applyNumberFormat="1" applyFont="1" applyFill="1" applyBorder="1" applyAlignment="1">
      <alignment horizontal="center" vertical="center" wrapText="1"/>
    </xf>
    <xf numFmtId="3" fontId="18" fillId="0" borderId="0" xfId="3" applyNumberFormat="1" applyFont="1" applyBorder="1" applyAlignment="1">
      <alignment horizontal="center" vertical="center" wrapText="1"/>
    </xf>
    <xf numFmtId="1" fontId="2" fillId="0" borderId="0" xfId="7" applyNumberFormat="1" applyFont="1" applyAlignment="1">
      <alignment horizontal="center" vertical="center"/>
    </xf>
    <xf numFmtId="0" fontId="37" fillId="26" borderId="84" xfId="0" applyFont="1" applyFill="1" applyBorder="1" applyAlignment="1">
      <alignment horizontal="center" vertical="center" wrapText="1"/>
    </xf>
    <xf numFmtId="0" fontId="37" fillId="26" borderId="84" xfId="0" applyFont="1" applyFill="1" applyBorder="1" applyAlignment="1">
      <alignment horizontal="center" vertical="center"/>
    </xf>
    <xf numFmtId="0" fontId="45" fillId="0" borderId="0" xfId="0" applyFont="1" applyAlignment="1">
      <alignment vertical="center" wrapText="1"/>
    </xf>
    <xf numFmtId="0" fontId="2" fillId="0" borderId="0" xfId="0" applyFont="1" applyAlignment="1">
      <alignment horizontal="left"/>
    </xf>
    <xf numFmtId="169" fontId="2" fillId="0" borderId="32" xfId="6" applyNumberFormat="1" applyFont="1" applyBorder="1" applyAlignment="1">
      <alignment horizontal="right" vertical="center"/>
    </xf>
    <xf numFmtId="0" fontId="2" fillId="0" borderId="32" xfId="0" applyFont="1" applyBorder="1" applyAlignment="1">
      <alignment horizontal="right" vertical="center"/>
    </xf>
    <xf numFmtId="170" fontId="2" fillId="0" borderId="32" xfId="0" applyNumberFormat="1" applyFont="1" applyBorder="1" applyAlignment="1">
      <alignment vertical="center"/>
    </xf>
    <xf numFmtId="169" fontId="2" fillId="0" borderId="32" xfId="6" applyNumberFormat="1" applyFont="1" applyBorder="1" applyAlignment="1">
      <alignment horizontal="right" vertical="center" wrapText="1"/>
    </xf>
    <xf numFmtId="3" fontId="2" fillId="0" borderId="0" xfId="0" applyNumberFormat="1" applyFont="1" applyAlignment="1">
      <alignment horizontal="left"/>
    </xf>
    <xf numFmtId="0" fontId="8" fillId="0" borderId="32" xfId="0" applyFont="1" applyBorder="1"/>
    <xf numFmtId="0" fontId="10" fillId="0" borderId="0" xfId="0" applyFont="1" applyAlignment="1">
      <alignment horizontal="center" vertical="center"/>
    </xf>
    <xf numFmtId="169" fontId="8" fillId="0" borderId="0" xfId="6" applyNumberFormat="1" applyFont="1" applyFill="1" applyBorder="1" applyAlignment="1">
      <alignment horizontal="right" vertical="center"/>
    </xf>
    <xf numFmtId="0" fontId="8" fillId="0" borderId="0" xfId="0" applyFont="1" applyAlignment="1">
      <alignment horizontal="right"/>
    </xf>
    <xf numFmtId="0" fontId="2" fillId="0" borderId="0" xfId="0" applyFont="1" applyAlignment="1">
      <alignment horizontal="right" wrapText="1"/>
    </xf>
    <xf numFmtId="0" fontId="64" fillId="0" borderId="0" xfId="0" applyFont="1" applyAlignment="1">
      <alignment horizontal="center" vertical="center" wrapText="1"/>
    </xf>
    <xf numFmtId="3" fontId="64" fillId="0" borderId="0" xfId="7" applyNumberFormat="1" applyFont="1" applyAlignment="1">
      <alignment horizontal="center" vertical="center"/>
    </xf>
    <xf numFmtId="164" fontId="64" fillId="0" borderId="0" xfId="7" applyNumberFormat="1" applyFont="1" applyAlignment="1">
      <alignment horizontal="center" vertical="center"/>
    </xf>
    <xf numFmtId="1" fontId="64" fillId="0" borderId="0" xfId="7" applyNumberFormat="1" applyFont="1" applyAlignment="1">
      <alignment horizontal="center" vertical="center"/>
    </xf>
    <xf numFmtId="0" fontId="64" fillId="0" borderId="0" xfId="3" applyFont="1" applyFill="1" applyBorder="1" applyAlignment="1">
      <alignment horizontal="left" vertical="center" wrapText="1"/>
    </xf>
    <xf numFmtId="3" fontId="64" fillId="0" borderId="0" xfId="3" applyNumberFormat="1" applyFont="1" applyFill="1" applyBorder="1" applyAlignment="1">
      <alignment horizontal="center" vertical="center" wrapText="1"/>
    </xf>
    <xf numFmtId="0" fontId="8" fillId="0" borderId="0" xfId="0" applyFont="1" applyAlignment="1">
      <alignment horizontal="left" vertical="top" wrapText="1"/>
    </xf>
    <xf numFmtId="0" fontId="2" fillId="0" borderId="0" xfId="0" applyFont="1" applyAlignment="1">
      <alignment horizontal="left" vertical="center"/>
    </xf>
    <xf numFmtId="0" fontId="65" fillId="0" borderId="0" xfId="0" applyFont="1"/>
    <xf numFmtId="0" fontId="8" fillId="20" borderId="2" xfId="0" applyFont="1" applyFill="1" applyBorder="1" applyAlignment="1">
      <alignment wrapText="1"/>
    </xf>
    <xf numFmtId="165" fontId="35" fillId="0" borderId="0" xfId="0" applyNumberFormat="1" applyFont="1" applyAlignment="1">
      <alignment horizontal="center" vertical="center"/>
    </xf>
    <xf numFmtId="0" fontId="2" fillId="0" borderId="81" xfId="0" applyFont="1" applyBorder="1" applyAlignment="1">
      <alignment horizontal="center" vertical="center"/>
    </xf>
    <xf numFmtId="165" fontId="2" fillId="0" borderId="81" xfId="0" applyNumberFormat="1" applyFont="1" applyBorder="1" applyAlignment="1">
      <alignment horizontal="center" vertical="center"/>
    </xf>
    <xf numFmtId="0" fontId="67" fillId="0" borderId="0" xfId="0" applyFont="1"/>
    <xf numFmtId="169" fontId="2" fillId="0" borderId="81" xfId="6" applyNumberFormat="1" applyFont="1" applyBorder="1" applyAlignment="1">
      <alignment horizontal="center" vertical="center"/>
    </xf>
    <xf numFmtId="43" fontId="8" fillId="0" borderId="0" xfId="0" applyNumberFormat="1" applyFont="1"/>
    <xf numFmtId="1" fontId="8" fillId="0" borderId="40" xfId="0" applyNumberFormat="1" applyFont="1" applyBorder="1" applyAlignment="1">
      <alignment horizontal="center" vertical="center" wrapText="1"/>
    </xf>
    <xf numFmtId="0" fontId="35" fillId="0" borderId="40" xfId="0" applyFont="1" applyBorder="1" applyAlignment="1">
      <alignment horizontal="center" vertical="center" wrapText="1"/>
    </xf>
    <xf numFmtId="0" fontId="65" fillId="0" borderId="40" xfId="0" applyFont="1" applyBorder="1" applyAlignment="1">
      <alignment horizontal="center" vertical="center"/>
    </xf>
    <xf numFmtId="0" fontId="2" fillId="0" borderId="40" xfId="0" applyFont="1" applyBorder="1" applyAlignment="1">
      <alignment horizontal="center" vertical="center"/>
    </xf>
    <xf numFmtId="0" fontId="2" fillId="0" borderId="32" xfId="0" applyFont="1" applyBorder="1" applyAlignment="1">
      <alignment horizontal="left" vertical="center" wrapText="1"/>
    </xf>
    <xf numFmtId="0" fontId="2" fillId="0" borderId="33" xfId="0" applyFont="1" applyBorder="1" applyAlignment="1">
      <alignment horizontal="center" vertical="center"/>
    </xf>
    <xf numFmtId="0" fontId="10" fillId="19" borderId="62" xfId="0" applyFont="1" applyFill="1" applyBorder="1" applyAlignment="1">
      <alignment horizontal="center" vertical="center" wrapText="1"/>
    </xf>
    <xf numFmtId="0" fontId="2" fillId="0" borderId="0" xfId="0" applyFont="1" applyAlignment="1">
      <alignment vertical="center"/>
    </xf>
    <xf numFmtId="0" fontId="36" fillId="0" borderId="93" xfId="0" applyFont="1" applyBorder="1" applyAlignment="1">
      <alignment horizontal="center" vertical="center"/>
    </xf>
    <xf numFmtId="2" fontId="36" fillId="0" borderId="94" xfId="0" applyNumberFormat="1" applyFont="1" applyBorder="1" applyAlignment="1">
      <alignment horizontal="center" vertical="center"/>
    </xf>
    <xf numFmtId="2" fontId="36" fillId="0" borderId="95" xfId="0" applyNumberFormat="1" applyFont="1" applyBorder="1" applyAlignment="1">
      <alignment horizontal="center" vertical="center"/>
    </xf>
    <xf numFmtId="0" fontId="36" fillId="0" borderId="96" xfId="0" applyFont="1" applyBorder="1" applyAlignment="1">
      <alignment horizontal="center" vertical="center"/>
    </xf>
    <xf numFmtId="2" fontId="36" fillId="0" borderId="97" xfId="0" applyNumberFormat="1" applyFont="1" applyBorder="1" applyAlignment="1">
      <alignment horizontal="center" vertical="center"/>
    </xf>
    <xf numFmtId="0" fontId="36" fillId="0" borderId="98" xfId="0" applyFont="1" applyBorder="1" applyAlignment="1">
      <alignment horizontal="center" vertical="center"/>
    </xf>
    <xf numFmtId="2" fontId="36" fillId="0" borderId="99" xfId="0" applyNumberFormat="1" applyFont="1" applyBorder="1" applyAlignment="1">
      <alignment horizontal="center" vertical="center"/>
    </xf>
    <xf numFmtId="2" fontId="36" fillId="0" borderId="100" xfId="0" applyNumberFormat="1" applyFont="1" applyBorder="1" applyAlignment="1">
      <alignment horizontal="center" vertical="center"/>
    </xf>
    <xf numFmtId="0" fontId="10" fillId="19" borderId="0" xfId="0" applyFont="1" applyFill="1" applyAlignment="1">
      <alignment horizontal="center" vertical="center" wrapText="1"/>
    </xf>
    <xf numFmtId="0" fontId="11" fillId="0" borderId="0" xfId="5" applyFill="1"/>
    <xf numFmtId="0" fontId="21" fillId="0" borderId="0" xfId="0" applyFont="1" applyAlignment="1">
      <alignment horizontal="center" vertical="center"/>
    </xf>
    <xf numFmtId="2" fontId="69" fillId="0" borderId="40" xfId="0" applyNumberFormat="1" applyFont="1" applyBorder="1" applyAlignment="1">
      <alignment horizontal="center" vertical="center"/>
    </xf>
    <xf numFmtId="2" fontId="69" fillId="0" borderId="99" xfId="0" applyNumberFormat="1" applyFont="1" applyBorder="1" applyAlignment="1">
      <alignment horizontal="center" vertical="center"/>
    </xf>
    <xf numFmtId="2" fontId="69" fillId="0" borderId="94" xfId="0" applyNumberFormat="1" applyFont="1" applyBorder="1" applyAlignment="1">
      <alignment horizontal="center" vertical="center"/>
    </xf>
    <xf numFmtId="0" fontId="36" fillId="0" borderId="29" xfId="0" applyFont="1" applyBorder="1" applyAlignment="1">
      <alignment horizontal="center" vertical="center"/>
    </xf>
    <xf numFmtId="0" fontId="36" fillId="0" borderId="29" xfId="0" applyFont="1" applyBorder="1" applyAlignment="1">
      <alignment horizontal="left" vertical="center"/>
    </xf>
    <xf numFmtId="0" fontId="36" fillId="20" borderId="29" xfId="0" applyFont="1" applyFill="1" applyBorder="1" applyAlignment="1">
      <alignment horizontal="center" vertical="center"/>
    </xf>
    <xf numFmtId="0" fontId="8" fillId="0" borderId="44" xfId="0" applyFont="1" applyBorder="1"/>
    <xf numFmtId="0" fontId="36" fillId="0" borderId="0" xfId="0" applyFont="1" applyAlignment="1">
      <alignment vertical="center"/>
    </xf>
    <xf numFmtId="0" fontId="36" fillId="0" borderId="0" xfId="0" applyFont="1" applyAlignment="1">
      <alignment vertical="center" wrapText="1"/>
    </xf>
    <xf numFmtId="0" fontId="62" fillId="0" borderId="0" xfId="0" applyFont="1" applyAlignment="1">
      <alignment vertical="center" wrapText="1"/>
    </xf>
    <xf numFmtId="2" fontId="36" fillId="0" borderId="0" xfId="0" applyNumberFormat="1" applyFont="1" applyAlignment="1">
      <alignment horizontal="center" vertical="center"/>
    </xf>
    <xf numFmtId="2" fontId="59" fillId="0" borderId="0" xfId="0" applyNumberFormat="1" applyFont="1" applyAlignment="1">
      <alignment horizontal="center" vertical="center"/>
    </xf>
    <xf numFmtId="2" fontId="62" fillId="0" borderId="0" xfId="0" applyNumberFormat="1" applyFont="1" applyAlignment="1">
      <alignment horizontal="center" vertical="center"/>
    </xf>
    <xf numFmtId="0" fontId="69" fillId="0" borderId="0" xfId="0" applyFont="1" applyAlignment="1">
      <alignment vertical="center" wrapText="1"/>
    </xf>
    <xf numFmtId="2" fontId="69" fillId="0" borderId="0" xfId="0" applyNumberFormat="1" applyFont="1" applyAlignment="1">
      <alignment horizontal="center" vertical="center"/>
    </xf>
    <xf numFmtId="0" fontId="36" fillId="0" borderId="0" xfId="0" applyFont="1" applyAlignment="1">
      <alignment horizontal="center"/>
    </xf>
    <xf numFmtId="0" fontId="36" fillId="0" borderId="91" xfId="0" applyFont="1" applyBorder="1" applyAlignment="1">
      <alignment vertical="center"/>
    </xf>
    <xf numFmtId="0" fontId="36" fillId="0" borderId="114" xfId="0" applyFont="1" applyBorder="1" applyAlignment="1">
      <alignment vertical="center" wrapText="1"/>
    </xf>
    <xf numFmtId="0" fontId="62" fillId="0" borderId="114" xfId="0" applyFont="1" applyBorder="1" applyAlignment="1">
      <alignment vertical="center" wrapText="1"/>
    </xf>
    <xf numFmtId="0" fontId="36" fillId="0" borderId="114" xfId="0" applyFont="1" applyBorder="1" applyAlignment="1">
      <alignment horizontal="center" vertical="center"/>
    </xf>
    <xf numFmtId="2" fontId="36" fillId="0" borderId="114" xfId="0" applyNumberFormat="1" applyFont="1" applyBorder="1" applyAlignment="1">
      <alignment horizontal="center" vertical="center"/>
    </xf>
    <xf numFmtId="2" fontId="36" fillId="0" borderId="115" xfId="0" applyNumberFormat="1" applyFont="1" applyBorder="1" applyAlignment="1">
      <alignment horizontal="center" vertical="center"/>
    </xf>
    <xf numFmtId="0" fontId="36" fillId="0" borderId="109" xfId="0" applyFont="1" applyBorder="1" applyAlignment="1">
      <alignment vertical="center"/>
    </xf>
    <xf numFmtId="2" fontId="36" fillId="0" borderId="116" xfId="0" applyNumberFormat="1" applyFont="1" applyBorder="1" applyAlignment="1">
      <alignment horizontal="center" vertical="center"/>
    </xf>
    <xf numFmtId="0" fontId="36" fillId="0" borderId="117" xfId="0" applyFont="1" applyBorder="1" applyAlignment="1">
      <alignment vertical="center"/>
    </xf>
    <xf numFmtId="0" fontId="36" fillId="0" borderId="30" xfId="0" applyFont="1" applyBorder="1" applyAlignment="1">
      <alignment vertical="center" wrapText="1"/>
    </xf>
    <xf numFmtId="0" fontId="62" fillId="0" borderId="30" xfId="0" applyFont="1" applyBorder="1" applyAlignment="1">
      <alignment vertical="center" wrapText="1"/>
    </xf>
    <xf numFmtId="0" fontId="36" fillId="0" borderId="30" xfId="0" applyFont="1" applyBorder="1" applyAlignment="1">
      <alignment horizontal="center" vertical="center"/>
    </xf>
    <xf numFmtId="2" fontId="36" fillId="0" borderId="30" xfId="0" applyNumberFormat="1" applyFont="1" applyBorder="1" applyAlignment="1">
      <alignment horizontal="center" vertical="center"/>
    </xf>
    <xf numFmtId="2" fontId="36" fillId="0" borderId="111" xfId="0" applyNumberFormat="1" applyFont="1" applyBorder="1" applyAlignment="1">
      <alignment horizontal="center" vertical="center"/>
    </xf>
    <xf numFmtId="2" fontId="59" fillId="0" borderId="114" xfId="0" applyNumberFormat="1" applyFont="1" applyBorder="1" applyAlignment="1">
      <alignment horizontal="center" vertical="center"/>
    </xf>
    <xf numFmtId="2" fontId="62" fillId="0" borderId="114" xfId="0" applyNumberFormat="1" applyFont="1" applyBorder="1" applyAlignment="1">
      <alignment horizontal="center" vertical="center"/>
    </xf>
    <xf numFmtId="2" fontId="59" fillId="0" borderId="115" xfId="0" applyNumberFormat="1" applyFont="1" applyBorder="1" applyAlignment="1">
      <alignment horizontal="center" vertical="center"/>
    </xf>
    <xf numFmtId="2" fontId="59" fillId="0" borderId="116" xfId="0" applyNumberFormat="1" applyFont="1" applyBorder="1" applyAlignment="1">
      <alignment horizontal="center" vertical="center"/>
    </xf>
    <xf numFmtId="2" fontId="59" fillId="0" borderId="30" xfId="0" applyNumberFormat="1" applyFont="1" applyBorder="1" applyAlignment="1">
      <alignment horizontal="center" vertical="center"/>
    </xf>
    <xf numFmtId="2" fontId="62" fillId="0" borderId="30" xfId="0" applyNumberFormat="1" applyFont="1" applyBorder="1" applyAlignment="1">
      <alignment horizontal="center" vertical="center"/>
    </xf>
    <xf numFmtId="2" fontId="59" fillId="0" borderId="111" xfId="0" applyNumberFormat="1" applyFont="1" applyBorder="1" applyAlignment="1">
      <alignment horizontal="center" vertical="center"/>
    </xf>
    <xf numFmtId="0" fontId="69" fillId="0" borderId="114" xfId="0" applyFont="1" applyBorder="1" applyAlignment="1">
      <alignment vertical="center" wrapText="1"/>
    </xf>
    <xf numFmtId="2" fontId="69" fillId="0" borderId="114" xfId="0" applyNumberFormat="1" applyFont="1" applyBorder="1" applyAlignment="1">
      <alignment horizontal="center" vertical="center"/>
    </xf>
    <xf numFmtId="0" fontId="69" fillId="0" borderId="30" xfId="0" applyFont="1" applyBorder="1" applyAlignment="1">
      <alignment vertical="center" wrapText="1"/>
    </xf>
    <xf numFmtId="2" fontId="69" fillId="0" borderId="30" xfId="0" applyNumberFormat="1" applyFont="1" applyBorder="1" applyAlignment="1">
      <alignment horizontal="center" vertical="center"/>
    </xf>
    <xf numFmtId="0" fontId="36" fillId="0" borderId="114" xfId="0" applyFont="1" applyBorder="1" applyAlignment="1">
      <alignment vertical="center"/>
    </xf>
    <xf numFmtId="0" fontId="36" fillId="0" borderId="114" xfId="0" applyFont="1" applyBorder="1" applyAlignment="1">
      <alignment horizontal="center"/>
    </xf>
    <xf numFmtId="0" fontId="36" fillId="0" borderId="115" xfId="0" applyFont="1" applyBorder="1" applyAlignment="1">
      <alignment horizontal="center"/>
    </xf>
    <xf numFmtId="0" fontId="36" fillId="0" borderId="116" xfId="0" applyFont="1" applyBorder="1" applyAlignment="1">
      <alignment horizontal="center"/>
    </xf>
    <xf numFmtId="0" fontId="36" fillId="0" borderId="30" xfId="0" applyFont="1" applyBorder="1" applyAlignment="1">
      <alignment vertical="center"/>
    </xf>
    <xf numFmtId="0" fontId="36" fillId="0" borderId="30" xfId="0" applyFont="1" applyBorder="1" applyAlignment="1">
      <alignment horizontal="center"/>
    </xf>
    <xf numFmtId="0" fontId="36" fillId="0" borderId="111" xfId="0" applyFont="1" applyBorder="1" applyAlignment="1">
      <alignment horizontal="center"/>
    </xf>
    <xf numFmtId="0" fontId="36" fillId="0" borderId="115" xfId="0" applyFont="1" applyBorder="1" applyAlignment="1">
      <alignment horizontal="center" vertical="center"/>
    </xf>
    <xf numFmtId="0" fontId="36" fillId="0" borderId="116" xfId="0" applyFont="1" applyBorder="1" applyAlignment="1">
      <alignment horizontal="center" vertical="center"/>
    </xf>
    <xf numFmtId="0" fontId="36" fillId="0" borderId="111" xfId="0" applyFont="1" applyBorder="1" applyAlignment="1">
      <alignment horizontal="center" vertical="center"/>
    </xf>
    <xf numFmtId="0" fontId="59" fillId="0" borderId="0" xfId="0" applyFont="1" applyAlignment="1">
      <alignment vertical="center" wrapText="1"/>
    </xf>
    <xf numFmtId="0" fontId="59" fillId="0" borderId="0" xfId="0" applyFont="1" applyAlignment="1">
      <alignment horizontal="center" vertical="center"/>
    </xf>
    <xf numFmtId="0" fontId="59" fillId="0" borderId="91" xfId="0" applyFont="1" applyBorder="1" applyAlignment="1">
      <alignment vertical="center"/>
    </xf>
    <xf numFmtId="0" fontId="59" fillId="0" borderId="114" xfId="0" applyFont="1" applyBorder="1" applyAlignment="1">
      <alignment vertical="center" wrapText="1"/>
    </xf>
    <xf numFmtId="0" fontId="59" fillId="0" borderId="114" xfId="0" applyFont="1" applyBorder="1" applyAlignment="1">
      <alignment horizontal="center" vertical="center"/>
    </xf>
    <xf numFmtId="0" fontId="59" fillId="0" borderId="115" xfId="0" applyFont="1" applyBorder="1" applyAlignment="1">
      <alignment horizontal="center" vertical="center"/>
    </xf>
    <xf numFmtId="0" fontId="59" fillId="0" borderId="109" xfId="0" applyFont="1" applyBorder="1" applyAlignment="1">
      <alignment vertical="center"/>
    </xf>
    <xf numFmtId="0" fontId="59" fillId="0" borderId="116" xfId="0" applyFont="1" applyBorder="1" applyAlignment="1">
      <alignment horizontal="center" vertical="center"/>
    </xf>
    <xf numFmtId="0" fontId="59" fillId="0" borderId="117" xfId="0" applyFont="1" applyBorder="1" applyAlignment="1">
      <alignment vertical="center"/>
    </xf>
    <xf numFmtId="0" fontId="59" fillId="0" borderId="30" xfId="0" applyFont="1" applyBorder="1" applyAlignment="1">
      <alignment vertical="center" wrapText="1"/>
    </xf>
    <xf numFmtId="0" fontId="59" fillId="0" borderId="30" xfId="0" applyFont="1" applyBorder="1" applyAlignment="1">
      <alignment horizontal="center" vertical="center"/>
    </xf>
    <xf numFmtId="0" fontId="59" fillId="0" borderId="111" xfId="0" applyFont="1" applyBorder="1" applyAlignment="1">
      <alignment horizontal="center" vertical="center"/>
    </xf>
    <xf numFmtId="2" fontId="36" fillId="0" borderId="112" xfId="0" applyNumberFormat="1" applyFont="1" applyBorder="1" applyAlignment="1">
      <alignment horizontal="center" vertical="center"/>
    </xf>
    <xf numFmtId="2" fontId="60" fillId="0" borderId="94" xfId="0" applyNumberFormat="1" applyFont="1" applyBorder="1" applyAlignment="1">
      <alignment horizontal="center" vertical="center"/>
    </xf>
    <xf numFmtId="2" fontId="59" fillId="0" borderId="1" xfId="0" applyNumberFormat="1" applyFont="1" applyBorder="1" applyAlignment="1">
      <alignment horizontal="center" vertical="center"/>
    </xf>
    <xf numFmtId="2" fontId="59" fillId="0" borderId="2" xfId="0" applyNumberFormat="1" applyFont="1" applyBorder="1" applyAlignment="1">
      <alignment horizontal="center" vertical="center"/>
    </xf>
    <xf numFmtId="2" fontId="59" fillId="0" borderId="12" xfId="0" applyNumberFormat="1" applyFont="1" applyBorder="1" applyAlignment="1">
      <alignment horizontal="center" vertical="center"/>
    </xf>
    <xf numFmtId="2" fontId="60" fillId="0" borderId="52" xfId="0" applyNumberFormat="1" applyFont="1" applyBorder="1" applyAlignment="1">
      <alignment horizontal="center" vertical="center"/>
    </xf>
    <xf numFmtId="2" fontId="60" fillId="0" borderId="40" xfId="0" applyNumberFormat="1" applyFont="1" applyBorder="1" applyAlignment="1">
      <alignment horizontal="center" vertical="center"/>
    </xf>
    <xf numFmtId="2" fontId="60" fillId="0" borderId="44" xfId="0" applyNumberFormat="1" applyFont="1" applyBorder="1" applyAlignment="1">
      <alignment horizontal="center" vertical="center"/>
    </xf>
    <xf numFmtId="2" fontId="60" fillId="0" borderId="113" xfId="0" applyNumberFormat="1" applyFont="1" applyBorder="1" applyAlignment="1">
      <alignment horizontal="center" vertical="center"/>
    </xf>
    <xf numFmtId="2" fontId="60" fillId="0" borderId="99" xfId="0" applyNumberFormat="1" applyFont="1" applyBorder="1" applyAlignment="1">
      <alignment horizontal="center" vertical="center"/>
    </xf>
    <xf numFmtId="2" fontId="60" fillId="0" borderId="112" xfId="0" applyNumberFormat="1" applyFont="1" applyBorder="1" applyAlignment="1">
      <alignment horizontal="center" vertical="center"/>
    </xf>
    <xf numFmtId="2" fontId="60" fillId="0" borderId="1" xfId="0" applyNumberFormat="1" applyFont="1" applyBorder="1" applyAlignment="1">
      <alignment horizontal="center" vertical="center"/>
    </xf>
    <xf numFmtId="2" fontId="60" fillId="0" borderId="2" xfId="0" applyNumberFormat="1" applyFont="1" applyBorder="1" applyAlignment="1">
      <alignment horizontal="center" vertical="center"/>
    </xf>
    <xf numFmtId="2" fontId="60" fillId="0" borderId="12" xfId="0" applyNumberFormat="1" applyFont="1" applyBorder="1" applyAlignment="1">
      <alignment horizontal="center" vertical="center"/>
    </xf>
    <xf numFmtId="2" fontId="60" fillId="0" borderId="48" xfId="0" applyNumberFormat="1" applyFont="1" applyBorder="1" applyAlignment="1">
      <alignment horizontal="center" vertical="center"/>
    </xf>
    <xf numFmtId="0" fontId="36" fillId="0" borderId="119" xfId="0" applyFont="1" applyBorder="1" applyAlignment="1">
      <alignment horizontal="center" vertical="center"/>
    </xf>
    <xf numFmtId="2" fontId="36" fillId="0" borderId="107" xfId="0" applyNumberFormat="1" applyFont="1" applyBorder="1" applyAlignment="1">
      <alignment horizontal="center" vertical="center"/>
    </xf>
    <xf numFmtId="2" fontId="36" fillId="0" borderId="102" xfId="0" applyNumberFormat="1" applyFont="1" applyBorder="1" applyAlignment="1">
      <alignment horizontal="center" vertical="center"/>
    </xf>
    <xf numFmtId="2" fontId="36" fillId="0" borderId="104" xfId="0" applyNumberFormat="1" applyFont="1" applyBorder="1" applyAlignment="1">
      <alignment horizontal="center" vertical="center"/>
    </xf>
    <xf numFmtId="0" fontId="36" fillId="0" borderId="121" xfId="0" applyFont="1" applyBorder="1" applyAlignment="1">
      <alignment horizontal="center" vertical="center"/>
    </xf>
    <xf numFmtId="2" fontId="36" fillId="0" borderId="108" xfId="0" applyNumberFormat="1" applyFont="1" applyBorder="1" applyAlignment="1">
      <alignment horizontal="center" vertical="center"/>
    </xf>
    <xf numFmtId="2" fontId="36" fillId="0" borderId="106" xfId="0" applyNumberFormat="1" applyFont="1" applyBorder="1" applyAlignment="1">
      <alignment horizontal="center" vertical="center"/>
    </xf>
    <xf numFmtId="2" fontId="59" fillId="0" borderId="107" xfId="0" applyNumberFormat="1" applyFont="1" applyBorder="1" applyAlignment="1">
      <alignment horizontal="center" vertical="center"/>
    </xf>
    <xf numFmtId="2" fontId="62" fillId="0" borderId="107" xfId="0" applyNumberFormat="1" applyFont="1" applyBorder="1" applyAlignment="1">
      <alignment horizontal="center" vertical="center"/>
    </xf>
    <xf numFmtId="2" fontId="59" fillId="0" borderId="102" xfId="0" applyNumberFormat="1" applyFont="1" applyBorder="1" applyAlignment="1">
      <alignment horizontal="center" vertical="center"/>
    </xf>
    <xf numFmtId="2" fontId="59" fillId="0" borderId="104" xfId="0" applyNumberFormat="1" applyFont="1" applyBorder="1" applyAlignment="1">
      <alignment horizontal="center" vertical="center"/>
    </xf>
    <xf numFmtId="2" fontId="59" fillId="0" borderId="108" xfId="0" applyNumberFormat="1" applyFont="1" applyBorder="1" applyAlignment="1">
      <alignment horizontal="center" vertical="center"/>
    </xf>
    <xf numFmtId="2" fontId="62" fillId="0" borderId="108" xfId="0" applyNumberFormat="1" applyFont="1" applyBorder="1" applyAlignment="1">
      <alignment horizontal="center" vertical="center"/>
    </xf>
    <xf numFmtId="2" fontId="59" fillId="0" borderId="106" xfId="0" applyNumberFormat="1" applyFont="1" applyBorder="1" applyAlignment="1">
      <alignment horizontal="center" vertical="center"/>
    </xf>
    <xf numFmtId="2" fontId="36" fillId="0" borderId="91" xfId="0" applyNumberFormat="1" applyFont="1" applyBorder="1" applyAlignment="1">
      <alignment horizontal="center" vertical="center"/>
    </xf>
    <xf numFmtId="2" fontId="36" fillId="0" borderId="109" xfId="0" applyNumberFormat="1" applyFont="1" applyBorder="1" applyAlignment="1">
      <alignment horizontal="center" vertical="center"/>
    </xf>
    <xf numFmtId="2" fontId="36" fillId="0" borderId="117" xfId="0" applyNumberFormat="1" applyFont="1" applyBorder="1" applyAlignment="1">
      <alignment horizontal="center" vertical="center"/>
    </xf>
    <xf numFmtId="0" fontId="2" fillId="59" borderId="16" xfId="0" applyFont="1" applyFill="1" applyBorder="1" applyAlignment="1">
      <alignment horizontal="left" vertical="center" wrapText="1"/>
    </xf>
    <xf numFmtId="0" fontId="8" fillId="59" borderId="124" xfId="0" applyFont="1" applyFill="1" applyBorder="1" applyAlignment="1">
      <alignment horizontal="left" vertical="center" wrapText="1"/>
    </xf>
    <xf numFmtId="0" fontId="0" fillId="0" borderId="125" xfId="0" applyBorder="1"/>
    <xf numFmtId="0" fontId="0" fillId="0" borderId="32" xfId="0" applyBorder="1"/>
    <xf numFmtId="0" fontId="8" fillId="0" borderId="2" xfId="0" quotePrefix="1" applyFont="1" applyBorder="1" applyAlignment="1">
      <alignment horizontal="left" vertical="center" wrapText="1"/>
    </xf>
    <xf numFmtId="0" fontId="8" fillId="0" borderId="3" xfId="0" applyFont="1" applyBorder="1" applyAlignment="1">
      <alignment horizontal="left" vertical="center"/>
    </xf>
    <xf numFmtId="0" fontId="8" fillId="20" borderId="3" xfId="0" applyFont="1" applyFill="1" applyBorder="1"/>
    <xf numFmtId="0" fontId="20" fillId="0" borderId="32" xfId="0" applyFont="1" applyBorder="1" applyAlignment="1">
      <alignment horizontal="center" vertical="center"/>
    </xf>
    <xf numFmtId="0" fontId="8" fillId="0" borderId="3" xfId="0" applyFont="1" applyBorder="1" applyAlignment="1">
      <alignment vertical="center"/>
    </xf>
    <xf numFmtId="0" fontId="8" fillId="0" borderId="3" xfId="0" applyFont="1" applyBorder="1" applyAlignment="1">
      <alignment vertical="center" wrapText="1"/>
    </xf>
    <xf numFmtId="0" fontId="2" fillId="0" borderId="128" xfId="0" applyFont="1" applyBorder="1" applyAlignment="1">
      <alignment horizontal="left" wrapText="1"/>
    </xf>
    <xf numFmtId="0" fontId="34" fillId="19" borderId="32" xfId="0" applyFont="1" applyFill="1" applyBorder="1" applyAlignment="1">
      <alignment horizontal="center" vertical="center" wrapText="1"/>
    </xf>
    <xf numFmtId="0" fontId="33" fillId="19" borderId="32" xfId="0" applyFont="1" applyFill="1" applyBorder="1" applyAlignment="1">
      <alignment horizontal="center" vertical="center"/>
    </xf>
    <xf numFmtId="3" fontId="8" fillId="0" borderId="32" xfId="7" applyNumberFormat="1" applyFont="1" applyBorder="1" applyAlignment="1">
      <alignment horizontal="center" vertical="center"/>
    </xf>
    <xf numFmtId="164" fontId="8" fillId="0" borderId="32" xfId="7" applyNumberFormat="1" applyFont="1" applyBorder="1" applyAlignment="1">
      <alignment horizontal="center" vertical="center"/>
    </xf>
    <xf numFmtId="3" fontId="2" fillId="0" borderId="32" xfId="3" applyNumberFormat="1" applyFont="1" applyFill="1" applyBorder="1" applyAlignment="1">
      <alignment horizontal="center" vertical="center" wrapText="1"/>
    </xf>
    <xf numFmtId="3" fontId="18" fillId="0" borderId="32" xfId="3" applyNumberFormat="1" applyFont="1" applyFill="1" applyBorder="1" applyAlignment="1">
      <alignment horizontal="center" vertical="center" wrapText="1"/>
    </xf>
    <xf numFmtId="3" fontId="2" fillId="0" borderId="32" xfId="7" applyNumberFormat="1" applyFont="1" applyBorder="1" applyAlignment="1">
      <alignment horizontal="center" vertical="center"/>
    </xf>
    <xf numFmtId="165" fontId="8" fillId="0" borderId="32" xfId="0" quotePrefix="1" applyNumberFormat="1" applyFont="1" applyBorder="1" applyAlignment="1">
      <alignment horizontal="center" vertical="center" wrapText="1"/>
    </xf>
    <xf numFmtId="0" fontId="18" fillId="0" borderId="2" xfId="3" applyFont="1" applyFill="1" applyBorder="1" applyAlignment="1">
      <alignment horizontal="center" vertical="center" wrapText="1"/>
    </xf>
    <xf numFmtId="0" fontId="2" fillId="0" borderId="2" xfId="1" applyBorder="1" applyAlignment="1">
      <alignment horizontal="center" vertical="center" wrapText="1"/>
    </xf>
    <xf numFmtId="0" fontId="2" fillId="0" borderId="0" xfId="0" applyFont="1" applyAlignment="1">
      <alignment horizontal="center" vertical="center"/>
    </xf>
    <xf numFmtId="169" fontId="2" fillId="0" borderId="32" xfId="6" applyNumberFormat="1" applyFont="1" applyBorder="1" applyAlignment="1">
      <alignment horizontal="center" vertical="center"/>
    </xf>
    <xf numFmtId="0" fontId="2" fillId="0" borderId="40" xfId="0" applyFont="1" applyBorder="1"/>
    <xf numFmtId="0" fontId="65" fillId="0" borderId="32" xfId="0" applyFont="1" applyBorder="1" applyAlignment="1">
      <alignment vertical="center"/>
    </xf>
    <xf numFmtId="0" fontId="2" fillId="0" borderId="90" xfId="0" applyFont="1" applyBorder="1" applyAlignment="1">
      <alignment horizontal="center" vertical="center"/>
    </xf>
    <xf numFmtId="0" fontId="33" fillId="0" borderId="0" xfId="0" applyFont="1"/>
    <xf numFmtId="2" fontId="8" fillId="0" borderId="129" xfId="0" applyNumberFormat="1" applyFont="1" applyBorder="1" applyAlignment="1">
      <alignment horizontal="center" vertical="center"/>
    </xf>
    <xf numFmtId="2" fontId="8" fillId="0" borderId="131" xfId="0" applyNumberFormat="1" applyFont="1" applyBorder="1" applyAlignment="1">
      <alignment horizontal="center" vertical="center"/>
    </xf>
    <xf numFmtId="0" fontId="42" fillId="0" borderId="0" xfId="0" applyFont="1" applyAlignment="1">
      <alignment vertical="center"/>
    </xf>
    <xf numFmtId="0" fontId="8" fillId="0" borderId="109" xfId="0" applyFont="1" applyBorder="1"/>
    <xf numFmtId="0" fontId="8" fillId="0" borderId="135" xfId="0" applyFont="1" applyBorder="1"/>
    <xf numFmtId="0" fontId="70" fillId="0" borderId="61" xfId="0" applyFont="1" applyBorder="1" applyAlignment="1">
      <alignment horizontal="center" vertical="center"/>
    </xf>
    <xf numFmtId="0" fontId="66" fillId="0" borderId="40" xfId="0" applyFont="1" applyBorder="1" applyAlignment="1">
      <alignment horizontal="center" vertical="center"/>
    </xf>
    <xf numFmtId="0" fontId="0" fillId="0" borderId="136" xfId="0" applyBorder="1"/>
    <xf numFmtId="3" fontId="2" fillId="62" borderId="22" xfId="0" applyNumberFormat="1" applyFont="1" applyFill="1" applyBorder="1" applyAlignment="1">
      <alignment horizontal="left" vertical="center"/>
    </xf>
    <xf numFmtId="3" fontId="2" fillId="62" borderId="2" xfId="0" applyNumberFormat="1" applyFont="1" applyFill="1" applyBorder="1" applyAlignment="1">
      <alignment horizontal="left" vertical="center"/>
    </xf>
    <xf numFmtId="0" fontId="8" fillId="0" borderId="137" xfId="0" applyFont="1" applyBorder="1"/>
    <xf numFmtId="0" fontId="66" fillId="60" borderId="0" xfId="0" applyFont="1" applyFill="1" applyAlignment="1">
      <alignment vertical="center" wrapText="1"/>
    </xf>
    <xf numFmtId="0" fontId="8" fillId="59" borderId="2" xfId="0" applyFont="1" applyFill="1" applyBorder="1" applyAlignment="1">
      <alignment horizontal="left" vertical="center" wrapText="1"/>
    </xf>
    <xf numFmtId="0" fontId="2" fillId="26" borderId="2" xfId="0" applyFont="1" applyFill="1" applyBorder="1" applyAlignment="1">
      <alignment vertical="center"/>
    </xf>
    <xf numFmtId="0" fontId="2" fillId="26" borderId="127" xfId="0" applyFont="1" applyFill="1" applyBorder="1" applyAlignment="1">
      <alignment vertical="center"/>
    </xf>
    <xf numFmtId="0" fontId="2" fillId="26" borderId="2" xfId="0" applyFont="1" applyFill="1" applyBorder="1" applyAlignment="1">
      <alignment vertical="center" wrapText="1"/>
    </xf>
    <xf numFmtId="0" fontId="2" fillId="26" borderId="2" xfId="0" applyFont="1" applyFill="1" applyBorder="1" applyAlignment="1">
      <alignment horizontal="left" vertical="center" wrapText="1"/>
    </xf>
    <xf numFmtId="0" fontId="8" fillId="26" borderId="2" xfId="0" applyFont="1" applyFill="1" applyBorder="1" applyAlignment="1">
      <alignment horizontal="left" vertical="center" wrapText="1"/>
    </xf>
    <xf numFmtId="0" fontId="35" fillId="26" borderId="2" xfId="0" applyFont="1" applyFill="1" applyBorder="1" applyAlignment="1">
      <alignment horizontal="left" vertical="center" wrapText="1"/>
    </xf>
    <xf numFmtId="0" fontId="35" fillId="26" borderId="22" xfId="0" applyFont="1" applyFill="1" applyBorder="1" applyAlignment="1">
      <alignment vertical="center" wrapText="1"/>
    </xf>
    <xf numFmtId="0" fontId="8" fillId="65" borderId="2" xfId="0" applyFont="1" applyFill="1" applyBorder="1" applyAlignment="1">
      <alignment vertical="center"/>
    </xf>
    <xf numFmtId="0" fontId="2" fillId="65" borderId="2" xfId="0" applyFont="1" applyFill="1" applyBorder="1" applyAlignment="1">
      <alignment horizontal="left" vertical="center"/>
    </xf>
    <xf numFmtId="0" fontId="35" fillId="65" borderId="2" xfId="0" applyFont="1" applyFill="1" applyBorder="1" applyAlignment="1">
      <alignment horizontal="left" wrapText="1"/>
    </xf>
    <xf numFmtId="0" fontId="8" fillId="65" borderId="2" xfId="0" applyFont="1" applyFill="1" applyBorder="1" applyAlignment="1">
      <alignment horizontal="left" vertical="center"/>
    </xf>
    <xf numFmtId="0" fontId="8" fillId="66" borderId="2" xfId="0" applyFont="1" applyFill="1" applyBorder="1" applyAlignment="1">
      <alignment vertical="center"/>
    </xf>
    <xf numFmtId="0" fontId="61" fillId="66" borderId="2" xfId="0" quotePrefix="1" applyFont="1" applyFill="1" applyBorder="1" applyAlignment="1">
      <alignment horizontal="left" vertical="center"/>
    </xf>
    <xf numFmtId="0" fontId="2" fillId="66" borderId="2" xfId="0" applyFont="1" applyFill="1" applyBorder="1" applyAlignment="1">
      <alignment horizontal="left"/>
    </xf>
    <xf numFmtId="0" fontId="8" fillId="66" borderId="2" xfId="0" applyFont="1" applyFill="1" applyBorder="1" applyAlignment="1">
      <alignment horizontal="left" vertical="center"/>
    </xf>
    <xf numFmtId="0" fontId="8" fillId="67" borderId="2" xfId="0" applyFont="1" applyFill="1" applyBorder="1" applyAlignment="1">
      <alignment vertical="center"/>
    </xf>
    <xf numFmtId="0" fontId="2" fillId="67" borderId="2" xfId="0" applyFont="1" applyFill="1" applyBorder="1" applyAlignment="1">
      <alignment horizontal="left" vertical="center"/>
    </xf>
    <xf numFmtId="0" fontId="2" fillId="67" borderId="2" xfId="0" applyFont="1" applyFill="1" applyBorder="1" applyAlignment="1">
      <alignment horizontal="left"/>
    </xf>
    <xf numFmtId="0" fontId="8" fillId="67" borderId="2" xfId="0" applyFont="1" applyFill="1" applyBorder="1" applyAlignment="1">
      <alignment horizontal="left" vertical="center"/>
    </xf>
    <xf numFmtId="0" fontId="2" fillId="67" borderId="2" xfId="0" applyFont="1" applyFill="1" applyBorder="1" applyAlignment="1">
      <alignment vertical="center"/>
    </xf>
    <xf numFmtId="0" fontId="2" fillId="67" borderId="2" xfId="0" applyFont="1" applyFill="1" applyBorder="1"/>
    <xf numFmtId="0" fontId="8" fillId="65" borderId="2" xfId="0" applyFont="1" applyFill="1" applyBorder="1" applyAlignment="1">
      <alignment horizontal="left"/>
    </xf>
    <xf numFmtId="3" fontId="35" fillId="65" borderId="2" xfId="0" applyNumberFormat="1" applyFont="1" applyFill="1" applyBorder="1" applyAlignment="1">
      <alignment horizontal="left"/>
    </xf>
    <xf numFmtId="0" fontId="35" fillId="65" borderId="2" xfId="0" applyFont="1" applyFill="1" applyBorder="1" applyAlignment="1">
      <alignment horizontal="left"/>
    </xf>
    <xf numFmtId="0" fontId="8" fillId="67" borderId="2" xfId="0" applyFont="1" applyFill="1" applyBorder="1" applyAlignment="1">
      <alignment horizontal="left"/>
    </xf>
    <xf numFmtId="0" fontId="8" fillId="0" borderId="2" xfId="0" applyFont="1" applyBorder="1" applyAlignment="1">
      <alignment horizontal="left" vertical="center"/>
    </xf>
    <xf numFmtId="3" fontId="8" fillId="0" borderId="2" xfId="0" applyNumberFormat="1" applyFont="1" applyBorder="1" applyAlignment="1">
      <alignment horizontal="left" vertical="center"/>
    </xf>
    <xf numFmtId="0" fontId="2" fillId="0" borderId="122" xfId="0" applyFont="1" applyBorder="1" applyAlignment="1">
      <alignment horizontal="left"/>
    </xf>
    <xf numFmtId="0" fontId="8" fillId="0" borderId="138" xfId="0" applyFont="1" applyBorder="1" applyAlignment="1">
      <alignment horizontal="left"/>
    </xf>
    <xf numFmtId="0" fontId="20" fillId="0" borderId="0" xfId="0" applyFont="1" applyAlignment="1">
      <alignment horizontal="left"/>
    </xf>
    <xf numFmtId="0" fontId="10" fillId="19" borderId="0" xfId="0" applyFont="1" applyFill="1" applyAlignment="1">
      <alignment horizontal="center" vertical="center"/>
    </xf>
    <xf numFmtId="3" fontId="2" fillId="0" borderId="2" xfId="3" applyNumberFormat="1" applyFont="1" applyFill="1" applyBorder="1" applyAlignment="1">
      <alignment horizontal="center" vertical="center" wrapText="1"/>
    </xf>
    <xf numFmtId="2" fontId="36" fillId="0" borderId="140" xfId="0" applyNumberFormat="1" applyFont="1" applyBorder="1" applyAlignment="1">
      <alignment horizontal="center" vertical="center"/>
    </xf>
    <xf numFmtId="2" fontId="36" fillId="0" borderId="42" xfId="0" applyNumberFormat="1" applyFont="1" applyBorder="1" applyAlignment="1">
      <alignment horizontal="center" vertical="center"/>
    </xf>
    <xf numFmtId="2" fontId="36" fillId="0" borderId="143" xfId="0" applyNumberFormat="1" applyFont="1" applyBorder="1" applyAlignment="1">
      <alignment horizontal="center" vertical="center"/>
    </xf>
    <xf numFmtId="0" fontId="36" fillId="0" borderId="0" xfId="0" applyFont="1" applyAlignment="1">
      <alignment horizontal="center" vertical="center" wrapText="1"/>
    </xf>
    <xf numFmtId="0" fontId="36" fillId="0" borderId="158" xfId="0" applyFont="1" applyBorder="1" applyAlignment="1">
      <alignment horizontal="center" vertical="center"/>
    </xf>
    <xf numFmtId="1" fontId="36" fillId="0" borderId="159" xfId="0" applyNumberFormat="1" applyFont="1" applyBorder="1" applyAlignment="1">
      <alignment horizontal="center" vertical="center"/>
    </xf>
    <xf numFmtId="1" fontId="36" fillId="0" borderId="160" xfId="0" applyNumberFormat="1" applyFont="1" applyBorder="1" applyAlignment="1">
      <alignment horizontal="center" vertical="center"/>
    </xf>
    <xf numFmtId="0" fontId="36" fillId="0" borderId="163" xfId="0" applyFont="1" applyBorder="1" applyAlignment="1">
      <alignment horizontal="center" vertical="center"/>
    </xf>
    <xf numFmtId="1" fontId="36" fillId="0" borderId="13" xfId="0" applyNumberFormat="1" applyFont="1" applyBorder="1" applyAlignment="1">
      <alignment horizontal="center" vertical="center"/>
    </xf>
    <xf numFmtId="1" fontId="36" fillId="0" borderId="164" xfId="0" applyNumberFormat="1" applyFont="1" applyBorder="1" applyAlignment="1">
      <alignment horizontal="center" vertical="center"/>
    </xf>
    <xf numFmtId="0" fontId="36" fillId="0" borderId="167" xfId="0" applyFont="1" applyBorder="1" applyAlignment="1">
      <alignment horizontal="center" vertical="center"/>
    </xf>
    <xf numFmtId="0" fontId="36" fillId="0" borderId="171" xfId="0" applyFont="1" applyBorder="1" applyAlignment="1">
      <alignment horizontal="center" vertical="center"/>
    </xf>
    <xf numFmtId="1" fontId="36" fillId="0" borderId="156" xfId="0" applyNumberFormat="1" applyFont="1" applyBorder="1" applyAlignment="1">
      <alignment horizontal="center" vertical="center"/>
    </xf>
    <xf numFmtId="1" fontId="36" fillId="0" borderId="157" xfId="0" applyNumberFormat="1" applyFont="1" applyBorder="1" applyAlignment="1">
      <alignment horizontal="center" vertical="center"/>
    </xf>
    <xf numFmtId="0" fontId="36" fillId="0" borderId="174" xfId="0" applyFont="1" applyBorder="1" applyAlignment="1">
      <alignment horizontal="center" vertical="center"/>
    </xf>
    <xf numFmtId="1" fontId="36" fillId="0" borderId="32" xfId="0" applyNumberFormat="1" applyFont="1" applyBorder="1" applyAlignment="1">
      <alignment horizontal="center" vertical="center"/>
    </xf>
    <xf numFmtId="1" fontId="36" fillId="0" borderId="162" xfId="0" applyNumberFormat="1" applyFont="1" applyBorder="1" applyAlignment="1">
      <alignment horizontal="center" vertical="center"/>
    </xf>
    <xf numFmtId="0" fontId="36" fillId="0" borderId="178" xfId="0" applyFont="1" applyBorder="1" applyAlignment="1">
      <alignment horizontal="center" vertical="center"/>
    </xf>
    <xf numFmtId="1" fontId="36" fillId="0" borderId="179" xfId="0" applyNumberFormat="1" applyFont="1" applyBorder="1" applyAlignment="1">
      <alignment horizontal="center" vertical="center"/>
    </xf>
    <xf numFmtId="1" fontId="36" fillId="0" borderId="180" xfId="0" applyNumberFormat="1" applyFont="1" applyBorder="1" applyAlignment="1">
      <alignment horizontal="center" vertical="center"/>
    </xf>
    <xf numFmtId="0" fontId="36" fillId="0" borderId="140" xfId="0" applyFont="1" applyBorder="1" applyAlignment="1">
      <alignment horizontal="center" vertical="center"/>
    </xf>
    <xf numFmtId="0" fontId="36" fillId="0" borderId="143" xfId="0" applyFont="1" applyBorder="1" applyAlignment="1">
      <alignment horizontal="center" vertical="center"/>
    </xf>
    <xf numFmtId="1" fontId="36" fillId="0" borderId="184" xfId="0" applyNumberFormat="1" applyFont="1" applyBorder="1" applyAlignment="1">
      <alignment horizontal="center" vertical="center"/>
    </xf>
    <xf numFmtId="1" fontId="36" fillId="0" borderId="185" xfId="0" applyNumberFormat="1" applyFont="1" applyBorder="1" applyAlignment="1">
      <alignment horizontal="center" vertical="center"/>
    </xf>
    <xf numFmtId="1" fontId="36" fillId="0" borderId="139" xfId="0" applyNumberFormat="1" applyFont="1" applyBorder="1" applyAlignment="1">
      <alignment horizontal="center" vertical="center"/>
    </xf>
    <xf numFmtId="1" fontId="36" fillId="0" borderId="187" xfId="0" applyNumberFormat="1" applyFont="1" applyBorder="1" applyAlignment="1">
      <alignment horizontal="center" vertical="center"/>
    </xf>
    <xf numFmtId="1" fontId="36" fillId="0" borderId="31" xfId="0" applyNumberFormat="1" applyFont="1" applyBorder="1" applyAlignment="1">
      <alignment horizontal="center" vertical="center"/>
    </xf>
    <xf numFmtId="1" fontId="36" fillId="0" borderId="190" xfId="0" applyNumberFormat="1" applyFont="1" applyBorder="1" applyAlignment="1">
      <alignment horizontal="center" vertical="center"/>
    </xf>
    <xf numFmtId="1" fontId="36" fillId="0" borderId="192" xfId="0" applyNumberFormat="1" applyFont="1" applyBorder="1" applyAlignment="1">
      <alignment horizontal="center" vertical="center"/>
    </xf>
    <xf numFmtId="1" fontId="36" fillId="0" borderId="191" xfId="0" applyNumberFormat="1" applyFont="1" applyBorder="1" applyAlignment="1">
      <alignment horizontal="center" vertical="center"/>
    </xf>
    <xf numFmtId="1" fontId="36" fillId="0" borderId="193" xfId="0" applyNumberFormat="1" applyFont="1" applyBorder="1" applyAlignment="1">
      <alignment horizontal="center" vertical="center"/>
    </xf>
    <xf numFmtId="1" fontId="36" fillId="0" borderId="186" xfId="0" applyNumberFormat="1" applyFont="1" applyBorder="1" applyAlignment="1">
      <alignment horizontal="center" vertical="center"/>
    </xf>
    <xf numFmtId="1" fontId="36" fillId="0" borderId="195" xfId="0" applyNumberFormat="1" applyFont="1" applyBorder="1" applyAlignment="1">
      <alignment horizontal="center" vertical="center"/>
    </xf>
    <xf numFmtId="1" fontId="36" fillId="0" borderId="176" xfId="0" applyNumberFormat="1" applyFont="1" applyBorder="1" applyAlignment="1">
      <alignment horizontal="center" vertical="center"/>
    </xf>
    <xf numFmtId="1" fontId="36" fillId="0" borderId="194" xfId="0" applyNumberFormat="1" applyFont="1" applyBorder="1" applyAlignment="1">
      <alignment horizontal="center" vertical="center"/>
    </xf>
    <xf numFmtId="0" fontId="36" fillId="0" borderId="196" xfId="0" applyFont="1" applyBorder="1" applyAlignment="1">
      <alignment horizontal="center" vertical="center"/>
    </xf>
    <xf numFmtId="1" fontId="36" fillId="0" borderId="169" xfId="0" applyNumberFormat="1" applyFont="1" applyBorder="1" applyAlignment="1">
      <alignment horizontal="center" vertical="center"/>
    </xf>
    <xf numFmtId="1" fontId="36" fillId="0" borderId="183" xfId="0" applyNumberFormat="1" applyFont="1" applyBorder="1" applyAlignment="1">
      <alignment horizontal="center" vertical="center"/>
    </xf>
    <xf numFmtId="0" fontId="36" fillId="0" borderId="34" xfId="0" applyFont="1" applyBorder="1" applyAlignment="1">
      <alignment horizontal="center" vertical="center"/>
    </xf>
    <xf numFmtId="0" fontId="36" fillId="0" borderId="198" xfId="0" applyFont="1" applyBorder="1" applyAlignment="1">
      <alignment horizontal="center" vertical="center"/>
    </xf>
    <xf numFmtId="0" fontId="36" fillId="0" borderId="200" xfId="0" applyFont="1" applyBorder="1" applyAlignment="1">
      <alignment horizontal="center" vertical="center"/>
    </xf>
    <xf numFmtId="1" fontId="62" fillId="0" borderId="90" xfId="0" applyNumberFormat="1" applyFont="1" applyBorder="1" applyAlignment="1">
      <alignment horizontal="center" vertical="center"/>
    </xf>
    <xf numFmtId="1" fontId="62" fillId="0" borderId="201" xfId="0" applyNumberFormat="1" applyFont="1" applyBorder="1" applyAlignment="1">
      <alignment horizontal="center" vertical="center"/>
    </xf>
    <xf numFmtId="1" fontId="62" fillId="0" borderId="32" xfId="0" applyNumberFormat="1" applyFont="1" applyBorder="1" applyAlignment="1">
      <alignment horizontal="center" vertical="center"/>
    </xf>
    <xf numFmtId="1" fontId="62" fillId="0" borderId="162" xfId="0" applyNumberFormat="1" applyFont="1" applyBorder="1" applyAlignment="1">
      <alignment horizontal="center" vertical="center"/>
    </xf>
    <xf numFmtId="0" fontId="36" fillId="0" borderId="205" xfId="0" applyFont="1" applyBorder="1" applyAlignment="1">
      <alignment horizontal="center" vertical="center"/>
    </xf>
    <xf numFmtId="1" fontId="62" fillId="0" borderId="179" xfId="0" applyNumberFormat="1" applyFont="1" applyBorder="1" applyAlignment="1">
      <alignment horizontal="center" vertical="center"/>
    </xf>
    <xf numFmtId="1" fontId="62" fillId="0" borderId="180" xfId="0" applyNumberFormat="1" applyFont="1" applyBorder="1" applyAlignment="1">
      <alignment horizontal="center" vertical="center"/>
    </xf>
    <xf numFmtId="165" fontId="59" fillId="0" borderId="94" xfId="0" applyNumberFormat="1" applyFont="1" applyBorder="1" applyAlignment="1">
      <alignment horizontal="center" vertical="center"/>
    </xf>
    <xf numFmtId="165" fontId="59" fillId="0" borderId="95" xfId="0" applyNumberFormat="1" applyFont="1" applyBorder="1" applyAlignment="1">
      <alignment horizontal="center" vertical="center"/>
    </xf>
    <xf numFmtId="165" fontId="59" fillId="0" borderId="40" xfId="0" applyNumberFormat="1" applyFont="1" applyBorder="1" applyAlignment="1">
      <alignment horizontal="center" vertical="center"/>
    </xf>
    <xf numFmtId="165" fontId="59" fillId="0" borderId="52" xfId="0" applyNumberFormat="1" applyFont="1" applyBorder="1" applyAlignment="1">
      <alignment horizontal="center" vertical="center"/>
    </xf>
    <xf numFmtId="165" fontId="59" fillId="0" borderId="97" xfId="0" applyNumberFormat="1" applyFont="1" applyBorder="1" applyAlignment="1">
      <alignment horizontal="center" vertical="center"/>
    </xf>
    <xf numFmtId="0" fontId="36" fillId="0" borderId="208" xfId="0" applyFont="1" applyBorder="1" applyAlignment="1">
      <alignment horizontal="center" vertical="center"/>
    </xf>
    <xf numFmtId="165" fontId="59" fillId="0" borderId="44" xfId="0" applyNumberFormat="1" applyFont="1" applyBorder="1" applyAlignment="1">
      <alignment horizontal="center" vertical="center"/>
    </xf>
    <xf numFmtId="165" fontId="59" fillId="0" borderId="110" xfId="0" applyNumberFormat="1" applyFont="1" applyBorder="1" applyAlignment="1">
      <alignment horizontal="center" vertical="center"/>
    </xf>
    <xf numFmtId="165" fontId="59" fillId="0" borderId="209" xfId="0" applyNumberFormat="1" applyFont="1" applyBorder="1" applyAlignment="1">
      <alignment horizontal="center" vertical="center"/>
    </xf>
    <xf numFmtId="165" fontId="59" fillId="0" borderId="36" xfId="0" applyNumberFormat="1" applyFont="1" applyBorder="1" applyAlignment="1">
      <alignment horizontal="center" vertical="center"/>
    </xf>
    <xf numFmtId="165" fontId="59" fillId="0" borderId="37" xfId="0" applyNumberFormat="1" applyFont="1" applyBorder="1" applyAlignment="1">
      <alignment horizontal="center" vertical="center"/>
    </xf>
    <xf numFmtId="165" fontId="59" fillId="0" borderId="41" xfId="0" applyNumberFormat="1" applyFont="1" applyBorder="1" applyAlignment="1">
      <alignment horizontal="center" vertical="center"/>
    </xf>
    <xf numFmtId="165" fontId="59" fillId="0" borderId="48" xfId="0" applyNumberFormat="1" applyFont="1" applyBorder="1" applyAlignment="1">
      <alignment horizontal="center" vertical="center"/>
    </xf>
    <xf numFmtId="165" fontId="59" fillId="0" borderId="49" xfId="0" applyNumberFormat="1" applyFont="1" applyBorder="1" applyAlignment="1">
      <alignment horizontal="center" vertical="center"/>
    </xf>
    <xf numFmtId="165" fontId="59" fillId="0" borderId="0" xfId="0" applyNumberFormat="1" applyFont="1" applyAlignment="1">
      <alignment horizontal="center" vertical="center"/>
    </xf>
    <xf numFmtId="0" fontId="37" fillId="26" borderId="210" xfId="0" applyFont="1" applyFill="1" applyBorder="1" applyAlignment="1">
      <alignment horizontal="center" vertical="center" wrapText="1"/>
    </xf>
    <xf numFmtId="0" fontId="33" fillId="26" borderId="211" xfId="0" applyFont="1" applyFill="1" applyBorder="1" applyAlignment="1">
      <alignment horizontal="center" vertical="center" wrapText="1"/>
    </xf>
    <xf numFmtId="0" fontId="33" fillId="68" borderId="4" xfId="0" applyFont="1" applyFill="1" applyBorder="1" applyAlignment="1">
      <alignment horizontal="center" vertical="center" wrapText="1"/>
    </xf>
    <xf numFmtId="0" fontId="33" fillId="68" borderId="55" xfId="0" applyFont="1" applyFill="1" applyBorder="1" applyAlignment="1">
      <alignment horizontal="center" vertical="center" wrapText="1"/>
    </xf>
    <xf numFmtId="0" fontId="33" fillId="68" borderId="212" xfId="0" applyFont="1" applyFill="1" applyBorder="1" applyAlignment="1">
      <alignment horizontal="center" vertical="center" wrapText="1"/>
    </xf>
    <xf numFmtId="0" fontId="33" fillId="68" borderId="1" xfId="0" applyFont="1" applyFill="1" applyBorder="1" applyAlignment="1">
      <alignment horizontal="center" vertical="center" wrapText="1"/>
    </xf>
    <xf numFmtId="165" fontId="71" fillId="0" borderId="2" xfId="0" applyNumberFormat="1" applyFont="1" applyBorder="1"/>
    <xf numFmtId="0" fontId="45" fillId="0" borderId="0" xfId="0" applyFont="1" applyAlignment="1">
      <alignment horizontal="center" vertical="center"/>
    </xf>
    <xf numFmtId="165" fontId="8" fillId="0" borderId="0" xfId="0" applyNumberFormat="1" applyFont="1"/>
    <xf numFmtId="0" fontId="33" fillId="26" borderId="2" xfId="0" applyFont="1" applyFill="1" applyBorder="1" applyAlignment="1">
      <alignment horizontal="center" vertical="center" wrapText="1"/>
    </xf>
    <xf numFmtId="165" fontId="0" fillId="0" borderId="0" xfId="2" applyNumberFormat="1" applyFont="1" applyFill="1" applyBorder="1"/>
    <xf numFmtId="165" fontId="2" fillId="0" borderId="23" xfId="0" applyNumberFormat="1" applyFont="1" applyBorder="1" applyAlignment="1">
      <alignment horizontal="center" vertical="center"/>
    </xf>
    <xf numFmtId="0" fontId="33" fillId="68" borderId="221" xfId="0" applyFont="1" applyFill="1" applyBorder="1" applyAlignment="1">
      <alignment horizontal="center" vertical="center" wrapText="1"/>
    </xf>
    <xf numFmtId="0" fontId="33" fillId="0" borderId="0" xfId="0" applyFont="1" applyAlignment="1">
      <alignment horizontal="center" vertical="center" wrapText="1"/>
    </xf>
    <xf numFmtId="0" fontId="33" fillId="69" borderId="222" xfId="0" applyFont="1" applyFill="1" applyBorder="1" applyAlignment="1">
      <alignment horizontal="center" vertical="center" wrapText="1"/>
    </xf>
    <xf numFmtId="0" fontId="33" fillId="69" borderId="223" xfId="0" applyFont="1" applyFill="1" applyBorder="1" applyAlignment="1">
      <alignment horizontal="center" vertical="center" wrapText="1"/>
    </xf>
    <xf numFmtId="0" fontId="33" fillId="69" borderId="224" xfId="0" applyFont="1" applyFill="1" applyBorder="1" applyAlignment="1">
      <alignment horizontal="center" vertical="center" wrapText="1"/>
    </xf>
    <xf numFmtId="165" fontId="71" fillId="0" borderId="225" xfId="0" applyNumberFormat="1" applyFont="1" applyBorder="1"/>
    <xf numFmtId="165" fontId="8" fillId="0" borderId="226" xfId="0" applyNumberFormat="1" applyFont="1" applyBorder="1"/>
    <xf numFmtId="165" fontId="71" fillId="0" borderId="227" xfId="0" applyNumberFormat="1" applyFont="1" applyBorder="1"/>
    <xf numFmtId="165" fontId="71" fillId="0" borderId="228" xfId="0" applyNumberFormat="1" applyFont="1" applyBorder="1"/>
    <xf numFmtId="0" fontId="8" fillId="0" borderId="228" xfId="0" applyFont="1" applyBorder="1"/>
    <xf numFmtId="165" fontId="8" fillId="0" borderId="229" xfId="0" applyNumberFormat="1" applyFont="1" applyBorder="1"/>
    <xf numFmtId="165" fontId="8" fillId="0" borderId="32" xfId="6" applyNumberFormat="1" applyFont="1" applyBorder="1" applyAlignment="1">
      <alignment horizontal="center" vertical="center"/>
    </xf>
    <xf numFmtId="165" fontId="2" fillId="0" borderId="32" xfId="6" applyNumberFormat="1" applyFont="1" applyBorder="1" applyAlignment="1">
      <alignment horizontal="center" vertical="center"/>
    </xf>
    <xf numFmtId="43" fontId="8" fillId="0" borderId="0" xfId="6" applyFont="1"/>
    <xf numFmtId="2" fontId="60" fillId="0" borderId="53" xfId="0" applyNumberFormat="1" applyFont="1" applyBorder="1" applyAlignment="1">
      <alignment horizontal="center" vertical="center"/>
    </xf>
    <xf numFmtId="2" fontId="60" fillId="0" borderId="41"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0" fillId="0" borderId="28" xfId="0" applyNumberFormat="1" applyBorder="1"/>
    <xf numFmtId="2" fontId="72" fillId="0" borderId="19" xfId="0" applyNumberFormat="1" applyFont="1" applyBorder="1" applyAlignment="1">
      <alignment horizontal="center" vertical="center"/>
    </xf>
    <xf numFmtId="2" fontId="72" fillId="0" borderId="59" xfId="0" applyNumberFormat="1" applyFont="1" applyBorder="1" applyAlignment="1">
      <alignment horizontal="center" vertical="center"/>
    </xf>
    <xf numFmtId="2" fontId="72" fillId="0" borderId="2" xfId="0" applyNumberFormat="1" applyFont="1" applyBorder="1" applyAlignment="1">
      <alignment horizontal="center" vertical="center"/>
    </xf>
    <xf numFmtId="2" fontId="72" fillId="0" borderId="28" xfId="0" applyNumberFormat="1" applyFont="1" applyBorder="1" applyAlignment="1">
      <alignment horizontal="center" vertical="center"/>
    </xf>
    <xf numFmtId="0" fontId="11" fillId="0" borderId="0" xfId="5" applyBorder="1" applyAlignment="1">
      <alignment vertical="center"/>
    </xf>
    <xf numFmtId="0" fontId="2" fillId="0" borderId="0" xfId="1" applyAlignment="1">
      <alignment vertical="center" wrapText="1"/>
    </xf>
    <xf numFmtId="0" fontId="2" fillId="0" borderId="0" xfId="0" applyFont="1" applyAlignment="1">
      <alignment horizontal="center" vertical="center" wrapText="1"/>
    </xf>
    <xf numFmtId="0" fontId="8" fillId="0" borderId="0" xfId="0" applyFont="1" applyAlignment="1">
      <alignment horizontal="left" wrapText="1"/>
    </xf>
    <xf numFmtId="0" fontId="71" fillId="0" borderId="0" xfId="0" applyFont="1" applyAlignment="1">
      <alignment horizontal="center" vertical="center" wrapText="1"/>
    </xf>
    <xf numFmtId="0" fontId="10" fillId="26" borderId="2" xfId="0" applyFont="1" applyFill="1" applyBorder="1" applyAlignment="1">
      <alignment horizontal="center" vertical="center" wrapText="1"/>
    </xf>
    <xf numFmtId="2" fontId="8" fillId="0" borderId="2" xfId="0" applyNumberFormat="1" applyFont="1" applyBorder="1" applyAlignment="1">
      <alignment horizontal="center" vertical="center" wrapText="1"/>
    </xf>
    <xf numFmtId="0" fontId="8" fillId="0" borderId="230" xfId="0" applyFont="1" applyBorder="1"/>
    <xf numFmtId="43" fontId="10" fillId="0" borderId="2" xfId="6" applyFont="1" applyBorder="1" applyAlignment="1">
      <alignment horizontal="center" vertical="center"/>
    </xf>
    <xf numFmtId="43" fontId="8" fillId="0" borderId="2" xfId="6" applyFont="1" applyBorder="1" applyAlignment="1">
      <alignment horizontal="center" vertical="center"/>
    </xf>
    <xf numFmtId="0" fontId="8" fillId="0" borderId="0" xfId="56" applyFont="1"/>
    <xf numFmtId="0" fontId="71" fillId="0" borderId="0" xfId="56" applyFont="1" applyAlignment="1">
      <alignment vertical="center" wrapText="1"/>
    </xf>
    <xf numFmtId="0" fontId="71" fillId="0" borderId="0" xfId="56" applyFont="1" applyAlignment="1">
      <alignment vertical="center"/>
    </xf>
    <xf numFmtId="0" fontId="8" fillId="0" borderId="0" xfId="56" applyFont="1" applyAlignment="1">
      <alignment horizontal="left"/>
    </xf>
    <xf numFmtId="0" fontId="73" fillId="0" borderId="0" xfId="56"/>
    <xf numFmtId="0" fontId="11" fillId="0" borderId="0" xfId="5" applyAlignment="1">
      <alignment horizontal="left" vertical="top"/>
    </xf>
    <xf numFmtId="0" fontId="8" fillId="0" borderId="0" xfId="56" applyFont="1" applyAlignment="1">
      <alignment wrapText="1"/>
    </xf>
    <xf numFmtId="0" fontId="73" fillId="0" borderId="0" xfId="56" applyAlignment="1">
      <alignment horizontal="left" vertical="center"/>
    </xf>
    <xf numFmtId="0" fontId="8" fillId="0" borderId="0" xfId="56" applyFont="1" applyAlignment="1">
      <alignment horizontal="left" vertical="center"/>
    </xf>
    <xf numFmtId="2" fontId="8" fillId="0" borderId="33" xfId="0" applyNumberFormat="1" applyFont="1" applyBorder="1" applyAlignment="1">
      <alignment horizontal="center" vertical="center"/>
    </xf>
    <xf numFmtId="0" fontId="74" fillId="0" borderId="0" xfId="5" applyFont="1" applyAlignment="1">
      <alignment horizontal="left"/>
    </xf>
    <xf numFmtId="1" fontId="2" fillId="0" borderId="220" xfId="7" applyNumberFormat="1" applyFont="1" applyBorder="1" applyAlignment="1">
      <alignment horizontal="center" vertical="center"/>
    </xf>
    <xf numFmtId="1" fontId="2" fillId="0" borderId="33" xfId="7" applyNumberFormat="1" applyFont="1" applyBorder="1" applyAlignment="1">
      <alignment horizontal="center" vertical="center"/>
    </xf>
    <xf numFmtId="0" fontId="34" fillId="19" borderId="220" xfId="0" applyFont="1" applyFill="1" applyBorder="1" applyAlignment="1">
      <alignment horizontal="center" vertical="center" wrapText="1"/>
    </xf>
    <xf numFmtId="0" fontId="34" fillId="19" borderId="3" xfId="0" applyFont="1" applyFill="1" applyBorder="1" applyAlignment="1">
      <alignment horizontal="center" vertical="center" wrapText="1"/>
    </xf>
    <xf numFmtId="1" fontId="2" fillId="0" borderId="241" xfId="7" applyNumberFormat="1" applyFont="1" applyBorder="1" applyAlignment="1">
      <alignment horizontal="center" vertical="center"/>
    </xf>
    <xf numFmtId="0" fontId="37" fillId="26" borderId="81" xfId="0" applyFont="1" applyFill="1" applyBorder="1" applyAlignment="1">
      <alignment horizontal="center" wrapText="1"/>
    </xf>
    <xf numFmtId="0" fontId="2" fillId="0" borderId="32" xfId="3" applyFont="1" applyFill="1" applyBorder="1" applyAlignment="1">
      <alignment horizontal="center" vertical="center" wrapText="1"/>
    </xf>
    <xf numFmtId="0" fontId="35" fillId="20" borderId="0" xfId="56" applyFont="1" applyFill="1" applyAlignment="1">
      <alignment horizontal="left" vertical="center"/>
    </xf>
    <xf numFmtId="0" fontId="35" fillId="20" borderId="18" xfId="56" applyFont="1" applyFill="1" applyBorder="1" applyAlignment="1">
      <alignment horizontal="left" vertical="center"/>
    </xf>
    <xf numFmtId="3" fontId="35" fillId="0" borderId="234" xfId="56" applyNumberFormat="1" applyFont="1" applyBorder="1" applyAlignment="1">
      <alignment horizontal="center" vertical="center" wrapText="1"/>
    </xf>
    <xf numFmtId="0" fontId="35" fillId="20" borderId="22" xfId="56" applyFont="1" applyFill="1" applyBorder="1" applyAlignment="1">
      <alignment horizontal="left" vertical="center"/>
    </xf>
    <xf numFmtId="0" fontId="75" fillId="0" borderId="2" xfId="0" applyFont="1" applyBorder="1" applyAlignment="1">
      <alignment vertical="center" wrapText="1"/>
    </xf>
    <xf numFmtId="2" fontId="35" fillId="21" borderId="235" xfId="56" applyNumberFormat="1" applyFont="1" applyFill="1" applyBorder="1" applyAlignment="1">
      <alignment horizontal="center" vertical="center" wrapText="1"/>
    </xf>
    <xf numFmtId="0" fontId="10" fillId="19" borderId="243" xfId="0" applyFont="1" applyFill="1" applyBorder="1" applyAlignment="1">
      <alignment horizontal="center" vertical="center"/>
    </xf>
    <xf numFmtId="0" fontId="10" fillId="26" borderId="244" xfId="0" applyFont="1" applyFill="1" applyBorder="1" applyAlignment="1">
      <alignment horizontal="center" vertical="center"/>
    </xf>
    <xf numFmtId="0" fontId="8" fillId="0" borderId="249" xfId="0" applyFont="1" applyBorder="1" applyAlignment="1">
      <alignment horizontal="center" vertical="center" wrapText="1"/>
    </xf>
    <xf numFmtId="0" fontId="65" fillId="0" borderId="249" xfId="0" applyFont="1" applyBorder="1" applyAlignment="1">
      <alignment horizontal="center" vertical="center" wrapText="1"/>
    </xf>
    <xf numFmtId="0" fontId="2" fillId="0" borderId="250" xfId="0" applyFont="1" applyBorder="1" applyAlignment="1">
      <alignment horizontal="center" vertical="center" wrapText="1"/>
    </xf>
    <xf numFmtId="0" fontId="65" fillId="0" borderId="250" xfId="0" applyFont="1" applyBorder="1" applyAlignment="1">
      <alignment horizontal="center" vertical="center" wrapText="1"/>
    </xf>
    <xf numFmtId="0" fontId="10" fillId="19" borderId="62" xfId="0" applyFont="1" applyFill="1" applyBorder="1" applyAlignment="1">
      <alignment horizontal="center" vertical="center"/>
    </xf>
    <xf numFmtId="0" fontId="10" fillId="26" borderId="62" xfId="0" applyFont="1" applyFill="1" applyBorder="1" applyAlignment="1">
      <alignment horizontal="center" vertical="center" wrapText="1"/>
    </xf>
    <xf numFmtId="0" fontId="44" fillId="60" borderId="230" xfId="0" applyFont="1" applyFill="1" applyBorder="1" applyAlignment="1">
      <alignment horizontal="left" vertical="center"/>
    </xf>
    <xf numFmtId="0" fontId="44" fillId="60" borderId="251" xfId="0" applyFont="1" applyFill="1" applyBorder="1" applyAlignment="1">
      <alignment horizontal="left" vertical="center"/>
    </xf>
    <xf numFmtId="0" fontId="8" fillId="7" borderId="101" xfId="0" applyFont="1" applyFill="1" applyBorder="1" applyAlignment="1">
      <alignment vertical="center" wrapText="1"/>
    </xf>
    <xf numFmtId="0" fontId="8" fillId="7" borderId="102" xfId="0" applyFont="1" applyFill="1" applyBorder="1" applyAlignment="1">
      <alignment vertical="center" wrapText="1"/>
    </xf>
    <xf numFmtId="0" fontId="8" fillId="7" borderId="103" xfId="0" applyFont="1" applyFill="1" applyBorder="1" applyAlignment="1">
      <alignment vertical="center" wrapText="1"/>
    </xf>
    <xf numFmtId="0" fontId="8" fillId="7" borderId="104" xfId="0" applyFont="1" applyFill="1" applyBorder="1" applyAlignment="1">
      <alignment vertical="center" wrapText="1"/>
    </xf>
    <xf numFmtId="0" fontId="8" fillId="7" borderId="105" xfId="0" applyFont="1" applyFill="1" applyBorder="1" applyAlignment="1">
      <alignment vertical="center" wrapText="1"/>
    </xf>
    <xf numFmtId="0" fontId="8" fillId="7" borderId="106" xfId="0" applyFont="1" applyFill="1" applyBorder="1" applyAlignment="1">
      <alignment vertical="center" wrapText="1"/>
    </xf>
    <xf numFmtId="0" fontId="8" fillId="0" borderId="34" xfId="0" applyFont="1" applyBorder="1" applyAlignment="1">
      <alignment horizontal="center" vertical="center" wrapText="1"/>
    </xf>
    <xf numFmtId="0" fontId="8" fillId="0" borderId="220" xfId="0" applyFont="1" applyBorder="1" applyAlignment="1">
      <alignment horizontal="center" vertical="center"/>
    </xf>
    <xf numFmtId="1" fontId="35" fillId="0" borderId="2" xfId="0" applyNumberFormat="1" applyFont="1" applyBorder="1" applyAlignment="1">
      <alignment horizontal="center" vertical="center" wrapText="1"/>
    </xf>
    <xf numFmtId="0" fontId="8" fillId="0" borderId="60" xfId="0" applyFont="1" applyBorder="1" applyAlignment="1">
      <alignment horizontal="center" vertical="center"/>
    </xf>
    <xf numFmtId="168" fontId="2" fillId="0" borderId="32" xfId="0" applyNumberFormat="1" applyFont="1" applyBorder="1" applyAlignment="1">
      <alignment horizontal="center" vertical="center"/>
    </xf>
    <xf numFmtId="0" fontId="8" fillId="20" borderId="32" xfId="0" applyFont="1" applyFill="1" applyBorder="1" applyAlignment="1">
      <alignment horizontal="center" vertical="center"/>
    </xf>
    <xf numFmtId="0" fontId="2" fillId="20" borderId="32" xfId="0" applyFont="1" applyFill="1" applyBorder="1" applyAlignment="1">
      <alignment horizontal="center" vertical="center" wrapText="1"/>
    </xf>
    <xf numFmtId="168" fontId="2" fillId="20" borderId="32" xfId="0" applyNumberFormat="1" applyFont="1" applyFill="1" applyBorder="1" applyAlignment="1">
      <alignment horizontal="center" vertical="center"/>
    </xf>
    <xf numFmtId="0" fontId="8" fillId="9" borderId="32" xfId="0" applyFont="1" applyFill="1" applyBorder="1" applyAlignment="1">
      <alignment horizontal="center" vertical="center"/>
    </xf>
    <xf numFmtId="0" fontId="2" fillId="9" borderId="32" xfId="0" applyFont="1" applyFill="1" applyBorder="1" applyAlignment="1">
      <alignment horizontal="center" vertical="center"/>
    </xf>
    <xf numFmtId="0" fontId="8" fillId="3" borderId="32" xfId="0" applyFont="1" applyFill="1" applyBorder="1" applyAlignment="1">
      <alignment horizontal="center" vertical="center"/>
    </xf>
    <xf numFmtId="0" fontId="2" fillId="3" borderId="32" xfId="0" applyFont="1" applyFill="1" applyBorder="1" applyAlignment="1">
      <alignment horizontal="center" vertical="center"/>
    </xf>
    <xf numFmtId="0" fontId="8" fillId="76" borderId="32" xfId="0" applyFont="1" applyFill="1" applyBorder="1" applyAlignment="1">
      <alignment horizontal="center" vertical="center"/>
    </xf>
    <xf numFmtId="0" fontId="2" fillId="76" borderId="32" xfId="0" applyFont="1" applyFill="1" applyBorder="1" applyAlignment="1">
      <alignment horizontal="center" vertical="center"/>
    </xf>
    <xf numFmtId="0" fontId="2" fillId="20" borderId="32" xfId="0" applyFont="1" applyFill="1" applyBorder="1" applyAlignment="1">
      <alignment horizontal="center" vertical="center"/>
    </xf>
    <xf numFmtId="0" fontId="2" fillId="76" borderId="32" xfId="0" applyFont="1" applyFill="1" applyBorder="1" applyAlignment="1">
      <alignment horizontal="center"/>
    </xf>
    <xf numFmtId="0" fontId="2" fillId="9" borderId="32" xfId="0" applyFont="1" applyFill="1" applyBorder="1" applyAlignment="1">
      <alignment horizontal="center" vertical="center" wrapText="1"/>
    </xf>
    <xf numFmtId="0" fontId="8" fillId="9" borderId="32" xfId="0" applyFont="1" applyFill="1" applyBorder="1" applyAlignment="1">
      <alignment horizontal="center" vertical="center" wrapText="1"/>
    </xf>
    <xf numFmtId="0" fontId="10" fillId="19" borderId="26" xfId="0" applyFont="1" applyFill="1" applyBorder="1" applyAlignment="1">
      <alignment horizontal="center" vertical="center" wrapText="1"/>
    </xf>
    <xf numFmtId="2" fontId="2" fillId="0" borderId="32" xfId="0" applyNumberFormat="1" applyFont="1" applyBorder="1" applyAlignment="1">
      <alignment horizontal="center" vertical="center"/>
    </xf>
    <xf numFmtId="2" fontId="2" fillId="20" borderId="32" xfId="0" applyNumberFormat="1" applyFont="1" applyFill="1" applyBorder="1" applyAlignment="1">
      <alignment horizontal="center" vertical="center"/>
    </xf>
    <xf numFmtId="2" fontId="2" fillId="9" borderId="32" xfId="0" applyNumberFormat="1" applyFont="1" applyFill="1" applyBorder="1" applyAlignment="1">
      <alignment horizontal="center" vertical="center"/>
    </xf>
    <xf numFmtId="2" fontId="2" fillId="3" borderId="32" xfId="0" applyNumberFormat="1" applyFont="1" applyFill="1" applyBorder="1" applyAlignment="1">
      <alignment horizontal="center" vertical="center"/>
    </xf>
    <xf numFmtId="2" fontId="2" fillId="76" borderId="32" xfId="0" applyNumberFormat="1" applyFont="1" applyFill="1" applyBorder="1" applyAlignment="1">
      <alignment horizontal="center" vertical="center"/>
    </xf>
    <xf numFmtId="3" fontId="35" fillId="0" borderId="2" xfId="0" applyNumberFormat="1" applyFont="1" applyBorder="1" applyAlignment="1">
      <alignment horizontal="center" vertical="center" wrapText="1"/>
    </xf>
    <xf numFmtId="169" fontId="35" fillId="0" borderId="2" xfId="0" applyNumberFormat="1" applyFont="1" applyBorder="1" applyAlignment="1">
      <alignment horizontal="center" vertical="center" wrapText="1"/>
    </xf>
    <xf numFmtId="2" fontId="33" fillId="0" borderId="2" xfId="0" applyNumberFormat="1" applyFont="1" applyBorder="1" applyAlignment="1">
      <alignment horizontal="center" vertical="center" wrapText="1"/>
    </xf>
    <xf numFmtId="0" fontId="35" fillId="0" borderId="234" xfId="56" applyFont="1" applyBorder="1" applyAlignment="1">
      <alignment horizontal="center" vertical="center" wrapText="1"/>
    </xf>
    <xf numFmtId="165" fontId="35" fillId="72" borderId="234" xfId="56" applyNumberFormat="1" applyFont="1" applyFill="1" applyBorder="1" applyAlignment="1">
      <alignment horizontal="center" vertical="center" wrapText="1"/>
    </xf>
    <xf numFmtId="3" fontId="35" fillId="0" borderId="236" xfId="56" applyNumberFormat="1" applyFont="1" applyBorder="1" applyAlignment="1">
      <alignment horizontal="center" vertical="center" wrapText="1"/>
    </xf>
    <xf numFmtId="0" fontId="35" fillId="74" borderId="0" xfId="56" applyFont="1" applyFill="1" applyAlignment="1">
      <alignment horizontal="left" vertical="center"/>
    </xf>
    <xf numFmtId="0" fontId="35" fillId="74" borderId="122" xfId="56" applyFont="1" applyFill="1" applyBorder="1" applyAlignment="1">
      <alignment horizontal="left" vertical="center"/>
    </xf>
    <xf numFmtId="0" fontId="35" fillId="74" borderId="240" xfId="56" applyFont="1" applyFill="1" applyBorder="1" applyAlignment="1">
      <alignment horizontal="left" vertical="center"/>
    </xf>
    <xf numFmtId="0" fontId="35" fillId="74" borderId="255" xfId="56" applyFont="1" applyFill="1" applyBorder="1" applyAlignment="1">
      <alignment horizontal="left" vertical="center"/>
    </xf>
    <xf numFmtId="0" fontId="35" fillId="74" borderId="230" xfId="56" applyFont="1" applyFill="1" applyBorder="1" applyAlignment="1">
      <alignment horizontal="left" vertical="center"/>
    </xf>
    <xf numFmtId="0" fontId="35" fillId="74" borderId="256" xfId="56" applyFont="1" applyFill="1" applyBorder="1" applyAlignment="1">
      <alignment horizontal="left" vertical="center"/>
    </xf>
    <xf numFmtId="0" fontId="35" fillId="74" borderId="257" xfId="56" applyFont="1" applyFill="1" applyBorder="1" applyAlignment="1">
      <alignment horizontal="left" vertical="center"/>
    </xf>
    <xf numFmtId="0" fontId="35" fillId="74" borderId="258" xfId="56" applyFont="1" applyFill="1" applyBorder="1" applyAlignment="1">
      <alignment horizontal="left" vertical="center"/>
    </xf>
    <xf numFmtId="0" fontId="35" fillId="74" borderId="259" xfId="56" applyFont="1" applyFill="1" applyBorder="1" applyAlignment="1">
      <alignment horizontal="left" vertical="center"/>
    </xf>
    <xf numFmtId="37" fontId="35" fillId="77" borderId="13" xfId="6" applyNumberFormat="1" applyFont="1" applyFill="1" applyBorder="1" applyAlignment="1">
      <alignment horizontal="left" vertical="center"/>
    </xf>
    <xf numFmtId="37" fontId="35" fillId="77" borderId="17" xfId="6" applyNumberFormat="1" applyFont="1" applyFill="1" applyBorder="1" applyAlignment="1">
      <alignment horizontal="left" vertical="center"/>
    </xf>
    <xf numFmtId="37" fontId="35" fillId="77" borderId="20" xfId="6" applyNumberFormat="1" applyFont="1" applyFill="1" applyBorder="1" applyAlignment="1">
      <alignment horizontal="left" vertical="center"/>
    </xf>
    <xf numFmtId="0" fontId="8" fillId="0" borderId="0" xfId="0" applyFont="1" applyAlignment="1">
      <alignment horizontal="left" vertical="center"/>
    </xf>
    <xf numFmtId="0" fontId="8" fillId="0" borderId="0" xfId="0" applyFont="1" applyAlignment="1">
      <alignment vertical="center" wrapText="1"/>
    </xf>
    <xf numFmtId="0" fontId="35" fillId="0" borderId="0" xfId="0" applyFont="1" applyAlignment="1">
      <alignment horizontal="left" vertical="center" wrapText="1"/>
    </xf>
    <xf numFmtId="0" fontId="8" fillId="0" borderId="32" xfId="0" applyFont="1" applyBorder="1" applyAlignment="1">
      <alignment horizontal="center" vertical="center"/>
    </xf>
    <xf numFmtId="0" fontId="8" fillId="0" borderId="32" xfId="0" applyFont="1" applyBorder="1" applyAlignment="1">
      <alignment horizontal="center" vertical="center" wrapText="1"/>
    </xf>
    <xf numFmtId="0" fontId="2" fillId="0" borderId="32" xfId="0" applyFont="1" applyBorder="1" applyAlignment="1">
      <alignment horizontal="center" vertical="center"/>
    </xf>
    <xf numFmtId="0" fontId="8" fillId="0" borderId="0" xfId="0" applyFont="1" applyAlignment="1">
      <alignment horizontal="center"/>
    </xf>
    <xf numFmtId="0" fontId="8" fillId="0" borderId="2" xfId="0" applyFont="1" applyBorder="1" applyAlignment="1">
      <alignment horizontal="center" vertical="center"/>
    </xf>
    <xf numFmtId="0" fontId="2" fillId="0" borderId="40" xfId="0" applyFont="1" applyBorder="1" applyAlignment="1">
      <alignment horizontal="center" vertical="center" wrapText="1"/>
    </xf>
    <xf numFmtId="0" fontId="8" fillId="0" borderId="40" xfId="0" applyFont="1" applyBorder="1" applyAlignment="1">
      <alignment horizontal="center" vertical="center" wrapText="1"/>
    </xf>
    <xf numFmtId="0" fontId="10" fillId="19" borderId="40" xfId="0" applyFont="1" applyFill="1" applyBorder="1" applyAlignment="1">
      <alignment horizontal="center" vertical="center" wrapText="1"/>
    </xf>
    <xf numFmtId="0" fontId="10" fillId="19" borderId="12" xfId="0" applyFont="1" applyFill="1" applyBorder="1" applyAlignment="1">
      <alignment horizontal="center" vertical="center"/>
    </xf>
    <xf numFmtId="0" fontId="33" fillId="19" borderId="2" xfId="0" applyFont="1" applyFill="1" applyBorder="1" applyAlignment="1">
      <alignment horizontal="center" vertical="center" wrapText="1"/>
    </xf>
    <xf numFmtId="9" fontId="8" fillId="0" borderId="32" xfId="2" applyFont="1" applyFill="1" applyBorder="1" applyAlignment="1">
      <alignment horizontal="center" vertical="center"/>
    </xf>
    <xf numFmtId="0" fontId="37" fillId="19" borderId="32" xfId="0" applyFont="1" applyFill="1" applyBorder="1" applyAlignment="1">
      <alignment horizontal="center" vertical="center"/>
    </xf>
    <xf numFmtId="0" fontId="0" fillId="0" borderId="0" xfId="0" applyAlignment="1">
      <alignment horizontal="center"/>
    </xf>
    <xf numFmtId="0" fontId="43" fillId="0" borderId="0" xfId="0" applyFont="1"/>
    <xf numFmtId="0" fontId="35" fillId="0" borderId="2" xfId="0" applyFont="1" applyBorder="1" applyAlignment="1">
      <alignment vertical="center"/>
    </xf>
    <xf numFmtId="0" fontId="35" fillId="62" borderId="2" xfId="0" applyFont="1" applyFill="1" applyBorder="1" applyAlignment="1">
      <alignment horizontal="left" vertical="center"/>
    </xf>
    <xf numFmtId="0" fontId="35" fillId="62" borderId="22" xfId="0" applyFont="1" applyFill="1" applyBorder="1" applyAlignment="1">
      <alignment horizontal="left" vertical="center"/>
    </xf>
    <xf numFmtId="0" fontId="62" fillId="0" borderId="0" xfId="0" applyFont="1" applyAlignment="1">
      <alignment horizontal="left"/>
    </xf>
    <xf numFmtId="0" fontId="35" fillId="0" borderId="18" xfId="0" applyFont="1" applyBorder="1" applyAlignment="1">
      <alignment vertical="center"/>
    </xf>
    <xf numFmtId="0" fontId="35" fillId="0" borderId="126" xfId="0" applyFont="1" applyBorder="1" applyAlignment="1">
      <alignment horizontal="left"/>
    </xf>
    <xf numFmtId="0" fontId="35" fillId="62" borderId="2" xfId="0" applyFont="1" applyFill="1" applyBorder="1" applyAlignment="1">
      <alignment vertical="center" wrapText="1"/>
    </xf>
    <xf numFmtId="0" fontId="35" fillId="62" borderId="2" xfId="0" applyFont="1" applyFill="1" applyBorder="1" applyAlignment="1">
      <alignment horizontal="left" vertical="center" wrapText="1"/>
    </xf>
    <xf numFmtId="0" fontId="62" fillId="0" borderId="0" xfId="0" applyFont="1" applyAlignment="1">
      <alignment horizontal="left" wrapText="1"/>
    </xf>
    <xf numFmtId="0" fontId="35" fillId="62" borderId="19" xfId="0" applyFont="1" applyFill="1" applyBorder="1" applyAlignment="1">
      <alignment horizontal="left" vertical="center" wrapText="1"/>
    </xf>
    <xf numFmtId="0" fontId="35" fillId="63" borderId="22" xfId="0" applyFont="1" applyFill="1" applyBorder="1" applyAlignment="1">
      <alignment vertical="center"/>
    </xf>
    <xf numFmtId="0" fontId="35" fillId="63" borderId="22" xfId="0" applyFont="1" applyFill="1" applyBorder="1" applyAlignment="1">
      <alignment horizontal="left" vertical="center"/>
    </xf>
    <xf numFmtId="0" fontId="35" fillId="63" borderId="2" xfId="0" applyFont="1" applyFill="1" applyBorder="1" applyAlignment="1">
      <alignment horizontal="left" vertical="center"/>
    </xf>
    <xf numFmtId="0" fontId="35" fillId="63" borderId="2" xfId="0" quotePrefix="1" applyFont="1" applyFill="1" applyBorder="1" applyAlignment="1">
      <alignment horizontal="left" vertical="center"/>
    </xf>
    <xf numFmtId="0" fontId="35" fillId="59" borderId="2" xfId="0" applyFont="1" applyFill="1" applyBorder="1" applyAlignment="1">
      <alignment vertical="center"/>
    </xf>
    <xf numFmtId="0" fontId="43" fillId="0" borderId="0" xfId="0" applyFont="1" applyAlignment="1">
      <alignment horizontal="left"/>
    </xf>
    <xf numFmtId="0" fontId="35" fillId="59" borderId="123" xfId="0" applyFont="1" applyFill="1" applyBorder="1" applyAlignment="1">
      <alignment vertical="center"/>
    </xf>
    <xf numFmtId="0" fontId="35" fillId="59" borderId="11" xfId="0" applyFont="1" applyFill="1" applyBorder="1" applyAlignment="1">
      <alignment vertical="center"/>
    </xf>
    <xf numFmtId="0" fontId="35" fillId="63" borderId="22" xfId="0" applyFont="1" applyFill="1" applyBorder="1" applyAlignment="1">
      <alignment horizontal="left" vertical="center" wrapText="1"/>
    </xf>
    <xf numFmtId="0" fontId="35" fillId="59" borderId="2" xfId="0" applyFont="1" applyFill="1" applyBorder="1" applyAlignment="1">
      <alignment horizontal="left" vertical="center"/>
    </xf>
    <xf numFmtId="0" fontId="35" fillId="59" borderId="2" xfId="0" applyFont="1" applyFill="1" applyBorder="1" applyAlignment="1">
      <alignment horizontal="left" wrapText="1"/>
    </xf>
    <xf numFmtId="0" fontId="35" fillId="60" borderId="0" xfId="0" applyFont="1" applyFill="1" applyAlignment="1">
      <alignment vertical="center"/>
    </xf>
    <xf numFmtId="0" fontId="35" fillId="26" borderId="2" xfId="0" applyFont="1" applyFill="1" applyBorder="1" applyAlignment="1">
      <alignment vertical="center"/>
    </xf>
    <xf numFmtId="0" fontId="35" fillId="26" borderId="2" xfId="0" applyFont="1" applyFill="1" applyBorder="1" applyAlignment="1">
      <alignment vertical="center" wrapText="1"/>
    </xf>
    <xf numFmtId="0" fontId="35" fillId="64" borderId="22" xfId="0" applyFont="1" applyFill="1" applyBorder="1" applyAlignment="1">
      <alignment vertical="center"/>
    </xf>
    <xf numFmtId="0" fontId="37" fillId="19" borderId="62" xfId="0" applyFont="1" applyFill="1" applyBorder="1" applyAlignment="1">
      <alignment horizontal="center" vertical="center" wrapText="1"/>
    </xf>
    <xf numFmtId="0" fontId="35" fillId="75" borderId="32" xfId="0" applyFont="1" applyFill="1" applyBorder="1" applyAlignment="1">
      <alignment horizontal="center"/>
    </xf>
    <xf numFmtId="0" fontId="37" fillId="26" borderId="234" xfId="0" applyFont="1" applyFill="1" applyBorder="1" applyAlignment="1">
      <alignment horizontal="center" vertical="center" wrapText="1"/>
    </xf>
    <xf numFmtId="0" fontId="43" fillId="0" borderId="0" xfId="0" applyFont="1" applyAlignment="1">
      <alignment horizontal="center"/>
    </xf>
    <xf numFmtId="0" fontId="35" fillId="7" borderId="77" xfId="0" applyFont="1" applyFill="1" applyBorder="1" applyAlignment="1">
      <alignment horizontal="center" vertical="center" wrapText="1"/>
    </xf>
    <xf numFmtId="0" fontId="35" fillId="0" borderId="2" xfId="0" applyFont="1" applyBorder="1" applyAlignment="1">
      <alignment horizontal="center" vertical="center" wrapText="1"/>
    </xf>
    <xf numFmtId="0" fontId="43" fillId="0" borderId="88" xfId="0" applyFont="1" applyBorder="1"/>
    <xf numFmtId="0" fontId="35" fillId="0" borderId="81" xfId="0" applyFont="1" applyBorder="1" applyAlignment="1">
      <alignment horizontal="left" vertical="center" wrapText="1"/>
    </xf>
    <xf numFmtId="0" fontId="35" fillId="0" borderId="3" xfId="0" applyFont="1" applyBorder="1" applyAlignment="1">
      <alignment vertical="center"/>
    </xf>
    <xf numFmtId="0" fontId="35" fillId="0" borderId="32" xfId="0" applyFont="1" applyBorder="1" applyAlignment="1">
      <alignment horizontal="center" vertical="center"/>
    </xf>
    <xf numFmtId="0" fontId="37" fillId="26" borderId="2" xfId="0" applyFont="1" applyFill="1" applyBorder="1" applyAlignment="1">
      <alignment horizontal="center" vertical="center" wrapText="1"/>
    </xf>
    <xf numFmtId="0" fontId="35" fillId="0" borderId="0" xfId="56" applyFont="1" applyAlignment="1">
      <alignment vertical="center" wrapText="1"/>
    </xf>
    <xf numFmtId="165" fontId="35" fillId="0" borderId="0" xfId="56" applyNumberFormat="1" applyFont="1" applyAlignment="1">
      <alignment horizontal="left" vertical="center" wrapText="1"/>
    </xf>
    <xf numFmtId="0" fontId="35" fillId="0" borderId="0" xfId="56" applyFont="1" applyAlignment="1">
      <alignment vertical="center"/>
    </xf>
    <xf numFmtId="168" fontId="35" fillId="0" borderId="0" xfId="56" applyNumberFormat="1" applyFont="1" applyAlignment="1">
      <alignment horizontal="left" vertical="center" wrapText="1"/>
    </xf>
    <xf numFmtId="0" fontId="35" fillId="0" borderId="0" xfId="56" applyFont="1" applyAlignment="1">
      <alignment horizontal="left" vertical="center" wrapText="1"/>
    </xf>
    <xf numFmtId="167" fontId="35" fillId="0" borderId="0" xfId="56" applyNumberFormat="1" applyFont="1" applyAlignment="1">
      <alignment horizontal="left" vertical="center" wrapText="1"/>
    </xf>
    <xf numFmtId="0" fontId="37" fillId="71" borderId="234" xfId="56" applyFont="1" applyFill="1" applyBorder="1" applyAlignment="1">
      <alignment horizontal="center" vertical="center" wrapText="1"/>
    </xf>
    <xf numFmtId="0" fontId="37" fillId="71" borderId="12" xfId="56" applyFont="1" applyFill="1" applyBorder="1" applyAlignment="1">
      <alignment vertical="center" wrapText="1"/>
    </xf>
    <xf numFmtId="0" fontId="37" fillId="9" borderId="122" xfId="56" applyFont="1" applyFill="1" applyBorder="1" applyAlignment="1">
      <alignment vertical="center" wrapText="1"/>
    </xf>
    <xf numFmtId="0" fontId="70" fillId="9" borderId="240" xfId="56" applyFont="1" applyFill="1" applyBorder="1" applyAlignment="1">
      <alignment vertical="center" wrapText="1"/>
    </xf>
    <xf numFmtId="0" fontId="70" fillId="73" borderId="13" xfId="56" applyFont="1" applyFill="1" applyBorder="1" applyAlignment="1">
      <alignment vertical="center" wrapText="1"/>
    </xf>
    <xf numFmtId="0" fontId="70" fillId="73" borderId="14" xfId="56" applyFont="1" applyFill="1" applyBorder="1" applyAlignment="1">
      <alignment vertical="center" wrapText="1"/>
    </xf>
    <xf numFmtId="0" fontId="37" fillId="73" borderId="14" xfId="56" applyFont="1" applyFill="1" applyBorder="1" applyAlignment="1">
      <alignment vertical="center" wrapText="1"/>
    </xf>
    <xf numFmtId="0" fontId="70" fillId="73" borderId="14" xfId="56" applyFont="1" applyFill="1" applyBorder="1" applyAlignment="1">
      <alignment horizontal="left" vertical="center" wrapText="1"/>
    </xf>
    <xf numFmtId="0" fontId="70" fillId="73" borderId="15" xfId="56" applyFont="1" applyFill="1" applyBorder="1" applyAlignment="1">
      <alignment vertical="center" wrapText="1"/>
    </xf>
    <xf numFmtId="0" fontId="43" fillId="20" borderId="14" xfId="56" applyFont="1" applyFill="1" applyBorder="1" applyAlignment="1">
      <alignment horizontal="left" vertical="center"/>
    </xf>
    <xf numFmtId="0" fontId="43" fillId="20" borderId="0" xfId="56" applyFont="1" applyFill="1" applyAlignment="1">
      <alignment horizontal="left" vertical="center"/>
    </xf>
    <xf numFmtId="0" fontId="43" fillId="77" borderId="0" xfId="56" applyFont="1" applyFill="1" applyAlignment="1">
      <alignment horizontal="left" vertical="center"/>
    </xf>
    <xf numFmtId="0" fontId="35" fillId="0" borderId="21" xfId="0" applyFont="1" applyBorder="1" applyAlignment="1">
      <alignment horizontal="center" vertical="center"/>
    </xf>
    <xf numFmtId="165" fontId="35" fillId="0" borderId="58" xfId="0" applyNumberFormat="1" applyFont="1" applyBorder="1" applyAlignment="1">
      <alignment horizontal="center" vertical="center"/>
    </xf>
    <xf numFmtId="165" fontId="35" fillId="0" borderId="22" xfId="0" applyNumberFormat="1" applyFont="1" applyBorder="1" applyAlignment="1">
      <alignment horizontal="center" vertical="center"/>
    </xf>
    <xf numFmtId="165" fontId="35" fillId="0" borderId="214" xfId="0" applyNumberFormat="1" applyFont="1" applyBorder="1" applyAlignment="1">
      <alignment horizontal="center" vertical="center"/>
    </xf>
    <xf numFmtId="165" fontId="35" fillId="0" borderId="220" xfId="0" applyNumberFormat="1" applyFont="1" applyBorder="1"/>
    <xf numFmtId="0" fontId="35" fillId="0" borderId="216" xfId="0" applyFont="1" applyBorder="1" applyAlignment="1">
      <alignment horizontal="center" vertical="center"/>
    </xf>
    <xf numFmtId="165" fontId="35" fillId="0" borderId="148" xfId="0" applyNumberFormat="1" applyFont="1" applyBorder="1" applyAlignment="1">
      <alignment horizontal="center" vertical="center"/>
    </xf>
    <xf numFmtId="165" fontId="35" fillId="0" borderId="217" xfId="0" applyNumberFormat="1" applyFont="1" applyBorder="1" applyAlignment="1">
      <alignment horizontal="center" vertical="center"/>
    </xf>
    <xf numFmtId="165" fontId="35" fillId="0" borderId="73" xfId="0" applyNumberFormat="1" applyFont="1" applyBorder="1" applyAlignment="1">
      <alignment horizontal="center" vertical="center"/>
    </xf>
    <xf numFmtId="0" fontId="35" fillId="64" borderId="16" xfId="0" applyFont="1" applyFill="1" applyBorder="1" applyAlignment="1">
      <alignment vertical="center"/>
    </xf>
    <xf numFmtId="0" fontId="35" fillId="64" borderId="19" xfId="0" applyFont="1" applyFill="1" applyBorder="1" applyAlignment="1">
      <alignment vertical="center"/>
    </xf>
    <xf numFmtId="0" fontId="35" fillId="26" borderId="2" xfId="0" applyFont="1" applyFill="1" applyBorder="1" applyAlignment="1">
      <alignment horizontal="left" vertical="center"/>
    </xf>
    <xf numFmtId="0" fontId="66" fillId="60" borderId="10" xfId="0" applyFont="1" applyFill="1" applyBorder="1" applyAlignment="1">
      <alignment horizontal="center" vertical="center" wrapText="1"/>
    </xf>
    <xf numFmtId="0" fontId="8" fillId="66" borderId="12" xfId="0" applyFont="1" applyFill="1" applyBorder="1" applyAlignment="1">
      <alignment horizontal="left" vertical="center"/>
    </xf>
    <xf numFmtId="0" fontId="8" fillId="66" borderId="16" xfId="0" applyFont="1" applyFill="1" applyBorder="1" applyAlignment="1">
      <alignment horizontal="left" vertical="center"/>
    </xf>
    <xf numFmtId="0" fontId="8" fillId="66" borderId="19" xfId="0" applyFont="1" applyFill="1" applyBorder="1" applyAlignment="1">
      <alignment horizontal="left" vertical="center"/>
    </xf>
    <xf numFmtId="0" fontId="32" fillId="0" borderId="21" xfId="0" applyFont="1" applyBorder="1" applyAlignment="1">
      <alignment horizontal="left" vertical="center"/>
    </xf>
    <xf numFmtId="0" fontId="21" fillId="24" borderId="3" xfId="1" applyFont="1" applyFill="1" applyBorder="1" applyAlignment="1">
      <alignment horizontal="center" vertical="center" wrapText="1"/>
    </xf>
    <xf numFmtId="0" fontId="21" fillId="24" borderId="10" xfId="1" applyFont="1" applyFill="1" applyBorder="1" applyAlignment="1">
      <alignment horizontal="center" vertical="center" wrapText="1"/>
    </xf>
    <xf numFmtId="0" fontId="43" fillId="0" borderId="0" xfId="0" applyFont="1"/>
    <xf numFmtId="0" fontId="35" fillId="63" borderId="16" xfId="0" applyFont="1" applyFill="1" applyBorder="1" applyAlignment="1">
      <alignment vertical="center"/>
    </xf>
    <xf numFmtId="0" fontId="35" fillId="63" borderId="19" xfId="0" applyFont="1" applyFill="1" applyBorder="1" applyAlignment="1">
      <alignment vertical="center"/>
    </xf>
    <xf numFmtId="0" fontId="35" fillId="59" borderId="2" xfId="0" applyFont="1" applyFill="1" applyBorder="1" applyAlignment="1">
      <alignment horizontal="left" vertical="center"/>
    </xf>
    <xf numFmtId="0" fontId="35" fillId="26" borderId="2" xfId="0" applyFont="1" applyFill="1" applyBorder="1" applyAlignment="1">
      <alignment vertical="center"/>
    </xf>
    <xf numFmtId="0" fontId="66" fillId="0" borderId="0" xfId="0" applyFont="1" applyAlignment="1">
      <alignment horizontal="left" vertical="center"/>
    </xf>
    <xf numFmtId="0" fontId="8" fillId="0" borderId="0" xfId="0" applyFont="1" applyAlignment="1">
      <alignment horizontal="left" vertical="center"/>
    </xf>
    <xf numFmtId="0" fontId="21" fillId="24" borderId="0" xfId="0" applyFont="1" applyFill="1" applyAlignment="1">
      <alignment horizontal="center" vertical="center"/>
    </xf>
    <xf numFmtId="0" fontId="8" fillId="0" borderId="0" xfId="0" applyFont="1" applyAlignment="1">
      <alignment vertical="center" wrapText="1"/>
    </xf>
    <xf numFmtId="0" fontId="35"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xf>
    <xf numFmtId="0" fontId="21" fillId="24" borderId="0" xfId="0" applyFont="1" applyFill="1" applyAlignment="1">
      <alignment horizontal="center" vertical="center" wrapText="1"/>
    </xf>
    <xf numFmtId="0" fontId="2" fillId="0" borderId="32" xfId="0" applyFont="1" applyBorder="1" applyAlignment="1">
      <alignment horizontal="center" vertical="center" wrapText="1"/>
    </xf>
    <xf numFmtId="0" fontId="8" fillId="0" borderId="32" xfId="0" applyFont="1" applyBorder="1" applyAlignment="1">
      <alignment horizontal="center" vertical="center"/>
    </xf>
    <xf numFmtId="0" fontId="8" fillId="0" borderId="32" xfId="0" applyFont="1" applyBorder="1" applyAlignment="1">
      <alignment horizontal="center" vertical="center" wrapText="1"/>
    </xf>
    <xf numFmtId="0" fontId="2" fillId="0" borderId="32" xfId="0" applyFont="1" applyBorder="1" applyAlignment="1">
      <alignment horizontal="center" vertical="center"/>
    </xf>
    <xf numFmtId="0" fontId="35" fillId="0" borderId="252" xfId="0" applyFont="1" applyBorder="1" applyAlignment="1">
      <alignment horizontal="center" vertical="center"/>
    </xf>
    <xf numFmtId="0" fontId="35" fillId="0" borderId="253" xfId="0" applyFont="1" applyBorder="1" applyAlignment="1">
      <alignment horizontal="center" vertical="center"/>
    </xf>
    <xf numFmtId="0" fontId="35" fillId="0" borderId="254" xfId="0" applyFont="1" applyBorder="1" applyAlignment="1">
      <alignment horizontal="center" vertical="center"/>
    </xf>
    <xf numFmtId="167" fontId="2" fillId="0" borderId="75" xfId="0" applyNumberFormat="1" applyFont="1" applyBorder="1" applyAlignment="1">
      <alignment horizontal="center" vertical="center" wrapText="1"/>
    </xf>
    <xf numFmtId="167" fontId="2" fillId="0" borderId="76" xfId="0" applyNumberFormat="1" applyFont="1" applyBorder="1" applyAlignment="1">
      <alignment horizontal="center" vertical="center" wrapText="1"/>
    </xf>
    <xf numFmtId="167" fontId="2" fillId="0" borderId="74" xfId="0" applyNumberFormat="1" applyFont="1" applyBorder="1" applyAlignment="1">
      <alignment horizontal="center" vertical="center" wrapText="1"/>
    </xf>
    <xf numFmtId="0" fontId="10" fillId="19" borderId="75" xfId="0" applyFont="1" applyFill="1" applyBorder="1" applyAlignment="1">
      <alignment horizontal="center" vertical="center" wrapText="1"/>
    </xf>
    <xf numFmtId="0" fontId="10" fillId="19" borderId="76" xfId="0" applyFont="1" applyFill="1" applyBorder="1" applyAlignment="1">
      <alignment horizontal="center" vertical="center" wrapText="1"/>
    </xf>
    <xf numFmtId="0" fontId="10" fillId="19" borderId="74" xfId="0" applyFont="1" applyFill="1" applyBorder="1" applyAlignment="1">
      <alignment horizontal="center" vertical="center" wrapText="1"/>
    </xf>
    <xf numFmtId="0" fontId="8" fillId="0" borderId="1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9" xfId="0" applyFont="1" applyBorder="1" applyAlignment="1">
      <alignment horizontal="center" vertical="center" wrapText="1"/>
    </xf>
    <xf numFmtId="0" fontId="21" fillId="24" borderId="21" xfId="0" applyFont="1" applyFill="1" applyBorder="1" applyAlignment="1">
      <alignment horizontal="center" vertical="center" wrapText="1"/>
    </xf>
    <xf numFmtId="0" fontId="8" fillId="0" borderId="12" xfId="0" applyFont="1" applyBorder="1" applyAlignment="1">
      <alignment horizontal="center" vertical="center"/>
    </xf>
    <xf numFmtId="0" fontId="8" fillId="0" borderId="19" xfId="0" applyFont="1" applyBorder="1" applyAlignment="1">
      <alignment horizontal="center" vertical="center"/>
    </xf>
    <xf numFmtId="0" fontId="8" fillId="0" borderId="12" xfId="0" applyFont="1" applyBorder="1" applyAlignment="1">
      <alignment horizontal="left" vertical="center" wrapText="1"/>
    </xf>
    <xf numFmtId="0" fontId="8" fillId="0" borderId="16" xfId="0" applyFont="1" applyBorder="1" applyAlignment="1">
      <alignment horizontal="left" vertical="center" wrapText="1"/>
    </xf>
    <xf numFmtId="0" fontId="8" fillId="0" borderId="19" xfId="0" applyFont="1" applyBorder="1" applyAlignment="1">
      <alignment horizontal="left" vertical="center" wrapText="1"/>
    </xf>
    <xf numFmtId="0" fontId="77" fillId="24" borderId="122" xfId="0" applyFont="1" applyFill="1" applyBorder="1" applyAlignment="1">
      <alignment horizontal="center" vertical="center" wrapText="1"/>
    </xf>
    <xf numFmtId="0" fontId="77" fillId="24" borderId="240" xfId="0" applyFont="1" applyFill="1" applyBorder="1" applyAlignment="1">
      <alignment horizontal="center" vertical="center" wrapText="1"/>
    </xf>
    <xf numFmtId="0" fontId="77" fillId="24" borderId="255" xfId="0" applyFont="1" applyFill="1" applyBorder="1" applyAlignment="1">
      <alignment horizontal="center" vertical="center" wrapText="1"/>
    </xf>
    <xf numFmtId="0" fontId="8" fillId="0" borderId="131" xfId="0" applyFont="1" applyBorder="1" applyAlignment="1">
      <alignment horizontal="center" vertical="center"/>
    </xf>
    <xf numFmtId="0" fontId="8" fillId="0" borderId="129" xfId="0" applyFont="1" applyBorder="1" applyAlignment="1">
      <alignment horizontal="center" vertical="center"/>
    </xf>
    <xf numFmtId="0" fontId="8" fillId="0" borderId="132" xfId="0" applyFont="1" applyBorder="1" applyAlignment="1">
      <alignment horizontal="center" vertical="center" wrapText="1"/>
    </xf>
    <xf numFmtId="0" fontId="8" fillId="0" borderId="134" xfId="0" applyFont="1" applyBorder="1" applyAlignment="1">
      <alignment horizontal="center" vertical="center" wrapText="1"/>
    </xf>
    <xf numFmtId="0" fontId="8" fillId="0" borderId="131" xfId="0" applyFont="1" applyBorder="1" applyAlignment="1">
      <alignment horizontal="center" vertical="center" wrapText="1"/>
    </xf>
    <xf numFmtId="0" fontId="8" fillId="0" borderId="129" xfId="0" applyFont="1" applyBorder="1" applyAlignment="1">
      <alignment horizontal="center" vertical="center" wrapText="1"/>
    </xf>
    <xf numFmtId="0" fontId="8" fillId="0" borderId="130" xfId="0" applyFont="1" applyBorder="1" applyAlignment="1">
      <alignment horizontal="center" vertical="center" wrapText="1"/>
    </xf>
    <xf numFmtId="0" fontId="8" fillId="0" borderId="133" xfId="0" applyFont="1" applyBorder="1" applyAlignment="1">
      <alignment horizontal="center" vertical="center" wrapText="1"/>
    </xf>
    <xf numFmtId="0" fontId="2" fillId="0" borderId="246" xfId="0" applyFont="1" applyBorder="1" applyAlignment="1">
      <alignment horizontal="center" vertical="center" wrapText="1"/>
    </xf>
    <xf numFmtId="0" fontId="2" fillId="0" borderId="248" xfId="0" applyFont="1" applyBorder="1" applyAlignment="1">
      <alignment horizontal="center" vertical="center" wrapText="1"/>
    </xf>
    <xf numFmtId="0" fontId="8" fillId="0" borderId="246" xfId="0" quotePrefix="1" applyFont="1" applyBorder="1" applyAlignment="1">
      <alignment horizontal="center" vertical="center" wrapText="1"/>
    </xf>
    <xf numFmtId="0" fontId="8" fillId="0" borderId="248" xfId="0" quotePrefix="1" applyFont="1" applyBorder="1" applyAlignment="1">
      <alignment horizontal="center" vertical="center" wrapText="1"/>
    </xf>
    <xf numFmtId="0" fontId="8" fillId="0" borderId="245" xfId="0" applyFont="1" applyBorder="1" applyAlignment="1">
      <alignment horizontal="center" vertical="center" wrapText="1"/>
    </xf>
    <xf numFmtId="0" fontId="8" fillId="0" borderId="247" xfId="0" applyFont="1" applyBorder="1" applyAlignment="1">
      <alignment horizontal="center" vertical="center" wrapText="1"/>
    </xf>
    <xf numFmtId="0" fontId="8" fillId="0" borderId="246" xfId="0" applyFont="1" applyBorder="1" applyAlignment="1">
      <alignment horizontal="center" vertical="center" wrapText="1"/>
    </xf>
    <xf numFmtId="0" fontId="8" fillId="0" borderId="248" xfId="0" applyFont="1" applyBorder="1" applyAlignment="1">
      <alignment horizontal="center" vertical="center" wrapText="1"/>
    </xf>
    <xf numFmtId="0" fontId="45" fillId="27" borderId="2" xfId="0" applyFont="1" applyFill="1" applyBorder="1" applyAlignment="1">
      <alignment horizontal="center" vertical="center"/>
    </xf>
    <xf numFmtId="0" fontId="45" fillId="27" borderId="242" xfId="0" applyFont="1" applyFill="1" applyBorder="1" applyAlignment="1">
      <alignment horizontal="center" vertical="center"/>
    </xf>
    <xf numFmtId="0" fontId="14" fillId="0" borderId="0" xfId="0" applyFont="1" applyAlignment="1">
      <alignment horizontal="center" vertical="center"/>
    </xf>
    <xf numFmtId="0" fontId="16" fillId="17" borderId="3" xfId="0" applyFont="1" applyFill="1" applyBorder="1" applyAlignment="1">
      <alignment horizontal="center" vertical="center" wrapText="1"/>
    </xf>
    <xf numFmtId="0" fontId="16" fillId="17" borderId="10" xfId="0" applyFont="1" applyFill="1" applyBorder="1" applyAlignment="1">
      <alignment horizontal="center" vertical="center" wrapText="1"/>
    </xf>
    <xf numFmtId="0" fontId="16" fillId="14"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6" fillId="11" borderId="2" xfId="0" applyFont="1" applyFill="1" applyBorder="1" applyAlignment="1">
      <alignment horizontal="center" vertical="center" wrapText="1"/>
    </xf>
    <xf numFmtId="0" fontId="0" fillId="0" borderId="2" xfId="0" applyBorder="1" applyAlignment="1">
      <alignment horizontal="center" vertical="center" wrapText="1"/>
    </xf>
    <xf numFmtId="0" fontId="35" fillId="0" borderId="2" xfId="0" applyFont="1" applyBorder="1" applyAlignment="1">
      <alignment horizontal="center" vertical="center"/>
    </xf>
    <xf numFmtId="0" fontId="35" fillId="0" borderId="2" xfId="0" applyFont="1" applyBorder="1" applyAlignment="1">
      <alignment horizontal="center" vertical="center" wrapText="1"/>
    </xf>
    <xf numFmtId="0" fontId="37" fillId="26" borderId="82" xfId="0" applyFont="1" applyFill="1" applyBorder="1" applyAlignment="1">
      <alignment horizontal="center" vertical="center"/>
    </xf>
    <xf numFmtId="0" fontId="37" fillId="26" borderId="83" xfId="0" applyFont="1" applyFill="1" applyBorder="1" applyAlignment="1">
      <alignment horizontal="center" vertical="center"/>
    </xf>
    <xf numFmtId="0" fontId="35" fillId="0" borderId="85" xfId="0" applyFont="1" applyBorder="1" applyAlignment="1">
      <alignment horizontal="center" vertical="center"/>
    </xf>
    <xf numFmtId="0" fontId="35" fillId="0" borderId="86" xfId="0" applyFont="1" applyBorder="1" applyAlignment="1">
      <alignment horizontal="center" vertical="center"/>
    </xf>
    <xf numFmtId="0" fontId="45" fillId="27" borderId="87" xfId="0" applyFont="1" applyFill="1" applyBorder="1" applyAlignment="1">
      <alignment horizontal="center" vertical="center" wrapText="1"/>
    </xf>
    <xf numFmtId="165" fontId="8" fillId="20" borderId="20" xfId="0" applyNumberFormat="1" applyFont="1" applyFill="1" applyBorder="1" applyAlignment="1">
      <alignment horizontal="center"/>
    </xf>
    <xf numFmtId="165" fontId="8" fillId="20" borderId="22" xfId="0" applyNumberFormat="1" applyFont="1" applyFill="1" applyBorder="1" applyAlignment="1">
      <alignment horizontal="center"/>
    </xf>
    <xf numFmtId="165" fontId="8" fillId="20" borderId="32" xfId="0" applyNumberFormat="1" applyFont="1" applyFill="1" applyBorder="1" applyAlignment="1">
      <alignment horizontal="center"/>
    </xf>
    <xf numFmtId="0" fontId="68" fillId="27" borderId="87" xfId="0" applyFont="1" applyFill="1" applyBorder="1" applyAlignment="1">
      <alignment horizontal="center" vertical="center" wrapText="1"/>
    </xf>
    <xf numFmtId="0" fontId="35" fillId="0" borderId="32" xfId="0" applyFont="1" applyBorder="1" applyAlignment="1">
      <alignment horizontal="center" vertical="center" wrapText="1"/>
    </xf>
    <xf numFmtId="0" fontId="2" fillId="0" borderId="40" xfId="0" applyFont="1" applyBorder="1" applyAlignment="1">
      <alignment horizontal="center" vertical="center" wrapText="1"/>
    </xf>
    <xf numFmtId="0" fontId="8" fillId="0" borderId="40" xfId="0" applyFont="1" applyBorder="1" applyAlignment="1">
      <alignment horizontal="center" vertical="center" wrapText="1"/>
    </xf>
    <xf numFmtId="0" fontId="21" fillId="24" borderId="40" xfId="0" applyFont="1" applyFill="1" applyBorder="1" applyAlignment="1">
      <alignment horizontal="center" vertical="center" wrapText="1"/>
    </xf>
    <xf numFmtId="0" fontId="10" fillId="19" borderId="40" xfId="0" applyFont="1" applyFill="1" applyBorder="1" applyAlignment="1">
      <alignment horizontal="center" vertical="center"/>
    </xf>
    <xf numFmtId="0" fontId="10" fillId="19" borderId="40" xfId="0" applyFont="1" applyFill="1" applyBorder="1" applyAlignment="1">
      <alignment horizontal="center" vertical="center" wrapText="1"/>
    </xf>
    <xf numFmtId="0" fontId="21" fillId="24" borderId="17" xfId="0" applyFont="1" applyFill="1" applyBorder="1" applyAlignment="1">
      <alignment horizontal="center" vertical="center" wrapText="1"/>
    </xf>
    <xf numFmtId="0" fontId="21" fillId="24" borderId="20" xfId="0" applyFont="1" applyFill="1" applyBorder="1" applyAlignment="1">
      <alignment horizontal="center" vertical="center" wrapText="1"/>
    </xf>
    <xf numFmtId="0" fontId="21" fillId="70" borderId="233" xfId="56" applyFont="1" applyFill="1" applyBorder="1" applyAlignment="1">
      <alignment horizontal="center" vertical="center" wrapText="1"/>
    </xf>
    <xf numFmtId="0" fontId="21" fillId="70" borderId="0" xfId="56" applyFont="1" applyFill="1" applyAlignment="1">
      <alignment horizontal="center" vertical="center" wrapText="1"/>
    </xf>
    <xf numFmtId="0" fontId="37" fillId="71" borderId="2" xfId="56" applyFont="1" applyFill="1" applyBorder="1" applyAlignment="1">
      <alignment horizontal="center" vertical="center" wrapText="1"/>
    </xf>
    <xf numFmtId="0" fontId="35" fillId="0" borderId="237" xfId="0" applyFont="1" applyBorder="1" applyAlignment="1">
      <alignment horizontal="center" vertical="center" wrapText="1"/>
    </xf>
    <xf numFmtId="0" fontId="35" fillId="0" borderId="238" xfId="0" applyFont="1" applyBorder="1" applyAlignment="1">
      <alignment horizontal="center" vertical="center" wrapText="1"/>
    </xf>
    <xf numFmtId="0" fontId="35" fillId="0" borderId="239" xfId="0" applyFont="1" applyBorder="1" applyAlignment="1">
      <alignment horizontal="center" vertical="center" wrapText="1"/>
    </xf>
    <xf numFmtId="0" fontId="8" fillId="0" borderId="231" xfId="0" applyFont="1" applyBorder="1" applyAlignment="1">
      <alignment horizontal="center" vertical="center" wrapText="1"/>
    </xf>
    <xf numFmtId="0" fontId="8" fillId="0" borderId="232" xfId="0" applyFont="1" applyBorder="1" applyAlignment="1">
      <alignment horizontal="center" vertical="center" wrapText="1"/>
    </xf>
    <xf numFmtId="43" fontId="10" fillId="0" borderId="3" xfId="6" applyFont="1" applyBorder="1" applyAlignment="1">
      <alignment horizontal="left" vertical="center"/>
    </xf>
    <xf numFmtId="43" fontId="10" fillId="0" borderId="10" xfId="6" applyFont="1" applyBorder="1" applyAlignment="1">
      <alignment horizontal="left" vertical="center"/>
    </xf>
    <xf numFmtId="43" fontId="10" fillId="0" borderId="11" xfId="6" applyFont="1" applyBorder="1" applyAlignment="1">
      <alignment horizontal="left" vertical="center"/>
    </xf>
    <xf numFmtId="43" fontId="35" fillId="0" borderId="16" xfId="6" applyFont="1" applyBorder="1" applyAlignment="1">
      <alignment horizontal="center" vertical="center" wrapText="1"/>
    </xf>
    <xf numFmtId="43" fontId="35" fillId="0" borderId="19" xfId="6" applyFont="1" applyBorder="1" applyAlignment="1">
      <alignment horizontal="center" vertical="center" wrapText="1"/>
    </xf>
    <xf numFmtId="0" fontId="21" fillId="24" borderId="92" xfId="0" applyFont="1" applyFill="1" applyBorder="1" applyAlignment="1">
      <alignment horizontal="center" vertical="center"/>
    </xf>
    <xf numFmtId="0" fontId="21" fillId="24" borderId="80" xfId="0" applyFont="1" applyFill="1" applyBorder="1" applyAlignment="1">
      <alignment horizontal="center" vertical="center"/>
    </xf>
    <xf numFmtId="0" fontId="8" fillId="20" borderId="32" xfId="0" applyFont="1" applyFill="1" applyBorder="1" applyAlignment="1">
      <alignment horizontal="left" vertical="center"/>
    </xf>
    <xf numFmtId="0" fontId="21" fillId="24" borderId="32" xfId="0" applyFont="1" applyFill="1" applyBorder="1" applyAlignment="1">
      <alignment horizontal="center" vertical="center"/>
    </xf>
    <xf numFmtId="0" fontId="37" fillId="19" borderId="33" xfId="0" applyFont="1" applyFill="1" applyBorder="1" applyAlignment="1">
      <alignment horizontal="center" vertical="center" wrapText="1"/>
    </xf>
    <xf numFmtId="0" fontId="37" fillId="19" borderId="34" xfId="0" applyFont="1" applyFill="1" applyBorder="1" applyAlignment="1">
      <alignment horizontal="center" vertical="center" wrapText="1"/>
    </xf>
    <xf numFmtId="0" fontId="59" fillId="0" borderId="37" xfId="0" applyFont="1" applyBorder="1" applyAlignment="1">
      <alignment horizontal="center" vertical="center" wrapText="1"/>
    </xf>
    <xf numFmtId="0" fontId="59" fillId="0" borderId="41" xfId="0" applyFont="1" applyBorder="1" applyAlignment="1">
      <alignment horizontal="center" vertical="center" wrapText="1"/>
    </xf>
    <xf numFmtId="0" fontId="59" fillId="0" borderId="45" xfId="0" applyFont="1" applyBorder="1" applyAlignment="1">
      <alignment horizontal="center" vertical="center" wrapText="1"/>
    </xf>
    <xf numFmtId="0" fontId="36" fillId="0" borderId="51" xfId="0" applyFont="1" applyBorder="1" applyAlignment="1">
      <alignment horizontal="center" vertical="center" wrapText="1"/>
    </xf>
    <xf numFmtId="0" fontId="36" fillId="0" borderId="39" xfId="0" applyFont="1" applyBorder="1" applyAlignment="1">
      <alignment horizontal="center" vertical="center" wrapText="1"/>
    </xf>
    <xf numFmtId="0" fontId="36" fillId="0" borderId="43" xfId="0" applyFont="1" applyBorder="1" applyAlignment="1">
      <alignment horizontal="center" vertical="center" wrapText="1"/>
    </xf>
    <xf numFmtId="0" fontId="36" fillId="0" borderId="36" xfId="0" applyFont="1" applyBorder="1" applyAlignment="1">
      <alignment horizontal="center" vertical="center" wrapText="1"/>
    </xf>
    <xf numFmtId="0" fontId="36" fillId="0" borderId="40" xfId="0" applyFont="1" applyBorder="1" applyAlignment="1">
      <alignment horizontal="center" vertical="center" wrapText="1"/>
    </xf>
    <xf numFmtId="0" fontId="36" fillId="0" borderId="44" xfId="0" applyFont="1" applyBorder="1" applyAlignment="1">
      <alignment horizontal="center" vertical="center" wrapText="1"/>
    </xf>
    <xf numFmtId="0" fontId="36" fillId="0" borderId="37" xfId="0" applyFont="1" applyBorder="1" applyAlignment="1">
      <alignment horizontal="center" vertical="center" wrapText="1"/>
    </xf>
    <xf numFmtId="0" fontId="36" fillId="0" borderId="41" xfId="0" applyFont="1" applyBorder="1" applyAlignment="1">
      <alignment horizontal="center" vertical="center" wrapText="1"/>
    </xf>
    <xf numFmtId="0" fontId="36" fillId="0" borderId="49" xfId="0" applyFont="1" applyBorder="1" applyAlignment="1">
      <alignment horizontal="center" vertical="center" wrapText="1"/>
    </xf>
    <xf numFmtId="0" fontId="36" fillId="61" borderId="29" xfId="0" applyFont="1" applyFill="1" applyBorder="1" applyAlignment="1">
      <alignment horizontal="center" vertical="center"/>
    </xf>
    <xf numFmtId="0" fontId="36" fillId="0" borderId="47" xfId="0" applyFont="1" applyBorder="1" applyAlignment="1">
      <alignment horizontal="center" vertical="center" wrapText="1"/>
    </xf>
    <xf numFmtId="0" fontId="36" fillId="0" borderId="52" xfId="0" applyFont="1" applyBorder="1" applyAlignment="1">
      <alignment horizontal="center" vertical="center" wrapText="1"/>
    </xf>
    <xf numFmtId="0" fontId="59" fillId="0" borderId="53" xfId="0" applyFont="1" applyBorder="1" applyAlignment="1">
      <alignment horizontal="center" vertical="center" wrapText="1"/>
    </xf>
    <xf numFmtId="0" fontId="59" fillId="0" borderId="118" xfId="0" applyFont="1" applyBorder="1" applyAlignment="1">
      <alignment horizontal="center" vertical="center" wrapText="1"/>
    </xf>
    <xf numFmtId="0" fontId="59" fillId="0" borderId="120" xfId="0" applyFont="1" applyBorder="1" applyAlignment="1">
      <alignment horizontal="center" vertical="center" wrapText="1"/>
    </xf>
    <xf numFmtId="0" fontId="36" fillId="0" borderId="93" xfId="0" applyFont="1" applyBorder="1" applyAlignment="1">
      <alignment horizontal="center" vertical="center" wrapText="1"/>
    </xf>
    <xf numFmtId="0" fontId="36" fillId="0" borderId="96" xfId="0" applyFont="1" applyBorder="1" applyAlignment="1">
      <alignment horizontal="center" vertical="center" wrapText="1"/>
    </xf>
    <xf numFmtId="0" fontId="36" fillId="0" borderId="98" xfId="0" applyFont="1" applyBorder="1" applyAlignment="1">
      <alignment horizontal="center" vertical="center" wrapText="1"/>
    </xf>
    <xf numFmtId="0" fontId="36" fillId="0" borderId="94" xfId="0" applyFont="1" applyBorder="1" applyAlignment="1">
      <alignment horizontal="center" vertical="center" wrapText="1"/>
    </xf>
    <xf numFmtId="0" fontId="36" fillId="0" borderId="99" xfId="0" applyFont="1" applyBorder="1" applyAlignment="1">
      <alignment horizontal="center" vertical="center" wrapText="1"/>
    </xf>
    <xf numFmtId="0" fontId="36" fillId="0" borderId="144" xfId="0" applyFont="1" applyBorder="1" applyAlignment="1">
      <alignment horizontal="center" vertical="center"/>
    </xf>
    <xf numFmtId="0" fontId="36" fillId="0" borderId="16" xfId="0" applyFont="1" applyBorder="1" applyAlignment="1">
      <alignment horizontal="center" vertical="center"/>
    </xf>
    <xf numFmtId="0" fontId="36" fillId="0" borderId="145" xfId="0" applyFont="1" applyBorder="1" applyAlignment="1">
      <alignment horizontal="center" vertical="center"/>
    </xf>
    <xf numFmtId="0" fontId="36" fillId="0" borderId="139" xfId="0" applyFont="1" applyBorder="1" applyAlignment="1">
      <alignment horizontal="center" vertical="center" wrapText="1"/>
    </xf>
    <xf numFmtId="0" fontId="36" fillId="0" borderId="141" xfId="0" applyFont="1" applyBorder="1" applyAlignment="1">
      <alignment horizontal="center" vertical="center" wrapText="1"/>
    </xf>
    <xf numFmtId="0" fontId="36" fillId="0" borderId="142" xfId="0" applyFont="1" applyBorder="1" applyAlignment="1">
      <alignment horizontal="center" vertical="center" wrapText="1"/>
    </xf>
    <xf numFmtId="0" fontId="36" fillId="0" borderId="144" xfId="0" applyFont="1" applyBorder="1" applyAlignment="1">
      <alignment horizontal="center" vertical="center" wrapText="1"/>
    </xf>
    <xf numFmtId="0" fontId="36" fillId="0" borderId="16" xfId="0" applyFont="1" applyBorder="1" applyAlignment="1">
      <alignment horizontal="center" vertical="center" wrapText="1"/>
    </xf>
    <xf numFmtId="0" fontId="36" fillId="0" borderId="145" xfId="0" applyFont="1" applyBorder="1" applyAlignment="1">
      <alignment horizontal="center" vertical="center" wrapText="1"/>
    </xf>
    <xf numFmtId="0" fontId="36" fillId="0" borderId="149" xfId="0" applyFont="1" applyBorder="1" applyAlignment="1">
      <alignment horizontal="center" vertical="center" wrapText="1"/>
    </xf>
    <xf numFmtId="0" fontId="36" fillId="0" borderId="150" xfId="0" applyFont="1" applyBorder="1" applyAlignment="1">
      <alignment horizontal="center" vertical="center" wrapText="1"/>
    </xf>
    <xf numFmtId="0" fontId="36" fillId="0" borderId="151" xfId="0" applyFont="1" applyBorder="1" applyAlignment="1">
      <alignment horizontal="center" vertical="center" wrapText="1"/>
    </xf>
    <xf numFmtId="0" fontId="10" fillId="19" borderId="72" xfId="0" applyFont="1" applyFill="1" applyBorder="1" applyAlignment="1">
      <alignment horizontal="center" vertical="center"/>
    </xf>
    <xf numFmtId="0" fontId="36" fillId="0" borderId="170" xfId="0" applyFont="1" applyBorder="1" applyAlignment="1">
      <alignment horizontal="center" vertical="center" wrapText="1"/>
    </xf>
    <xf numFmtId="0" fontId="36" fillId="0" borderId="173" xfId="0" applyFont="1" applyBorder="1" applyAlignment="1">
      <alignment horizontal="center" vertical="center" wrapText="1"/>
    </xf>
    <xf numFmtId="0" fontId="36" fillId="0" borderId="177" xfId="0" applyFont="1" applyBorder="1" applyAlignment="1">
      <alignment horizontal="center" vertical="center" wrapText="1"/>
    </xf>
    <xf numFmtId="0" fontId="36" fillId="0" borderId="1" xfId="0" applyFont="1" applyBorder="1" applyAlignment="1">
      <alignment horizontal="center" vertical="center"/>
    </xf>
    <xf numFmtId="0" fontId="36" fillId="0" borderId="2" xfId="0" applyFont="1" applyBorder="1" applyAlignment="1">
      <alignment horizontal="center" vertical="center"/>
    </xf>
    <xf numFmtId="0" fontId="36" fillId="0" borderId="28" xfId="0" applyFont="1" applyBorder="1" applyAlignment="1">
      <alignment horizontal="center" vertical="center"/>
    </xf>
    <xf numFmtId="0" fontId="36" fillId="0" borderId="181" xfId="0" applyFont="1" applyBorder="1" applyAlignment="1">
      <alignment horizontal="center" vertical="center" wrapText="1"/>
    </xf>
    <xf numFmtId="0" fontId="36" fillId="0" borderId="153" xfId="0" applyFont="1" applyBorder="1" applyAlignment="1">
      <alignment horizontal="center" vertical="center" wrapText="1"/>
    </xf>
    <xf numFmtId="0" fontId="36" fillId="0" borderId="154"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12" xfId="0" applyFont="1" applyBorder="1" applyAlignment="1">
      <alignment horizontal="center" vertical="center" wrapText="1"/>
    </xf>
    <xf numFmtId="0" fontId="36" fillId="0" borderId="58" xfId="0" applyFont="1" applyBorder="1" applyAlignment="1">
      <alignment horizontal="center" vertical="center" wrapText="1"/>
    </xf>
    <xf numFmtId="0" fontId="36" fillId="0" borderId="6"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19" xfId="0" applyFont="1" applyBorder="1" applyAlignment="1">
      <alignment horizontal="center" vertical="center" wrapText="1"/>
    </xf>
    <xf numFmtId="0" fontId="36" fillId="0" borderId="28" xfId="0" applyFont="1" applyBorder="1" applyAlignment="1">
      <alignment horizontal="center" vertical="center" wrapText="1"/>
    </xf>
    <xf numFmtId="0" fontId="36" fillId="0" borderId="19" xfId="0" applyFont="1" applyBorder="1" applyAlignment="1">
      <alignment horizontal="center" vertical="center"/>
    </xf>
    <xf numFmtId="0" fontId="36" fillId="0" borderId="181" xfId="0" applyFont="1" applyBorder="1" applyAlignment="1">
      <alignment horizontal="center" vertical="center"/>
    </xf>
    <xf numFmtId="0" fontId="36" fillId="0" borderId="153" xfId="0" applyFont="1" applyBorder="1" applyAlignment="1">
      <alignment horizontal="center" vertical="center"/>
    </xf>
    <xf numFmtId="0" fontId="36" fillId="0" borderId="182" xfId="0" applyFont="1" applyBorder="1" applyAlignment="1">
      <alignment horizontal="center" vertical="center"/>
    </xf>
    <xf numFmtId="0" fontId="69" fillId="0" borderId="150" xfId="0" applyFont="1" applyBorder="1" applyAlignment="1">
      <alignment horizontal="center" vertical="center" wrapText="1"/>
    </xf>
    <xf numFmtId="0" fontId="69" fillId="0" borderId="151" xfId="0" applyFont="1" applyBorder="1" applyAlignment="1">
      <alignment horizontal="center" vertical="center" wrapText="1"/>
    </xf>
    <xf numFmtId="0" fontId="69" fillId="0" borderId="149"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56" xfId="0" applyFont="1" applyBorder="1" applyAlignment="1">
      <alignment horizontal="center" vertical="center" wrapText="1"/>
    </xf>
    <xf numFmtId="0" fontId="36" fillId="0" borderId="35" xfId="0" applyFont="1" applyBorder="1" applyAlignment="1">
      <alignment horizontal="center" vertical="center" wrapText="1"/>
    </xf>
    <xf numFmtId="0" fontId="36" fillId="0" borderId="168" xfId="0" applyFont="1" applyBorder="1" applyAlignment="1">
      <alignment horizontal="center" vertical="center" wrapText="1"/>
    </xf>
    <xf numFmtId="0" fontId="36" fillId="0" borderId="172" xfId="0" applyFont="1" applyBorder="1" applyAlignment="1">
      <alignment horizontal="center" vertical="center" wrapText="1"/>
    </xf>
    <xf numFmtId="0" fontId="36" fillId="0" borderId="175" xfId="0" applyFont="1" applyBorder="1" applyAlignment="1">
      <alignment horizontal="center" vertical="center" wrapText="1"/>
    </xf>
    <xf numFmtId="0" fontId="59" fillId="0" borderId="169" xfId="0" applyFont="1" applyBorder="1" applyAlignment="1">
      <alignment horizontal="center" vertical="center"/>
    </xf>
    <xf numFmtId="0" fontId="59" fillId="0" borderId="32" xfId="0" applyFont="1" applyBorder="1" applyAlignment="1">
      <alignment horizontal="center" vertical="center"/>
    </xf>
    <xf numFmtId="0" fontId="59" fillId="0" borderId="176" xfId="0" applyFont="1" applyBorder="1" applyAlignment="1">
      <alignment horizontal="center" vertical="center"/>
    </xf>
    <xf numFmtId="0" fontId="36" fillId="0" borderId="169" xfId="0" applyFont="1" applyBorder="1" applyAlignment="1">
      <alignment horizontal="center" vertical="center" wrapText="1"/>
    </xf>
    <xf numFmtId="0" fontId="36" fillId="0" borderId="32" xfId="0" applyFont="1" applyBorder="1" applyAlignment="1">
      <alignment horizontal="center" vertical="center" wrapText="1"/>
    </xf>
    <xf numFmtId="0" fontId="36" fillId="0" borderId="176" xfId="0" applyFont="1" applyBorder="1" applyAlignment="1">
      <alignment horizontal="center" vertical="center" wrapText="1"/>
    </xf>
    <xf numFmtId="0" fontId="36" fillId="0" borderId="146" xfId="0" applyFont="1" applyBorder="1" applyAlignment="1">
      <alignment horizontal="center" vertical="center" wrapText="1"/>
    </xf>
    <xf numFmtId="0" fontId="36" fillId="0" borderId="147" xfId="0" applyFont="1" applyBorder="1" applyAlignment="1">
      <alignment horizontal="center" vertical="center" wrapText="1"/>
    </xf>
    <xf numFmtId="0" fontId="36" fillId="0" borderId="148" xfId="0" applyFont="1" applyBorder="1" applyAlignment="1">
      <alignment horizontal="center" vertical="center" wrapText="1"/>
    </xf>
    <xf numFmtId="0" fontId="36" fillId="0" borderId="152" xfId="0" applyFont="1" applyBorder="1" applyAlignment="1">
      <alignment horizontal="center" vertical="center" wrapText="1"/>
    </xf>
    <xf numFmtId="0" fontId="36" fillId="0" borderId="48" xfId="0" applyFont="1" applyBorder="1" applyAlignment="1">
      <alignment horizontal="center" vertical="center" wrapText="1"/>
    </xf>
    <xf numFmtId="0" fontId="59" fillId="0" borderId="62" xfId="0" applyFont="1" applyBorder="1" applyAlignment="1">
      <alignment horizontal="center" vertical="center"/>
    </xf>
    <xf numFmtId="0" fontId="36" fillId="0" borderId="62" xfId="0" applyFont="1" applyBorder="1" applyAlignment="1">
      <alignment horizontal="center" vertical="center" wrapText="1"/>
    </xf>
    <xf numFmtId="0" fontId="36" fillId="0" borderId="12" xfId="0" applyFont="1" applyBorder="1" applyAlignment="1">
      <alignment horizontal="center" vertical="center"/>
    </xf>
    <xf numFmtId="0" fontId="36" fillId="0" borderId="206" xfId="0" applyFont="1" applyBorder="1" applyAlignment="1">
      <alignment horizontal="center" vertical="center" wrapText="1"/>
    </xf>
    <xf numFmtId="0" fontId="10" fillId="19" borderId="2" xfId="0" applyFont="1" applyFill="1" applyBorder="1" applyAlignment="1">
      <alignment horizontal="center" vertical="center"/>
    </xf>
    <xf numFmtId="0" fontId="10" fillId="19" borderId="12" xfId="0" applyFont="1" applyFill="1" applyBorder="1" applyAlignment="1">
      <alignment horizontal="center" vertical="center"/>
    </xf>
    <xf numFmtId="0" fontId="21" fillId="24" borderId="22" xfId="0" applyFont="1" applyFill="1" applyBorder="1" applyAlignment="1">
      <alignment horizontal="center" vertical="center" wrapText="1"/>
    </xf>
    <xf numFmtId="0" fontId="36" fillId="0" borderId="155" xfId="0" applyFont="1" applyBorder="1" applyAlignment="1">
      <alignment horizontal="center" vertical="center" wrapText="1"/>
    </xf>
    <xf numFmtId="0" fontId="36" fillId="0" borderId="161" xfId="0" applyFont="1" applyBorder="1" applyAlignment="1">
      <alignment horizontal="center" vertical="center" wrapText="1"/>
    </xf>
    <xf numFmtId="0" fontId="36" fillId="0" borderId="165" xfId="0" applyFont="1" applyBorder="1" applyAlignment="1">
      <alignment horizontal="center" vertical="center" wrapText="1"/>
    </xf>
    <xf numFmtId="0" fontId="59" fillId="0" borderId="156" xfId="0" applyFont="1" applyBorder="1" applyAlignment="1">
      <alignment horizontal="center" vertical="center"/>
    </xf>
    <xf numFmtId="0" fontId="36" fillId="0" borderId="90" xfId="0" applyFont="1" applyBorder="1" applyAlignment="1">
      <alignment horizontal="center" vertical="center" wrapText="1"/>
    </xf>
    <xf numFmtId="0" fontId="36" fillId="0" borderId="157" xfId="0" applyFont="1" applyBorder="1" applyAlignment="1">
      <alignment horizontal="center" vertical="center" wrapText="1"/>
    </xf>
    <xf numFmtId="0" fontId="36" fillId="0" borderId="162" xfId="0" applyFont="1" applyBorder="1" applyAlignment="1">
      <alignment horizontal="center" vertical="center" wrapText="1"/>
    </xf>
    <xf numFmtId="0" fontId="36" fillId="0" borderId="166" xfId="0" applyFont="1" applyBorder="1" applyAlignment="1">
      <alignment horizontal="center" vertical="center" wrapText="1"/>
    </xf>
    <xf numFmtId="0" fontId="33" fillId="19" borderId="2" xfId="0" applyFont="1" applyFill="1" applyBorder="1" applyAlignment="1">
      <alignment horizontal="center" vertical="center" wrapText="1"/>
    </xf>
    <xf numFmtId="0" fontId="36" fillId="0" borderId="183" xfId="0" applyFont="1" applyBorder="1" applyAlignment="1">
      <alignment horizontal="center" vertical="center" wrapText="1"/>
    </xf>
    <xf numFmtId="0" fontId="36" fillId="0" borderId="186" xfId="0" applyFont="1" applyBorder="1" applyAlignment="1">
      <alignment horizontal="center" vertical="center" wrapText="1"/>
    </xf>
    <xf numFmtId="0" fontId="36" fillId="0" borderId="189" xfId="0" applyFont="1" applyBorder="1" applyAlignment="1">
      <alignment horizontal="center" vertical="center" wrapText="1"/>
    </xf>
    <xf numFmtId="0" fontId="36" fillId="0" borderId="191" xfId="0" applyFont="1" applyBorder="1" applyAlignment="1">
      <alignment horizontal="center" vertical="center" wrapText="1"/>
    </xf>
    <xf numFmtId="0" fontId="36" fillId="0" borderId="194" xfId="0" applyFont="1" applyBorder="1" applyAlignment="1">
      <alignment horizontal="center" vertical="center" wrapText="1"/>
    </xf>
    <xf numFmtId="0" fontId="36" fillId="0" borderId="188" xfId="0" applyFont="1" applyBorder="1" applyAlignment="1">
      <alignment horizontal="center" vertical="center" wrapText="1"/>
    </xf>
    <xf numFmtId="0" fontId="36" fillId="0" borderId="207" xfId="0" applyFont="1" applyBorder="1" applyAlignment="1">
      <alignment horizontal="center" vertical="center" wrapText="1"/>
    </xf>
    <xf numFmtId="0" fontId="36" fillId="0" borderId="169" xfId="0" applyFont="1" applyBorder="1" applyAlignment="1">
      <alignment horizontal="center" vertical="center"/>
    </xf>
    <xf numFmtId="0" fontId="36" fillId="0" borderId="32" xfId="0" applyFont="1" applyBorder="1" applyAlignment="1">
      <alignment horizontal="center" vertical="center"/>
    </xf>
    <xf numFmtId="0" fontId="36" fillId="0" borderId="176" xfId="0" applyFont="1" applyBorder="1" applyAlignment="1">
      <alignment horizontal="center" vertical="center"/>
    </xf>
    <xf numFmtId="0" fontId="62" fillId="0" borderId="169" xfId="0" applyFont="1" applyBorder="1" applyAlignment="1">
      <alignment horizontal="center" vertical="center" wrapText="1"/>
    </xf>
    <xf numFmtId="0" fontId="62" fillId="0" borderId="89" xfId="0" applyFont="1" applyBorder="1" applyAlignment="1">
      <alignment horizontal="center" vertical="center" wrapText="1"/>
    </xf>
    <xf numFmtId="0" fontId="62" fillId="0" borderId="197" xfId="0" applyFont="1" applyBorder="1" applyAlignment="1">
      <alignment horizontal="center" vertical="center" wrapText="1"/>
    </xf>
    <xf numFmtId="0" fontId="36" fillId="0" borderId="199" xfId="0" applyFont="1" applyBorder="1" applyAlignment="1">
      <alignment horizontal="center" vertical="center" wrapText="1"/>
    </xf>
    <xf numFmtId="0" fontId="36" fillId="0" borderId="202" xfId="0" applyFont="1" applyBorder="1" applyAlignment="1">
      <alignment horizontal="center" vertical="center" wrapText="1"/>
    </xf>
    <xf numFmtId="0" fontId="36" fillId="0" borderId="90" xfId="0" applyFont="1" applyBorder="1" applyAlignment="1">
      <alignment horizontal="center" vertical="center"/>
    </xf>
    <xf numFmtId="0" fontId="36" fillId="0" borderId="179" xfId="0" applyFont="1" applyBorder="1" applyAlignment="1">
      <alignment horizontal="center" vertical="center"/>
    </xf>
    <xf numFmtId="0" fontId="62" fillId="0" borderId="90" xfId="0" applyFont="1" applyBorder="1" applyAlignment="1">
      <alignment horizontal="center" vertical="center" wrapText="1"/>
    </xf>
    <xf numFmtId="0" fontId="62" fillId="0" borderId="203" xfId="0" applyFont="1" applyBorder="1" applyAlignment="1">
      <alignment horizontal="center" vertical="center" wrapText="1"/>
    </xf>
    <xf numFmtId="0" fontId="36" fillId="0" borderId="204" xfId="0" applyFont="1" applyBorder="1" applyAlignment="1">
      <alignment horizontal="center" vertical="center" wrapText="1"/>
    </xf>
    <xf numFmtId="0" fontId="0" fillId="0" borderId="2" xfId="0" applyBorder="1" applyAlignment="1">
      <alignment horizontal="left"/>
    </xf>
    <xf numFmtId="0" fontId="0" fillId="13" borderId="21" xfId="0" applyFill="1" applyBorder="1" applyAlignment="1">
      <alignment horizontal="center"/>
    </xf>
    <xf numFmtId="0" fontId="15" fillId="0" borderId="0" xfId="0" applyFont="1" applyAlignment="1">
      <alignment horizontal="center"/>
    </xf>
    <xf numFmtId="0" fontId="13" fillId="25" borderId="0" xfId="0" applyFont="1" applyFill="1" applyAlignment="1">
      <alignment horizontal="center" vertical="center"/>
    </xf>
    <xf numFmtId="0" fontId="0" fillId="0" borderId="0" xfId="0" applyAlignment="1">
      <alignment horizontal="center" wrapText="1"/>
    </xf>
    <xf numFmtId="0" fontId="16" fillId="24" borderId="17" xfId="0" applyFont="1" applyFill="1" applyBorder="1" applyAlignment="1">
      <alignment horizontal="center" vertical="center" wrapText="1"/>
    </xf>
    <xf numFmtId="0" fontId="16" fillId="24" borderId="0" xfId="0" applyFont="1" applyFill="1" applyAlignment="1">
      <alignment horizontal="center" vertical="center" wrapText="1"/>
    </xf>
    <xf numFmtId="0" fontId="4" fillId="19" borderId="2" xfId="0" applyFont="1" applyFill="1" applyBorder="1" applyAlignment="1">
      <alignment horizontal="center" vertical="center"/>
    </xf>
    <xf numFmtId="0" fontId="13" fillId="24" borderId="0" xfId="0" applyFont="1" applyFill="1" applyAlignment="1">
      <alignment horizontal="center" vertical="center"/>
    </xf>
    <xf numFmtId="0" fontId="0" fillId="0" borderId="2" xfId="0" applyBorder="1" applyAlignment="1">
      <alignment horizontal="left" wrapText="1"/>
    </xf>
    <xf numFmtId="0" fontId="8" fillId="0" borderId="27" xfId="0" applyFont="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35" fillId="0" borderId="213" xfId="0" applyFont="1" applyBorder="1" applyAlignment="1">
      <alignment horizontal="center" vertical="center"/>
    </xf>
    <xf numFmtId="0" fontId="35" fillId="0" borderId="215" xfId="0" applyFont="1" applyBorder="1" applyAlignment="1">
      <alignment horizontal="center" vertical="center"/>
    </xf>
    <xf numFmtId="0" fontId="21" fillId="24" borderId="219" xfId="0" applyFont="1" applyFill="1" applyBorder="1" applyAlignment="1">
      <alignment horizontal="center" vertical="center"/>
    </xf>
    <xf numFmtId="0" fontId="45" fillId="27" borderId="218" xfId="0" applyFont="1" applyFill="1" applyBorder="1" applyAlignment="1">
      <alignment horizontal="center" vertical="center"/>
    </xf>
    <xf numFmtId="0" fontId="45" fillId="27" borderId="0" xfId="0" applyFont="1" applyFill="1" applyAlignment="1">
      <alignment horizontal="center" vertical="center"/>
    </xf>
    <xf numFmtId="9" fontId="8" fillId="0" borderId="32" xfId="2" applyFont="1" applyFill="1" applyBorder="1" applyAlignment="1">
      <alignment horizontal="center" vertical="center"/>
    </xf>
    <xf numFmtId="0" fontId="37" fillId="19" borderId="32" xfId="0" applyFont="1" applyFill="1" applyBorder="1" applyAlignment="1">
      <alignment horizontal="center" vertical="center"/>
    </xf>
    <xf numFmtId="0" fontId="0" fillId="0" borderId="0" xfId="0" applyAlignment="1">
      <alignment horizont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742F182D-DE19-4ABD-8125-542911AC2871}"/>
    <cellStyle name="60% - Accent2 2" xfId="49" xr:uid="{C203D7A7-4D1E-4E4D-9A55-425F304335D3}"/>
    <cellStyle name="60% - Accent3 2" xfId="50" xr:uid="{D575A5F1-76FC-4DEE-A89E-DFDABCBF86AA}"/>
    <cellStyle name="60% - Accent4 2" xfId="51" xr:uid="{D57D9030-641B-49DF-B44E-F0A7AC7C8BB7}"/>
    <cellStyle name="60% - Accent5 2" xfId="52" xr:uid="{EA6BFE8E-04CA-4DDE-A801-C5177F36DCFD}"/>
    <cellStyle name="60% - Accent6 2" xfId="53" xr:uid="{B263CC10-573D-4AC3-9866-0BC54A3DA634}"/>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65990A78-3418-4385-8A90-6596C12444EC}"/>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AE4B3509-A26F-46BA-8AEA-0889CC1E7DEC}"/>
    <cellStyle name="Normal 3" xfId="7" xr:uid="{1C10DAE4-4F9C-4E19-81E4-5574511A6741}"/>
    <cellStyle name="Normal 4" xfId="11" xr:uid="{43272557-B37F-4996-BC18-AA3EDEAFA379}"/>
    <cellStyle name="Normal 5" xfId="12" xr:uid="{642BE191-BE2F-4847-8420-1C59B95E270E}"/>
    <cellStyle name="Normal 6" xfId="54" xr:uid="{40F62795-0E60-4B52-B70B-B046DFB737FF}"/>
    <cellStyle name="Normal 7" xfId="56" xr:uid="{0BA40774-97CB-4C80-830F-9CD510918DC0}"/>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3F21AD8F-936B-4DFB-B4CB-549B9F2D7A8B}"/>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919090"/>
      <color rgb="FFA6A6A6"/>
      <color rgb="FF2E9F17"/>
      <color rgb="FF8238BA"/>
      <color rgb="FFCCCCFF"/>
      <color rgb="FF002F8E"/>
      <color rgb="FF800000"/>
      <color rgb="FF0000CC"/>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Heating</a:t>
            </a:r>
            <a:r>
              <a:rPr lang="en-US" baseline="0"/>
              <a:t> Fuel type - Small Office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'Heating-No area used to convert'!$V$2</c:f>
              <c:strCache>
                <c:ptCount val="1"/>
                <c:pt idx="0">
                  <c:v>Saturation (Electric)</c:v>
                </c:pt>
              </c:strCache>
            </c:strRef>
          </c:tx>
          <c:spPr>
            <a:solidFill>
              <a:schemeClr val="accent1"/>
            </a:solidFill>
            <a:ln>
              <a:noFill/>
            </a:ln>
            <a:effectLst/>
          </c:spPr>
          <c:invertIfNegative val="0"/>
          <c:cat>
            <c:strRef>
              <c:f>'Heating-No area used to convert'!$O$4:$O$19</c:f>
              <c:strCache>
                <c:ptCount val="16"/>
                <c:pt idx="0">
                  <c:v>FCZ1</c:v>
                </c:pt>
                <c:pt idx="1">
                  <c:v>FCZ2</c:v>
                </c:pt>
                <c:pt idx="2">
                  <c:v>FCZ3</c:v>
                </c:pt>
                <c:pt idx="3">
                  <c:v>FCZ4</c:v>
                </c:pt>
                <c:pt idx="4">
                  <c:v>FCZ5</c:v>
                </c:pt>
                <c:pt idx="5">
                  <c:v>FCZ6</c:v>
                </c:pt>
                <c:pt idx="6">
                  <c:v>FCZ7</c:v>
                </c:pt>
                <c:pt idx="7">
                  <c:v>FCZ8</c:v>
                </c:pt>
                <c:pt idx="8">
                  <c:v>FCZ9</c:v>
                </c:pt>
                <c:pt idx="9">
                  <c:v>FCZ10</c:v>
                </c:pt>
                <c:pt idx="10">
                  <c:v>FCZ11</c:v>
                </c:pt>
                <c:pt idx="11">
                  <c:v>FCZ12c</c:v>
                </c:pt>
                <c:pt idx="12">
                  <c:v>FCZ12i</c:v>
                </c:pt>
                <c:pt idx="13">
                  <c:v>FCZ13</c:v>
                </c:pt>
                <c:pt idx="14">
                  <c:v>FCZ16</c:v>
                </c:pt>
                <c:pt idx="15">
                  <c:v>FCZ17</c:v>
                </c:pt>
              </c:strCache>
            </c:strRef>
          </c:cat>
          <c:val>
            <c:numRef>
              <c:f>'Heating-No area used to convert'!$V$4:$V$19</c:f>
              <c:numCache>
                <c:formatCode>0.0%</c:formatCode>
                <c:ptCount val="16"/>
                <c:pt idx="0">
                  <c:v>0.28059547381693301</c:v>
                </c:pt>
                <c:pt idx="1">
                  <c:v>0.10285650531384764</c:v>
                </c:pt>
                <c:pt idx="2">
                  <c:v>0.22764715328470347</c:v>
                </c:pt>
                <c:pt idx="3">
                  <c:v>0.22764715328470347</c:v>
                </c:pt>
                <c:pt idx="4">
                  <c:v>0.18902425594194774</c:v>
                </c:pt>
                <c:pt idx="5">
                  <c:v>0.23589976942651886</c:v>
                </c:pt>
                <c:pt idx="6">
                  <c:v>0.62997606968910669</c:v>
                </c:pt>
                <c:pt idx="7">
                  <c:v>0.50445401803813705</c:v>
                </c:pt>
                <c:pt idx="8">
                  <c:v>5.6283748971859983E-2</c:v>
                </c:pt>
                <c:pt idx="9">
                  <c:v>0.41941527860681393</c:v>
                </c:pt>
                <c:pt idx="10">
                  <c:v>0.52492102906876836</c:v>
                </c:pt>
                <c:pt idx="11">
                  <c:v>0.52219585030530169</c:v>
                </c:pt>
                <c:pt idx="12">
                  <c:v>0.36944969753377582</c:v>
                </c:pt>
                <c:pt idx="13">
                  <c:v>0.33477968764715826</c:v>
                </c:pt>
                <c:pt idx="14">
                  <c:v>0.35498215678068606</c:v>
                </c:pt>
                <c:pt idx="15">
                  <c:v>0.31892297110776657</c:v>
                </c:pt>
              </c:numCache>
            </c:numRef>
          </c:val>
          <c:extLst>
            <c:ext xmlns:c16="http://schemas.microsoft.com/office/drawing/2014/chart" uri="{C3380CC4-5D6E-409C-BE32-E72D297353CC}">
              <c16:uniqueId val="{00000000-0BC5-441C-800B-44DAD7A72E18}"/>
            </c:ext>
          </c:extLst>
        </c:ser>
        <c:ser>
          <c:idx val="1"/>
          <c:order val="1"/>
          <c:tx>
            <c:strRef>
              <c:f>'Heating-No area used to convert'!$W$2</c:f>
              <c:strCache>
                <c:ptCount val="1"/>
                <c:pt idx="0">
                  <c:v>Saturation (Gas)</c:v>
                </c:pt>
              </c:strCache>
            </c:strRef>
          </c:tx>
          <c:spPr>
            <a:solidFill>
              <a:schemeClr val="accent2"/>
            </a:solidFill>
            <a:ln>
              <a:noFill/>
            </a:ln>
            <a:effectLst/>
          </c:spPr>
          <c:invertIfNegative val="0"/>
          <c:cat>
            <c:strRef>
              <c:f>'Heating-No area used to convert'!$O$4:$O$19</c:f>
              <c:strCache>
                <c:ptCount val="16"/>
                <c:pt idx="0">
                  <c:v>FCZ1</c:v>
                </c:pt>
                <c:pt idx="1">
                  <c:v>FCZ2</c:v>
                </c:pt>
                <c:pt idx="2">
                  <c:v>FCZ3</c:v>
                </c:pt>
                <c:pt idx="3">
                  <c:v>FCZ4</c:v>
                </c:pt>
                <c:pt idx="4">
                  <c:v>FCZ5</c:v>
                </c:pt>
                <c:pt idx="5">
                  <c:v>FCZ6</c:v>
                </c:pt>
                <c:pt idx="6">
                  <c:v>FCZ7</c:v>
                </c:pt>
                <c:pt idx="7">
                  <c:v>FCZ8</c:v>
                </c:pt>
                <c:pt idx="8">
                  <c:v>FCZ9</c:v>
                </c:pt>
                <c:pt idx="9">
                  <c:v>FCZ10</c:v>
                </c:pt>
                <c:pt idx="10">
                  <c:v>FCZ11</c:v>
                </c:pt>
                <c:pt idx="11">
                  <c:v>FCZ12c</c:v>
                </c:pt>
                <c:pt idx="12">
                  <c:v>FCZ12i</c:v>
                </c:pt>
                <c:pt idx="13">
                  <c:v>FCZ13</c:v>
                </c:pt>
                <c:pt idx="14">
                  <c:v>FCZ16</c:v>
                </c:pt>
                <c:pt idx="15">
                  <c:v>FCZ17</c:v>
                </c:pt>
              </c:strCache>
            </c:strRef>
          </c:cat>
          <c:val>
            <c:numRef>
              <c:f>'Heating-No area used to convert'!$W$4:$W$19</c:f>
              <c:numCache>
                <c:formatCode>0.0%</c:formatCode>
                <c:ptCount val="16"/>
                <c:pt idx="0">
                  <c:v>0.6243131530677799</c:v>
                </c:pt>
                <c:pt idx="1">
                  <c:v>0.70189795312562475</c:v>
                </c:pt>
                <c:pt idx="2">
                  <c:v>0.59683100490507757</c:v>
                </c:pt>
                <c:pt idx="3">
                  <c:v>0.59683100490507757</c:v>
                </c:pt>
                <c:pt idx="4">
                  <c:v>0.72768161312071966</c:v>
                </c:pt>
                <c:pt idx="5">
                  <c:v>0.68871371650807633</c:v>
                </c:pt>
                <c:pt idx="6">
                  <c:v>0.3223503442480643</c:v>
                </c:pt>
                <c:pt idx="7">
                  <c:v>0.42763445504804587</c:v>
                </c:pt>
                <c:pt idx="8">
                  <c:v>0.86134731066558923</c:v>
                </c:pt>
                <c:pt idx="9">
                  <c:v>0.49296635343854911</c:v>
                </c:pt>
                <c:pt idx="10">
                  <c:v>0.44895206672283278</c:v>
                </c:pt>
                <c:pt idx="11">
                  <c:v>0.3761090175583498</c:v>
                </c:pt>
                <c:pt idx="12">
                  <c:v>0.50773333141711874</c:v>
                </c:pt>
                <c:pt idx="13">
                  <c:v>0.53370716424748876</c:v>
                </c:pt>
                <c:pt idx="14">
                  <c:v>0.38142278954892783</c:v>
                </c:pt>
                <c:pt idx="15">
                  <c:v>0.58671628779641738</c:v>
                </c:pt>
              </c:numCache>
            </c:numRef>
          </c:val>
          <c:extLst>
            <c:ext xmlns:c16="http://schemas.microsoft.com/office/drawing/2014/chart" uri="{C3380CC4-5D6E-409C-BE32-E72D297353CC}">
              <c16:uniqueId val="{00000001-0BC5-441C-800B-44DAD7A72E18}"/>
            </c:ext>
          </c:extLst>
        </c:ser>
        <c:ser>
          <c:idx val="2"/>
          <c:order val="2"/>
          <c:tx>
            <c:strRef>
              <c:f>'Heating-No area used to convert'!$X$2</c:f>
              <c:strCache>
                <c:ptCount val="1"/>
                <c:pt idx="0">
                  <c:v>Saturation
(Other Fuels)</c:v>
                </c:pt>
              </c:strCache>
            </c:strRef>
          </c:tx>
          <c:spPr>
            <a:solidFill>
              <a:schemeClr val="accent3"/>
            </a:solidFill>
            <a:ln>
              <a:noFill/>
            </a:ln>
            <a:effectLst/>
          </c:spPr>
          <c:invertIfNegative val="0"/>
          <c:val>
            <c:numRef>
              <c:f>'Heating-No area used to convert'!$X$4:$X$19</c:f>
              <c:numCache>
                <c:formatCode>0.0%</c:formatCode>
                <c:ptCount val="16"/>
                <c:pt idx="0">
                  <c:v>8.1065102686722016E-3</c:v>
                </c:pt>
                <c:pt idx="1">
                  <c:v>5.738688404380525E-2</c:v>
                </c:pt>
                <c:pt idx="2">
                  <c:v>7.3132514392905273E-2</c:v>
                </c:pt>
                <c:pt idx="3">
                  <c:v>7.3132514392905273E-2</c:v>
                </c:pt>
                <c:pt idx="4">
                  <c:v>5.4442424021695609E-3</c:v>
                </c:pt>
                <c:pt idx="5">
                  <c:v>1.8620214057104439E-3</c:v>
                </c:pt>
                <c:pt idx="6">
                  <c:v>0</c:v>
                </c:pt>
                <c:pt idx="7">
                  <c:v>0</c:v>
                </c:pt>
                <c:pt idx="8">
                  <c:v>2.763374756120773E-2</c:v>
                </c:pt>
                <c:pt idx="9">
                  <c:v>0</c:v>
                </c:pt>
                <c:pt idx="10">
                  <c:v>7.0259434871968781E-3</c:v>
                </c:pt>
                <c:pt idx="11">
                  <c:v>2.2548952298248534E-3</c:v>
                </c:pt>
                <c:pt idx="12">
                  <c:v>1.219301678793685E-3</c:v>
                </c:pt>
                <c:pt idx="13">
                  <c:v>0</c:v>
                </c:pt>
                <c:pt idx="14">
                  <c:v>0</c:v>
                </c:pt>
                <c:pt idx="15">
                  <c:v>0</c:v>
                </c:pt>
              </c:numCache>
            </c:numRef>
          </c:val>
          <c:extLst>
            <c:ext xmlns:c16="http://schemas.microsoft.com/office/drawing/2014/chart" uri="{C3380CC4-5D6E-409C-BE32-E72D297353CC}">
              <c16:uniqueId val="{00000000-5F0E-4002-9763-F39F9FBDFB68}"/>
            </c:ext>
          </c:extLst>
        </c:ser>
        <c:dLbls>
          <c:showLegendKey val="0"/>
          <c:showVal val="0"/>
          <c:showCatName val="0"/>
          <c:showSerName val="0"/>
          <c:showPercent val="0"/>
          <c:showBubbleSize val="0"/>
        </c:dLbls>
        <c:gapWidth val="150"/>
        <c:overlap val="100"/>
        <c:axId val="1803301935"/>
        <c:axId val="1383834687"/>
      </c:barChart>
      <c:catAx>
        <c:axId val="180330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34687"/>
        <c:crosses val="autoZero"/>
        <c:auto val="1"/>
        <c:lblAlgn val="ctr"/>
        <c:lblOffset val="100"/>
        <c:noMultiLvlLbl val="0"/>
      </c:catAx>
      <c:valAx>
        <c:axId val="138383468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01935"/>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Cooking EquipmentFuel type - Small Office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'Cooking Euipment'!$F$1</c:f>
              <c:strCache>
                <c:ptCount val="1"/>
                <c:pt idx="0">
                  <c:v>Electric Fuel Share</c:v>
                </c:pt>
              </c:strCache>
            </c:strRef>
          </c:tx>
          <c:spPr>
            <a:solidFill>
              <a:schemeClr val="accent1"/>
            </a:solidFill>
            <a:ln>
              <a:noFill/>
            </a:ln>
            <a:effectLst/>
          </c:spPr>
          <c:invertIfNegative val="0"/>
          <c:cat>
            <c:strRef>
              <c:f>'Cooking Euipment'!$A$3:$A$18</c:f>
              <c:strCache>
                <c:ptCount val="16"/>
                <c:pt idx="0">
                  <c:v>FCZ1</c:v>
                </c:pt>
                <c:pt idx="1">
                  <c:v>FCZ2</c:v>
                </c:pt>
                <c:pt idx="2">
                  <c:v>FCZ3</c:v>
                </c:pt>
                <c:pt idx="3">
                  <c:v>FCZ4</c:v>
                </c:pt>
                <c:pt idx="4">
                  <c:v>FCZ5</c:v>
                </c:pt>
                <c:pt idx="5">
                  <c:v>FCZ6</c:v>
                </c:pt>
                <c:pt idx="6">
                  <c:v>FCZ7</c:v>
                </c:pt>
                <c:pt idx="7">
                  <c:v>FCZ8</c:v>
                </c:pt>
                <c:pt idx="8">
                  <c:v>FCZ9</c:v>
                </c:pt>
                <c:pt idx="9">
                  <c:v>FCZ10</c:v>
                </c:pt>
                <c:pt idx="10">
                  <c:v>FCZ11</c:v>
                </c:pt>
                <c:pt idx="11">
                  <c:v>FCZ12c</c:v>
                </c:pt>
                <c:pt idx="12">
                  <c:v>FCZ12i</c:v>
                </c:pt>
                <c:pt idx="13">
                  <c:v>FCZ13</c:v>
                </c:pt>
                <c:pt idx="14">
                  <c:v>FCZ16</c:v>
                </c:pt>
                <c:pt idx="15">
                  <c:v>FCZ17</c:v>
                </c:pt>
              </c:strCache>
            </c:strRef>
          </c:cat>
          <c:val>
            <c:numRef>
              <c:f>'Cooking Euipment'!$F$3:$F$18</c:f>
              <c:numCache>
                <c:formatCode>0%</c:formatCode>
                <c:ptCount val="16"/>
                <c:pt idx="0">
                  <c:v>0.47987336212939902</c:v>
                </c:pt>
                <c:pt idx="1">
                  <c:v>0.175795128622309</c:v>
                </c:pt>
                <c:pt idx="2">
                  <c:v>0.76947624099160306</c:v>
                </c:pt>
                <c:pt idx="3">
                  <c:v>0.76947624099160306</c:v>
                </c:pt>
                <c:pt idx="4">
                  <c:v>0.58143569768308501</c:v>
                </c:pt>
                <c:pt idx="5">
                  <c:v>1.7126658714501301E-2</c:v>
                </c:pt>
                <c:pt idx="6">
                  <c:v>0.174835163446798</c:v>
                </c:pt>
                <c:pt idx="7">
                  <c:v>0.232534608647573</c:v>
                </c:pt>
                <c:pt idx="8">
                  <c:v>0.24364847067787099</c:v>
                </c:pt>
                <c:pt idx="9">
                  <c:v>0.255758253067004</c:v>
                </c:pt>
                <c:pt idx="10">
                  <c:v>0.56741362856852595</c:v>
                </c:pt>
                <c:pt idx="11">
                  <c:v>0.37811695085799801</c:v>
                </c:pt>
                <c:pt idx="12">
                  <c:v>0.75222323583728001</c:v>
                </c:pt>
                <c:pt idx="13">
                  <c:v>0.48031792809513002</c:v>
                </c:pt>
                <c:pt idx="14">
                  <c:v>0.210872325346559</c:v>
                </c:pt>
                <c:pt idx="15">
                  <c:v>1.7611914496889602E-2</c:v>
                </c:pt>
              </c:numCache>
            </c:numRef>
          </c:val>
          <c:extLst>
            <c:ext xmlns:c16="http://schemas.microsoft.com/office/drawing/2014/chart" uri="{C3380CC4-5D6E-409C-BE32-E72D297353CC}">
              <c16:uniqueId val="{00000000-BB51-4DAF-B36F-4361BD796AC7}"/>
            </c:ext>
          </c:extLst>
        </c:ser>
        <c:ser>
          <c:idx val="1"/>
          <c:order val="1"/>
          <c:tx>
            <c:strRef>
              <c:f>'Cooking Euipment'!$G$1</c:f>
              <c:strCache>
                <c:ptCount val="1"/>
                <c:pt idx="0">
                  <c:v>Gas Fuel Share</c:v>
                </c:pt>
              </c:strCache>
            </c:strRef>
          </c:tx>
          <c:spPr>
            <a:solidFill>
              <a:schemeClr val="accent2"/>
            </a:solidFill>
            <a:ln>
              <a:noFill/>
            </a:ln>
            <a:effectLst/>
          </c:spPr>
          <c:invertIfNegative val="0"/>
          <c:cat>
            <c:strRef>
              <c:f>'Cooking Euipment'!$A$3:$A$18</c:f>
              <c:strCache>
                <c:ptCount val="16"/>
                <c:pt idx="0">
                  <c:v>FCZ1</c:v>
                </c:pt>
                <c:pt idx="1">
                  <c:v>FCZ2</c:v>
                </c:pt>
                <c:pt idx="2">
                  <c:v>FCZ3</c:v>
                </c:pt>
                <c:pt idx="3">
                  <c:v>FCZ4</c:v>
                </c:pt>
                <c:pt idx="4">
                  <c:v>FCZ5</c:v>
                </c:pt>
                <c:pt idx="5">
                  <c:v>FCZ6</c:v>
                </c:pt>
                <c:pt idx="6">
                  <c:v>FCZ7</c:v>
                </c:pt>
                <c:pt idx="7">
                  <c:v>FCZ8</c:v>
                </c:pt>
                <c:pt idx="8">
                  <c:v>FCZ9</c:v>
                </c:pt>
                <c:pt idx="9">
                  <c:v>FCZ10</c:v>
                </c:pt>
                <c:pt idx="10">
                  <c:v>FCZ11</c:v>
                </c:pt>
                <c:pt idx="11">
                  <c:v>FCZ12c</c:v>
                </c:pt>
                <c:pt idx="12">
                  <c:v>FCZ12i</c:v>
                </c:pt>
                <c:pt idx="13">
                  <c:v>FCZ13</c:v>
                </c:pt>
                <c:pt idx="14">
                  <c:v>FCZ16</c:v>
                </c:pt>
                <c:pt idx="15">
                  <c:v>FCZ17</c:v>
                </c:pt>
              </c:strCache>
            </c:strRef>
          </c:cat>
          <c:val>
            <c:numRef>
              <c:f>'Cooking Euipment'!$G$3:$G$18</c:f>
              <c:numCache>
                <c:formatCode>0%</c:formatCode>
                <c:ptCount val="16"/>
                <c:pt idx="0">
                  <c:v>0.50250087794662601</c:v>
                </c:pt>
                <c:pt idx="1">
                  <c:v>0.82420487137769105</c:v>
                </c:pt>
                <c:pt idx="2">
                  <c:v>0.230523759008397</c:v>
                </c:pt>
                <c:pt idx="3">
                  <c:v>0.230523759008397</c:v>
                </c:pt>
                <c:pt idx="4">
                  <c:v>0.41856430231691499</c:v>
                </c:pt>
                <c:pt idx="5">
                  <c:v>0.98287334128549897</c:v>
                </c:pt>
                <c:pt idx="6">
                  <c:v>0.82516483655320205</c:v>
                </c:pt>
                <c:pt idx="7">
                  <c:v>0.76746539135242697</c:v>
                </c:pt>
                <c:pt idx="8">
                  <c:v>0.75635152932212901</c:v>
                </c:pt>
                <c:pt idx="9">
                  <c:v>0.74424174693299605</c:v>
                </c:pt>
                <c:pt idx="10">
                  <c:v>0.43258637143147399</c:v>
                </c:pt>
                <c:pt idx="11">
                  <c:v>0.62188304914200199</c:v>
                </c:pt>
                <c:pt idx="12">
                  <c:v>0.24777676416271999</c:v>
                </c:pt>
                <c:pt idx="13">
                  <c:v>0.51383014843259001</c:v>
                </c:pt>
                <c:pt idx="14">
                  <c:v>0.78912767465344102</c:v>
                </c:pt>
                <c:pt idx="15">
                  <c:v>0.98238808550310996</c:v>
                </c:pt>
              </c:numCache>
            </c:numRef>
          </c:val>
          <c:extLst>
            <c:ext xmlns:c16="http://schemas.microsoft.com/office/drawing/2014/chart" uri="{C3380CC4-5D6E-409C-BE32-E72D297353CC}">
              <c16:uniqueId val="{00000001-BB51-4DAF-B36F-4361BD796AC7}"/>
            </c:ext>
          </c:extLst>
        </c:ser>
        <c:dLbls>
          <c:showLegendKey val="0"/>
          <c:showVal val="0"/>
          <c:showCatName val="0"/>
          <c:showSerName val="0"/>
          <c:showPercent val="0"/>
          <c:showBubbleSize val="0"/>
        </c:dLbls>
        <c:gapWidth val="150"/>
        <c:overlap val="100"/>
        <c:axId val="1803301935"/>
        <c:axId val="1383834687"/>
      </c:barChart>
      <c:catAx>
        <c:axId val="180330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34687"/>
        <c:crosses val="autoZero"/>
        <c:auto val="1"/>
        <c:lblAlgn val="ctr"/>
        <c:lblOffset val="100"/>
        <c:noMultiLvlLbl val="0"/>
      </c:catAx>
      <c:valAx>
        <c:axId val="1383834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01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Air Compressor</a:t>
            </a:r>
            <a:r>
              <a:rPr lang="en-US" baseline="0"/>
              <a:t> Saturation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'Air compressor'!$A$3:$A$18</c:f>
              <c:strCache>
                <c:ptCount val="16"/>
                <c:pt idx="0">
                  <c:v>FCZ1</c:v>
                </c:pt>
                <c:pt idx="1">
                  <c:v>FCZ2</c:v>
                </c:pt>
                <c:pt idx="2">
                  <c:v>FCZ3</c:v>
                </c:pt>
                <c:pt idx="3">
                  <c:v>FCZ4</c:v>
                </c:pt>
                <c:pt idx="4">
                  <c:v>FCZ5</c:v>
                </c:pt>
                <c:pt idx="5">
                  <c:v>FCZ6</c:v>
                </c:pt>
                <c:pt idx="6">
                  <c:v>FCZ7</c:v>
                </c:pt>
                <c:pt idx="7">
                  <c:v>FCZ8</c:v>
                </c:pt>
                <c:pt idx="8">
                  <c:v>FCZ9</c:v>
                </c:pt>
                <c:pt idx="9">
                  <c:v>FCZ10</c:v>
                </c:pt>
                <c:pt idx="10">
                  <c:v>FCZ11</c:v>
                </c:pt>
                <c:pt idx="11">
                  <c:v>FCZ12c</c:v>
                </c:pt>
                <c:pt idx="12">
                  <c:v>FCZ12i</c:v>
                </c:pt>
                <c:pt idx="13">
                  <c:v>FCZ13</c:v>
                </c:pt>
                <c:pt idx="14">
                  <c:v>FCZ16</c:v>
                </c:pt>
                <c:pt idx="15">
                  <c:v>FCZ17</c:v>
                </c:pt>
              </c:strCache>
            </c:strRef>
          </c:cat>
          <c:val>
            <c:numRef>
              <c:f>'Air compressor'!$D$3:$D$18</c:f>
              <c:numCache>
                <c:formatCode>0.0%</c:formatCode>
                <c:ptCount val="16"/>
                <c:pt idx="0">
                  <c:v>0.161273857109418</c:v>
                </c:pt>
                <c:pt idx="1">
                  <c:v>0.16046382703446699</c:v>
                </c:pt>
                <c:pt idx="2">
                  <c:v>0.17700837950041301</c:v>
                </c:pt>
                <c:pt idx="3">
                  <c:v>0.17700837950041301</c:v>
                </c:pt>
                <c:pt idx="4">
                  <c:v>0.11292693568274401</c:v>
                </c:pt>
                <c:pt idx="5">
                  <c:v>0.199487040179542</c:v>
                </c:pt>
                <c:pt idx="6">
                  <c:v>0.116203373710192</c:v>
                </c:pt>
                <c:pt idx="7">
                  <c:v>0.18247123569139501</c:v>
                </c:pt>
                <c:pt idx="8">
                  <c:v>0.26849571597838301</c:v>
                </c:pt>
                <c:pt idx="9">
                  <c:v>8.5403947628915303E-2</c:v>
                </c:pt>
                <c:pt idx="10">
                  <c:v>0.175347072814862</c:v>
                </c:pt>
                <c:pt idx="11">
                  <c:v>0.19805364112934601</c:v>
                </c:pt>
                <c:pt idx="12">
                  <c:v>0.15536718288441601</c:v>
                </c:pt>
                <c:pt idx="13">
                  <c:v>0.18422964650607099</c:v>
                </c:pt>
                <c:pt idx="14">
                  <c:v>0.15520541943038299</c:v>
                </c:pt>
                <c:pt idx="15">
                  <c:v>0.24877341410367701</c:v>
                </c:pt>
              </c:numCache>
            </c:numRef>
          </c:val>
          <c:extLst>
            <c:ext xmlns:c16="http://schemas.microsoft.com/office/drawing/2014/chart" uri="{C3380CC4-5D6E-409C-BE32-E72D297353CC}">
              <c16:uniqueId val="{00000000-9367-494F-849A-3ED196B75007}"/>
            </c:ext>
          </c:extLst>
        </c:ser>
        <c:dLbls>
          <c:showLegendKey val="0"/>
          <c:showVal val="0"/>
          <c:showCatName val="0"/>
          <c:showSerName val="0"/>
          <c:showPercent val="0"/>
          <c:showBubbleSize val="0"/>
        </c:dLbls>
        <c:gapWidth val="219"/>
        <c:overlap val="-27"/>
        <c:axId val="1767543855"/>
        <c:axId val="707281407"/>
      </c:barChart>
      <c:catAx>
        <c:axId val="176754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81407"/>
        <c:crosses val="autoZero"/>
        <c:auto val="1"/>
        <c:lblAlgn val="ctr"/>
        <c:lblOffset val="100"/>
        <c:noMultiLvlLbl val="0"/>
      </c:catAx>
      <c:valAx>
        <c:axId val="707281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43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2801-4868-A297-9CE8C024DA0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2801-4868-A297-9CE8C024DA0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2801-4868-A297-9CE8C024DA0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0748-4F4D-90B3-3FD2F8F642B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0748-4F4D-90B3-3FD2F8F642B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0748-4F4D-90B3-3FD2F8F642B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CDA0-47AB-BB9C-56C2B9BA9FF5}"/>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CDA0-47AB-BB9C-56C2B9BA9FF5}"/>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CDA0-47AB-BB9C-56C2B9BA9F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A267-4E1F-92B5-F569B656189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A267-4E1F-92B5-F569B656189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A267-4E1F-92B5-F569B65618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layout>
        <c:manualLayout>
          <c:xMode val="edge"/>
          <c:yMode val="edge"/>
          <c:x val="0.4052157003101885"/>
          <c:y val="5.61330319146999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97E-40A6-ABDA-32B64FD7CDB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97E-40A6-ABDA-32B64FD7CDB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97E-40A6-ABDA-32B64FD7C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147921451656803"/>
          <c:y val="4.561630707102851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0.2</c:v>
                </c:pt>
                <c:pt idx="1">
                  <c:v>0</c:v>
                </c:pt>
                <c:pt idx="2">
                  <c:v>0</c:v>
                </c:pt>
                <c:pt idx="3">
                  <c:v>0</c:v>
                </c:pt>
                <c:pt idx="4">
                  <c:v>0</c:v>
                </c:pt>
                <c:pt idx="5">
                  <c:v>0.3</c:v>
                </c:pt>
                <c:pt idx="6">
                  <c:v>0.3</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Cache>
            </c:numRef>
          </c:val>
          <c:smooth val="0"/>
          <c:extLst>
            <c:ext xmlns:c16="http://schemas.microsoft.com/office/drawing/2014/chart" uri="{C3380CC4-5D6E-409C-BE32-E72D297353CC}">
              <c16:uniqueId val="{00000000-3892-4483-86FE-254C151EC2D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c:v>
                </c:pt>
                <c:pt idx="1">
                  <c:v>0</c:v>
                </c:pt>
                <c:pt idx="2">
                  <c:v>0</c:v>
                </c:pt>
                <c:pt idx="3">
                  <c:v>0</c:v>
                </c:pt>
                <c:pt idx="4">
                  <c:v>0</c:v>
                </c:pt>
                <c:pt idx="5">
                  <c:v>0</c:v>
                </c:pt>
                <c:pt idx="6">
                  <c:v>0.3</c:v>
                </c:pt>
                <c:pt idx="7">
                  <c:v>0.3</c:v>
                </c:pt>
                <c:pt idx="8">
                  <c:v>0.3</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Cache>
            </c:numRef>
          </c:val>
          <c:smooth val="0"/>
          <c:extLst>
            <c:ext xmlns:c16="http://schemas.microsoft.com/office/drawing/2014/chart" uri="{C3380CC4-5D6E-409C-BE32-E72D297353CC}">
              <c16:uniqueId val="{00000001-3892-4483-86FE-254C151EC2D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0.25</c:v>
                </c:pt>
                <c:pt idx="1">
                  <c:v>0</c:v>
                </c:pt>
                <c:pt idx="2">
                  <c:v>0</c:v>
                </c:pt>
                <c:pt idx="3">
                  <c:v>0</c:v>
                </c:pt>
                <c:pt idx="4">
                  <c:v>0</c:v>
                </c:pt>
                <c:pt idx="5">
                  <c:v>0</c:v>
                </c:pt>
                <c:pt idx="6">
                  <c:v>0.3</c:v>
                </c:pt>
                <c:pt idx="7">
                  <c:v>0.3</c:v>
                </c:pt>
                <c:pt idx="8">
                  <c:v>0.3</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3892-4483-86FE-254C151EC2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6AA-42FD-A8D8-F82FAF02DE65}"/>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6AA-42FD-A8D8-F82FAF02DE65}"/>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6AA-42FD-A8D8-F82FAF02DE6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occupancy</c:v>
            </c:pt>
          </c:strCache>
        </c:strRef>
      </c:tx>
      <c:layout>
        <c:manualLayout>
          <c:xMode val="edge"/>
          <c:yMode val="edge"/>
          <c:x val="0.46695984552979503"/>
          <c:y val="2.991918733302041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FD9-442E-BAED-CDBB21663685}"/>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FD9-442E-BAED-CDBB21663685}"/>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FD9-442E-BAED-CDBB2166368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0.2</c:v>
                </c:pt>
                <c:pt idx="1">
                  <c:v>0</c:v>
                </c:pt>
                <c:pt idx="2">
                  <c:v>0</c:v>
                </c:pt>
                <c:pt idx="3">
                  <c:v>0</c:v>
                </c:pt>
                <c:pt idx="4">
                  <c:v>0</c:v>
                </c:pt>
                <c:pt idx="5">
                  <c:v>0.2</c:v>
                </c:pt>
                <c:pt idx="6">
                  <c:v>0.2</c:v>
                </c:pt>
                <c:pt idx="7">
                  <c:v>0.3</c:v>
                </c:pt>
                <c:pt idx="8">
                  <c:v>0.3</c:v>
                </c:pt>
                <c:pt idx="9">
                  <c:v>0.3</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c:v>
                </c:pt>
              </c:numCache>
            </c:numRef>
          </c:val>
          <c:smooth val="0"/>
          <c:extLst>
            <c:ext xmlns:c16="http://schemas.microsoft.com/office/drawing/2014/chart" uri="{C3380CC4-5D6E-409C-BE32-E72D297353CC}">
              <c16:uniqueId val="{00000000-DBE9-4FC2-A522-E4ABF4CBAF32}"/>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0.2</c:v>
                </c:pt>
                <c:pt idx="1">
                  <c:v>0</c:v>
                </c:pt>
                <c:pt idx="2">
                  <c:v>0</c:v>
                </c:pt>
                <c:pt idx="3">
                  <c:v>0</c:v>
                </c:pt>
                <c:pt idx="4">
                  <c:v>0</c:v>
                </c:pt>
                <c:pt idx="5">
                  <c:v>0</c:v>
                </c:pt>
                <c:pt idx="6">
                  <c:v>0.2</c:v>
                </c:pt>
                <c:pt idx="7">
                  <c:v>0.2</c:v>
                </c:pt>
                <c:pt idx="8">
                  <c:v>0.3</c:v>
                </c:pt>
                <c:pt idx="9">
                  <c:v>0.3</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0.2</c:v>
                </c:pt>
              </c:numCache>
            </c:numRef>
          </c:val>
          <c:smooth val="0"/>
          <c:extLst>
            <c:ext xmlns:c16="http://schemas.microsoft.com/office/drawing/2014/chart" uri="{C3380CC4-5D6E-409C-BE32-E72D297353CC}">
              <c16:uniqueId val="{00000001-DBE9-4FC2-A522-E4ABF4CBAF32}"/>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0.25</c:v>
                </c:pt>
                <c:pt idx="1">
                  <c:v>0</c:v>
                </c:pt>
                <c:pt idx="2">
                  <c:v>0</c:v>
                </c:pt>
                <c:pt idx="3">
                  <c:v>0</c:v>
                </c:pt>
                <c:pt idx="4">
                  <c:v>0</c:v>
                </c:pt>
                <c:pt idx="5">
                  <c:v>0</c:v>
                </c:pt>
                <c:pt idx="6">
                  <c:v>0.2</c:v>
                </c:pt>
                <c:pt idx="7">
                  <c:v>0.2</c:v>
                </c:pt>
                <c:pt idx="8">
                  <c:v>0.3</c:v>
                </c:pt>
                <c:pt idx="9">
                  <c:v>0.3</c:v>
                </c:pt>
                <c:pt idx="10">
                  <c:v>0.3</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DBE9-4FC2-A522-E4ABF4CBAF3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37C1-4D07-80BC-CB3AE2F28BC6}"/>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37C1-4D07-80BC-CB3AE2F28BC6}"/>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37C1-4D07-80BC-CB3AE2F28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ExhaustHoodGreaterThan 5000cfm</c:v>
            </c:pt>
          </c:strCache>
        </c:strRef>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5603282376748177"/>
          <c:w val="0.86296940073898609"/>
          <c:h val="0.47122032396116431"/>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0.00</c:formatCode>
                <c:ptCount val="24"/>
                <c:pt idx="0">
                  <c:v>0</c:v>
                </c:pt>
                <c:pt idx="1">
                  <c:v>0</c:v>
                </c:pt>
                <c:pt idx="2">
                  <c:v>0</c:v>
                </c:pt>
                <c:pt idx="3">
                  <c:v>0</c:v>
                </c:pt>
                <c:pt idx="4">
                  <c:v>0</c:v>
                </c:pt>
                <c:pt idx="5">
                  <c:v>1</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15-B6D9-4543-910E-CA88B761319C}"/>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16-B6D9-4543-910E-CA88B761319C}"/>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17-B6D9-4543-910E-CA88B761319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4057872998981611"/>
          <c:y val="0.13465197571685783"/>
          <c:w val="0.25942127001018372"/>
          <c:h val="0.5012961235601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ExhaustHoodEqualOrLessThan5000cfm</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6290839858609905"/>
          <c:w val="0.86296940073898609"/>
          <c:h val="0.46434414144833835"/>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0-12AC-4F55-879C-80C92EF74F31}"/>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12AC-4F55-879C-80C92EF74F31}"/>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2-12AC-4F55-879C-80C92EF74F3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4692467457101019"/>
          <c:y val="0.11924868312622748"/>
          <c:w val="0.23491591303647127"/>
          <c:h val="0.3416516918787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1DF-4F16-99AF-01E1B8DDB62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1DF-4F16-99AF-01E1B8DDB62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1DF-4F16-99AF-01E1B8DDB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layout>
        <c:manualLayout>
          <c:xMode val="edge"/>
          <c:yMode val="edge"/>
          <c:x val="0.424937269007652"/>
          <c:y val="1.605923869026958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883-423A-9D30-BCCF0FB1CCB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883-423A-9D30-BCCF0FB1CCB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883-423A-9D30-BCCF0FB1CC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Schedules!$B$100</c:f>
          <c:strCache>
            <c:ptCount val="1"/>
            <c:pt idx="0">
              <c:v>Occupancy -  Kitchen - Weekday</c:v>
            </c:pt>
          </c:strCache>
        </c:strRef>
      </c:tx>
      <c:layout>
        <c:manualLayout>
          <c:xMode val="edge"/>
          <c:yMode val="edge"/>
          <c:x val="0.19467220686911652"/>
          <c:y val="2.55161153355201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891178341607931E-2"/>
          <c:y val="0.15773211963240721"/>
          <c:w val="0.62572569311297588"/>
          <c:h val="0.6463322425919551"/>
        </c:manualLayout>
      </c:layout>
      <c:lineChart>
        <c:grouping val="standard"/>
        <c:varyColors val="0"/>
        <c:ser>
          <c:idx val="0"/>
          <c:order val="0"/>
          <c:tx>
            <c:strRef>
              <c:f>Schedules!$C$93</c:f>
              <c:strCache>
                <c:ptCount val="1"/>
                <c:pt idx="0">
                  <c:v>T24 2022</c:v>
                </c:pt>
              </c:strCache>
            </c:strRef>
          </c:tx>
          <c:spPr>
            <a:ln w="28575" cap="rnd">
              <a:solidFill>
                <a:schemeClr val="accent1"/>
              </a:solidFill>
              <a:round/>
            </a:ln>
            <a:effectLst/>
          </c:spPr>
          <c:marker>
            <c:symbol val="triangle"/>
            <c:size val="5"/>
            <c:spPr>
              <a:solidFill>
                <a:srgbClr val="002F8E"/>
              </a:solidFill>
              <a:ln w="9525">
                <a:solidFill>
                  <a:srgbClr val="002F8E"/>
                </a:solidFill>
              </a:ln>
              <a:effectLst/>
            </c:spPr>
          </c:marker>
          <c:val>
            <c:numRef>
              <c:f>Schedules!$F$93:$AC$93</c:f>
            </c:numRef>
          </c:val>
          <c:smooth val="0"/>
          <c:extLst>
            <c:ext xmlns:c16="http://schemas.microsoft.com/office/drawing/2014/chart" uri="{C3380CC4-5D6E-409C-BE32-E72D297353CC}">
              <c16:uniqueId val="{00000000-8ED2-4D7E-96EA-FE96DEBE7DA5}"/>
            </c:ext>
          </c:extLst>
        </c:ser>
        <c:ser>
          <c:idx val="1"/>
          <c:order val="1"/>
          <c:tx>
            <c:strRef>
              <c:f>Schedules!$C$94</c:f>
              <c:strCache>
                <c:ptCount val="1"/>
                <c:pt idx="0">
                  <c:v>ComNET </c:v>
                </c:pt>
              </c:strCache>
            </c:strRef>
          </c:tx>
          <c:spPr>
            <a:ln w="28575" cap="rnd">
              <a:solidFill>
                <a:schemeClr val="accent2"/>
              </a:solidFill>
              <a:round/>
            </a:ln>
            <a:effectLst/>
          </c:spPr>
          <c:marker>
            <c:symbol val="none"/>
          </c:marker>
          <c:val>
            <c:numRef>
              <c:f>Schedules!$F$94:$AC$94</c:f>
            </c:numRef>
          </c:val>
          <c:smooth val="0"/>
          <c:extLst>
            <c:ext xmlns:c16="http://schemas.microsoft.com/office/drawing/2014/chart" uri="{C3380CC4-5D6E-409C-BE32-E72D297353CC}">
              <c16:uniqueId val="{00000001-8ED2-4D7E-96EA-FE96DEBE7DA5}"/>
            </c:ext>
          </c:extLst>
        </c:ser>
        <c:ser>
          <c:idx val="2"/>
          <c:order val="2"/>
          <c:tx>
            <c:strRef>
              <c:f>Schedules!$C$95</c:f>
              <c:strCache>
                <c:ptCount val="1"/>
                <c:pt idx="0">
                  <c:v>Plug load and schedules project</c:v>
                </c:pt>
              </c:strCache>
            </c:strRef>
          </c:tx>
          <c:spPr>
            <a:ln w="28575" cap="rnd">
              <a:solidFill>
                <a:schemeClr val="accent3"/>
              </a:solidFill>
              <a:round/>
            </a:ln>
            <a:effectLst/>
          </c:spPr>
          <c:marker>
            <c:symbol val="x"/>
            <c:size val="5"/>
            <c:spPr>
              <a:noFill/>
              <a:ln w="9525">
                <a:solidFill>
                  <a:schemeClr val="accent3"/>
                </a:solidFill>
              </a:ln>
              <a:effectLst/>
            </c:spPr>
          </c:marker>
          <c:val>
            <c:numRef>
              <c:f>Schedules!$F$95:$AC$95</c:f>
            </c:numRef>
          </c:val>
          <c:smooth val="0"/>
          <c:extLst>
            <c:ext xmlns:c16="http://schemas.microsoft.com/office/drawing/2014/chart" uri="{C3380CC4-5D6E-409C-BE32-E72D297353CC}">
              <c16:uniqueId val="{00000002-8ED2-4D7E-96EA-FE96DEBE7DA5}"/>
            </c:ext>
          </c:extLst>
        </c:ser>
        <c:ser>
          <c:idx val="3"/>
          <c:order val="3"/>
          <c:tx>
            <c:strRef>
              <c:f>Schedules!$C$96</c:f>
              <c:strCache>
                <c:ptCount val="1"/>
                <c:pt idx="0">
                  <c:v>CPUC</c:v>
                </c:pt>
              </c:strCache>
            </c:strRef>
          </c:tx>
          <c:spPr>
            <a:ln w="28575" cap="rnd">
              <a:solidFill>
                <a:schemeClr val="accent4"/>
              </a:solidFill>
              <a:round/>
            </a:ln>
            <a:effectLst/>
          </c:spPr>
          <c:marker>
            <c:symbol val="none"/>
          </c:marker>
          <c:val>
            <c:numRef>
              <c:f>Schedules!$F$96:$AC$96</c:f>
            </c:numRef>
          </c:val>
          <c:smooth val="0"/>
          <c:extLst>
            <c:ext xmlns:c16="http://schemas.microsoft.com/office/drawing/2014/chart" uri="{C3380CC4-5D6E-409C-BE32-E72D297353CC}">
              <c16:uniqueId val="{00000003-8ED2-4D7E-96EA-FE96DEBE7DA5}"/>
            </c:ext>
          </c:extLst>
        </c:ser>
        <c:ser>
          <c:idx val="4"/>
          <c:order val="4"/>
          <c:tx>
            <c:strRef>
              <c:f>Schedules!$C$98</c:f>
              <c:strCache>
                <c:ptCount val="1"/>
                <c:pt idx="0">
                  <c:v>Proposed</c:v>
                </c:pt>
              </c:strCache>
            </c:strRef>
          </c:tx>
          <c:spPr>
            <a:ln w="28575" cap="rnd">
              <a:solidFill>
                <a:schemeClr val="accent5"/>
              </a:solidFill>
              <a:round/>
            </a:ln>
            <a:effectLst/>
          </c:spPr>
          <c:marker>
            <c:symbol val="none"/>
          </c:marker>
          <c:val>
            <c:numRef>
              <c:f>Schedules!$F$98:$AC$98</c:f>
            </c:numRef>
          </c:val>
          <c:smooth val="0"/>
          <c:extLst>
            <c:ext xmlns:c16="http://schemas.microsoft.com/office/drawing/2014/chart" uri="{C3380CC4-5D6E-409C-BE32-E72D297353CC}">
              <c16:uniqueId val="{00000004-8ED2-4D7E-96EA-FE96DEBE7DA5}"/>
            </c:ext>
          </c:extLst>
        </c:ser>
        <c:ser>
          <c:idx val="5"/>
          <c:order val="5"/>
          <c:tx>
            <c:strRef>
              <c:f>Schedules!$C$97</c:f>
              <c:strCache>
                <c:ptCount val="1"/>
                <c:pt idx="0">
                  <c:v>PNNL90.1 2022</c:v>
                </c:pt>
              </c:strCache>
            </c:strRef>
          </c:tx>
          <c:spPr>
            <a:ln w="28575" cap="rnd">
              <a:solidFill>
                <a:schemeClr val="accent6"/>
              </a:solidFill>
              <a:round/>
            </a:ln>
            <a:effectLst/>
          </c:spPr>
          <c:marker>
            <c:symbol val="none"/>
          </c:marker>
          <c:val>
            <c:numRef>
              <c:f>Schedules!$F$97:$AC$97</c:f>
            </c:numRef>
          </c:val>
          <c:smooth val="0"/>
          <c:extLst>
            <c:ext xmlns:c16="http://schemas.microsoft.com/office/drawing/2014/chart" uri="{C3380CC4-5D6E-409C-BE32-E72D297353CC}">
              <c16:uniqueId val="{00000006-8ED2-4D7E-96EA-FE96DEBE7DA5}"/>
            </c:ext>
          </c:extLst>
        </c:ser>
        <c:dLbls>
          <c:showLegendKey val="0"/>
          <c:showVal val="0"/>
          <c:showCatName val="0"/>
          <c:showSerName val="0"/>
          <c:showPercent val="0"/>
          <c:showBubbleSize val="0"/>
        </c:dLbls>
        <c:marker val="1"/>
        <c:smooth val="0"/>
        <c:axId val="237284431"/>
        <c:axId val="237284911"/>
      </c:lineChart>
      <c:catAx>
        <c:axId val="23728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4911"/>
        <c:crosses val="autoZero"/>
        <c:auto val="1"/>
        <c:lblAlgn val="ctr"/>
        <c:lblOffset val="100"/>
        <c:noMultiLvlLbl val="0"/>
      </c:catAx>
      <c:valAx>
        <c:axId val="2372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4431"/>
        <c:crosses val="autoZero"/>
        <c:crossBetween val="between"/>
      </c:valAx>
      <c:spPr>
        <a:noFill/>
        <a:ln>
          <a:noFill/>
        </a:ln>
        <a:effectLst/>
      </c:spPr>
    </c:plotArea>
    <c:legend>
      <c:legendPos val="b"/>
      <c:layout>
        <c:manualLayout>
          <c:xMode val="edge"/>
          <c:yMode val="edge"/>
          <c:x val="0.69404814902996603"/>
          <c:y val="0.14467704366671266"/>
          <c:w val="0.26641446372114824"/>
          <c:h val="0.53637151463928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Schedules!$E$48</c:f>
              <c:strCache>
                <c:ptCount val="1"/>
                <c:pt idx="0">
                  <c:v>Saturday</c:v>
                </c:pt>
              </c:strCache>
            </c:strRef>
          </c:tx>
          <c:spPr>
            <a:ln w="28575" cap="rnd">
              <a:solidFill>
                <a:schemeClr val="accent1"/>
              </a:solidFill>
              <a:round/>
            </a:ln>
            <a:effectLst/>
          </c:spPr>
          <c:marker>
            <c:symbol val="none"/>
          </c:marker>
          <c:cat>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cat>
          <c:val>
            <c:numRef>
              <c:f>Schedules!$F$48:$AC$48</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00ED-4254-B7F0-786C3C49EEA8}"/>
            </c:ext>
          </c:extLst>
        </c:ser>
        <c:ser>
          <c:idx val="1"/>
          <c:order val="1"/>
          <c:tx>
            <c:strRef>
              <c:f>Schedules!$E$49</c:f>
              <c:strCache>
                <c:ptCount val="1"/>
                <c:pt idx="0">
                  <c:v>Sunday</c:v>
                </c:pt>
              </c:strCache>
            </c:strRef>
          </c:tx>
          <c:spPr>
            <a:ln w="28575" cap="rnd">
              <a:solidFill>
                <a:schemeClr val="accent2"/>
              </a:solidFill>
              <a:round/>
            </a:ln>
            <a:effectLst/>
          </c:spPr>
          <c:marker>
            <c:symbol val="none"/>
          </c:marker>
          <c:cat>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cat>
          <c:val>
            <c:numRef>
              <c:f>Schedules!$F$49:$AC$49</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00ED-4254-B7F0-786C3C49EEA8}"/>
            </c:ext>
          </c:extLst>
        </c:ser>
        <c:ser>
          <c:idx val="2"/>
          <c:order val="2"/>
          <c:tx>
            <c:strRef>
              <c:f>Schedules!$E$47</c:f>
              <c:strCache>
                <c:ptCount val="1"/>
                <c:pt idx="0">
                  <c:v>Weekday</c:v>
                </c:pt>
              </c:strCache>
            </c:strRef>
          </c:tx>
          <c:spPr>
            <a:ln w="28575" cap="rnd">
              <a:solidFill>
                <a:schemeClr val="accent3"/>
              </a:solidFill>
              <a:round/>
            </a:ln>
            <a:effectLst/>
          </c:spPr>
          <c:marker>
            <c:symbol val="none"/>
          </c:marker>
          <c:val>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3-00ED-4254-B7F0-786C3C49EEA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971432699198443"/>
          <c:y val="3.6261079321075841E-2"/>
          <c:w val="0.19982901769089964"/>
          <c:h val="0.48959341247392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PNNL</a:t>
            </a:r>
            <a:r>
              <a:rPr lang="en-US" sz="1050" b="1"/>
              <a:t>:</a:t>
            </a:r>
            <a:r>
              <a:rPr lang="en-US" sz="1050"/>
              <a:t> </a:t>
            </a:r>
            <a:r>
              <a:rPr lang="en-US" sz="1050" b="0" i="0" u="none" strike="noStrike" kern="1200" spc="0" baseline="0">
                <a:solidFill>
                  <a:sysClr val="windowText" lastClr="000000"/>
                </a:solidFill>
              </a:rPr>
              <a:t>Occpancy Schedule- Small office</a:t>
            </a:r>
            <a:endParaRPr lang="en-US" sz="1050"/>
          </a:p>
        </c:rich>
      </c:tx>
      <c:layout>
        <c:manualLayout>
          <c:xMode val="edge"/>
          <c:yMode val="edge"/>
          <c:x val="0.19171028919591523"/>
          <c:y val="2.4841221562180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Occupnacy!$B$68</c:f>
              <c:strCache>
                <c:ptCount val="1"/>
                <c:pt idx="0">
                  <c:v>PNNL (Core+ 3 Perimeter)</c:v>
                </c:pt>
              </c:strCache>
            </c:strRef>
          </c:tx>
          <c:spPr>
            <a:ln w="28575" cap="rnd">
              <a:solidFill>
                <a:schemeClr val="accent1"/>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Occupnacy!$B$69:$B$92</c:f>
              <c:numCache>
                <c:formatCode>General</c:formatCode>
                <c:ptCount val="24"/>
                <c:pt idx="0">
                  <c:v>0</c:v>
                </c:pt>
                <c:pt idx="1">
                  <c:v>0</c:v>
                </c:pt>
                <c:pt idx="2">
                  <c:v>0</c:v>
                </c:pt>
                <c:pt idx="3">
                  <c:v>0</c:v>
                </c:pt>
                <c:pt idx="4">
                  <c:v>0</c:v>
                </c:pt>
                <c:pt idx="5">
                  <c:v>0</c:v>
                </c:pt>
                <c:pt idx="6">
                  <c:v>0.11</c:v>
                </c:pt>
                <c:pt idx="7">
                  <c:v>0.21</c:v>
                </c:pt>
                <c:pt idx="8">
                  <c:v>1</c:v>
                </c:pt>
                <c:pt idx="9">
                  <c:v>1</c:v>
                </c:pt>
                <c:pt idx="10">
                  <c:v>1</c:v>
                </c:pt>
                <c:pt idx="11">
                  <c:v>1</c:v>
                </c:pt>
                <c:pt idx="12">
                  <c:v>1</c:v>
                </c:pt>
                <c:pt idx="13">
                  <c:v>0.61</c:v>
                </c:pt>
                <c:pt idx="14">
                  <c:v>1</c:v>
                </c:pt>
                <c:pt idx="15">
                  <c:v>1</c:v>
                </c:pt>
                <c:pt idx="16">
                  <c:v>1</c:v>
                </c:pt>
                <c:pt idx="17">
                  <c:v>1</c:v>
                </c:pt>
                <c:pt idx="18">
                  <c:v>0.32</c:v>
                </c:pt>
                <c:pt idx="19">
                  <c:v>0.11</c:v>
                </c:pt>
                <c:pt idx="20">
                  <c:v>0.11</c:v>
                </c:pt>
                <c:pt idx="21">
                  <c:v>0.11</c:v>
                </c:pt>
                <c:pt idx="22">
                  <c:v>0.05</c:v>
                </c:pt>
                <c:pt idx="23">
                  <c:v>0</c:v>
                </c:pt>
              </c:numCache>
            </c:numRef>
          </c:val>
          <c:smooth val="0"/>
          <c:extLst>
            <c:ext xmlns:c16="http://schemas.microsoft.com/office/drawing/2014/chart" uri="{C3380CC4-5D6E-409C-BE32-E72D297353CC}">
              <c16:uniqueId val="{00000000-938C-4DAC-9E90-9F0246FEFFA8}"/>
            </c:ext>
          </c:extLst>
        </c:ser>
        <c:ser>
          <c:idx val="1"/>
          <c:order val="1"/>
          <c:tx>
            <c:strRef>
              <c:f>Occupnacy!$C$68</c:f>
              <c:strCache>
                <c:ptCount val="1"/>
                <c:pt idx="0">
                  <c:v>PNNL( 1 Perimeter)</c:v>
                </c:pt>
              </c:strCache>
            </c:strRef>
          </c:tx>
          <c:spPr>
            <a:ln w="28575" cap="rnd">
              <a:solidFill>
                <a:schemeClr val="accent2"/>
              </a:solidFill>
              <a:prstDash val="dash"/>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Occupnacy!$C$69:$C$92</c:f>
              <c:numCache>
                <c:formatCode>General</c:formatCode>
                <c:ptCount val="24"/>
                <c:pt idx="0">
                  <c:v>0</c:v>
                </c:pt>
                <c:pt idx="1">
                  <c:v>0</c:v>
                </c:pt>
                <c:pt idx="2">
                  <c:v>0</c:v>
                </c:pt>
                <c:pt idx="3">
                  <c:v>0</c:v>
                </c:pt>
                <c:pt idx="4">
                  <c:v>0</c:v>
                </c:pt>
                <c:pt idx="5">
                  <c:v>0</c:v>
                </c:pt>
                <c:pt idx="6">
                  <c:v>0.11</c:v>
                </c:pt>
                <c:pt idx="7">
                  <c:v>0.21</c:v>
                </c:pt>
                <c:pt idx="8">
                  <c:v>1</c:v>
                </c:pt>
                <c:pt idx="9">
                  <c:v>1</c:v>
                </c:pt>
                <c:pt idx="10">
                  <c:v>0</c:v>
                </c:pt>
                <c:pt idx="11">
                  <c:v>1</c:v>
                </c:pt>
                <c:pt idx="12">
                  <c:v>0</c:v>
                </c:pt>
                <c:pt idx="13">
                  <c:v>1</c:v>
                </c:pt>
                <c:pt idx="14">
                  <c:v>0</c:v>
                </c:pt>
                <c:pt idx="15">
                  <c:v>1</c:v>
                </c:pt>
                <c:pt idx="16">
                  <c:v>1</c:v>
                </c:pt>
                <c:pt idx="17">
                  <c:v>0.32</c:v>
                </c:pt>
                <c:pt idx="18">
                  <c:v>0.11</c:v>
                </c:pt>
                <c:pt idx="19">
                  <c:v>0.11</c:v>
                </c:pt>
                <c:pt idx="20">
                  <c:v>0.11</c:v>
                </c:pt>
                <c:pt idx="21">
                  <c:v>0.11</c:v>
                </c:pt>
                <c:pt idx="22">
                  <c:v>0.05</c:v>
                </c:pt>
                <c:pt idx="23">
                  <c:v>0</c:v>
                </c:pt>
              </c:numCache>
            </c:numRef>
          </c:val>
          <c:smooth val="0"/>
          <c:extLst>
            <c:ext xmlns:c16="http://schemas.microsoft.com/office/drawing/2014/chart" uri="{C3380CC4-5D6E-409C-BE32-E72D297353CC}">
              <c16:uniqueId val="{00000001-938C-4DAC-9E90-9F0246FEFFA8}"/>
            </c:ext>
          </c:extLst>
        </c:ser>
        <c:dLbls>
          <c:showLegendKey val="0"/>
          <c:showVal val="0"/>
          <c:showCatName val="0"/>
          <c:showSerName val="0"/>
          <c:showPercent val="0"/>
          <c:showBubbleSize val="0"/>
        </c:dLbls>
        <c:smooth val="0"/>
        <c:axId val="1948449903"/>
        <c:axId val="1948435023"/>
      </c:lineChart>
      <c:catAx>
        <c:axId val="194844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35023"/>
        <c:crosses val="autoZero"/>
        <c:auto val="1"/>
        <c:lblAlgn val="ctr"/>
        <c:lblOffset val="100"/>
        <c:noMultiLvlLbl val="0"/>
      </c:catAx>
      <c:valAx>
        <c:axId val="19484350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4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DEER</a:t>
            </a:r>
            <a:r>
              <a:rPr lang="en-US"/>
              <a:t>: </a:t>
            </a:r>
            <a:r>
              <a:rPr lang="en-US" sz="1050" b="0" i="0" u="none" strike="noStrike" kern="1200" spc="0" baseline="0">
                <a:solidFill>
                  <a:sysClr val="windowText" lastClr="000000"/>
                </a:solidFill>
              </a:rPr>
              <a:t>Occpancy Schedule- Small office</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Occupnacy!$E$68</c:f>
              <c:strCache>
                <c:ptCount val="1"/>
                <c:pt idx="0">
                  <c:v>DEER Normal day</c:v>
                </c:pt>
              </c:strCache>
            </c:strRef>
          </c:tx>
          <c:spPr>
            <a:ln w="28575" cap="rnd">
              <a:solidFill>
                <a:schemeClr val="accent3"/>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Occupnacy!$E$69:$E$92</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B6E7-4267-AE9D-6157B45EA6EA}"/>
            </c:ext>
          </c:extLst>
        </c:ser>
        <c:ser>
          <c:idx val="3"/>
          <c:order val="3"/>
          <c:tx>
            <c:strRef>
              <c:f>Occupnacy!$F$68</c:f>
              <c:strCache>
                <c:ptCount val="1"/>
                <c:pt idx="0">
                  <c:v>DEER Saturday</c:v>
                </c:pt>
              </c:strCache>
              <c:extLst xmlns:c15="http://schemas.microsoft.com/office/drawing/2012/chart"/>
            </c:strRef>
          </c:tx>
          <c:spPr>
            <a:ln w="28575" cap="rnd">
              <a:solidFill>
                <a:schemeClr val="accent4"/>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extLst xmlns:c15="http://schemas.microsoft.com/office/drawing/2012/chart"/>
            </c:numRef>
          </c:cat>
          <c:val>
            <c:numRef>
              <c:f>Occupnacy!$F$69:$F$92</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extLst xmlns:c15="http://schemas.microsoft.com/office/drawing/2012/chart"/>
            </c:numRef>
          </c:val>
          <c:smooth val="0"/>
          <c:extLst>
            <c:ext xmlns:c16="http://schemas.microsoft.com/office/drawing/2014/chart" uri="{C3380CC4-5D6E-409C-BE32-E72D297353CC}">
              <c16:uniqueId val="{00000001-B6E7-4267-AE9D-6157B45EA6EA}"/>
            </c:ext>
          </c:extLst>
        </c:ser>
        <c:ser>
          <c:idx val="4"/>
          <c:order val="4"/>
          <c:tx>
            <c:strRef>
              <c:f>Occupnacy!$G$68</c:f>
              <c:strCache>
                <c:ptCount val="1"/>
                <c:pt idx="0">
                  <c:v>DEER (Other day)</c:v>
                </c:pt>
              </c:strCache>
              <c:extLst xmlns:c15="http://schemas.microsoft.com/office/drawing/2012/chart"/>
            </c:strRef>
          </c:tx>
          <c:spPr>
            <a:ln w="28575" cap="rnd">
              <a:solidFill>
                <a:schemeClr val="accent5"/>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extLst xmlns:c15="http://schemas.microsoft.com/office/drawing/2012/chart"/>
            </c:numRef>
          </c:cat>
          <c:val>
            <c:numRef>
              <c:f>Occupnacy!$G$69:$G$92</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extLst xmlns:c15="http://schemas.microsoft.com/office/drawing/2012/chart"/>
            </c:numRef>
          </c:val>
          <c:smooth val="0"/>
          <c:extLst>
            <c:ext xmlns:c16="http://schemas.microsoft.com/office/drawing/2014/chart" uri="{C3380CC4-5D6E-409C-BE32-E72D297353CC}">
              <c16:uniqueId val="{00000002-B6E7-4267-AE9D-6157B45EA6EA}"/>
            </c:ext>
          </c:extLst>
        </c:ser>
        <c:dLbls>
          <c:showLegendKey val="0"/>
          <c:showVal val="0"/>
          <c:showCatName val="0"/>
          <c:showSerName val="0"/>
          <c:showPercent val="0"/>
          <c:showBubbleSize val="0"/>
        </c:dLbls>
        <c:smooth val="0"/>
        <c:axId val="125811183"/>
        <c:axId val="125833263"/>
        <c:extLst>
          <c:ext xmlns:c15="http://schemas.microsoft.com/office/drawing/2012/chart" uri="{02D57815-91ED-43cb-92C2-25804820EDAC}">
            <c15:filteredLineSeries>
              <c15:ser>
                <c:idx val="0"/>
                <c:order val="0"/>
                <c:tx>
                  <c:strRef>
                    <c:extLst>
                      <c:ext uri="{02D57815-91ED-43cb-92C2-25804820EDAC}">
                        <c15:formulaRef>
                          <c15:sqref>Occupnacy!$B$68</c15:sqref>
                        </c15:formulaRef>
                      </c:ext>
                    </c:extLst>
                    <c:strCache>
                      <c:ptCount val="1"/>
                      <c:pt idx="0">
                        <c:v>PNNL (Core+ 3 Perimeter)</c:v>
                      </c:pt>
                    </c:strCache>
                  </c:strRef>
                </c:tx>
                <c:spPr>
                  <a:ln w="28575" cap="rnd">
                    <a:solidFill>
                      <a:schemeClr val="accent1"/>
                    </a:solidFill>
                    <a:round/>
                  </a:ln>
                  <a:effectLst/>
                </c:spPr>
                <c:marker>
                  <c:symbol val="none"/>
                </c:marker>
                <c:cat>
                  <c:numRef>
                    <c:extLst>
                      <c:ext uri="{02D57815-91ED-43cb-92C2-25804820EDAC}">
                        <c15:formulaRef>
                          <c15:sqref>Occupnacy!$A$69:$A$92</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extLst>
                      <c:ext uri="{02D57815-91ED-43cb-92C2-25804820EDAC}">
                        <c15:formulaRef>
                          <c15:sqref>Occupnacy!$B$69:$B$92</c15:sqref>
                        </c15:formulaRef>
                      </c:ext>
                    </c:extLst>
                    <c:numCache>
                      <c:formatCode>General</c:formatCode>
                      <c:ptCount val="24"/>
                      <c:pt idx="0">
                        <c:v>0</c:v>
                      </c:pt>
                      <c:pt idx="1">
                        <c:v>0</c:v>
                      </c:pt>
                      <c:pt idx="2">
                        <c:v>0</c:v>
                      </c:pt>
                      <c:pt idx="3">
                        <c:v>0</c:v>
                      </c:pt>
                      <c:pt idx="4">
                        <c:v>0</c:v>
                      </c:pt>
                      <c:pt idx="5">
                        <c:v>0</c:v>
                      </c:pt>
                      <c:pt idx="6">
                        <c:v>0.11</c:v>
                      </c:pt>
                      <c:pt idx="7">
                        <c:v>0.21</c:v>
                      </c:pt>
                      <c:pt idx="8">
                        <c:v>1</c:v>
                      </c:pt>
                      <c:pt idx="9">
                        <c:v>1</c:v>
                      </c:pt>
                      <c:pt idx="10">
                        <c:v>1</c:v>
                      </c:pt>
                      <c:pt idx="11">
                        <c:v>1</c:v>
                      </c:pt>
                      <c:pt idx="12">
                        <c:v>1</c:v>
                      </c:pt>
                      <c:pt idx="13">
                        <c:v>0.61</c:v>
                      </c:pt>
                      <c:pt idx="14">
                        <c:v>1</c:v>
                      </c:pt>
                      <c:pt idx="15">
                        <c:v>1</c:v>
                      </c:pt>
                      <c:pt idx="16">
                        <c:v>1</c:v>
                      </c:pt>
                      <c:pt idx="17">
                        <c:v>1</c:v>
                      </c:pt>
                      <c:pt idx="18">
                        <c:v>0.32</c:v>
                      </c:pt>
                      <c:pt idx="19">
                        <c:v>0.11</c:v>
                      </c:pt>
                      <c:pt idx="20">
                        <c:v>0.11</c:v>
                      </c:pt>
                      <c:pt idx="21">
                        <c:v>0.11</c:v>
                      </c:pt>
                      <c:pt idx="22">
                        <c:v>0.05</c:v>
                      </c:pt>
                      <c:pt idx="23">
                        <c:v>0</c:v>
                      </c:pt>
                    </c:numCache>
                  </c:numRef>
                </c:val>
                <c:smooth val="0"/>
                <c:extLst>
                  <c:ext xmlns:c16="http://schemas.microsoft.com/office/drawing/2014/chart" uri="{C3380CC4-5D6E-409C-BE32-E72D297353CC}">
                    <c16:uniqueId val="{00000003-B6E7-4267-AE9D-6157B45EA6E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Occupnacy!$C$68</c15:sqref>
                        </c15:formulaRef>
                      </c:ext>
                    </c:extLst>
                    <c:strCache>
                      <c:ptCount val="1"/>
                      <c:pt idx="0">
                        <c:v>PNNL( 1 Perimeter)</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Occupnacy!$A$69:$A$92</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extLst xmlns:c15="http://schemas.microsoft.com/office/drawing/2012/chart">
                      <c:ext xmlns:c15="http://schemas.microsoft.com/office/drawing/2012/chart" uri="{02D57815-91ED-43cb-92C2-25804820EDAC}">
                        <c15:formulaRef>
                          <c15:sqref>Occupnacy!$C$69:$C$92</c15:sqref>
                        </c15:formulaRef>
                      </c:ext>
                    </c:extLst>
                    <c:numCache>
                      <c:formatCode>General</c:formatCode>
                      <c:ptCount val="24"/>
                      <c:pt idx="0">
                        <c:v>0</c:v>
                      </c:pt>
                      <c:pt idx="1">
                        <c:v>0</c:v>
                      </c:pt>
                      <c:pt idx="2">
                        <c:v>0</c:v>
                      </c:pt>
                      <c:pt idx="3">
                        <c:v>0</c:v>
                      </c:pt>
                      <c:pt idx="4">
                        <c:v>0</c:v>
                      </c:pt>
                      <c:pt idx="5">
                        <c:v>0</c:v>
                      </c:pt>
                      <c:pt idx="6">
                        <c:v>0.11</c:v>
                      </c:pt>
                      <c:pt idx="7">
                        <c:v>0.21</c:v>
                      </c:pt>
                      <c:pt idx="8">
                        <c:v>1</c:v>
                      </c:pt>
                      <c:pt idx="9">
                        <c:v>1</c:v>
                      </c:pt>
                      <c:pt idx="10">
                        <c:v>0</c:v>
                      </c:pt>
                      <c:pt idx="11">
                        <c:v>1</c:v>
                      </c:pt>
                      <c:pt idx="12">
                        <c:v>0</c:v>
                      </c:pt>
                      <c:pt idx="13">
                        <c:v>1</c:v>
                      </c:pt>
                      <c:pt idx="14">
                        <c:v>0</c:v>
                      </c:pt>
                      <c:pt idx="15">
                        <c:v>1</c:v>
                      </c:pt>
                      <c:pt idx="16">
                        <c:v>1</c:v>
                      </c:pt>
                      <c:pt idx="17">
                        <c:v>0.32</c:v>
                      </c:pt>
                      <c:pt idx="18">
                        <c:v>0.11</c:v>
                      </c:pt>
                      <c:pt idx="19">
                        <c:v>0.11</c:v>
                      </c:pt>
                      <c:pt idx="20">
                        <c:v>0.11</c:v>
                      </c:pt>
                      <c:pt idx="21">
                        <c:v>0.11</c:v>
                      </c:pt>
                      <c:pt idx="22">
                        <c:v>0.05</c:v>
                      </c:pt>
                      <c:pt idx="23">
                        <c:v>0</c:v>
                      </c:pt>
                    </c:numCache>
                  </c:numRef>
                </c:val>
                <c:smooth val="0"/>
                <c:extLst xmlns:c15="http://schemas.microsoft.com/office/drawing/2012/chart">
                  <c:ext xmlns:c16="http://schemas.microsoft.com/office/drawing/2014/chart" uri="{C3380CC4-5D6E-409C-BE32-E72D297353CC}">
                    <c16:uniqueId val="{00000004-B6E7-4267-AE9D-6157B45EA6EA}"/>
                  </c:ext>
                </c:extLst>
              </c15:ser>
            </c15:filteredLineSeries>
          </c:ext>
        </c:extLst>
      </c:lineChart>
      <c:catAx>
        <c:axId val="12581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33263"/>
        <c:crosses val="autoZero"/>
        <c:auto val="1"/>
        <c:lblAlgn val="ctr"/>
        <c:lblOffset val="100"/>
        <c:noMultiLvlLbl val="0"/>
      </c:catAx>
      <c:valAx>
        <c:axId val="12583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a:solidFill>
                  <a:sysClr val="windowText" lastClr="000000"/>
                </a:solidFill>
                <a:latin typeface="+mj-lt"/>
              </a:rPr>
              <a:t>CEC: </a:t>
            </a:r>
            <a:r>
              <a:rPr lang="en-US">
                <a:solidFill>
                  <a:sysClr val="windowText" lastClr="000000"/>
                </a:solidFill>
                <a:latin typeface="+mj-lt"/>
              </a:rPr>
              <a:t>Occpancy </a:t>
            </a:r>
            <a:r>
              <a:rPr lang="en-US" sz="1400" b="0" i="0" u="none" strike="noStrike" kern="1200" spc="0" baseline="0">
                <a:solidFill>
                  <a:sysClr val="windowText" lastClr="000000"/>
                </a:solidFill>
                <a:latin typeface="+mj-lt"/>
              </a:rPr>
              <a:t>Schedule- Small office</a:t>
            </a:r>
            <a:endParaRPr lang="en-US">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lineChart>
        <c:grouping val="standard"/>
        <c:varyColors val="0"/>
        <c:ser>
          <c:idx val="5"/>
          <c:order val="0"/>
          <c:tx>
            <c:strRef>
              <c:f>Occupnacy!$J$68</c:f>
              <c:strCache>
                <c:ptCount val="1"/>
                <c:pt idx="0">
                  <c:v>CEC Weekday</c:v>
                </c:pt>
              </c:strCache>
            </c:strRef>
          </c:tx>
          <c:spPr>
            <a:ln w="28575" cap="rnd">
              <a:solidFill>
                <a:schemeClr val="accent6"/>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Occupnacy!$J$69:$J$92</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c:v>
                </c:pt>
              </c:numCache>
            </c:numRef>
          </c:val>
          <c:smooth val="0"/>
          <c:extLst>
            <c:ext xmlns:c16="http://schemas.microsoft.com/office/drawing/2014/chart" uri="{C3380CC4-5D6E-409C-BE32-E72D297353CC}">
              <c16:uniqueId val="{00000000-843C-45B0-8AEE-A18D70991123}"/>
            </c:ext>
          </c:extLst>
        </c:ser>
        <c:ser>
          <c:idx val="6"/>
          <c:order val="1"/>
          <c:tx>
            <c:strRef>
              <c:f>Occupnacy!$K$68</c:f>
              <c:strCache>
                <c:ptCount val="1"/>
                <c:pt idx="0">
                  <c:v>CEC Saturday</c:v>
                </c:pt>
              </c:strCache>
            </c:strRef>
          </c:tx>
          <c:spPr>
            <a:ln w="28575" cap="rnd">
              <a:solidFill>
                <a:schemeClr val="accent1">
                  <a:lumMod val="60000"/>
                </a:schemeClr>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Occupnacy!$K$69:$K$92</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numRef>
          </c:val>
          <c:smooth val="0"/>
          <c:extLst>
            <c:ext xmlns:c16="http://schemas.microsoft.com/office/drawing/2014/chart" uri="{C3380CC4-5D6E-409C-BE32-E72D297353CC}">
              <c16:uniqueId val="{00000001-843C-45B0-8AEE-A18D70991123}"/>
            </c:ext>
          </c:extLst>
        </c:ser>
        <c:ser>
          <c:idx val="7"/>
          <c:order val="2"/>
          <c:tx>
            <c:strRef>
              <c:f>Occupnacy!$L$68</c:f>
              <c:strCache>
                <c:ptCount val="1"/>
                <c:pt idx="0">
                  <c:v>CEC Sunday</c:v>
                </c:pt>
              </c:strCache>
            </c:strRef>
          </c:tx>
          <c:spPr>
            <a:ln w="28575" cap="rnd">
              <a:solidFill>
                <a:schemeClr val="accent2">
                  <a:lumMod val="60000"/>
                </a:schemeClr>
              </a:solidFill>
              <a:round/>
            </a:ln>
            <a:effectLst/>
          </c:spPr>
          <c:marker>
            <c:symbol val="none"/>
          </c:marker>
          <c:cat>
            <c:numRef>
              <c:f>Occupnacy!$A$69:$A$92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Occupnacy!$L$69:$L$92</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843C-45B0-8AEE-A18D70991123}"/>
            </c:ext>
          </c:extLst>
        </c:ser>
        <c:dLbls>
          <c:showLegendKey val="0"/>
          <c:showVal val="0"/>
          <c:showCatName val="0"/>
          <c:showSerName val="0"/>
          <c:showPercent val="0"/>
          <c:showBubbleSize val="0"/>
        </c:dLbls>
        <c:smooth val="0"/>
        <c:axId val="1948439823"/>
        <c:axId val="1948451823"/>
      </c:lineChart>
      <c:catAx>
        <c:axId val="194843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51823"/>
        <c:crosses val="autoZero"/>
        <c:auto val="1"/>
        <c:lblAlgn val="ctr"/>
        <c:lblOffset val="100"/>
        <c:noMultiLvlLbl val="0"/>
      </c:catAx>
      <c:valAx>
        <c:axId val="194845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39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RestaurantSitDown</a:t>
            </a:r>
            <a:r>
              <a:rPr lang="en-US" baseline="0"/>
              <a:t> </a:t>
            </a:r>
            <a:r>
              <a:rPr lang="en-US"/>
              <a:t>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246.45760872702002</c:v>
                </c:pt>
                <c:pt idx="1">
                  <c:v>220.52276347213933</c:v>
                </c:pt>
                <c:pt idx="2">
                  <c:v>224.5108983857213</c:v>
                </c:pt>
                <c:pt idx="3">
                  <c:v>224.18194940063478</c:v>
                </c:pt>
                <c:pt idx="4">
                  <c:v>224.68278436156663</c:v>
                </c:pt>
                <c:pt idx="5">
                  <c:v>243.87767064893626</c:v>
                </c:pt>
                <c:pt idx="6">
                  <c:v>276.14819481777937</c:v>
                </c:pt>
                <c:pt idx="7">
                  <c:v>262.58350973340777</c:v>
                </c:pt>
                <c:pt idx="8">
                  <c:v>247.38313105186069</c:v>
                </c:pt>
                <c:pt idx="9">
                  <c:v>270.75566139567621</c:v>
                </c:pt>
                <c:pt idx="10">
                  <c:v>235.14753442028919</c:v>
                </c:pt>
                <c:pt idx="11">
                  <c:v>252.94664522247081</c:v>
                </c:pt>
                <c:pt idx="12">
                  <c:v>256.58799286800985</c:v>
                </c:pt>
                <c:pt idx="13">
                  <c:v>251.31841996543454</c:v>
                </c:pt>
                <c:pt idx="14">
                  <c:v>299.99140315973068</c:v>
                </c:pt>
                <c:pt idx="15">
                  <c:v>244.72604766701858</c:v>
                </c:pt>
              </c:numCache>
            </c:numRef>
          </c:val>
          <c:extLst>
            <c:ext xmlns:c16="http://schemas.microsoft.com/office/drawing/2014/chart" uri="{C3380CC4-5D6E-409C-BE32-E72D297353CC}">
              <c16:uniqueId val="{00000000-6352-4A50-B298-BAAF87AE214E}"/>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164.30507248468004</c:v>
                </c:pt>
                <c:pt idx="1">
                  <c:v>147.01517564809285</c:v>
                </c:pt>
                <c:pt idx="2">
                  <c:v>149.6739322571475</c:v>
                </c:pt>
                <c:pt idx="3">
                  <c:v>149.45463293375656</c:v>
                </c:pt>
                <c:pt idx="4">
                  <c:v>149.78852290771113</c:v>
                </c:pt>
                <c:pt idx="5">
                  <c:v>162.58511376595754</c:v>
                </c:pt>
                <c:pt idx="6">
                  <c:v>184.09879654518625</c:v>
                </c:pt>
                <c:pt idx="7">
                  <c:v>175.05567315560518</c:v>
                </c:pt>
                <c:pt idx="8">
                  <c:v>164.92208736790712</c:v>
                </c:pt>
                <c:pt idx="9">
                  <c:v>180.50377426378418</c:v>
                </c:pt>
                <c:pt idx="10">
                  <c:v>156.76502294685949</c:v>
                </c:pt>
                <c:pt idx="11">
                  <c:v>168.63109681498054</c:v>
                </c:pt>
                <c:pt idx="12">
                  <c:v>171.05866191200653</c:v>
                </c:pt>
                <c:pt idx="13">
                  <c:v>167.5456133102897</c:v>
                </c:pt>
                <c:pt idx="14">
                  <c:v>199.99426877315375</c:v>
                </c:pt>
                <c:pt idx="15">
                  <c:v>163.15069844467905</c:v>
                </c:pt>
              </c:numCache>
            </c:numRef>
          </c:val>
          <c:extLst>
            <c:ext xmlns:c16="http://schemas.microsoft.com/office/drawing/2014/chart" uri="{C3380CC4-5D6E-409C-BE32-E72D297353CC}">
              <c16:uniqueId val="{00000001-6352-4A50-B298-BAAF87AE214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6352-4A50-B298-BAAF87AE214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6352-4A50-B298-BAAF87AE214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RestaurantSitDown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214.875</c:v>
                </c:pt>
                <c:pt idx="1">
                  <c:v>214.875</c:v>
                </c:pt>
                <c:pt idx="2">
                  <c:v>214.875</c:v>
                </c:pt>
                <c:pt idx="3">
                  <c:v>214.875</c:v>
                </c:pt>
                <c:pt idx="4">
                  <c:v>214.875</c:v>
                </c:pt>
                <c:pt idx="5">
                  <c:v>214.875</c:v>
                </c:pt>
                <c:pt idx="6">
                  <c:v>214.875</c:v>
                </c:pt>
                <c:pt idx="7">
                  <c:v>214.875</c:v>
                </c:pt>
                <c:pt idx="8">
                  <c:v>214.875</c:v>
                </c:pt>
                <c:pt idx="9">
                  <c:v>214.875</c:v>
                </c:pt>
                <c:pt idx="10">
                  <c:v>214.875</c:v>
                </c:pt>
                <c:pt idx="11">
                  <c:v>214.875</c:v>
                </c:pt>
                <c:pt idx="12">
                  <c:v>214.875</c:v>
                </c:pt>
                <c:pt idx="13">
                  <c:v>214.875</c:v>
                </c:pt>
                <c:pt idx="14">
                  <c:v>214.875</c:v>
                </c:pt>
                <c:pt idx="15">
                  <c:v>214.875</c:v>
                </c:pt>
              </c:numCache>
            </c:numRef>
          </c:val>
          <c:extLst>
            <c:ext xmlns:c16="http://schemas.microsoft.com/office/drawing/2014/chart" uri="{C3380CC4-5D6E-409C-BE32-E72D297353CC}">
              <c16:uniqueId val="{00000000-C7F3-4623-B57F-D2F39006069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143.25</c:v>
                </c:pt>
                <c:pt idx="1">
                  <c:v>143.25</c:v>
                </c:pt>
                <c:pt idx="2">
                  <c:v>143.25</c:v>
                </c:pt>
                <c:pt idx="3">
                  <c:v>143.25</c:v>
                </c:pt>
                <c:pt idx="4">
                  <c:v>143.25</c:v>
                </c:pt>
                <c:pt idx="5">
                  <c:v>143.25</c:v>
                </c:pt>
                <c:pt idx="6">
                  <c:v>143.25</c:v>
                </c:pt>
                <c:pt idx="7">
                  <c:v>143.25</c:v>
                </c:pt>
                <c:pt idx="8">
                  <c:v>143.25</c:v>
                </c:pt>
                <c:pt idx="9">
                  <c:v>143.25</c:v>
                </c:pt>
                <c:pt idx="10">
                  <c:v>143.25</c:v>
                </c:pt>
                <c:pt idx="11">
                  <c:v>143.25</c:v>
                </c:pt>
                <c:pt idx="12">
                  <c:v>143.25</c:v>
                </c:pt>
                <c:pt idx="13">
                  <c:v>143.25</c:v>
                </c:pt>
                <c:pt idx="14">
                  <c:v>143.25</c:v>
                </c:pt>
                <c:pt idx="15">
                  <c:v>143.25</c:v>
                </c:pt>
              </c:numCache>
            </c:numRef>
          </c:val>
          <c:extLst>
            <c:ext xmlns:c16="http://schemas.microsoft.com/office/drawing/2014/chart" uri="{C3380CC4-5D6E-409C-BE32-E72D297353CC}">
              <c16:uniqueId val="{00000001-C7F3-4623-B57F-D2F39006069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C7F3-4623-B57F-D2F39006069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C7F3-4623-B57F-D2F39006069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5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minorUnit val="5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19.xml"/><Relationship Id="rId2" Type="http://schemas.openxmlformats.org/officeDocument/2006/relationships/chart" Target="../charts/chart5.xml"/><Relationship Id="rId16" Type="http://schemas.openxmlformats.org/officeDocument/2006/relationships/image" Target="../media/image20.png"/><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chart" Target="../charts/chart23.xml"/><Relationship Id="rId7" Type="http://schemas.openxmlformats.org/officeDocument/2006/relationships/image" Target="../media/image25.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55</xdr:row>
      <xdr:rowOff>10870</xdr:rowOff>
    </xdr:from>
    <xdr:to>
      <xdr:col>1</xdr:col>
      <xdr:colOff>3484806</xdr:colOff>
      <xdr:row>68</xdr:row>
      <xdr:rowOff>93487</xdr:rowOff>
    </xdr:to>
    <xdr:pic>
      <xdr:nvPicPr>
        <xdr:cNvPr id="2" name="Picture 1">
          <a:extLst>
            <a:ext uri="{FF2B5EF4-FFF2-40B4-BE49-F238E27FC236}">
              <a16:creationId xmlns:a16="http://schemas.microsoft.com/office/drawing/2014/main" id="{FF2A6076-ECB6-5C8F-9DEA-AC9097BE495E}"/>
            </a:ext>
          </a:extLst>
        </xdr:cNvPr>
        <xdr:cNvPicPr>
          <a:picLocks noChangeAspect="1"/>
        </xdr:cNvPicPr>
      </xdr:nvPicPr>
      <xdr:blipFill>
        <a:blip xmlns:r="http://schemas.openxmlformats.org/officeDocument/2006/relationships" r:embed="rId1"/>
        <a:stretch>
          <a:fillRect/>
        </a:stretch>
      </xdr:blipFill>
      <xdr:spPr>
        <a:xfrm>
          <a:off x="0" y="10286664"/>
          <a:ext cx="4885765" cy="2275384"/>
        </a:xfrm>
        <a:prstGeom prst="rect">
          <a:avLst/>
        </a:prstGeom>
      </xdr:spPr>
    </xdr:pic>
    <xdr:clientData/>
  </xdr:twoCellAnchor>
  <xdr:twoCellAnchor>
    <xdr:from>
      <xdr:col>0</xdr:col>
      <xdr:colOff>67236</xdr:colOff>
      <xdr:row>41</xdr:row>
      <xdr:rowOff>67234</xdr:rowOff>
    </xdr:from>
    <xdr:to>
      <xdr:col>1</xdr:col>
      <xdr:colOff>3868160</xdr:colOff>
      <xdr:row>52</xdr:row>
      <xdr:rowOff>135125</xdr:rowOff>
    </xdr:to>
    <xdr:pic>
      <xdr:nvPicPr>
        <xdr:cNvPr id="3" name="Picture 2">
          <a:extLst>
            <a:ext uri="{FF2B5EF4-FFF2-40B4-BE49-F238E27FC236}">
              <a16:creationId xmlns:a16="http://schemas.microsoft.com/office/drawing/2014/main" id="{372B956A-3B22-E259-C525-BFBCC16C9804}"/>
            </a:ext>
          </a:extLst>
        </xdr:cNvPr>
        <xdr:cNvPicPr>
          <a:picLocks noChangeAspect="1"/>
        </xdr:cNvPicPr>
      </xdr:nvPicPr>
      <xdr:blipFill>
        <a:blip xmlns:r="http://schemas.openxmlformats.org/officeDocument/2006/relationships" r:embed="rId2"/>
        <a:stretch>
          <a:fillRect/>
        </a:stretch>
      </xdr:blipFill>
      <xdr:spPr>
        <a:xfrm>
          <a:off x="67236" y="7821705"/>
          <a:ext cx="5177118" cy="1903526"/>
        </a:xfrm>
        <a:prstGeom prst="rect">
          <a:avLst/>
        </a:prstGeom>
      </xdr:spPr>
    </xdr:pic>
    <xdr:clientData/>
  </xdr:twoCellAnchor>
  <xdr:twoCellAnchor>
    <xdr:from>
      <xdr:col>1</xdr:col>
      <xdr:colOff>4133963</xdr:colOff>
      <xdr:row>41</xdr:row>
      <xdr:rowOff>40005</xdr:rowOff>
    </xdr:from>
    <xdr:to>
      <xdr:col>2</xdr:col>
      <xdr:colOff>1972236</xdr:colOff>
      <xdr:row>53</xdr:row>
      <xdr:rowOff>369</xdr:rowOff>
    </xdr:to>
    <xdr:pic>
      <xdr:nvPicPr>
        <xdr:cNvPr id="5" name="Picture 4">
          <a:extLst>
            <a:ext uri="{FF2B5EF4-FFF2-40B4-BE49-F238E27FC236}">
              <a16:creationId xmlns:a16="http://schemas.microsoft.com/office/drawing/2014/main" id="{0BCE216C-EA04-2336-0BB5-38183735B94E}"/>
            </a:ext>
          </a:extLst>
        </xdr:cNvPr>
        <xdr:cNvPicPr>
          <a:picLocks noChangeAspect="1"/>
        </xdr:cNvPicPr>
      </xdr:nvPicPr>
      <xdr:blipFill>
        <a:blip xmlns:r="http://schemas.openxmlformats.org/officeDocument/2006/relationships" r:embed="rId3"/>
        <a:stretch>
          <a:fillRect/>
        </a:stretch>
      </xdr:blipFill>
      <xdr:spPr>
        <a:xfrm>
          <a:off x="5523492" y="7962564"/>
          <a:ext cx="5066068" cy="1971707"/>
        </a:xfrm>
        <a:prstGeom prst="rect">
          <a:avLst/>
        </a:prstGeom>
      </xdr:spPr>
    </xdr:pic>
    <xdr:clientData/>
  </xdr:twoCellAnchor>
  <xdr:twoCellAnchor>
    <xdr:from>
      <xdr:col>1</xdr:col>
      <xdr:colOff>4049470</xdr:colOff>
      <xdr:row>54</xdr:row>
      <xdr:rowOff>77208</xdr:rowOff>
    </xdr:from>
    <xdr:to>
      <xdr:col>2</xdr:col>
      <xdr:colOff>2512022</xdr:colOff>
      <xdr:row>61</xdr:row>
      <xdr:rowOff>18187</xdr:rowOff>
    </xdr:to>
    <xdr:pic>
      <xdr:nvPicPr>
        <xdr:cNvPr id="6" name="Picture 5">
          <a:extLst>
            <a:ext uri="{FF2B5EF4-FFF2-40B4-BE49-F238E27FC236}">
              <a16:creationId xmlns:a16="http://schemas.microsoft.com/office/drawing/2014/main" id="{C9300F47-0C2B-F783-8706-9BAE28179F8F}"/>
            </a:ext>
          </a:extLst>
        </xdr:cNvPr>
        <xdr:cNvPicPr>
          <a:picLocks noChangeAspect="1"/>
        </xdr:cNvPicPr>
      </xdr:nvPicPr>
      <xdr:blipFill>
        <a:blip xmlns:r="http://schemas.openxmlformats.org/officeDocument/2006/relationships" r:embed="rId4"/>
        <a:stretch>
          <a:fillRect/>
        </a:stretch>
      </xdr:blipFill>
      <xdr:spPr>
        <a:xfrm>
          <a:off x="5438999" y="10184914"/>
          <a:ext cx="5686537" cy="1132836"/>
        </a:xfrm>
        <a:prstGeom prst="rect">
          <a:avLst/>
        </a:prstGeom>
      </xdr:spPr>
    </xdr:pic>
    <xdr:clientData/>
  </xdr:twoCellAnchor>
  <xdr:twoCellAnchor>
    <xdr:from>
      <xdr:col>0</xdr:col>
      <xdr:colOff>46007</xdr:colOff>
      <xdr:row>71</xdr:row>
      <xdr:rowOff>130277</xdr:rowOff>
    </xdr:from>
    <xdr:to>
      <xdr:col>1</xdr:col>
      <xdr:colOff>2523964</xdr:colOff>
      <xdr:row>84</xdr:row>
      <xdr:rowOff>94918</xdr:rowOff>
    </xdr:to>
    <xdr:pic>
      <xdr:nvPicPr>
        <xdr:cNvPr id="11" name="Picture 10">
          <a:extLst>
            <a:ext uri="{FF2B5EF4-FFF2-40B4-BE49-F238E27FC236}">
              <a16:creationId xmlns:a16="http://schemas.microsoft.com/office/drawing/2014/main" id="{760C4082-1E7E-A189-1A34-91C8623BCCB4}"/>
            </a:ext>
          </a:extLst>
        </xdr:cNvPr>
        <xdr:cNvPicPr>
          <a:picLocks noChangeAspect="1"/>
        </xdr:cNvPicPr>
      </xdr:nvPicPr>
      <xdr:blipFill>
        <a:blip xmlns:r="http://schemas.openxmlformats.org/officeDocument/2006/relationships" r:embed="rId5"/>
        <a:stretch>
          <a:fillRect/>
        </a:stretch>
      </xdr:blipFill>
      <xdr:spPr>
        <a:xfrm>
          <a:off x="46007" y="24636741"/>
          <a:ext cx="3863981" cy="2268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390525</xdr:colOff>
      <xdr:row>6</xdr:row>
      <xdr:rowOff>85725</xdr:rowOff>
    </xdr:from>
    <xdr:to>
      <xdr:col>1</xdr:col>
      <xdr:colOff>2992755</xdr:colOff>
      <xdr:row>6</xdr:row>
      <xdr:rowOff>1161940</xdr:rowOff>
    </xdr:to>
    <xdr:pic>
      <xdr:nvPicPr>
        <xdr:cNvPr id="4" name="Picture 3">
          <a:extLst>
            <a:ext uri="{FF2B5EF4-FFF2-40B4-BE49-F238E27FC236}">
              <a16:creationId xmlns:a16="http://schemas.microsoft.com/office/drawing/2014/main" id="{005A3C41-776F-473D-9292-4DD497DE19E3}"/>
            </a:ext>
          </a:extLst>
        </xdr:cNvPr>
        <xdr:cNvPicPr>
          <a:picLocks noChangeAspect="1"/>
        </xdr:cNvPicPr>
      </xdr:nvPicPr>
      <xdr:blipFill rotWithShape="1">
        <a:blip xmlns:r="http://schemas.openxmlformats.org/officeDocument/2006/relationships" r:embed="rId1"/>
        <a:srcRect b="18839"/>
        <a:stretch>
          <a:fillRect/>
        </a:stretch>
      </xdr:blipFill>
      <xdr:spPr>
        <a:xfrm>
          <a:off x="2105025" y="1666875"/>
          <a:ext cx="2598420" cy="1089550"/>
        </a:xfrm>
        <a:prstGeom prst="rect">
          <a:avLst/>
        </a:prstGeom>
      </xdr:spPr>
    </xdr:pic>
    <xdr:clientData/>
  </xdr:twoCellAnchor>
  <xdr:twoCellAnchor>
    <xdr:from>
      <xdr:col>0</xdr:col>
      <xdr:colOff>869576</xdr:colOff>
      <xdr:row>81</xdr:row>
      <xdr:rowOff>8966</xdr:rowOff>
    </xdr:from>
    <xdr:to>
      <xdr:col>2</xdr:col>
      <xdr:colOff>2133600</xdr:colOff>
      <xdr:row>97</xdr:row>
      <xdr:rowOff>8966</xdr:rowOff>
    </xdr:to>
    <xdr:pic>
      <xdr:nvPicPr>
        <xdr:cNvPr id="5" name="Picture 4">
          <a:extLst>
            <a:ext uri="{FF2B5EF4-FFF2-40B4-BE49-F238E27FC236}">
              <a16:creationId xmlns:a16="http://schemas.microsoft.com/office/drawing/2014/main" id="{682A912B-8347-4292-931A-E0F5CA0CE4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9576" y="18081813"/>
          <a:ext cx="6499412" cy="2868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676052</xdr:colOff>
      <xdr:row>96</xdr:row>
      <xdr:rowOff>142090</xdr:rowOff>
    </xdr:from>
    <xdr:to>
      <xdr:col>2</xdr:col>
      <xdr:colOff>2140997</xdr:colOff>
      <xdr:row>113</xdr:row>
      <xdr:rowOff>51994</xdr:rowOff>
    </xdr:to>
    <xdr:pic>
      <xdr:nvPicPr>
        <xdr:cNvPr id="6" name="Picture 5">
          <a:extLst>
            <a:ext uri="{FF2B5EF4-FFF2-40B4-BE49-F238E27FC236}">
              <a16:creationId xmlns:a16="http://schemas.microsoft.com/office/drawing/2014/main" id="{CFE1CD5E-1239-4E69-BC6A-3454CA1A8D83}"/>
            </a:ext>
          </a:extLst>
        </xdr:cNvPr>
        <xdr:cNvPicPr>
          <a:picLocks noChangeAspect="1"/>
        </xdr:cNvPicPr>
      </xdr:nvPicPr>
      <xdr:blipFill>
        <a:blip xmlns:r="http://schemas.openxmlformats.org/officeDocument/2006/relationships" r:embed="rId3"/>
        <a:stretch>
          <a:fillRect/>
        </a:stretch>
      </xdr:blipFill>
      <xdr:spPr>
        <a:xfrm>
          <a:off x="676052" y="20368708"/>
          <a:ext cx="6709298" cy="2901874"/>
        </a:xfrm>
        <a:prstGeom prst="rect">
          <a:avLst/>
        </a:prstGeom>
      </xdr:spPr>
    </xdr:pic>
    <xdr:clientData/>
  </xdr:twoCellAnchor>
  <xdr:twoCellAnchor>
    <xdr:from>
      <xdr:col>2</xdr:col>
      <xdr:colOff>2615900</xdr:colOff>
      <xdr:row>36</xdr:row>
      <xdr:rowOff>1351310</xdr:rowOff>
    </xdr:from>
    <xdr:to>
      <xdr:col>2</xdr:col>
      <xdr:colOff>3111595</xdr:colOff>
      <xdr:row>36</xdr:row>
      <xdr:rowOff>1574761</xdr:rowOff>
    </xdr:to>
    <xdr:pic>
      <xdr:nvPicPr>
        <xdr:cNvPr id="18" name="Picture 4">
          <a:extLst>
            <a:ext uri="{FF2B5EF4-FFF2-40B4-BE49-F238E27FC236}">
              <a16:creationId xmlns:a16="http://schemas.microsoft.com/office/drawing/2014/main" id="{B00F3DB3-8E70-4C5E-99FE-2F29D3EB1B1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1637" t="77070" r="34578" b="14797"/>
        <a:stretch>
          <a:fillRect/>
        </a:stretch>
      </xdr:blipFill>
      <xdr:spPr bwMode="auto">
        <a:xfrm>
          <a:off x="7851288" y="11714510"/>
          <a:ext cx="495695" cy="2234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121360</xdr:colOff>
      <xdr:row>36</xdr:row>
      <xdr:rowOff>132565</xdr:rowOff>
    </xdr:from>
    <xdr:to>
      <xdr:col>2</xdr:col>
      <xdr:colOff>3038140</xdr:colOff>
      <xdr:row>36</xdr:row>
      <xdr:rowOff>1317022</xdr:rowOff>
    </xdr:to>
    <xdr:pic>
      <xdr:nvPicPr>
        <xdr:cNvPr id="20" name="Picture 19">
          <a:extLst>
            <a:ext uri="{FF2B5EF4-FFF2-40B4-BE49-F238E27FC236}">
              <a16:creationId xmlns:a16="http://schemas.microsoft.com/office/drawing/2014/main" id="{EEB68A9D-B7EA-4483-A23F-59F88BB63B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362015" y="10499575"/>
          <a:ext cx="2916780" cy="1184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36</xdr:row>
      <xdr:rowOff>161363</xdr:rowOff>
    </xdr:from>
    <xdr:to>
      <xdr:col>3</xdr:col>
      <xdr:colOff>3255178</xdr:colOff>
      <xdr:row>36</xdr:row>
      <xdr:rowOff>1461806</xdr:rowOff>
    </xdr:to>
    <xdr:pic>
      <xdr:nvPicPr>
        <xdr:cNvPr id="21" name="Picture 20">
          <a:extLst>
            <a:ext uri="{FF2B5EF4-FFF2-40B4-BE49-F238E27FC236}">
              <a16:creationId xmlns:a16="http://schemas.microsoft.com/office/drawing/2014/main" id="{07D801C8-099F-4A75-8169-3E333356088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724900" y="10526468"/>
          <a:ext cx="2950378" cy="1300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295274</xdr:colOff>
      <xdr:row>36</xdr:row>
      <xdr:rowOff>132540</xdr:rowOff>
    </xdr:from>
    <xdr:to>
      <xdr:col>5</xdr:col>
      <xdr:colOff>3065185</xdr:colOff>
      <xdr:row>36</xdr:row>
      <xdr:rowOff>1272541</xdr:rowOff>
    </xdr:to>
    <xdr:pic>
      <xdr:nvPicPr>
        <xdr:cNvPr id="23" name="Picture 22">
          <a:extLst>
            <a:ext uri="{FF2B5EF4-FFF2-40B4-BE49-F238E27FC236}">
              <a16:creationId xmlns:a16="http://schemas.microsoft.com/office/drawing/2014/main" id="{46B2E053-6C0F-4700-AA74-A341B4AB69ED}"/>
            </a:ext>
          </a:extLst>
        </xdr:cNvPr>
        <xdr:cNvPicPr>
          <a:picLocks noChangeAspect="1"/>
        </xdr:cNvPicPr>
      </xdr:nvPicPr>
      <xdr:blipFill>
        <a:blip xmlns:r="http://schemas.openxmlformats.org/officeDocument/2006/relationships" r:embed="rId7"/>
        <a:stretch>
          <a:fillRect/>
        </a:stretch>
      </xdr:blipFill>
      <xdr:spPr>
        <a:xfrm>
          <a:off x="12723494" y="10499550"/>
          <a:ext cx="2769911" cy="1140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680086</xdr:colOff>
      <xdr:row>1</xdr:row>
      <xdr:rowOff>151540</xdr:rowOff>
    </xdr:from>
    <xdr:to>
      <xdr:col>15</xdr:col>
      <xdr:colOff>1283970</xdr:colOff>
      <xdr:row>11</xdr:row>
      <xdr:rowOff>117102</xdr:rowOff>
    </xdr:to>
    <xdr:pic>
      <xdr:nvPicPr>
        <xdr:cNvPr id="3" name="Picture 2">
          <a:extLst>
            <a:ext uri="{FF2B5EF4-FFF2-40B4-BE49-F238E27FC236}">
              <a16:creationId xmlns:a16="http://schemas.microsoft.com/office/drawing/2014/main" id="{44FD2F25-1F20-82A0-F230-C61BDB040D97}"/>
            </a:ext>
            <a:ext uri="{147F2762-F138-4A5C-976F-8EAC2B608ADB}">
              <a16:predDERef xmlns:a16="http://schemas.microsoft.com/office/drawing/2014/main" pred="{BB0EC946-BDB6-09C9-DB60-21B21720AE71}"/>
            </a:ext>
          </a:extLst>
        </xdr:cNvPr>
        <xdr:cNvPicPr>
          <a:picLocks noChangeAspect="1"/>
        </xdr:cNvPicPr>
      </xdr:nvPicPr>
      <xdr:blipFill>
        <a:blip xmlns:r="http://schemas.openxmlformats.org/officeDocument/2006/relationships" r:embed="rId1"/>
        <a:stretch>
          <a:fillRect/>
        </a:stretch>
      </xdr:blipFill>
      <xdr:spPr>
        <a:xfrm>
          <a:off x="19072861" y="475390"/>
          <a:ext cx="2651759" cy="2651612"/>
        </a:xfrm>
        <a:prstGeom prst="rect">
          <a:avLst/>
        </a:prstGeom>
      </xdr:spPr>
    </xdr:pic>
    <xdr:clientData/>
  </xdr:twoCellAnchor>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1306168</xdr:colOff>
      <xdr:row>0</xdr:row>
      <xdr:rowOff>830</xdr:rowOff>
    </xdr:from>
    <xdr:to>
      <xdr:col>15</xdr:col>
      <xdr:colOff>1546362</xdr:colOff>
      <xdr:row>1</xdr:row>
      <xdr:rowOff>36528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13183843" y="83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xdr:from>
      <xdr:col>14</xdr:col>
      <xdr:colOff>1762125</xdr:colOff>
      <xdr:row>1</xdr:row>
      <xdr:rowOff>342900</xdr:rowOff>
    </xdr:from>
    <xdr:to>
      <xdr:col>15</xdr:col>
      <xdr:colOff>514350</xdr:colOff>
      <xdr:row>2</xdr:row>
      <xdr:rowOff>152400</xdr:rowOff>
    </xdr:to>
    <xdr:sp macro="" textlink="">
      <xdr:nvSpPr>
        <xdr:cNvPr id="2" name="TextBox 1">
          <a:extLst>
            <a:ext uri="{FF2B5EF4-FFF2-40B4-BE49-F238E27FC236}">
              <a16:creationId xmlns:a16="http://schemas.microsoft.com/office/drawing/2014/main" id="{80ECFE68-2405-4D5F-B7D1-AD190066BC3E}"/>
            </a:ext>
            <a:ext uri="{147F2762-F138-4A5C-976F-8EAC2B608ADB}">
              <a16:predDERef xmlns:a16="http://schemas.microsoft.com/office/drawing/2014/main" pred="{1DDDC35D-79DC-FE8D-E36B-A215903DCB00}"/>
            </a:ext>
          </a:extLst>
        </xdr:cNvPr>
        <xdr:cNvSpPr txBox="1"/>
      </xdr:nvSpPr>
      <xdr:spPr>
        <a:xfrm>
          <a:off x="20793075" y="666750"/>
          <a:ext cx="800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Kitchen</a:t>
          </a:r>
        </a:p>
      </xdr:txBody>
    </xdr:sp>
    <xdr:clientData/>
  </xdr:twoCellAnchor>
  <xdr:twoCellAnchor>
    <xdr:from>
      <xdr:col>14</xdr:col>
      <xdr:colOff>1819275</xdr:colOff>
      <xdr:row>6</xdr:row>
      <xdr:rowOff>104775</xdr:rowOff>
    </xdr:from>
    <xdr:to>
      <xdr:col>15</xdr:col>
      <xdr:colOff>390525</xdr:colOff>
      <xdr:row>8</xdr:row>
      <xdr:rowOff>28575</xdr:rowOff>
    </xdr:to>
    <xdr:sp macro="" textlink="">
      <xdr:nvSpPr>
        <xdr:cNvPr id="5" name="TextBox 4">
          <a:extLst>
            <a:ext uri="{FF2B5EF4-FFF2-40B4-BE49-F238E27FC236}">
              <a16:creationId xmlns:a16="http://schemas.microsoft.com/office/drawing/2014/main" id="{8360D675-FD4B-4C5C-8EA3-65B708912D2D}"/>
            </a:ext>
            <a:ext uri="{147F2762-F138-4A5C-976F-8EAC2B608ADB}">
              <a16:predDERef xmlns:a16="http://schemas.microsoft.com/office/drawing/2014/main" pred="{80ECFE68-2405-4D5F-B7D1-AD190066BC3E}"/>
            </a:ext>
          </a:extLst>
        </xdr:cNvPr>
        <xdr:cNvSpPr txBox="1"/>
      </xdr:nvSpPr>
      <xdr:spPr>
        <a:xfrm>
          <a:off x="20850225" y="2171700"/>
          <a:ext cx="847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Dining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313764</xdr:colOff>
      <xdr:row>23</xdr:row>
      <xdr:rowOff>101310</xdr:rowOff>
    </xdr:from>
    <xdr:to>
      <xdr:col>16</xdr:col>
      <xdr:colOff>179293</xdr:colOff>
      <xdr:row>38</xdr:row>
      <xdr:rowOff>105759</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971104</xdr:colOff>
      <xdr:row>27</xdr:row>
      <xdr:rowOff>58911</xdr:rowOff>
    </xdr:from>
    <xdr:to>
      <xdr:col>18</xdr:col>
      <xdr:colOff>1006127</xdr:colOff>
      <xdr:row>36</xdr:row>
      <xdr:rowOff>37140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12030990" y="5447340"/>
          <a:ext cx="2122357" cy="18832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0</xdr:col>
      <xdr:colOff>304800</xdr:colOff>
      <xdr:row>32</xdr:row>
      <xdr:rowOff>144235</xdr:rowOff>
    </xdr:to>
    <xdr:sp macro="" textlink="">
      <xdr:nvSpPr>
        <xdr:cNvPr id="7169" name="AutoShape 1" descr="Hot Sale Industrial Fast Food Kitchen Equipment KFC Full Set - Electric Gas">
          <a:extLst>
            <a:ext uri="{FF2B5EF4-FFF2-40B4-BE49-F238E27FC236}">
              <a16:creationId xmlns:a16="http://schemas.microsoft.com/office/drawing/2014/main" id="{A5204988-3122-52CE-2FE9-E3CDD8AF4C9A}"/>
            </a:ext>
          </a:extLst>
        </xdr:cNvPr>
        <xdr:cNvSpPr>
          <a:spLocks noChangeAspect="1" noChangeArrowheads="1"/>
        </xdr:cNvSpPr>
      </xdr:nvSpPr>
      <xdr:spPr bwMode="auto">
        <a:xfrm>
          <a:off x="0" y="14485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xdr:row>
      <xdr:rowOff>0</xdr:rowOff>
    </xdr:from>
    <xdr:to>
      <xdr:col>0</xdr:col>
      <xdr:colOff>304800</xdr:colOff>
      <xdr:row>32</xdr:row>
      <xdr:rowOff>144235</xdr:rowOff>
    </xdr:to>
    <xdr:sp macro="" textlink="">
      <xdr:nvSpPr>
        <xdr:cNvPr id="7170" name="AutoShape 2" descr="Hot Sale Industrial Fast Food Kitchen Equipment KFC Full Set - Electric Gas">
          <a:extLst>
            <a:ext uri="{FF2B5EF4-FFF2-40B4-BE49-F238E27FC236}">
              <a16:creationId xmlns:a16="http://schemas.microsoft.com/office/drawing/2014/main" id="{7E0E2C31-A1A0-CC43-0907-5629DAD17BE6}"/>
            </a:ext>
            <a:ext uri="{147F2762-F138-4A5C-976F-8EAC2B608ADB}">
              <a16:predDERef xmlns:a16="http://schemas.microsoft.com/office/drawing/2014/main" pred="{A5204988-3122-52CE-2FE9-E3CDD8AF4C9A}"/>
            </a:ext>
          </a:extLst>
        </xdr:cNvPr>
        <xdr:cNvSpPr>
          <a:spLocks noChangeAspect="1" noChangeArrowheads="1"/>
        </xdr:cNvSpPr>
      </xdr:nvSpPr>
      <xdr:spPr bwMode="auto">
        <a:xfrm>
          <a:off x="0" y="1360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110154</xdr:colOff>
      <xdr:row>10</xdr:row>
      <xdr:rowOff>111723</xdr:rowOff>
    </xdr:from>
    <xdr:to>
      <xdr:col>24</xdr:col>
      <xdr:colOff>588869</xdr:colOff>
      <xdr:row>25</xdr:row>
      <xdr:rowOff>128868</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256222</xdr:colOff>
      <xdr:row>1</xdr:row>
      <xdr:rowOff>31432</xdr:rowOff>
    </xdr:from>
    <xdr:to>
      <xdr:col>17</xdr:col>
      <xdr:colOff>570547</xdr:colOff>
      <xdr:row>16</xdr:row>
      <xdr:rowOff>63817</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90</xdr:row>
      <xdr:rowOff>0</xdr:rowOff>
    </xdr:from>
    <xdr:to>
      <xdr:col>3</xdr:col>
      <xdr:colOff>510194</xdr:colOff>
      <xdr:row>123</xdr:row>
      <xdr:rowOff>11943</xdr:rowOff>
    </xdr:to>
    <xdr:pic>
      <xdr:nvPicPr>
        <xdr:cNvPr id="2" name="Picture 2">
          <a:extLst>
            <a:ext uri="{FF2B5EF4-FFF2-40B4-BE49-F238E27FC236}">
              <a16:creationId xmlns:a16="http://schemas.microsoft.com/office/drawing/2014/main" id="{8B62BA97-C09A-4BE9-817A-069BFE8D88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983450"/>
          <a:ext cx="6425219" cy="0"/>
        </a:xfrm>
        <a:prstGeom prst="rect">
          <a:avLst/>
        </a:prstGeom>
      </xdr:spPr>
    </xdr:pic>
    <xdr:clientData/>
  </xdr:twoCellAnchor>
  <xdr:twoCellAnchor>
    <xdr:from>
      <xdr:col>3</xdr:col>
      <xdr:colOff>2076449</xdr:colOff>
      <xdr:row>94</xdr:row>
      <xdr:rowOff>140140</xdr:rowOff>
    </xdr:from>
    <xdr:to>
      <xdr:col>8</xdr:col>
      <xdr:colOff>869692</xdr:colOff>
      <xdr:row>121</xdr:row>
      <xdr:rowOff>76199</xdr:rowOff>
    </xdr:to>
    <xdr:pic>
      <xdr:nvPicPr>
        <xdr:cNvPr id="3" name="Picture 2">
          <a:extLst>
            <a:ext uri="{FF2B5EF4-FFF2-40B4-BE49-F238E27FC236}">
              <a16:creationId xmlns:a16="http://schemas.microsoft.com/office/drawing/2014/main" id="{B6A23B38-398A-472A-B038-5E4CF06489F7}"/>
            </a:ext>
          </a:extLst>
        </xdr:cNvPr>
        <xdr:cNvPicPr>
          <a:picLocks noChangeAspect="1"/>
        </xdr:cNvPicPr>
      </xdr:nvPicPr>
      <xdr:blipFill>
        <a:blip xmlns:r="http://schemas.openxmlformats.org/officeDocument/2006/relationships" r:embed="rId2"/>
        <a:stretch>
          <a:fillRect/>
        </a:stretch>
      </xdr:blipFill>
      <xdr:spPr>
        <a:xfrm>
          <a:off x="7991474" y="19983450"/>
          <a:ext cx="8222993" cy="0"/>
        </a:xfrm>
        <a:prstGeom prst="rect">
          <a:avLst/>
        </a:prstGeom>
      </xdr:spPr>
    </xdr:pic>
    <xdr:clientData/>
  </xdr:twoCellAnchor>
  <xdr:twoCellAnchor>
    <xdr:from>
      <xdr:col>0</xdr:col>
      <xdr:colOff>363856</xdr:colOff>
      <xdr:row>127</xdr:row>
      <xdr:rowOff>110491</xdr:rowOff>
    </xdr:from>
    <xdr:to>
      <xdr:col>2</xdr:col>
      <xdr:colOff>556226</xdr:colOff>
      <xdr:row>148</xdr:row>
      <xdr:rowOff>91441</xdr:rowOff>
    </xdr:to>
    <xdr:pic>
      <xdr:nvPicPr>
        <xdr:cNvPr id="4" name="Picture 3">
          <a:extLst>
            <a:ext uri="{FF2B5EF4-FFF2-40B4-BE49-F238E27FC236}">
              <a16:creationId xmlns:a16="http://schemas.microsoft.com/office/drawing/2014/main" id="{FCCE7554-E037-4A34-A939-91D24947AC65}"/>
            </a:ext>
          </a:extLst>
        </xdr:cNvPr>
        <xdr:cNvPicPr>
          <a:picLocks noChangeAspect="1"/>
        </xdr:cNvPicPr>
      </xdr:nvPicPr>
      <xdr:blipFill>
        <a:blip xmlns:r="http://schemas.openxmlformats.org/officeDocument/2006/relationships" r:embed="rId3"/>
        <a:stretch>
          <a:fillRect/>
        </a:stretch>
      </xdr:blipFill>
      <xdr:spPr>
        <a:xfrm>
          <a:off x="363856" y="19983450"/>
          <a:ext cx="4564345"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xdr:colOff>
      <xdr:row>35</xdr:row>
      <xdr:rowOff>129540</xdr:rowOff>
    </xdr:from>
    <xdr:to>
      <xdr:col>2</xdr:col>
      <xdr:colOff>335487</xdr:colOff>
      <xdr:row>54</xdr:row>
      <xdr:rowOff>45719</xdr:rowOff>
    </xdr:to>
    <xdr:pic>
      <xdr:nvPicPr>
        <xdr:cNvPr id="12" name="Picture 2">
          <a:extLst>
            <a:ext uri="{FF2B5EF4-FFF2-40B4-BE49-F238E27FC236}">
              <a16:creationId xmlns:a16="http://schemas.microsoft.com/office/drawing/2014/main" id="{433BFD92-63F6-B73B-8731-E496DB63CCA8}"/>
            </a:ext>
          </a:extLst>
        </xdr:cNvPr>
        <xdr:cNvPicPr>
          <a:picLocks noChangeAspect="1"/>
        </xdr:cNvPicPr>
      </xdr:nvPicPr>
      <xdr:blipFill>
        <a:blip xmlns:r="http://schemas.openxmlformats.org/officeDocument/2006/relationships" r:embed="rId1"/>
        <a:stretch>
          <a:fillRect/>
        </a:stretch>
      </xdr:blipFill>
      <xdr:spPr>
        <a:xfrm>
          <a:off x="1" y="7147560"/>
          <a:ext cx="5265626" cy="3101339"/>
        </a:xfrm>
        <a:prstGeom prst="rect">
          <a:avLst/>
        </a:prstGeom>
      </xdr:spPr>
    </xdr:pic>
    <xdr:clientData/>
  </xdr:twoCellAnchor>
  <xdr:twoCellAnchor>
    <xdr:from>
      <xdr:col>0</xdr:col>
      <xdr:colOff>0</xdr:colOff>
      <xdr:row>60</xdr:row>
      <xdr:rowOff>91558</xdr:rowOff>
    </xdr:from>
    <xdr:to>
      <xdr:col>2</xdr:col>
      <xdr:colOff>800100</xdr:colOff>
      <xdr:row>64</xdr:row>
      <xdr:rowOff>19187</xdr:rowOff>
    </xdr:to>
    <xdr:pic>
      <xdr:nvPicPr>
        <xdr:cNvPr id="2" name="Picture 1">
          <a:extLst>
            <a:ext uri="{FF2B5EF4-FFF2-40B4-BE49-F238E27FC236}">
              <a16:creationId xmlns:a16="http://schemas.microsoft.com/office/drawing/2014/main" id="{727FD934-94A3-09C1-56CA-0B846D50F21B}"/>
            </a:ext>
          </a:extLst>
        </xdr:cNvPr>
        <xdr:cNvPicPr>
          <a:picLocks noChangeAspect="1"/>
        </xdr:cNvPicPr>
      </xdr:nvPicPr>
      <xdr:blipFill>
        <a:blip xmlns:r="http://schemas.openxmlformats.org/officeDocument/2006/relationships" r:embed="rId2"/>
        <a:stretch>
          <a:fillRect/>
        </a:stretch>
      </xdr:blipFill>
      <xdr:spPr>
        <a:xfrm>
          <a:off x="0" y="8797408"/>
          <a:ext cx="5734050" cy="6134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268943</xdr:colOff>
      <xdr:row>6</xdr:row>
      <xdr:rowOff>22412</xdr:rowOff>
    </xdr:from>
    <xdr:to>
      <xdr:col>35</xdr:col>
      <xdr:colOff>620471</xdr:colOff>
      <xdr:row>8</xdr:row>
      <xdr:rowOff>429092</xdr:rowOff>
    </xdr:to>
    <xdr:graphicFrame macro="">
      <xdr:nvGraphicFramePr>
        <xdr:cNvPr id="2" name="Chart 5">
          <a:extLst>
            <a:ext uri="{FF2B5EF4-FFF2-40B4-BE49-F238E27FC236}">
              <a16:creationId xmlns:a16="http://schemas.microsoft.com/office/drawing/2014/main" id="{7F887ED4-EF83-451C-B1B7-74B19AE461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9</xdr:row>
      <xdr:rowOff>0</xdr:rowOff>
    </xdr:from>
    <xdr:to>
      <xdr:col>36</xdr:col>
      <xdr:colOff>0</xdr:colOff>
      <xdr:row>11</xdr:row>
      <xdr:rowOff>391886</xdr:rowOff>
    </xdr:to>
    <xdr:graphicFrame macro="">
      <xdr:nvGraphicFramePr>
        <xdr:cNvPr id="3" name="Chart 5">
          <a:extLst>
            <a:ext uri="{FF2B5EF4-FFF2-40B4-BE49-F238E27FC236}">
              <a16:creationId xmlns:a16="http://schemas.microsoft.com/office/drawing/2014/main" id="{562C7D60-D222-45AF-9013-A79B918CAA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289560</xdr:colOff>
      <xdr:row>37</xdr:row>
      <xdr:rowOff>0</xdr:rowOff>
    </xdr:from>
    <xdr:to>
      <xdr:col>36</xdr:col>
      <xdr:colOff>0</xdr:colOff>
      <xdr:row>39</xdr:row>
      <xdr:rowOff>391886</xdr:rowOff>
    </xdr:to>
    <xdr:graphicFrame macro="">
      <xdr:nvGraphicFramePr>
        <xdr:cNvPr id="5" name="Chart 5">
          <a:extLst>
            <a:ext uri="{FF2B5EF4-FFF2-40B4-BE49-F238E27FC236}">
              <a16:creationId xmlns:a16="http://schemas.microsoft.com/office/drawing/2014/main" id="{F8649B1F-C1B4-4ACF-B5FC-61526761CFE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18</xdr:row>
      <xdr:rowOff>0</xdr:rowOff>
    </xdr:from>
    <xdr:to>
      <xdr:col>36</xdr:col>
      <xdr:colOff>0</xdr:colOff>
      <xdr:row>20</xdr:row>
      <xdr:rowOff>391886</xdr:rowOff>
    </xdr:to>
    <xdr:graphicFrame macro="">
      <xdr:nvGraphicFramePr>
        <xdr:cNvPr id="6" name="Chart 5">
          <a:extLst>
            <a:ext uri="{FF2B5EF4-FFF2-40B4-BE49-F238E27FC236}">
              <a16:creationId xmlns:a16="http://schemas.microsoft.com/office/drawing/2014/main" id="{3829B692-84CA-4F11-A572-28334A0337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12</xdr:row>
      <xdr:rowOff>0</xdr:rowOff>
    </xdr:from>
    <xdr:to>
      <xdr:col>36</xdr:col>
      <xdr:colOff>0</xdr:colOff>
      <xdr:row>14</xdr:row>
      <xdr:rowOff>391886</xdr:rowOff>
    </xdr:to>
    <xdr:graphicFrame macro="">
      <xdr:nvGraphicFramePr>
        <xdr:cNvPr id="7" name="Chart 5">
          <a:extLst>
            <a:ext uri="{FF2B5EF4-FFF2-40B4-BE49-F238E27FC236}">
              <a16:creationId xmlns:a16="http://schemas.microsoft.com/office/drawing/2014/main" id="{44729C12-D2A0-4BBC-B561-E4199A740F8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15</xdr:row>
      <xdr:rowOff>0</xdr:rowOff>
    </xdr:from>
    <xdr:to>
      <xdr:col>36</xdr:col>
      <xdr:colOff>0</xdr:colOff>
      <xdr:row>17</xdr:row>
      <xdr:rowOff>391886</xdr:rowOff>
    </xdr:to>
    <xdr:graphicFrame macro="">
      <xdr:nvGraphicFramePr>
        <xdr:cNvPr id="8" name="Chart 7">
          <a:extLst>
            <a:ext uri="{FF2B5EF4-FFF2-40B4-BE49-F238E27FC236}">
              <a16:creationId xmlns:a16="http://schemas.microsoft.com/office/drawing/2014/main" id="{64306D0B-239D-466F-B383-D93A0723FCC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319368</xdr:colOff>
      <xdr:row>40</xdr:row>
      <xdr:rowOff>33617</xdr:rowOff>
    </xdr:from>
    <xdr:to>
      <xdr:col>36</xdr:col>
      <xdr:colOff>33618</xdr:colOff>
      <xdr:row>42</xdr:row>
      <xdr:rowOff>427408</xdr:rowOff>
    </xdr:to>
    <xdr:graphicFrame macro="">
      <xdr:nvGraphicFramePr>
        <xdr:cNvPr id="10" name="Chart 5">
          <a:extLst>
            <a:ext uri="{FF2B5EF4-FFF2-40B4-BE49-F238E27FC236}">
              <a16:creationId xmlns:a16="http://schemas.microsoft.com/office/drawing/2014/main" id="{C48C3029-B5F1-4B32-B1A3-D5B22C5C63C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277233</xdr:colOff>
      <xdr:row>30</xdr:row>
      <xdr:rowOff>468407</xdr:rowOff>
    </xdr:from>
    <xdr:to>
      <xdr:col>35</xdr:col>
      <xdr:colOff>609600</xdr:colOff>
      <xdr:row>33</xdr:row>
      <xdr:rowOff>376518</xdr:rowOff>
    </xdr:to>
    <xdr:graphicFrame macro="">
      <xdr:nvGraphicFramePr>
        <xdr:cNvPr id="11" name="Chart 5">
          <a:extLst>
            <a:ext uri="{FF2B5EF4-FFF2-40B4-BE49-F238E27FC236}">
              <a16:creationId xmlns:a16="http://schemas.microsoft.com/office/drawing/2014/main" id="{AD13ECEB-16E4-4AFF-8E89-282EEAAE88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278355</xdr:colOff>
      <xdr:row>43</xdr:row>
      <xdr:rowOff>75079</xdr:rowOff>
    </xdr:from>
    <xdr:to>
      <xdr:col>35</xdr:col>
      <xdr:colOff>618566</xdr:colOff>
      <xdr:row>45</xdr:row>
      <xdr:rowOff>349624</xdr:rowOff>
    </xdr:to>
    <xdr:graphicFrame macro="">
      <xdr:nvGraphicFramePr>
        <xdr:cNvPr id="30" name="Chart 5">
          <a:extLst>
            <a:ext uri="{FF2B5EF4-FFF2-40B4-BE49-F238E27FC236}">
              <a16:creationId xmlns:a16="http://schemas.microsoft.com/office/drawing/2014/main" id="{C5525377-4094-49D7-A558-50BC6FA52BB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281940</xdr:colOff>
      <xdr:row>34</xdr:row>
      <xdr:rowOff>0</xdr:rowOff>
    </xdr:from>
    <xdr:to>
      <xdr:col>35</xdr:col>
      <xdr:colOff>634365</xdr:colOff>
      <xdr:row>36</xdr:row>
      <xdr:rowOff>332831</xdr:rowOff>
    </xdr:to>
    <xdr:graphicFrame macro="">
      <xdr:nvGraphicFramePr>
        <xdr:cNvPr id="13" name="Chart 5">
          <a:extLst>
            <a:ext uri="{FF2B5EF4-FFF2-40B4-BE49-F238E27FC236}">
              <a16:creationId xmlns:a16="http://schemas.microsoft.com/office/drawing/2014/main" id="{5D80E14B-9B99-49BA-A8A8-57450D8BBB6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312115</xdr:colOff>
      <xdr:row>52</xdr:row>
      <xdr:rowOff>110763</xdr:rowOff>
    </xdr:from>
    <xdr:to>
      <xdr:col>36</xdr:col>
      <xdr:colOff>50906</xdr:colOff>
      <xdr:row>54</xdr:row>
      <xdr:rowOff>421821</xdr:rowOff>
    </xdr:to>
    <xdr:graphicFrame macro="">
      <xdr:nvGraphicFramePr>
        <xdr:cNvPr id="40" name="Chart 5">
          <a:extLst>
            <a:ext uri="{FF2B5EF4-FFF2-40B4-BE49-F238E27FC236}">
              <a16:creationId xmlns:a16="http://schemas.microsoft.com/office/drawing/2014/main" id="{2ED0622F-48A9-48EC-BE0A-FCEF3C51A4B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309379</xdr:colOff>
      <xdr:row>49</xdr:row>
      <xdr:rowOff>39733</xdr:rowOff>
    </xdr:from>
    <xdr:to>
      <xdr:col>36</xdr:col>
      <xdr:colOff>27215</xdr:colOff>
      <xdr:row>51</xdr:row>
      <xdr:rowOff>433524</xdr:rowOff>
    </xdr:to>
    <xdr:graphicFrame macro="">
      <xdr:nvGraphicFramePr>
        <xdr:cNvPr id="29" name="Chart 5">
          <a:extLst>
            <a:ext uri="{FF2B5EF4-FFF2-40B4-BE49-F238E27FC236}">
              <a16:creationId xmlns:a16="http://schemas.microsoft.com/office/drawing/2014/main" id="{4CF35C84-2205-461F-BE9D-DE7A96498FA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286870</xdr:colOff>
      <xdr:row>17</xdr:row>
      <xdr:rowOff>466165</xdr:rowOff>
    </xdr:from>
    <xdr:to>
      <xdr:col>35</xdr:col>
      <xdr:colOff>633804</xdr:colOff>
      <xdr:row>18</xdr:row>
      <xdr:rowOff>0</xdr:rowOff>
    </xdr:to>
    <xdr:graphicFrame macro="">
      <xdr:nvGraphicFramePr>
        <xdr:cNvPr id="27" name="Chart 5">
          <a:extLst>
            <a:ext uri="{FF2B5EF4-FFF2-40B4-BE49-F238E27FC236}">
              <a16:creationId xmlns:a16="http://schemas.microsoft.com/office/drawing/2014/main" id="{B2EDD7BD-9E89-4747-92BE-83BD9B7BB8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272751</xdr:colOff>
      <xdr:row>3</xdr:row>
      <xdr:rowOff>53340</xdr:rowOff>
    </xdr:from>
    <xdr:to>
      <xdr:col>35</xdr:col>
      <xdr:colOff>620469</xdr:colOff>
      <xdr:row>5</xdr:row>
      <xdr:rowOff>351193</xdr:rowOff>
    </xdr:to>
    <xdr:graphicFrame macro="">
      <xdr:nvGraphicFramePr>
        <xdr:cNvPr id="9" name="Chart 5">
          <a:extLst>
            <a:ext uri="{FF2B5EF4-FFF2-40B4-BE49-F238E27FC236}">
              <a16:creationId xmlns:a16="http://schemas.microsoft.com/office/drawing/2014/main" id="{BFB5E6CE-1DC8-43BD-AB76-7B507BEB194C}"/>
            </a:ext>
            <a:ext uri="{147F2762-F138-4A5C-976F-8EAC2B608ADB}">
              <a16:predDERef xmlns:a16="http://schemas.microsoft.com/office/drawing/2014/main" pred="{B2EDD7BD-9E89-4747-92BE-83BD9B7B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180356</xdr:colOff>
      <xdr:row>100</xdr:row>
      <xdr:rowOff>13610</xdr:rowOff>
    </xdr:from>
    <xdr:to>
      <xdr:col>11</xdr:col>
      <xdr:colOff>77833</xdr:colOff>
      <xdr:row>119</xdr:row>
      <xdr:rowOff>79738</xdr:rowOff>
    </xdr:to>
    <xdr:graphicFrame macro="">
      <xdr:nvGraphicFramePr>
        <xdr:cNvPr id="4" name="Chart 3">
          <a:extLst>
            <a:ext uri="{FF2B5EF4-FFF2-40B4-BE49-F238E27FC236}">
              <a16:creationId xmlns:a16="http://schemas.microsoft.com/office/drawing/2014/main" id="{6C00F964-3302-B551-21D9-7092763F7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99</xdr:row>
      <xdr:rowOff>0</xdr:rowOff>
    </xdr:from>
    <xdr:to>
      <xdr:col>30</xdr:col>
      <xdr:colOff>381486</xdr:colOff>
      <xdr:row>120</xdr:row>
      <xdr:rowOff>91936</xdr:rowOff>
    </xdr:to>
    <xdr:pic>
      <xdr:nvPicPr>
        <xdr:cNvPr id="23" name="Picture 22">
          <a:extLst>
            <a:ext uri="{FF2B5EF4-FFF2-40B4-BE49-F238E27FC236}">
              <a16:creationId xmlns:a16="http://schemas.microsoft.com/office/drawing/2014/main" id="{3E4EC8C5-EF15-4426-19E4-D7CA80963C24}"/>
            </a:ext>
          </a:extLst>
        </xdr:cNvPr>
        <xdr:cNvPicPr>
          <a:picLocks noChangeAspect="1"/>
        </xdr:cNvPicPr>
      </xdr:nvPicPr>
      <xdr:blipFill>
        <a:blip xmlns:r="http://schemas.openxmlformats.org/officeDocument/2006/relationships" r:embed="rId16"/>
        <a:stretch>
          <a:fillRect/>
        </a:stretch>
      </xdr:blipFill>
      <xdr:spPr>
        <a:xfrm>
          <a:off x="8157882" y="20148176"/>
          <a:ext cx="7687722" cy="3139712"/>
        </a:xfrm>
        <a:prstGeom prst="rect">
          <a:avLst/>
        </a:prstGeom>
      </xdr:spPr>
    </xdr:pic>
    <xdr:clientData/>
  </xdr:twoCellAnchor>
  <xdr:twoCellAnchor>
    <xdr:from>
      <xdr:col>29</xdr:col>
      <xdr:colOff>278354</xdr:colOff>
      <xdr:row>46</xdr:row>
      <xdr:rowOff>57150</xdr:rowOff>
    </xdr:from>
    <xdr:to>
      <xdr:col>36</xdr:col>
      <xdr:colOff>0</xdr:colOff>
      <xdr:row>48</xdr:row>
      <xdr:rowOff>449036</xdr:rowOff>
    </xdr:to>
    <xdr:graphicFrame macro="">
      <xdr:nvGraphicFramePr>
        <xdr:cNvPr id="16" name="Chart 5">
          <a:extLst>
            <a:ext uri="{FF2B5EF4-FFF2-40B4-BE49-F238E27FC236}">
              <a16:creationId xmlns:a16="http://schemas.microsoft.com/office/drawing/2014/main" id="{8437B282-FB30-4DC9-B4BD-3876BEEFA48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50</xdr:row>
      <xdr:rowOff>93072</xdr:rowOff>
    </xdr:from>
    <xdr:to>
      <xdr:col>3</xdr:col>
      <xdr:colOff>1030941</xdr:colOff>
      <xdr:row>63</xdr:row>
      <xdr:rowOff>19321</xdr:rowOff>
    </xdr:to>
    <xdr:graphicFrame macro="">
      <xdr:nvGraphicFramePr>
        <xdr:cNvPr id="9" name="Chart 8">
          <a:extLst>
            <a:ext uri="{FF2B5EF4-FFF2-40B4-BE49-F238E27FC236}">
              <a16:creationId xmlns:a16="http://schemas.microsoft.com/office/drawing/2014/main" id="{00000000-0008-0000-0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1049545</xdr:colOff>
      <xdr:row>50</xdr:row>
      <xdr:rowOff>115526</xdr:rowOff>
    </xdr:from>
    <xdr:to>
      <xdr:col>8</xdr:col>
      <xdr:colOff>223552</xdr:colOff>
      <xdr:row>63</xdr:row>
      <xdr:rowOff>21993</xdr:rowOff>
    </xdr:to>
    <xdr:graphicFrame macro="">
      <xdr:nvGraphicFramePr>
        <xdr:cNvPr id="10" name="Chart 9">
          <a:extLst>
            <a:ext uri="{FF2B5EF4-FFF2-40B4-BE49-F238E27FC236}">
              <a16:creationId xmlns:a16="http://schemas.microsoft.com/office/drawing/2014/main" id="{00000000-0008-0000-0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251828</xdr:colOff>
      <xdr:row>50</xdr:row>
      <xdr:rowOff>113065</xdr:rowOff>
    </xdr:from>
    <xdr:to>
      <xdr:col>13</xdr:col>
      <xdr:colOff>326651</xdr:colOff>
      <xdr:row>62</xdr:row>
      <xdr:rowOff>209824</xdr:rowOff>
    </xdr:to>
    <xdr:graphicFrame macro="">
      <xdr:nvGraphicFramePr>
        <xdr:cNvPr id="11" name="Chart 10">
          <a:extLst>
            <a:ext uri="{FF2B5EF4-FFF2-40B4-BE49-F238E27FC236}">
              <a16:creationId xmlns:a16="http://schemas.microsoft.com/office/drawing/2014/main" id="{00000000-0008-0000-0F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552450</xdr:colOff>
      <xdr:row>56</xdr:row>
      <xdr:rowOff>137160</xdr:rowOff>
    </xdr:from>
    <xdr:to>
      <xdr:col>19</xdr:col>
      <xdr:colOff>195230</xdr:colOff>
      <xdr:row>80</xdr:row>
      <xdr:rowOff>73522</xdr:rowOff>
    </xdr:to>
    <xdr:pic>
      <xdr:nvPicPr>
        <xdr:cNvPr id="6" name="Picture 2">
          <a:extLst>
            <a:ext uri="{FF2B5EF4-FFF2-40B4-BE49-F238E27FC236}">
              <a16:creationId xmlns:a16="http://schemas.microsoft.com/office/drawing/2014/main" id="{126E17D4-DBF9-19F2-BB49-4E3381566922}"/>
            </a:ext>
          </a:extLst>
        </xdr:cNvPr>
        <xdr:cNvPicPr>
          <a:picLocks noChangeAspect="1"/>
        </xdr:cNvPicPr>
      </xdr:nvPicPr>
      <xdr:blipFill>
        <a:blip xmlns:r="http://schemas.openxmlformats.org/officeDocument/2006/relationships" r:embed="rId1"/>
        <a:stretch>
          <a:fillRect/>
        </a:stretch>
      </xdr:blipFill>
      <xdr:spPr>
        <a:xfrm>
          <a:off x="11953875" y="11271885"/>
          <a:ext cx="6439820" cy="3968687"/>
        </a:xfrm>
        <a:prstGeom prst="rect">
          <a:avLst/>
        </a:prstGeom>
      </xdr:spPr>
    </xdr:pic>
    <xdr:clientData/>
  </xdr:twoCellAnchor>
  <xdr:twoCellAnchor>
    <xdr:from>
      <xdr:col>19</xdr:col>
      <xdr:colOff>714375</xdr:colOff>
      <xdr:row>57</xdr:row>
      <xdr:rowOff>66675</xdr:rowOff>
    </xdr:from>
    <xdr:to>
      <xdr:col>26</xdr:col>
      <xdr:colOff>496181</xdr:colOff>
      <xdr:row>79</xdr:row>
      <xdr:rowOff>111591</xdr:rowOff>
    </xdr:to>
    <xdr:pic>
      <xdr:nvPicPr>
        <xdr:cNvPr id="12" name="Picture 3">
          <a:extLst>
            <a:ext uri="{FF2B5EF4-FFF2-40B4-BE49-F238E27FC236}">
              <a16:creationId xmlns:a16="http://schemas.microsoft.com/office/drawing/2014/main" id="{7984C760-6552-D76D-D5BE-6414038A3BFB}"/>
            </a:ext>
            <a:ext uri="{147F2762-F138-4A5C-976F-8EAC2B608ADB}">
              <a16:predDERef xmlns:a16="http://schemas.microsoft.com/office/drawing/2014/main" pred="{126E17D4-DBF9-19F2-BB49-4E3381566922}"/>
            </a:ext>
          </a:extLst>
        </xdr:cNvPr>
        <xdr:cNvPicPr>
          <a:picLocks noChangeAspect="1"/>
        </xdr:cNvPicPr>
      </xdr:nvPicPr>
      <xdr:blipFill>
        <a:blip xmlns:r="http://schemas.openxmlformats.org/officeDocument/2006/relationships" r:embed="rId2"/>
        <a:stretch>
          <a:fillRect/>
        </a:stretch>
      </xdr:blipFill>
      <xdr:spPr>
        <a:xfrm>
          <a:off x="18726150" y="11363325"/>
          <a:ext cx="6136886" cy="3741961"/>
        </a:xfrm>
        <a:prstGeom prst="rect">
          <a:avLst/>
        </a:prstGeom>
      </xdr:spPr>
    </xdr:pic>
    <xdr:clientData/>
  </xdr:twoCellAnchor>
  <xdr:twoCellAnchor>
    <xdr:from>
      <xdr:col>23</xdr:col>
      <xdr:colOff>438150</xdr:colOff>
      <xdr:row>1</xdr:row>
      <xdr:rowOff>173355</xdr:rowOff>
    </xdr:from>
    <xdr:to>
      <xdr:col>39</xdr:col>
      <xdr:colOff>161715</xdr:colOff>
      <xdr:row>18</xdr:row>
      <xdr:rowOff>88265</xdr:rowOff>
    </xdr:to>
    <xdr:graphicFrame macro="">
      <xdr:nvGraphicFramePr>
        <xdr:cNvPr id="5" name="Chart 1">
          <a:extLst>
            <a:ext uri="{FF2B5EF4-FFF2-40B4-BE49-F238E27FC236}">
              <a16:creationId xmlns:a16="http://schemas.microsoft.com/office/drawing/2014/main" id="{C4376722-137E-4A81-B2DE-179229AA5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447675</xdr:colOff>
      <xdr:row>19</xdr:row>
      <xdr:rowOff>114300</xdr:rowOff>
    </xdr:from>
    <xdr:to>
      <xdr:col>39</xdr:col>
      <xdr:colOff>222824</xdr:colOff>
      <xdr:row>44</xdr:row>
      <xdr:rowOff>133043</xdr:rowOff>
    </xdr:to>
    <xdr:graphicFrame macro="">
      <xdr:nvGraphicFramePr>
        <xdr:cNvPr id="7" name="Chart 2">
          <a:extLst>
            <a:ext uri="{FF2B5EF4-FFF2-40B4-BE49-F238E27FC236}">
              <a16:creationId xmlns:a16="http://schemas.microsoft.com/office/drawing/2014/main" id="{57823696-3722-44AE-AB80-0E82B31A69AF}"/>
            </a:ext>
            <a:ext uri="{147F2762-F138-4A5C-976F-8EAC2B608ADB}">
              <a16:predDERef xmlns:a16="http://schemas.microsoft.com/office/drawing/2014/main" pred="{739FCDD5-3C6A-46AF-B213-5AEAD1255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275992</xdr:colOff>
      <xdr:row>55</xdr:row>
      <xdr:rowOff>56592</xdr:rowOff>
    </xdr:from>
    <xdr:to>
      <xdr:col>12</xdr:col>
      <xdr:colOff>133109</xdr:colOff>
      <xdr:row>60</xdr:row>
      <xdr:rowOff>71718</xdr:rowOff>
    </xdr:to>
    <xdr:pic>
      <xdr:nvPicPr>
        <xdr:cNvPr id="15" name="Picture 1">
          <a:extLst>
            <a:ext uri="{FF2B5EF4-FFF2-40B4-BE49-F238E27FC236}">
              <a16:creationId xmlns:a16="http://schemas.microsoft.com/office/drawing/2014/main" id="{9A590C60-08DB-6F41-3522-A1743F8C53BD}"/>
            </a:ext>
            <a:ext uri="{147F2762-F138-4A5C-976F-8EAC2B608ADB}">
              <a16:predDERef xmlns:a16="http://schemas.microsoft.com/office/drawing/2014/main" pred="{57823696-3722-44AE-AB80-0E82B31A69AF}"/>
            </a:ext>
          </a:extLst>
        </xdr:cNvPr>
        <xdr:cNvPicPr>
          <a:picLocks noChangeAspect="1"/>
        </xdr:cNvPicPr>
      </xdr:nvPicPr>
      <xdr:blipFill>
        <a:blip xmlns:r="http://schemas.openxmlformats.org/officeDocument/2006/relationships" r:embed="rId5"/>
        <a:stretch>
          <a:fillRect/>
        </a:stretch>
      </xdr:blipFill>
      <xdr:spPr>
        <a:xfrm>
          <a:off x="7940816" y="11217651"/>
          <a:ext cx="3945022" cy="875738"/>
        </a:xfrm>
        <a:prstGeom prst="rect">
          <a:avLst/>
        </a:prstGeom>
      </xdr:spPr>
    </xdr:pic>
    <xdr:clientData/>
  </xdr:twoCellAnchor>
  <xdr:twoCellAnchor>
    <xdr:from>
      <xdr:col>2</xdr:col>
      <xdr:colOff>0</xdr:colOff>
      <xdr:row>62</xdr:row>
      <xdr:rowOff>152400</xdr:rowOff>
    </xdr:from>
    <xdr:to>
      <xdr:col>7</xdr:col>
      <xdr:colOff>390525</xdr:colOff>
      <xdr:row>90</xdr:row>
      <xdr:rowOff>152400</xdr:rowOff>
    </xdr:to>
    <xdr:pic>
      <xdr:nvPicPr>
        <xdr:cNvPr id="9" name="Picture 8">
          <a:extLst>
            <a:ext uri="{FF2B5EF4-FFF2-40B4-BE49-F238E27FC236}">
              <a16:creationId xmlns:a16="http://schemas.microsoft.com/office/drawing/2014/main" id="{18285506-6BEC-8E1C-D4DD-1DBDD029144A}"/>
            </a:ext>
            <a:ext uri="{147F2762-F138-4A5C-976F-8EAC2B608ADB}">
              <a16:predDERef xmlns:a16="http://schemas.microsoft.com/office/drawing/2014/main" pred="{E0538144-8E23-7116-BC8E-2FA266117C23}"/>
            </a:ext>
          </a:extLst>
        </xdr:cNvPr>
        <xdr:cNvPicPr>
          <a:picLocks noChangeAspect="1"/>
        </xdr:cNvPicPr>
      </xdr:nvPicPr>
      <xdr:blipFill>
        <a:blip xmlns:r="http://schemas.openxmlformats.org/officeDocument/2006/relationships" r:embed="rId6"/>
        <a:stretch>
          <a:fillRect/>
        </a:stretch>
      </xdr:blipFill>
      <xdr:spPr>
        <a:xfrm>
          <a:off x="1162050" y="12258675"/>
          <a:ext cx="5534025" cy="4533900"/>
        </a:xfrm>
        <a:prstGeom prst="rect">
          <a:avLst/>
        </a:prstGeom>
      </xdr:spPr>
    </xdr:pic>
    <xdr:clientData/>
  </xdr:twoCellAnchor>
  <xdr:twoCellAnchor>
    <xdr:from>
      <xdr:col>2</xdr:col>
      <xdr:colOff>0</xdr:colOff>
      <xdr:row>94</xdr:row>
      <xdr:rowOff>0</xdr:rowOff>
    </xdr:from>
    <xdr:to>
      <xdr:col>6</xdr:col>
      <xdr:colOff>571500</xdr:colOff>
      <xdr:row>115</xdr:row>
      <xdr:rowOff>123824</xdr:rowOff>
    </xdr:to>
    <xdr:pic>
      <xdr:nvPicPr>
        <xdr:cNvPr id="10" name="Picture 9">
          <a:extLst>
            <a:ext uri="{FF2B5EF4-FFF2-40B4-BE49-F238E27FC236}">
              <a16:creationId xmlns:a16="http://schemas.microsoft.com/office/drawing/2014/main" id="{1D886C86-8A61-A0AC-B74C-70ABC6C06B52}"/>
            </a:ext>
            <a:ext uri="{147F2762-F138-4A5C-976F-8EAC2B608ADB}">
              <a16:predDERef xmlns:a16="http://schemas.microsoft.com/office/drawing/2014/main" pred="{18285506-6BEC-8E1C-D4DD-1DBDD029144A}"/>
            </a:ext>
          </a:extLst>
        </xdr:cNvPr>
        <xdr:cNvPicPr>
          <a:picLocks noChangeAspect="1"/>
        </xdr:cNvPicPr>
      </xdr:nvPicPr>
      <xdr:blipFill>
        <a:blip xmlns:r="http://schemas.openxmlformats.org/officeDocument/2006/relationships" r:embed="rId7"/>
        <a:stretch>
          <a:fillRect/>
        </a:stretch>
      </xdr:blipFill>
      <xdr:spPr>
        <a:xfrm>
          <a:off x="1162050" y="17287875"/>
          <a:ext cx="4572000" cy="3524250"/>
        </a:xfrm>
        <a:prstGeom prst="rect">
          <a:avLst/>
        </a:prstGeom>
      </xdr:spPr>
    </xdr:pic>
    <xdr:clientData/>
  </xdr:twoCellAnchor>
  <xdr:twoCellAnchor>
    <xdr:from>
      <xdr:col>2</xdr:col>
      <xdr:colOff>9525</xdr:colOff>
      <xdr:row>116</xdr:row>
      <xdr:rowOff>28575</xdr:rowOff>
    </xdr:from>
    <xdr:to>
      <xdr:col>6</xdr:col>
      <xdr:colOff>581025</xdr:colOff>
      <xdr:row>145</xdr:row>
      <xdr:rowOff>95250</xdr:rowOff>
    </xdr:to>
    <xdr:pic>
      <xdr:nvPicPr>
        <xdr:cNvPr id="11" name="Picture 10">
          <a:extLst>
            <a:ext uri="{FF2B5EF4-FFF2-40B4-BE49-F238E27FC236}">
              <a16:creationId xmlns:a16="http://schemas.microsoft.com/office/drawing/2014/main" id="{FCF2D122-F29A-9ABD-1C1B-9A7224827DCE}"/>
            </a:ext>
            <a:ext uri="{147F2762-F138-4A5C-976F-8EAC2B608ADB}">
              <a16:predDERef xmlns:a16="http://schemas.microsoft.com/office/drawing/2014/main" pred="{1D886C86-8A61-A0AC-B74C-70ABC6C06B52}"/>
            </a:ext>
          </a:extLst>
        </xdr:cNvPr>
        <xdr:cNvPicPr>
          <a:picLocks noChangeAspect="1"/>
        </xdr:cNvPicPr>
      </xdr:nvPicPr>
      <xdr:blipFill>
        <a:blip xmlns:r="http://schemas.openxmlformats.org/officeDocument/2006/relationships" r:embed="rId8"/>
        <a:stretch>
          <a:fillRect/>
        </a:stretch>
      </xdr:blipFill>
      <xdr:spPr>
        <a:xfrm>
          <a:off x="1171575" y="20878800"/>
          <a:ext cx="4572000" cy="47625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16/10/T24-2019-CASE-Study-Results-Report-Outdoor-Sources_Final_with-Attachments.pdf" TargetMode="External"/><Relationship Id="rId13" Type="http://schemas.openxmlformats.org/officeDocument/2006/relationships/drawing" Target="../drawings/drawing1.xml"/><Relationship Id="rId3" Type="http://schemas.openxmlformats.org/officeDocument/2006/relationships/hyperlink" Target="https://github.com/sound-data/DEER-Prototypes-EnergyPlus"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12" Type="http://schemas.openxmlformats.org/officeDocument/2006/relationships/hyperlink" Target="https://caenergywise.com/design-guides/hot-water/Technical_Design_Guide.pdf"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hyperlink" Target="https://efiling.energy.ca.gov/GetDocument.aspx?tn=265693&amp;DocumentContentId=102545" TargetMode="External"/><Relationship Id="rId5" Type="http://schemas.openxmlformats.org/officeDocument/2006/relationships/hyperlink" Target="https://title24stakeholders.com/wp-content/uploads/2020/10/2022-T24-Final-CASE-Report_Reduce-Infiltration.pdf" TargetMode="External"/><Relationship Id="rId10" Type="http://schemas.openxmlformats.org/officeDocument/2006/relationships/hyperlink" Target="https://www.streivor.com/wp-content/uploads/2020/11/CKV-Design-Guide-1-Selecting-and-Sizing-Exhaust-Hoods.pdf" TargetMode="External"/><Relationship Id="rId4" Type="http://schemas.openxmlformats.org/officeDocument/2006/relationships/hyperlink" Target="https://www.energy.ca.gov/publications/2022/2022-nonresidential-and-multifamily-alternative-calculation-method-reference" TargetMode="External"/><Relationship Id="rId9" Type="http://schemas.openxmlformats.org/officeDocument/2006/relationships/hyperlink" Target="https://www.eia.gov/consumption/commercial/pba/food-service.php"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naksinc.com/ceiling-height-and-cooking-equipment-specifications-for-hoods-an-in-depth-look/"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github.com/pnnl/COMNET/blob/master/Building_Space_Specific_Loads/dining__cafeteria_fast_food/dining_cafeteria_fast_food/space_specific_schedules.json" TargetMode="External"/><Relationship Id="rId1" Type="http://schemas.openxmlformats.org/officeDocument/2006/relationships/hyperlink" Target="https://github.com/pnnl/COMNET/blob/master/Building_Space_Specific_Loads/dining__cafeteria_fast_food/kitchen/space_specific_schedules.json"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https://portfoliomanager.energystar.gov/pm/targetFinder?execution=e1s1" TargetMode="External"/><Relationship Id="rId1" Type="http://schemas.openxmlformats.org/officeDocument/2006/relationships/hyperlink" Target="https://www.eia.gov/consumption/commercial/pba/food-servic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E71"/>
  <sheetViews>
    <sheetView zoomScaleNormal="100" workbookViewId="0">
      <selection sqref="A1:C1"/>
    </sheetView>
  </sheetViews>
  <sheetFormatPr defaultColWidth="9.33203125" defaultRowHeight="13.2" x14ac:dyDescent="0.25"/>
  <cols>
    <col min="1" max="1" width="20.33203125" style="124" customWidth="1"/>
    <col min="2" max="2" width="105.33203125" style="124" customWidth="1"/>
    <col min="3" max="3" width="39.6640625" style="124" customWidth="1"/>
    <col min="4" max="4" width="9.33203125" style="124"/>
    <col min="5" max="5" width="21.6640625" style="124" customWidth="1"/>
    <col min="6" max="6" width="10.6640625" style="124" customWidth="1"/>
    <col min="7" max="7" width="9.6640625" style="124" customWidth="1"/>
    <col min="8" max="8" width="9.6640625" style="124" bestFit="1" customWidth="1"/>
    <col min="9" max="9" width="12.44140625" style="124" customWidth="1"/>
    <col min="10" max="10" width="9.33203125" style="124"/>
    <col min="11" max="11" width="12.5546875" style="124" customWidth="1"/>
    <col min="12" max="16384" width="9.33203125" style="124"/>
  </cols>
  <sheetData>
    <row r="1" spans="1:4" ht="20.399999999999999" customHeight="1" x14ac:dyDescent="0.25">
      <c r="A1" s="802" t="s">
        <v>0</v>
      </c>
      <c r="B1" s="802"/>
      <c r="C1" s="802"/>
    </row>
    <row r="2" spans="1:4" x14ac:dyDescent="0.25">
      <c r="A2" s="801" t="s">
        <v>1</v>
      </c>
      <c r="B2" s="124" t="s">
        <v>2</v>
      </c>
      <c r="C2" s="711"/>
      <c r="D2" s="124" t="s">
        <v>3</v>
      </c>
    </row>
    <row r="3" spans="1:4" x14ac:dyDescent="0.25">
      <c r="A3" s="801"/>
      <c r="B3" s="124" t="s">
        <v>4</v>
      </c>
      <c r="C3" s="711"/>
      <c r="D3" s="124" t="s">
        <v>3</v>
      </c>
    </row>
    <row r="4" spans="1:4" x14ac:dyDescent="0.25">
      <c r="A4" s="801"/>
      <c r="B4" s="124" t="s">
        <v>5</v>
      </c>
      <c r="C4" s="711"/>
      <c r="D4" s="124" t="s">
        <v>3</v>
      </c>
    </row>
    <row r="5" spans="1:4" x14ac:dyDescent="0.25">
      <c r="A5" s="801"/>
      <c r="B5" s="124" t="s">
        <v>6</v>
      </c>
      <c r="C5" s="711"/>
      <c r="D5" s="124" t="s">
        <v>3</v>
      </c>
    </row>
    <row r="6" spans="1:4" ht="14.4" x14ac:dyDescent="0.3">
      <c r="A6" s="801" t="s">
        <v>7</v>
      </c>
      <c r="B6" s="124" t="s">
        <v>8</v>
      </c>
      <c r="C6" s="265" t="s">
        <v>9</v>
      </c>
      <c r="D6" s="124" t="s">
        <v>3</v>
      </c>
    </row>
    <row r="7" spans="1:4" ht="14.4" x14ac:dyDescent="0.3">
      <c r="A7" s="801"/>
      <c r="B7" s="124" t="s">
        <v>10</v>
      </c>
      <c r="C7" s="265" t="s">
        <v>11</v>
      </c>
      <c r="D7" s="124" t="s">
        <v>3</v>
      </c>
    </row>
    <row r="8" spans="1:4" ht="14.4" x14ac:dyDescent="0.3">
      <c r="A8" s="801"/>
      <c r="B8" s="124" t="s">
        <v>12</v>
      </c>
      <c r="C8" s="265" t="s">
        <v>13</v>
      </c>
      <c r="D8" s="124" t="s">
        <v>3</v>
      </c>
    </row>
    <row r="9" spans="1:4" ht="14.4" x14ac:dyDescent="0.3">
      <c r="A9" s="801"/>
      <c r="C9" s="265"/>
      <c r="D9" s="124" t="s">
        <v>3</v>
      </c>
    </row>
    <row r="10" spans="1:4" x14ac:dyDescent="0.25">
      <c r="A10" s="801" t="s">
        <v>14</v>
      </c>
      <c r="B10" s="124" t="s">
        <v>15</v>
      </c>
      <c r="C10" s="711"/>
      <c r="D10" s="124" t="s">
        <v>3</v>
      </c>
    </row>
    <row r="11" spans="1:4" x14ac:dyDescent="0.25">
      <c r="A11" s="801"/>
      <c r="B11" s="124" t="s">
        <v>16</v>
      </c>
      <c r="C11" s="711"/>
      <c r="D11" s="124" t="s">
        <v>3</v>
      </c>
    </row>
    <row r="12" spans="1:4" x14ac:dyDescent="0.25">
      <c r="A12" s="801"/>
      <c r="C12" s="711"/>
      <c r="D12" s="124" t="s">
        <v>3</v>
      </c>
    </row>
    <row r="13" spans="1:4" ht="12.75" customHeight="1" x14ac:dyDescent="0.25">
      <c r="A13" s="801" t="s">
        <v>17</v>
      </c>
      <c r="B13" s="184" t="s">
        <v>18</v>
      </c>
      <c r="C13" s="184"/>
      <c r="D13" s="124" t="s">
        <v>3</v>
      </c>
    </row>
    <row r="14" spans="1:4" ht="14.4" x14ac:dyDescent="0.3">
      <c r="A14" s="801"/>
      <c r="B14" s="184" t="s">
        <v>19</v>
      </c>
      <c r="C14" s="265" t="s">
        <v>20</v>
      </c>
      <c r="D14" s="124" t="s">
        <v>3</v>
      </c>
    </row>
    <row r="15" spans="1:4" ht="12.75" customHeight="1" x14ac:dyDescent="0.3">
      <c r="A15" s="801"/>
      <c r="B15" s="270" t="s">
        <v>21</v>
      </c>
      <c r="C15" s="265" t="s">
        <v>22</v>
      </c>
      <c r="D15" s="124" t="s">
        <v>3</v>
      </c>
    </row>
    <row r="16" spans="1:4" ht="12.75" customHeight="1" x14ac:dyDescent="0.3">
      <c r="A16" s="801"/>
      <c r="B16" s="124" t="s">
        <v>23</v>
      </c>
      <c r="C16" s="265" t="s">
        <v>24</v>
      </c>
      <c r="D16" s="124" t="s">
        <v>3</v>
      </c>
    </row>
    <row r="17" spans="1:5" ht="12.75" customHeight="1" x14ac:dyDescent="0.3">
      <c r="A17" s="801"/>
      <c r="B17" s="124" t="s">
        <v>25</v>
      </c>
      <c r="C17" s="265" t="s">
        <v>26</v>
      </c>
      <c r="D17" s="124" t="s">
        <v>3</v>
      </c>
    </row>
    <row r="18" spans="1:5" ht="12.75" customHeight="1" x14ac:dyDescent="0.3">
      <c r="A18" s="801"/>
      <c r="B18" s="124" t="s">
        <v>27</v>
      </c>
      <c r="C18" s="266" t="s">
        <v>28</v>
      </c>
      <c r="D18" s="124" t="s">
        <v>3</v>
      </c>
    </row>
    <row r="19" spans="1:5" ht="29.4" customHeight="1" x14ac:dyDescent="0.25">
      <c r="A19" s="801"/>
      <c r="B19" s="130" t="s">
        <v>29</v>
      </c>
      <c r="C19" s="613" t="s">
        <v>30</v>
      </c>
      <c r="D19" s="124" t="s">
        <v>3</v>
      </c>
    </row>
    <row r="20" spans="1:5" ht="29.4" customHeight="1" x14ac:dyDescent="0.25">
      <c r="A20" s="801"/>
      <c r="B20" s="130" t="s">
        <v>31</v>
      </c>
      <c r="C20" s="172" t="s">
        <v>32</v>
      </c>
      <c r="D20" s="130" t="s">
        <v>3</v>
      </c>
      <c r="E20" s="172"/>
    </row>
    <row r="21" spans="1:5" ht="28.2" customHeight="1" x14ac:dyDescent="0.25">
      <c r="A21" s="801"/>
      <c r="B21" s="130" t="s">
        <v>33</v>
      </c>
      <c r="C21" s="172" t="s">
        <v>34</v>
      </c>
      <c r="D21" s="124" t="s">
        <v>3</v>
      </c>
    </row>
    <row r="22" spans="1:5" ht="13.8" x14ac:dyDescent="0.3">
      <c r="A22" s="805" t="s">
        <v>35</v>
      </c>
      <c r="B22" s="124" t="s">
        <v>36</v>
      </c>
      <c r="C22" s="633" t="str">
        <f>HYPERLINK("https://www.energystar.gov/productfinder/product/certified-commercial-water-heaters/results?fuel_filter=Gas&amp;markets_filter=United+States","ENERGY STAR product finder — gas")</f>
        <v>ENERGY STAR product finder — gas</v>
      </c>
    </row>
    <row r="23" spans="1:5" ht="13.8" x14ac:dyDescent="0.3">
      <c r="A23" s="805"/>
      <c r="B23" s="124" t="s">
        <v>37</v>
      </c>
      <c r="C23" s="633" t="str">
        <f>HYPERLINK("https://data.energystar.gov/Active-Specifications/ENERGY-STAR-Certified-Commercial-Water-Heaters/xmq6-bm79","ENERGY STAR dataset xmq6-bm79")</f>
        <v>ENERGY STAR dataset xmq6-bm79</v>
      </c>
    </row>
    <row r="24" spans="1:5" ht="13.8" x14ac:dyDescent="0.3">
      <c r="A24" s="805"/>
      <c r="B24" s="124" t="s">
        <v>38</v>
      </c>
      <c r="C24" s="633" t="str">
        <f>HYPERLINK("https://www.energystar.gov/products/water_heaters/commercial_water_heaters/key_product_criteria","ENERGY STAR key product criteria")</f>
        <v>ENERGY STAR key product criteria</v>
      </c>
    </row>
    <row r="25" spans="1:5" ht="13.8" x14ac:dyDescent="0.3">
      <c r="A25" s="805"/>
      <c r="B25" s="124" t="s">
        <v>39</v>
      </c>
      <c r="C25" s="633" t="str">
        <f>HYPERLINK("https://www.grainger.com/category/plumbing/water-heaters/gas-tank-water-heaters","Grainger — gas tank WH")</f>
        <v>Grainger — gas tank WH</v>
      </c>
    </row>
    <row r="26" spans="1:5" ht="13.8" x14ac:dyDescent="0.3">
      <c r="A26" s="805"/>
      <c r="B26" s="124" t="s">
        <v>40</v>
      </c>
      <c r="C26" s="633" t="str">
        <f>HYPERLINK("https://www.grainger.com/category/plumbing/water-heaters/electric-tank-water-heaters","Grainger — electric tank WH")</f>
        <v>Grainger — electric tank WH</v>
      </c>
    </row>
    <row r="27" spans="1:5" ht="13.8" x14ac:dyDescent="0.3">
      <c r="A27" s="805"/>
      <c r="B27" s="124" t="s">
        <v>41</v>
      </c>
      <c r="C27" s="633" t="str">
        <f>HYPERLINK("https://www.energystar.gov/productfinder/product/certified-commercial-water-heaters/results?fuel_filter=Electric&amp;markets_filter=United+States","ENERGY STAR — electric (HPWH)")</f>
        <v>ENERGY STAR — electric (HPWH)</v>
      </c>
    </row>
    <row r="28" spans="1:5" x14ac:dyDescent="0.25">
      <c r="C28" s="711"/>
    </row>
    <row r="29" spans="1:5" x14ac:dyDescent="0.25">
      <c r="C29" s="711"/>
    </row>
    <row r="30" spans="1:5" x14ac:dyDescent="0.25">
      <c r="C30" s="711"/>
    </row>
    <row r="31" spans="1:5" x14ac:dyDescent="0.25">
      <c r="C31" s="711"/>
    </row>
    <row r="32" spans="1:5" x14ac:dyDescent="0.25">
      <c r="C32" s="711"/>
    </row>
    <row r="33" spans="1:5" x14ac:dyDescent="0.25">
      <c r="C33" s="711"/>
    </row>
    <row r="34" spans="1:5" x14ac:dyDescent="0.25">
      <c r="C34" s="711"/>
    </row>
    <row r="35" spans="1:5" x14ac:dyDescent="0.25">
      <c r="C35" s="711"/>
    </row>
    <row r="36" spans="1:5" ht="19.2" customHeight="1" x14ac:dyDescent="0.25">
      <c r="A36" s="802" t="s">
        <v>42</v>
      </c>
      <c r="B36" s="802"/>
      <c r="C36" s="802"/>
    </row>
    <row r="37" spans="1:5" ht="34.200000000000003" customHeight="1" x14ac:dyDescent="0.25">
      <c r="A37" s="127"/>
      <c r="B37" s="804"/>
      <c r="C37" s="805"/>
      <c r="E37" s="706"/>
    </row>
    <row r="38" spans="1:5" x14ac:dyDescent="0.25">
      <c r="A38" s="128"/>
      <c r="B38" s="803"/>
      <c r="C38" s="803"/>
      <c r="E38" s="706"/>
    </row>
    <row r="40" spans="1:5" ht="14.4" x14ac:dyDescent="0.3">
      <c r="A40" s="124" t="s">
        <v>43</v>
      </c>
      <c r="B40" s="230" t="s">
        <v>44</v>
      </c>
    </row>
    <row r="71" spans="1:1" x14ac:dyDescent="0.25">
      <c r="A71" s="125" t="s">
        <v>45</v>
      </c>
    </row>
  </sheetData>
  <mergeCells count="9">
    <mergeCell ref="A2:A5"/>
    <mergeCell ref="A6:A9"/>
    <mergeCell ref="A1:C1"/>
    <mergeCell ref="B38:C38"/>
    <mergeCell ref="A36:C36"/>
    <mergeCell ref="A10:A12"/>
    <mergeCell ref="B37:C37"/>
    <mergeCell ref="A13:A21"/>
    <mergeCell ref="A22:A27"/>
  </mergeCells>
  <hyperlinks>
    <hyperlink ref="C6" r:id="rId1" xr:uid="{BE11EEF8-3AF7-48F0-A38B-7309CE5A9491}"/>
    <hyperlink ref="C7" r:id="rId2" location="Commercial" xr:uid="{626A4776-C2FA-489E-88C0-BC9C7C8EA36F}"/>
    <hyperlink ref="C8" r:id="rId3" xr:uid="{0DEB00BB-3A26-4527-9ED4-40D17F93A579}"/>
    <hyperlink ref="C14" r:id="rId4" xr:uid="{C101F69F-EDD8-471F-98DF-28BD71BFA34E}"/>
    <hyperlink ref="C15" r:id="rId5" xr:uid="{C21443C5-174B-48CB-B5FC-BB95D3C23A8F}"/>
    <hyperlink ref="C17" r:id="rId6" xr:uid="{4E61207C-6D7D-460C-9DCB-0AE5748B3693}"/>
    <hyperlink ref="C18" r:id="rId7" xr:uid="{5BC370BB-1BDD-4FB0-B79E-B506D3A772A4}"/>
    <hyperlink ref="C16" r:id="rId8" xr:uid="{69576B2E-A9A2-478E-A000-014A867874A5}"/>
    <hyperlink ref="B40" r:id="rId9" display="https://www.eia.gov/consumption/commercial/pba/food-service.php" xr:uid="{775440FD-5C1E-46FB-84FC-8D3732AECB8F}"/>
    <hyperlink ref="C20" r:id="rId10" xr:uid="{D668C4E4-9D9B-4EE5-8E56-7890087F99C8}"/>
    <hyperlink ref="C21" r:id="rId11" xr:uid="{74738EBA-23F7-4047-85DF-1FEDF9FA120E}"/>
    <hyperlink ref="C19" r:id="rId12" xr:uid="{576A985F-82C9-448B-AD77-46E23571E35A}"/>
  </hyperlink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BF108"/>
  <sheetViews>
    <sheetView tabSelected="1" zoomScale="70" zoomScaleNormal="70" workbookViewId="0">
      <selection sqref="A1:C1"/>
    </sheetView>
  </sheetViews>
  <sheetFormatPr defaultColWidth="9.33203125" defaultRowHeight="13.8" x14ac:dyDescent="0.25"/>
  <cols>
    <col min="1" max="1" width="25" style="122" customWidth="1"/>
    <col min="2" max="2" width="51.33203125" style="122" customWidth="1"/>
    <col min="3" max="3" width="49.6640625" style="122" customWidth="1"/>
    <col min="4" max="4" width="51" style="122" customWidth="1"/>
    <col min="5" max="5" width="55.5546875" style="122" customWidth="1"/>
    <col min="6" max="6" width="50.33203125" style="122" customWidth="1"/>
    <col min="7" max="7" width="44.88671875" style="122" customWidth="1"/>
    <col min="8" max="8" width="48.33203125" style="122" customWidth="1"/>
    <col min="9" max="9" width="8.6640625" style="122" customWidth="1"/>
    <col min="10" max="16384" width="9.33203125" style="122"/>
  </cols>
  <sheetData>
    <row r="1" spans="1:9" ht="17.399999999999999" x14ac:dyDescent="0.25">
      <c r="A1" s="792" t="s">
        <v>46</v>
      </c>
      <c r="B1" s="792"/>
      <c r="C1" s="792"/>
      <c r="D1" s="131"/>
      <c r="E1" s="131"/>
      <c r="F1" s="131"/>
    </row>
    <row r="2" spans="1:9" ht="25.2" customHeight="1" x14ac:dyDescent="0.25">
      <c r="A2" s="793" t="s">
        <v>47</v>
      </c>
      <c r="B2" s="794"/>
      <c r="C2" s="794"/>
      <c r="D2" s="131"/>
      <c r="E2" s="131"/>
      <c r="F2" s="131"/>
    </row>
    <row r="3" spans="1:9" ht="20.399999999999999" customHeight="1" x14ac:dyDescent="0.25">
      <c r="A3" s="137" t="s">
        <v>48</v>
      </c>
      <c r="B3" s="514" t="s">
        <v>49</v>
      </c>
      <c r="C3" s="138" t="s">
        <v>0</v>
      </c>
    </row>
    <row r="4" spans="1:9" ht="16.2" customHeight="1" x14ac:dyDescent="0.25">
      <c r="A4" s="134" t="s">
        <v>50</v>
      </c>
      <c r="B4" s="712" t="s">
        <v>51</v>
      </c>
      <c r="C4" s="134"/>
    </row>
    <row r="5" spans="1:9" ht="16.2" customHeight="1" x14ac:dyDescent="0.25">
      <c r="A5" s="134" t="s">
        <v>52</v>
      </c>
      <c r="B5" s="712" t="s">
        <v>53</v>
      </c>
      <c r="C5" s="134"/>
    </row>
    <row r="6" spans="1:9" ht="86.25" customHeight="1" x14ac:dyDescent="0.25">
      <c r="A6" s="134" t="s">
        <v>54</v>
      </c>
      <c r="B6" s="135" t="s">
        <v>55</v>
      </c>
      <c r="C6" s="645" t="s">
        <v>56</v>
      </c>
      <c r="D6" s="172"/>
    </row>
    <row r="7" spans="1:9" ht="97.2" customHeight="1" x14ac:dyDescent="0.25">
      <c r="A7" s="134" t="s">
        <v>57</v>
      </c>
      <c r="B7" s="712"/>
      <c r="C7" s="136" t="s">
        <v>58</v>
      </c>
      <c r="D7" s="180"/>
      <c r="I7" s="123"/>
    </row>
    <row r="8" spans="1:9" ht="19.2" customHeight="1" x14ac:dyDescent="0.25">
      <c r="A8" s="132" t="s">
        <v>59</v>
      </c>
      <c r="B8" s="287" t="s">
        <v>60</v>
      </c>
      <c r="C8" s="286" t="s">
        <v>58</v>
      </c>
    </row>
    <row r="9" spans="1:9" ht="16.2" customHeight="1" x14ac:dyDescent="0.25">
      <c r="A9" s="132" t="s">
        <v>61</v>
      </c>
      <c r="B9" s="288">
        <v>1</v>
      </c>
      <c r="C9" s="136" t="s">
        <v>58</v>
      </c>
    </row>
    <row r="10" spans="1:9" ht="17.399999999999999" customHeight="1" x14ac:dyDescent="0.25">
      <c r="A10" s="133" t="s">
        <v>62</v>
      </c>
      <c r="B10" s="148">
        <v>1</v>
      </c>
      <c r="C10" s="286" t="s">
        <v>58</v>
      </c>
    </row>
    <row r="11" spans="1:9" ht="17.399999999999999" customHeight="1" x14ac:dyDescent="0.25">
      <c r="A11" s="133" t="s">
        <v>63</v>
      </c>
      <c r="B11" s="148" t="s">
        <v>64</v>
      </c>
      <c r="C11" s="286" t="s">
        <v>65</v>
      </c>
      <c r="D11" s="721"/>
      <c r="E11" s="184"/>
    </row>
    <row r="12" spans="1:9" ht="26.4" x14ac:dyDescent="0.25">
      <c r="A12" s="133" t="s">
        <v>66</v>
      </c>
      <c r="B12" s="277" t="s">
        <v>67</v>
      </c>
      <c r="C12" s="136" t="s">
        <v>58</v>
      </c>
    </row>
    <row r="13" spans="1:9" ht="14.7" customHeight="1" x14ac:dyDescent="0.25">
      <c r="A13" s="132" t="s">
        <v>68</v>
      </c>
      <c r="B13" s="464" t="s">
        <v>69</v>
      </c>
      <c r="C13" s="136" t="s">
        <v>70</v>
      </c>
    </row>
    <row r="14" spans="1:9" ht="14.7" customHeight="1" x14ac:dyDescent="0.25">
      <c r="A14" s="132" t="s">
        <v>71</v>
      </c>
      <c r="B14" s="148" t="s">
        <v>72</v>
      </c>
      <c r="C14" s="136" t="s">
        <v>58</v>
      </c>
      <c r="D14" s="721"/>
    </row>
    <row r="15" spans="1:9" ht="16.2" customHeight="1" x14ac:dyDescent="0.25">
      <c r="A15" s="132" t="s">
        <v>73</v>
      </c>
      <c r="B15" s="148">
        <v>10</v>
      </c>
      <c r="C15" s="286" t="s">
        <v>58</v>
      </c>
    </row>
    <row r="16" spans="1:9" x14ac:dyDescent="0.25">
      <c r="A16" s="132" t="s">
        <v>74</v>
      </c>
      <c r="B16" s="284" t="s">
        <v>75</v>
      </c>
      <c r="C16" s="136" t="s">
        <v>58</v>
      </c>
    </row>
    <row r="17" spans="1:36" x14ac:dyDescent="0.25">
      <c r="A17" s="614"/>
      <c r="B17" s="615"/>
      <c r="C17" s="706"/>
    </row>
    <row r="18" spans="1:36" x14ac:dyDescent="0.25">
      <c r="A18" s="614"/>
      <c r="B18" s="615"/>
      <c r="C18" s="706"/>
    </row>
    <row r="19" spans="1:36" x14ac:dyDescent="0.25">
      <c r="A19" s="614"/>
      <c r="B19" s="615"/>
      <c r="C19" s="706"/>
    </row>
    <row r="20" spans="1:36" x14ac:dyDescent="0.25">
      <c r="A20" s="614"/>
      <c r="B20" s="615"/>
      <c r="C20" s="706"/>
    </row>
    <row r="21" spans="1:36" x14ac:dyDescent="0.25">
      <c r="A21" s="614"/>
      <c r="B21" s="615"/>
      <c r="C21" s="706"/>
    </row>
    <row r="22" spans="1:36" x14ac:dyDescent="0.25">
      <c r="A22" s="614"/>
      <c r="B22" s="615"/>
      <c r="C22" s="706"/>
    </row>
    <row r="23" spans="1:36" ht="14.4" x14ac:dyDescent="0.25">
      <c r="A23" s="617"/>
      <c r="B23" s="617"/>
      <c r="C23" s="617"/>
      <c r="D23" s="617"/>
      <c r="E23" s="617"/>
    </row>
    <row r="24" spans="1:36" x14ac:dyDescent="0.25">
      <c r="A24" s="614"/>
      <c r="B24" s="615"/>
      <c r="C24" s="706"/>
    </row>
    <row r="25" spans="1:36" ht="14.7" customHeight="1" x14ac:dyDescent="0.25"/>
    <row r="26" spans="1:36" s="228" customFormat="1" ht="16.95" customHeight="1" x14ac:dyDescent="0.3">
      <c r="A26" s="228" t="s">
        <v>76</v>
      </c>
    </row>
    <row r="27" spans="1:36" s="124" customFormat="1" ht="12.6" customHeight="1" x14ac:dyDescent="0.25">
      <c r="S27" s="146"/>
      <c r="T27" s="163"/>
      <c r="U27" s="164"/>
      <c r="V27" s="164"/>
      <c r="W27" s="164"/>
      <c r="X27" s="164"/>
      <c r="Y27" s="164"/>
      <c r="Z27" s="164"/>
      <c r="AA27" s="164"/>
      <c r="AB27" s="164"/>
      <c r="AC27" s="164"/>
      <c r="AD27" s="164"/>
      <c r="AE27" s="164"/>
      <c r="AF27" s="164"/>
      <c r="AG27" s="164"/>
      <c r="AH27" s="164"/>
      <c r="AI27" s="164"/>
      <c r="AJ27" s="164"/>
    </row>
    <row r="28" spans="1:36" s="124" customFormat="1" ht="12.6" customHeight="1" x14ac:dyDescent="0.25">
      <c r="A28" s="125" t="s">
        <v>77</v>
      </c>
      <c r="S28" s="146"/>
      <c r="T28" s="163"/>
      <c r="U28" s="164"/>
      <c r="V28" s="164"/>
      <c r="W28" s="164"/>
      <c r="X28" s="164"/>
      <c r="Y28" s="164"/>
      <c r="Z28" s="164"/>
      <c r="AA28" s="164"/>
      <c r="AB28" s="164"/>
      <c r="AC28" s="164"/>
      <c r="AD28" s="164"/>
      <c r="AE28" s="164"/>
      <c r="AF28" s="164"/>
      <c r="AG28" s="164"/>
      <c r="AH28" s="164"/>
      <c r="AI28" s="164"/>
      <c r="AJ28" s="164"/>
    </row>
    <row r="29" spans="1:36" s="124" customFormat="1" ht="12.6" customHeight="1" x14ac:dyDescent="0.3">
      <c r="A29" s="230" t="s">
        <v>78</v>
      </c>
      <c r="S29" s="146"/>
      <c r="T29" s="163"/>
      <c r="U29" s="164"/>
      <c r="V29" s="164"/>
      <c r="W29" s="164"/>
      <c r="X29" s="164"/>
      <c r="Y29" s="164"/>
      <c r="Z29" s="164"/>
      <c r="AA29" s="164"/>
      <c r="AB29" s="164"/>
      <c r="AC29" s="164"/>
      <c r="AD29" s="164"/>
      <c r="AE29" s="164"/>
      <c r="AF29" s="164"/>
      <c r="AG29" s="164"/>
      <c r="AH29" s="164"/>
      <c r="AI29" s="164"/>
      <c r="AJ29" s="164"/>
    </row>
    <row r="30" spans="1:36" s="124" customFormat="1" ht="12.6" customHeight="1" x14ac:dyDescent="0.25">
      <c r="S30" s="146"/>
      <c r="T30" s="163"/>
      <c r="U30" s="164"/>
      <c r="V30" s="164"/>
      <c r="W30" s="164"/>
      <c r="X30" s="164"/>
      <c r="Y30" s="164"/>
      <c r="Z30" s="164"/>
      <c r="AA30" s="164"/>
      <c r="AB30" s="164"/>
      <c r="AC30" s="164"/>
      <c r="AD30" s="164"/>
      <c r="AE30" s="164"/>
      <c r="AF30" s="164"/>
      <c r="AG30" s="164"/>
      <c r="AH30" s="164"/>
      <c r="AI30" s="164"/>
      <c r="AJ30" s="164"/>
    </row>
    <row r="31" spans="1:36" s="124" customFormat="1" ht="12.6" customHeight="1" x14ac:dyDescent="0.25">
      <c r="S31" s="146"/>
      <c r="T31" s="163"/>
      <c r="U31" s="164"/>
      <c r="V31" s="164"/>
      <c r="W31" s="164"/>
      <c r="X31" s="164"/>
      <c r="Y31" s="164"/>
      <c r="Z31" s="164"/>
      <c r="AA31" s="164"/>
      <c r="AB31" s="164"/>
      <c r="AC31" s="164"/>
      <c r="AD31" s="164"/>
      <c r="AE31" s="164"/>
      <c r="AF31" s="164"/>
      <c r="AG31" s="164"/>
      <c r="AH31" s="164"/>
      <c r="AI31" s="164"/>
      <c r="AJ31" s="164"/>
    </row>
    <row r="32" spans="1:36" s="124" customFormat="1" ht="12.6" customHeight="1" x14ac:dyDescent="0.25">
      <c r="S32" s="146"/>
      <c r="T32" s="163"/>
      <c r="U32" s="164"/>
      <c r="V32" s="164"/>
      <c r="W32" s="164"/>
      <c r="X32" s="164"/>
      <c r="Y32" s="164"/>
      <c r="Z32" s="164"/>
      <c r="AA32" s="164"/>
      <c r="AB32" s="164"/>
      <c r="AC32" s="164"/>
      <c r="AD32" s="164"/>
      <c r="AE32" s="164"/>
      <c r="AF32" s="164"/>
      <c r="AG32" s="164"/>
      <c r="AH32" s="164"/>
      <c r="AI32" s="164"/>
      <c r="AJ32" s="164"/>
    </row>
    <row r="33" spans="1:58" s="124" customFormat="1" ht="12.6" customHeight="1" x14ac:dyDescent="0.25">
      <c r="S33" s="146"/>
      <c r="T33" s="163"/>
      <c r="U33" s="164"/>
      <c r="V33" s="164"/>
      <c r="W33" s="164"/>
      <c r="X33" s="164"/>
      <c r="Y33" s="164"/>
      <c r="Z33" s="164"/>
      <c r="AA33" s="164"/>
      <c r="AB33" s="164"/>
      <c r="AC33" s="164"/>
      <c r="AD33" s="164"/>
      <c r="AE33" s="164"/>
      <c r="AF33" s="164"/>
      <c r="AG33" s="164"/>
      <c r="AH33" s="164"/>
      <c r="AI33" s="164"/>
      <c r="AJ33" s="164"/>
    </row>
    <row r="34" spans="1:58" s="124" customFormat="1" ht="12.6" customHeight="1" x14ac:dyDescent="0.25">
      <c r="S34" s="146"/>
      <c r="T34" s="163"/>
      <c r="U34" s="164"/>
      <c r="V34" s="164"/>
      <c r="W34" s="164"/>
      <c r="X34" s="164"/>
      <c r="Y34" s="164"/>
      <c r="Z34" s="164"/>
      <c r="AA34" s="164"/>
      <c r="AB34" s="164"/>
      <c r="AC34" s="164"/>
      <c r="AD34" s="164"/>
      <c r="AE34" s="164"/>
      <c r="AF34" s="164"/>
      <c r="AG34" s="164"/>
      <c r="AH34" s="164"/>
      <c r="AI34" s="164"/>
      <c r="AJ34" s="164"/>
    </row>
    <row r="35" spans="1:58" s="168" customFormat="1" ht="26.4" customHeight="1" x14ac:dyDescent="0.25">
      <c r="A35" s="473"/>
      <c r="B35" s="473"/>
      <c r="C35" s="122"/>
      <c r="D35" s="166"/>
      <c r="E35" s="166"/>
      <c r="F35" s="122"/>
      <c r="G35" s="166"/>
      <c r="H35" s="166"/>
      <c r="I35" s="166"/>
      <c r="J35" s="166"/>
      <c r="K35" s="166"/>
      <c r="L35" s="166"/>
      <c r="M35" s="166"/>
      <c r="N35" s="166"/>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row>
    <row r="36" spans="1:58" s="168" customFormat="1" ht="14.4" customHeight="1" x14ac:dyDescent="0.25">
      <c r="A36" s="474"/>
      <c r="B36" s="475"/>
      <c r="C36" s="476" t="s">
        <v>79</v>
      </c>
      <c r="D36" s="476" t="s">
        <v>80</v>
      </c>
      <c r="E36" s="122"/>
      <c r="F36" s="477" t="s">
        <v>81</v>
      </c>
      <c r="G36" s="310"/>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row>
    <row r="37" spans="1:58" s="168" customFormat="1" ht="127.2" customHeight="1" x14ac:dyDescent="0.3">
      <c r="A37" s="134" t="s">
        <v>82</v>
      </c>
      <c r="B37" s="722" t="s">
        <v>83</v>
      </c>
      <c r="C37" s="478"/>
      <c r="D37" s="446"/>
      <c r="E37" s="122"/>
      <c r="F37" s="355"/>
      <c r="G37" s="124"/>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row>
    <row r="38" spans="1:58" s="168" customFormat="1" ht="19.2" customHeight="1" x14ac:dyDescent="0.25">
      <c r="A38" s="723" t="s">
        <v>84</v>
      </c>
      <c r="B38" s="724" t="s">
        <v>85</v>
      </c>
      <c r="C38" s="479">
        <v>5502</v>
      </c>
      <c r="D38" s="479">
        <v>5602</v>
      </c>
      <c r="E38" s="725"/>
      <c r="F38" s="480">
        <v>2500</v>
      </c>
      <c r="G38" s="311"/>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row>
    <row r="39" spans="1:58" s="168" customFormat="1" ht="18" customHeight="1" x14ac:dyDescent="0.25">
      <c r="A39" s="481" t="s">
        <v>86</v>
      </c>
      <c r="B39" s="726" t="s">
        <v>87</v>
      </c>
      <c r="C39" s="511">
        <v>10</v>
      </c>
      <c r="D39" s="727">
        <v>10</v>
      </c>
      <c r="E39" s="725"/>
      <c r="F39" s="512">
        <v>10</v>
      </c>
      <c r="G39" s="31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row>
    <row r="40" spans="1:58" s="168" customFormat="1" ht="26.4" customHeight="1" x14ac:dyDescent="0.25">
      <c r="A40" s="182" t="s">
        <v>88</v>
      </c>
      <c r="B40" s="728" t="s">
        <v>89</v>
      </c>
      <c r="C40" s="729" t="s">
        <v>90</v>
      </c>
      <c r="D40" s="729" t="s">
        <v>91</v>
      </c>
      <c r="E40" s="730"/>
      <c r="F40" s="731" t="s">
        <v>92</v>
      </c>
      <c r="G40" s="313"/>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row>
    <row r="41" spans="1:58" x14ac:dyDescent="0.25">
      <c r="A41" s="788" t="s">
        <v>93</v>
      </c>
      <c r="B41" s="788"/>
      <c r="C41" s="788"/>
      <c r="D41" s="788"/>
      <c r="E41" s="482"/>
      <c r="F41" s="721"/>
    </row>
    <row r="42" spans="1:58" x14ac:dyDescent="0.25">
      <c r="A42" s="796" t="s">
        <v>94</v>
      </c>
      <c r="B42" s="732" t="s">
        <v>95</v>
      </c>
      <c r="C42" s="733">
        <v>7.0000000000000007E-2</v>
      </c>
      <c r="D42" s="733">
        <v>3.3000000000000002E-2</v>
      </c>
      <c r="E42" s="513"/>
      <c r="F42" s="734">
        <v>3.3000000000000002E-2</v>
      </c>
      <c r="G42" s="707"/>
      <c r="H42" s="795"/>
      <c r="I42" s="795"/>
      <c r="J42" s="795"/>
      <c r="K42" s="795"/>
      <c r="L42" s="795"/>
      <c r="M42" s="795"/>
      <c r="N42" s="795"/>
      <c r="O42" s="795"/>
      <c r="P42" s="795"/>
      <c r="Q42" s="795"/>
      <c r="R42" s="795"/>
      <c r="S42" s="795"/>
      <c r="T42" s="795"/>
      <c r="U42" s="795"/>
      <c r="V42" s="795"/>
      <c r="W42" s="795"/>
      <c r="X42" s="795"/>
      <c r="Y42" s="795"/>
      <c r="Z42" s="795"/>
      <c r="AA42" s="795"/>
      <c r="AB42" s="795"/>
      <c r="AC42" s="795"/>
      <c r="AD42" s="795"/>
      <c r="AE42" s="795"/>
      <c r="AF42" s="795"/>
      <c r="AG42" s="795"/>
      <c r="AH42" s="795"/>
      <c r="AI42" s="795"/>
      <c r="AJ42" s="795"/>
      <c r="AK42" s="795"/>
      <c r="AL42" s="795"/>
      <c r="AM42" s="795"/>
      <c r="AN42" s="795"/>
      <c r="AO42" s="795"/>
      <c r="AP42" s="795"/>
      <c r="AQ42" s="795"/>
      <c r="AR42" s="795"/>
      <c r="AS42" s="795"/>
      <c r="AT42" s="795"/>
      <c r="AU42" s="795"/>
      <c r="AV42" s="795"/>
      <c r="AW42" s="795"/>
      <c r="AX42" s="795"/>
      <c r="AY42" s="795"/>
      <c r="AZ42" s="795"/>
      <c r="BA42" s="795"/>
      <c r="BB42" s="795"/>
      <c r="BC42" s="795"/>
      <c r="BD42" s="795"/>
      <c r="BE42" s="795"/>
      <c r="BF42" s="795"/>
    </row>
    <row r="43" spans="1:58" x14ac:dyDescent="0.25">
      <c r="A43" s="796"/>
      <c r="B43" s="732" t="s">
        <v>96</v>
      </c>
      <c r="C43" s="733" t="s">
        <v>97</v>
      </c>
      <c r="D43" s="733">
        <v>2.5000000000000001E-3</v>
      </c>
      <c r="E43" s="513"/>
      <c r="F43" s="734">
        <v>2.5000000000000001E-3</v>
      </c>
      <c r="G43" s="707"/>
      <c r="H43" s="795"/>
      <c r="I43" s="795"/>
      <c r="J43" s="795"/>
      <c r="K43" s="795"/>
      <c r="L43" s="795"/>
      <c r="M43" s="795"/>
      <c r="N43" s="795"/>
      <c r="O43" s="795"/>
      <c r="P43" s="795"/>
      <c r="Q43" s="795"/>
      <c r="R43" s="795"/>
      <c r="S43" s="795"/>
      <c r="T43" s="795"/>
      <c r="U43" s="795"/>
      <c r="V43" s="795"/>
      <c r="W43" s="795"/>
      <c r="X43" s="795"/>
      <c r="Y43" s="795"/>
      <c r="Z43" s="795"/>
      <c r="AA43" s="795"/>
      <c r="AB43" s="795"/>
      <c r="AC43" s="795"/>
      <c r="AD43" s="795"/>
      <c r="AE43" s="795"/>
      <c r="AF43" s="795"/>
      <c r="AG43" s="795"/>
      <c r="AH43" s="795"/>
      <c r="AI43" s="795"/>
      <c r="AJ43" s="795"/>
      <c r="AK43" s="795"/>
      <c r="AL43" s="795"/>
      <c r="AM43" s="795"/>
      <c r="AN43" s="795"/>
      <c r="AO43" s="795"/>
      <c r="AP43" s="795"/>
      <c r="AQ43" s="795"/>
      <c r="AR43" s="795"/>
      <c r="AS43" s="795"/>
      <c r="AT43" s="795"/>
      <c r="AU43" s="795"/>
      <c r="AV43" s="795"/>
      <c r="AW43" s="795"/>
      <c r="AX43" s="795"/>
      <c r="AY43" s="795"/>
      <c r="AZ43" s="795"/>
      <c r="BA43" s="795"/>
      <c r="BB43" s="795"/>
      <c r="BC43" s="795"/>
      <c r="BD43" s="795"/>
      <c r="BE43" s="795"/>
      <c r="BF43" s="795"/>
    </row>
    <row r="44" spans="1:58" x14ac:dyDescent="0.25">
      <c r="A44" s="797"/>
      <c r="B44" s="732" t="s">
        <v>98</v>
      </c>
      <c r="C44" s="733"/>
      <c r="D44" s="733" t="s">
        <v>99</v>
      </c>
      <c r="E44" s="513"/>
      <c r="F44" s="735" t="s">
        <v>100</v>
      </c>
      <c r="G44" s="707"/>
      <c r="H44" s="795"/>
      <c r="I44" s="795"/>
      <c r="J44" s="795"/>
      <c r="K44" s="795"/>
      <c r="L44" s="795"/>
      <c r="M44" s="795"/>
      <c r="N44" s="795"/>
      <c r="O44" s="795"/>
      <c r="P44" s="795"/>
      <c r="Q44" s="795"/>
      <c r="R44" s="795"/>
      <c r="S44" s="795"/>
      <c r="T44" s="795"/>
      <c r="U44" s="795"/>
      <c r="V44" s="795"/>
      <c r="W44" s="795"/>
      <c r="X44" s="795"/>
      <c r="Y44" s="795"/>
      <c r="Z44" s="795"/>
      <c r="AA44" s="795"/>
      <c r="AB44" s="795"/>
      <c r="AC44" s="795"/>
      <c r="AD44" s="795"/>
      <c r="AE44" s="795"/>
      <c r="AF44" s="795"/>
      <c r="AG44" s="795"/>
      <c r="AH44" s="795"/>
      <c r="AI44" s="795"/>
      <c r="AJ44" s="795"/>
      <c r="AK44" s="795"/>
      <c r="AL44" s="795"/>
      <c r="AM44" s="795"/>
      <c r="AN44" s="795"/>
      <c r="AO44" s="795"/>
      <c r="AP44" s="795"/>
      <c r="AQ44" s="795"/>
      <c r="AR44" s="795"/>
      <c r="AS44" s="795"/>
      <c r="AT44" s="795"/>
      <c r="AU44" s="795"/>
      <c r="AV44" s="795"/>
      <c r="AW44" s="795"/>
      <c r="AX44" s="795"/>
      <c r="AY44" s="795"/>
      <c r="AZ44" s="795"/>
      <c r="BA44" s="795"/>
      <c r="BB44" s="795"/>
      <c r="BC44" s="795"/>
      <c r="BD44" s="795"/>
      <c r="BE44" s="795"/>
      <c r="BF44" s="795"/>
    </row>
    <row r="45" spans="1:58" x14ac:dyDescent="0.25">
      <c r="A45" s="798" t="s">
        <v>101</v>
      </c>
      <c r="B45" s="736" t="s">
        <v>95</v>
      </c>
      <c r="C45" s="483">
        <v>0.48</v>
      </c>
      <c r="D45" s="483">
        <v>0.4</v>
      </c>
      <c r="E45" s="725"/>
      <c r="F45" s="483">
        <v>0.45</v>
      </c>
      <c r="G45" s="707"/>
      <c r="H45" s="795"/>
      <c r="I45" s="795"/>
      <c r="J45" s="795"/>
      <c r="K45" s="795"/>
      <c r="L45" s="795"/>
      <c r="M45" s="795"/>
      <c r="N45" s="795"/>
      <c r="O45" s="795"/>
      <c r="P45" s="795"/>
      <c r="Q45" s="795"/>
      <c r="R45" s="795"/>
      <c r="S45" s="795"/>
      <c r="T45" s="795"/>
      <c r="U45" s="795"/>
      <c r="V45" s="795"/>
      <c r="W45" s="795"/>
      <c r="X45" s="795"/>
      <c r="Y45" s="795"/>
      <c r="Z45" s="795"/>
      <c r="AA45" s="795"/>
      <c r="AB45" s="795"/>
      <c r="AC45" s="795"/>
      <c r="AD45" s="795"/>
      <c r="AE45" s="795"/>
      <c r="AF45" s="795"/>
      <c r="AG45" s="795"/>
      <c r="AH45" s="795"/>
      <c r="AI45" s="795"/>
      <c r="AJ45" s="795"/>
      <c r="AK45" s="795"/>
      <c r="AL45" s="795"/>
      <c r="AM45" s="795"/>
      <c r="AN45" s="795"/>
      <c r="AO45" s="795"/>
      <c r="AP45" s="795"/>
      <c r="AQ45" s="795"/>
      <c r="AR45" s="795"/>
      <c r="AS45" s="795"/>
      <c r="AT45" s="795"/>
      <c r="AU45" s="795"/>
      <c r="AV45" s="795"/>
      <c r="AW45" s="795"/>
      <c r="AX45" s="795"/>
      <c r="AY45" s="795"/>
      <c r="AZ45" s="795"/>
      <c r="BA45" s="795"/>
      <c r="BB45" s="795"/>
      <c r="BC45" s="795"/>
      <c r="BD45" s="795"/>
      <c r="BE45" s="795"/>
      <c r="BF45" s="795"/>
    </row>
    <row r="46" spans="1:58" x14ac:dyDescent="0.25">
      <c r="A46" s="798"/>
      <c r="B46" s="736" t="s">
        <v>96</v>
      </c>
      <c r="C46" s="483">
        <v>0.78</v>
      </c>
      <c r="D46" s="483">
        <v>0.95</v>
      </c>
      <c r="E46" s="725"/>
      <c r="F46" s="483">
        <v>0.95</v>
      </c>
      <c r="G46" s="707"/>
      <c r="H46" s="795"/>
      <c r="I46" s="795"/>
      <c r="J46" s="795"/>
      <c r="K46" s="795"/>
      <c r="L46" s="795"/>
      <c r="M46" s="795"/>
      <c r="N46" s="795"/>
      <c r="O46" s="795"/>
      <c r="P46" s="795"/>
      <c r="Q46" s="795"/>
      <c r="R46" s="795"/>
      <c r="S46" s="795"/>
      <c r="T46" s="795"/>
      <c r="U46" s="795"/>
      <c r="V46" s="795"/>
      <c r="W46" s="795"/>
      <c r="X46" s="795"/>
      <c r="Y46" s="795"/>
      <c r="Z46" s="795"/>
      <c r="AA46" s="795"/>
      <c r="AB46" s="795"/>
      <c r="AC46" s="795"/>
      <c r="AD46" s="795"/>
      <c r="AE46" s="795"/>
      <c r="AF46" s="795"/>
      <c r="AG46" s="795"/>
      <c r="AH46" s="795"/>
      <c r="AI46" s="795"/>
      <c r="AJ46" s="795"/>
      <c r="AK46" s="795"/>
      <c r="AL46" s="795"/>
      <c r="AM46" s="795"/>
      <c r="AN46" s="795"/>
      <c r="AO46" s="795"/>
      <c r="AP46" s="795"/>
      <c r="AQ46" s="795"/>
      <c r="AR46" s="795"/>
      <c r="AS46" s="795"/>
      <c r="AT46" s="795"/>
      <c r="AU46" s="795"/>
      <c r="AV46" s="795"/>
      <c r="AW46" s="795"/>
      <c r="AX46" s="795"/>
      <c r="AY46" s="795"/>
      <c r="AZ46" s="795"/>
      <c r="BA46" s="795"/>
      <c r="BB46" s="795"/>
      <c r="BC46" s="795"/>
      <c r="BD46" s="795"/>
      <c r="BE46" s="795"/>
      <c r="BF46" s="795"/>
    </row>
    <row r="47" spans="1:58" x14ac:dyDescent="0.25">
      <c r="A47" s="798"/>
      <c r="B47" s="736" t="s">
        <v>98</v>
      </c>
      <c r="C47" s="483"/>
      <c r="D47" s="483" t="s">
        <v>102</v>
      </c>
      <c r="E47" s="737"/>
      <c r="F47" s="483"/>
      <c r="G47" s="707"/>
      <c r="H47" s="795"/>
      <c r="I47" s="795"/>
      <c r="J47" s="795"/>
      <c r="K47" s="795"/>
      <c r="L47" s="795"/>
      <c r="M47" s="795"/>
      <c r="N47" s="795"/>
      <c r="O47" s="795"/>
      <c r="P47" s="795"/>
      <c r="Q47" s="795"/>
      <c r="R47" s="795"/>
      <c r="S47" s="795"/>
      <c r="T47" s="795"/>
      <c r="U47" s="795"/>
      <c r="V47" s="795"/>
      <c r="W47" s="795"/>
      <c r="X47" s="795"/>
      <c r="Y47" s="795"/>
      <c r="Z47" s="795"/>
      <c r="AA47" s="795"/>
      <c r="AB47" s="795"/>
      <c r="AC47" s="795"/>
      <c r="AD47" s="795"/>
      <c r="AE47" s="795"/>
      <c r="AF47" s="795"/>
      <c r="AG47" s="795"/>
      <c r="AH47" s="795"/>
      <c r="AI47" s="795"/>
      <c r="AJ47" s="795"/>
      <c r="AK47" s="795"/>
      <c r="AL47" s="795"/>
      <c r="AM47" s="795"/>
      <c r="AN47" s="795"/>
      <c r="AO47" s="795"/>
      <c r="AP47" s="795"/>
      <c r="AQ47" s="795"/>
      <c r="AR47" s="795"/>
      <c r="AS47" s="795"/>
      <c r="AT47" s="795"/>
      <c r="AU47" s="795"/>
      <c r="AV47" s="795"/>
      <c r="AW47" s="795"/>
      <c r="AX47" s="795"/>
      <c r="AY47" s="795"/>
      <c r="AZ47" s="795"/>
      <c r="BA47" s="795"/>
      <c r="BB47" s="795"/>
      <c r="BC47" s="795"/>
      <c r="BD47" s="795"/>
      <c r="BE47" s="795"/>
      <c r="BF47" s="795"/>
    </row>
    <row r="48" spans="1:58" x14ac:dyDescent="0.25">
      <c r="A48" s="732" t="s">
        <v>103</v>
      </c>
      <c r="B48" s="732"/>
      <c r="C48" s="733" t="s">
        <v>104</v>
      </c>
      <c r="D48" s="733"/>
      <c r="E48" s="737"/>
      <c r="F48" s="735" t="s">
        <v>100</v>
      </c>
      <c r="G48" s="707"/>
      <c r="H48" s="795"/>
      <c r="I48" s="795"/>
      <c r="J48" s="795"/>
      <c r="K48" s="795"/>
      <c r="L48" s="795"/>
      <c r="M48" s="795"/>
      <c r="N48" s="795"/>
      <c r="O48" s="795"/>
      <c r="P48" s="795"/>
      <c r="Q48" s="795"/>
      <c r="R48" s="795"/>
      <c r="S48" s="795"/>
      <c r="T48" s="795"/>
      <c r="U48" s="795"/>
      <c r="V48" s="795"/>
      <c r="W48" s="795"/>
      <c r="X48" s="795"/>
      <c r="Y48" s="795"/>
      <c r="Z48" s="795"/>
      <c r="AA48" s="795"/>
      <c r="AB48" s="795"/>
      <c r="AC48" s="795"/>
      <c r="AD48" s="795"/>
      <c r="AE48" s="795"/>
      <c r="AF48" s="795"/>
      <c r="AG48" s="795"/>
      <c r="AH48" s="795"/>
      <c r="AI48" s="795"/>
      <c r="AJ48" s="795"/>
      <c r="AK48" s="795"/>
      <c r="AL48" s="795"/>
      <c r="AM48" s="795"/>
      <c r="AN48" s="795"/>
      <c r="AO48" s="795"/>
      <c r="AP48" s="795"/>
      <c r="AQ48" s="795"/>
      <c r="AR48" s="795"/>
      <c r="AS48" s="795"/>
      <c r="AT48" s="795"/>
      <c r="AU48" s="795"/>
      <c r="AV48" s="795"/>
      <c r="AW48" s="795"/>
      <c r="AX48" s="795"/>
      <c r="AY48" s="795"/>
      <c r="AZ48" s="795"/>
      <c r="BA48" s="795"/>
      <c r="BB48" s="795"/>
      <c r="BC48" s="795"/>
      <c r="BD48" s="795"/>
      <c r="BE48" s="795"/>
      <c r="BF48" s="795"/>
    </row>
    <row r="49" spans="1:58" x14ac:dyDescent="0.25">
      <c r="A49" s="738" t="s">
        <v>105</v>
      </c>
      <c r="B49" s="739" t="s">
        <v>96</v>
      </c>
      <c r="C49" s="444" t="s">
        <v>106</v>
      </c>
      <c r="D49" s="445">
        <v>17.5</v>
      </c>
      <c r="E49" s="737"/>
      <c r="F49" s="483">
        <v>32.4</v>
      </c>
      <c r="G49" s="707"/>
      <c r="H49" s="795"/>
      <c r="I49" s="795"/>
      <c r="J49" s="795"/>
      <c r="K49" s="795"/>
      <c r="L49" s="795"/>
      <c r="M49" s="795"/>
      <c r="N49" s="795"/>
      <c r="O49" s="795"/>
      <c r="P49" s="795"/>
      <c r="Q49" s="795"/>
      <c r="R49" s="795"/>
      <c r="S49" s="795"/>
      <c r="T49" s="795"/>
      <c r="U49" s="795"/>
      <c r="V49" s="795"/>
      <c r="W49" s="795"/>
      <c r="X49" s="795"/>
      <c r="Y49" s="795"/>
      <c r="Z49" s="795"/>
      <c r="AA49" s="795"/>
      <c r="AB49" s="795"/>
      <c r="AC49" s="795"/>
      <c r="AD49" s="795"/>
      <c r="AE49" s="795"/>
      <c r="AF49" s="795"/>
      <c r="AG49" s="795"/>
      <c r="AH49" s="795"/>
      <c r="AI49" s="795"/>
      <c r="AJ49" s="795"/>
      <c r="AK49" s="795"/>
      <c r="AL49" s="795"/>
      <c r="AM49" s="795"/>
      <c r="AN49" s="795"/>
      <c r="AO49" s="795"/>
      <c r="AP49" s="795"/>
      <c r="AQ49" s="795"/>
      <c r="AR49" s="795"/>
      <c r="AS49" s="795"/>
      <c r="AT49" s="795"/>
      <c r="AU49" s="795"/>
      <c r="AV49" s="795"/>
      <c r="AW49" s="795"/>
      <c r="AX49" s="795"/>
      <c r="AY49" s="795"/>
      <c r="AZ49" s="795"/>
      <c r="BA49" s="795"/>
      <c r="BB49" s="795"/>
      <c r="BC49" s="795"/>
      <c r="BD49" s="795"/>
      <c r="BE49" s="795"/>
      <c r="BF49" s="795"/>
    </row>
    <row r="50" spans="1:58" x14ac:dyDescent="0.25">
      <c r="A50" s="796" t="s">
        <v>107</v>
      </c>
      <c r="B50" s="732" t="s">
        <v>95</v>
      </c>
      <c r="C50" s="734" t="s">
        <v>108</v>
      </c>
      <c r="D50" s="734">
        <v>0.5</v>
      </c>
      <c r="E50" s="737"/>
      <c r="F50" s="734" t="s">
        <v>109</v>
      </c>
      <c r="G50" s="270"/>
      <c r="H50" s="721"/>
      <c r="I50" s="721"/>
      <c r="J50" s="721"/>
      <c r="K50" s="721"/>
      <c r="L50" s="721"/>
      <c r="M50" s="721"/>
      <c r="N50" s="721"/>
      <c r="O50" s="721"/>
      <c r="P50" s="721"/>
      <c r="Q50" s="721"/>
      <c r="R50" s="721"/>
      <c r="S50" s="721"/>
      <c r="T50" s="721"/>
      <c r="U50" s="721"/>
      <c r="V50" s="721"/>
      <c r="W50" s="721"/>
      <c r="X50" s="721"/>
      <c r="Y50" s="721"/>
      <c r="Z50" s="721"/>
      <c r="AA50" s="721"/>
      <c r="AB50" s="721"/>
      <c r="AC50" s="721"/>
      <c r="AD50" s="721"/>
      <c r="AE50" s="721"/>
      <c r="AF50" s="721"/>
      <c r="AG50" s="721"/>
      <c r="AH50" s="721"/>
      <c r="AI50" s="721"/>
      <c r="AJ50" s="721"/>
      <c r="AK50" s="721"/>
      <c r="AL50" s="721"/>
      <c r="AM50" s="721"/>
      <c r="AN50" s="721"/>
      <c r="AO50" s="721"/>
      <c r="AP50" s="721"/>
      <c r="AQ50" s="721"/>
      <c r="AR50" s="721"/>
      <c r="AS50" s="721"/>
      <c r="AT50" s="721"/>
      <c r="AU50" s="721"/>
      <c r="AV50" s="721"/>
      <c r="AW50" s="721"/>
      <c r="AX50" s="721"/>
      <c r="AY50" s="721"/>
      <c r="AZ50" s="721"/>
      <c r="BA50" s="721"/>
      <c r="BB50" s="721"/>
      <c r="BC50" s="721"/>
      <c r="BD50" s="721"/>
      <c r="BE50" s="721"/>
      <c r="BF50" s="721"/>
    </row>
    <row r="51" spans="1:58" ht="26.4" x14ac:dyDescent="0.25">
      <c r="A51" s="796"/>
      <c r="B51" s="732" t="s">
        <v>96</v>
      </c>
      <c r="C51" s="740" t="s">
        <v>110</v>
      </c>
      <c r="D51" s="733" t="s">
        <v>111</v>
      </c>
      <c r="E51" s="737"/>
      <c r="F51" s="734" t="s">
        <v>111</v>
      </c>
      <c r="G51" s="270"/>
      <c r="H51" s="721"/>
      <c r="I51" s="721"/>
      <c r="J51" s="721"/>
      <c r="K51" s="721"/>
      <c r="L51" s="721"/>
      <c r="M51" s="721"/>
      <c r="N51" s="721"/>
      <c r="O51" s="721"/>
      <c r="P51" s="721"/>
      <c r="Q51" s="721"/>
      <c r="R51" s="721"/>
      <c r="S51" s="721"/>
      <c r="T51" s="721"/>
      <c r="U51" s="721"/>
      <c r="V51" s="721"/>
      <c r="W51" s="721"/>
      <c r="X51" s="721"/>
      <c r="Y51" s="721"/>
      <c r="Z51" s="721"/>
      <c r="AA51" s="721"/>
      <c r="AB51" s="721"/>
      <c r="AC51" s="721"/>
      <c r="AD51" s="721"/>
      <c r="AE51" s="721"/>
      <c r="AF51" s="721"/>
      <c r="AG51" s="721"/>
      <c r="AH51" s="721"/>
      <c r="AI51" s="721"/>
      <c r="AJ51" s="721"/>
      <c r="AK51" s="721"/>
      <c r="AL51" s="721"/>
      <c r="AM51" s="721"/>
      <c r="AN51" s="721"/>
      <c r="AO51" s="721"/>
      <c r="AP51" s="721"/>
      <c r="AQ51" s="721"/>
      <c r="AR51" s="721"/>
      <c r="AS51" s="721"/>
      <c r="AT51" s="721"/>
      <c r="AU51" s="721"/>
      <c r="AV51" s="721"/>
      <c r="AW51" s="721"/>
      <c r="AX51" s="721"/>
      <c r="AY51" s="721"/>
      <c r="AZ51" s="721"/>
      <c r="BA51" s="721"/>
      <c r="BB51" s="721"/>
      <c r="BC51" s="721"/>
      <c r="BD51" s="721"/>
      <c r="BE51" s="721"/>
      <c r="BF51" s="721"/>
    </row>
    <row r="52" spans="1:58" x14ac:dyDescent="0.25">
      <c r="A52" s="797"/>
      <c r="B52" s="732" t="s">
        <v>98</v>
      </c>
      <c r="C52" s="733"/>
      <c r="D52" s="733" t="s">
        <v>112</v>
      </c>
      <c r="E52" s="737"/>
      <c r="F52" s="734"/>
      <c r="G52" s="270"/>
      <c r="H52" s="795"/>
      <c r="I52" s="795"/>
      <c r="J52" s="795"/>
      <c r="K52" s="795"/>
      <c r="L52" s="795"/>
      <c r="M52" s="795"/>
      <c r="N52" s="795"/>
      <c r="O52" s="795"/>
      <c r="P52" s="795"/>
      <c r="Q52" s="795"/>
      <c r="R52" s="795"/>
      <c r="S52" s="795"/>
      <c r="T52" s="795"/>
      <c r="U52" s="795"/>
      <c r="V52" s="795"/>
      <c r="W52" s="795"/>
      <c r="X52" s="795"/>
      <c r="Y52" s="795"/>
      <c r="Z52" s="795"/>
      <c r="AA52" s="795"/>
      <c r="AB52" s="795"/>
      <c r="AC52" s="795"/>
      <c r="AD52" s="795"/>
      <c r="AE52" s="795"/>
      <c r="AF52" s="795"/>
      <c r="AG52" s="795"/>
      <c r="AH52" s="795"/>
      <c r="AI52" s="795"/>
      <c r="AJ52" s="795"/>
      <c r="AK52" s="795"/>
      <c r="AL52" s="795"/>
      <c r="AM52" s="795"/>
      <c r="AN52" s="795"/>
      <c r="AO52" s="795"/>
      <c r="AP52" s="795"/>
      <c r="AQ52" s="795"/>
      <c r="AR52" s="795"/>
      <c r="AS52" s="795"/>
      <c r="AT52" s="795"/>
      <c r="AU52" s="795"/>
      <c r="AV52" s="795"/>
      <c r="AW52" s="795"/>
      <c r="AX52" s="795"/>
      <c r="AY52" s="795"/>
      <c r="AZ52" s="795"/>
      <c r="BA52" s="795"/>
      <c r="BB52" s="795"/>
      <c r="BC52" s="795"/>
      <c r="BD52" s="795"/>
      <c r="BE52" s="795"/>
      <c r="BF52" s="795"/>
    </row>
    <row r="53" spans="1:58" x14ac:dyDescent="0.25">
      <c r="A53" s="229"/>
      <c r="B53" s="229"/>
      <c r="C53" s="616"/>
      <c r="D53" s="616"/>
      <c r="E53" s="737"/>
      <c r="F53" s="616"/>
      <c r="G53" s="270"/>
      <c r="H53" s="795"/>
      <c r="I53" s="795"/>
      <c r="J53" s="795"/>
      <c r="K53" s="795"/>
      <c r="L53" s="795"/>
      <c r="M53" s="795"/>
      <c r="N53" s="795"/>
      <c r="O53" s="795"/>
      <c r="P53" s="795"/>
      <c r="Q53" s="795"/>
      <c r="R53" s="795"/>
      <c r="S53" s="795"/>
      <c r="T53" s="795"/>
      <c r="U53" s="795"/>
      <c r="V53" s="795"/>
      <c r="W53" s="795"/>
      <c r="X53" s="795"/>
      <c r="Y53" s="795"/>
      <c r="Z53" s="795"/>
      <c r="AA53" s="795"/>
      <c r="AB53" s="795"/>
      <c r="AC53" s="795"/>
      <c r="AD53" s="795"/>
      <c r="AE53" s="795"/>
      <c r="AF53" s="795"/>
      <c r="AG53" s="795"/>
      <c r="AH53" s="795"/>
      <c r="AI53" s="795"/>
      <c r="AJ53" s="795"/>
      <c r="AK53" s="795"/>
      <c r="AL53" s="795"/>
      <c r="AM53" s="795"/>
      <c r="AN53" s="795"/>
      <c r="AO53" s="795"/>
      <c r="AP53" s="795"/>
      <c r="AQ53" s="795"/>
      <c r="AR53" s="795"/>
      <c r="AS53" s="795"/>
      <c r="AT53" s="795"/>
      <c r="AU53" s="795"/>
      <c r="AV53" s="795"/>
      <c r="AW53" s="795"/>
      <c r="AX53" s="795"/>
      <c r="AY53" s="795"/>
      <c r="AZ53" s="795"/>
      <c r="BA53" s="795"/>
      <c r="BB53" s="795"/>
      <c r="BC53" s="795"/>
      <c r="BD53" s="795"/>
      <c r="BE53" s="795"/>
      <c r="BF53" s="795"/>
    </row>
    <row r="54" spans="1:58" ht="79.2" customHeight="1" x14ac:dyDescent="0.25">
      <c r="A54" s="741" t="s">
        <v>113</v>
      </c>
      <c r="B54" s="736" t="s">
        <v>96</v>
      </c>
      <c r="C54" s="742" t="s">
        <v>114</v>
      </c>
      <c r="D54" s="483" t="s">
        <v>115</v>
      </c>
      <c r="E54" s="513"/>
      <c r="F54" s="483" t="s">
        <v>116</v>
      </c>
      <c r="G54" s="270"/>
      <c r="H54" s="795"/>
      <c r="I54" s="795"/>
      <c r="J54" s="795"/>
      <c r="K54" s="795"/>
      <c r="L54" s="795"/>
      <c r="M54" s="795"/>
      <c r="N54" s="795"/>
      <c r="O54" s="795"/>
      <c r="P54" s="795"/>
      <c r="Q54" s="795"/>
      <c r="R54" s="795"/>
      <c r="S54" s="795"/>
      <c r="T54" s="795"/>
      <c r="U54" s="795"/>
      <c r="V54" s="795"/>
      <c r="W54" s="795"/>
      <c r="X54" s="795"/>
      <c r="Y54" s="795"/>
      <c r="Z54" s="795"/>
      <c r="AA54" s="795"/>
      <c r="AB54" s="795"/>
      <c r="AC54" s="795"/>
      <c r="AD54" s="795"/>
      <c r="AE54" s="795"/>
      <c r="AF54" s="795"/>
      <c r="AG54" s="795"/>
      <c r="AH54" s="795"/>
      <c r="AI54" s="795"/>
      <c r="AJ54" s="795"/>
      <c r="AK54" s="795"/>
      <c r="AL54" s="795"/>
      <c r="AM54" s="795"/>
      <c r="AN54" s="795"/>
      <c r="AO54" s="795"/>
      <c r="AP54" s="795"/>
      <c r="AQ54" s="795"/>
      <c r="AR54" s="795"/>
      <c r="AS54" s="795"/>
      <c r="AT54" s="795"/>
      <c r="AU54" s="795"/>
      <c r="AV54" s="795"/>
      <c r="AW54" s="795"/>
      <c r="AX54" s="795"/>
      <c r="AY54" s="795"/>
      <c r="AZ54" s="795"/>
      <c r="BA54" s="795"/>
      <c r="BB54" s="795"/>
      <c r="BC54" s="795"/>
      <c r="BD54" s="795"/>
      <c r="BE54" s="795"/>
      <c r="BF54" s="795"/>
    </row>
    <row r="55" spans="1:58" x14ac:dyDescent="0.25">
      <c r="A55" s="743"/>
      <c r="B55" s="743"/>
      <c r="C55" s="267"/>
      <c r="D55" s="267"/>
      <c r="F55" s="267"/>
      <c r="G55" s="721"/>
      <c r="H55" s="721"/>
      <c r="I55" s="721"/>
      <c r="J55" s="721"/>
      <c r="K55" s="721"/>
      <c r="L55" s="721"/>
      <c r="M55" s="721"/>
      <c r="N55" s="721"/>
      <c r="O55" s="721"/>
      <c r="P55" s="721"/>
      <c r="Q55" s="721"/>
      <c r="R55" s="721"/>
      <c r="S55" s="721"/>
      <c r="T55" s="721"/>
      <c r="U55" s="721"/>
      <c r="V55" s="721"/>
      <c r="W55" s="721"/>
      <c r="X55" s="721"/>
      <c r="Y55" s="721"/>
      <c r="Z55" s="721"/>
      <c r="AA55" s="721"/>
      <c r="AB55" s="721"/>
      <c r="AC55" s="721"/>
      <c r="AD55" s="721"/>
      <c r="AE55" s="721"/>
      <c r="AF55" s="721"/>
      <c r="AG55" s="721"/>
      <c r="AH55" s="721"/>
      <c r="AI55" s="721"/>
      <c r="AJ55" s="721"/>
      <c r="AK55" s="721"/>
      <c r="AL55" s="721"/>
      <c r="AM55" s="721"/>
      <c r="AN55" s="721"/>
      <c r="AO55" s="721"/>
      <c r="AP55" s="721"/>
      <c r="AQ55" s="721"/>
      <c r="AR55" s="721"/>
      <c r="AS55" s="721"/>
      <c r="AT55" s="721"/>
      <c r="AU55" s="721"/>
      <c r="AV55" s="721"/>
      <c r="AW55" s="721"/>
      <c r="AX55" s="721"/>
      <c r="AY55" s="721"/>
      <c r="AZ55" s="721"/>
      <c r="BA55" s="721"/>
      <c r="BB55" s="721"/>
      <c r="BC55" s="721"/>
      <c r="BD55" s="721"/>
      <c r="BE55" s="721"/>
      <c r="BF55" s="721"/>
    </row>
    <row r="56" spans="1:58" x14ac:dyDescent="0.25">
      <c r="A56" s="744" t="s">
        <v>117</v>
      </c>
      <c r="B56" s="744"/>
      <c r="C56" s="484" t="s">
        <v>118</v>
      </c>
      <c r="D56" s="484" t="s">
        <v>119</v>
      </c>
      <c r="E56" s="180"/>
      <c r="F56" s="485" t="s">
        <v>120</v>
      </c>
      <c r="G56" s="184"/>
      <c r="H56" s="721"/>
      <c r="I56" s="721"/>
      <c r="J56" s="721"/>
      <c r="K56" s="721"/>
      <c r="L56" s="721"/>
      <c r="M56" s="721"/>
      <c r="N56" s="721"/>
      <c r="O56" s="721"/>
      <c r="P56" s="721"/>
      <c r="Q56" s="721"/>
      <c r="R56" s="721"/>
      <c r="S56" s="721"/>
      <c r="T56" s="721"/>
      <c r="U56" s="721"/>
      <c r="V56" s="721"/>
      <c r="W56" s="721"/>
      <c r="X56" s="721"/>
      <c r="Y56" s="721"/>
      <c r="Z56" s="721"/>
      <c r="AA56" s="721"/>
      <c r="AB56" s="721"/>
      <c r="AC56" s="721"/>
      <c r="AD56" s="721"/>
      <c r="AE56" s="721"/>
      <c r="AF56" s="721"/>
      <c r="AG56" s="721"/>
      <c r="AH56" s="721"/>
      <c r="AI56" s="721"/>
      <c r="AJ56" s="721"/>
      <c r="AK56" s="721"/>
      <c r="AL56" s="721"/>
      <c r="AM56" s="721"/>
      <c r="AN56" s="721"/>
      <c r="AO56" s="721"/>
      <c r="AP56" s="721"/>
      <c r="AQ56" s="721"/>
      <c r="AR56" s="721"/>
      <c r="AS56" s="721"/>
      <c r="AT56" s="721"/>
      <c r="AU56" s="721"/>
      <c r="AV56" s="721"/>
      <c r="AW56" s="721"/>
      <c r="AX56" s="721"/>
      <c r="AY56" s="721"/>
      <c r="AZ56" s="721"/>
      <c r="BA56" s="721"/>
      <c r="BB56" s="721"/>
      <c r="BC56" s="721"/>
      <c r="BD56" s="721"/>
      <c r="BE56" s="721"/>
      <c r="BF56" s="721"/>
    </row>
    <row r="57" spans="1:58" ht="52.8" x14ac:dyDescent="0.25">
      <c r="A57" s="799" t="s">
        <v>121</v>
      </c>
      <c r="B57" s="745" t="s">
        <v>95</v>
      </c>
      <c r="C57" s="486" t="s">
        <v>122</v>
      </c>
      <c r="D57" s="486" t="s">
        <v>123</v>
      </c>
      <c r="E57" s="180"/>
      <c r="F57" s="484" t="s">
        <v>124</v>
      </c>
      <c r="G57" s="707"/>
      <c r="H57" s="721"/>
      <c r="I57" s="721"/>
      <c r="J57" s="721"/>
      <c r="K57" s="721"/>
      <c r="L57" s="721"/>
      <c r="M57" s="721"/>
      <c r="N57" s="721"/>
      <c r="O57" s="721"/>
      <c r="P57" s="721"/>
      <c r="Q57" s="721"/>
      <c r="R57" s="721"/>
      <c r="S57" s="721"/>
      <c r="T57" s="721"/>
      <c r="U57" s="721"/>
      <c r="V57" s="721"/>
      <c r="W57" s="721"/>
      <c r="X57" s="721"/>
      <c r="Y57" s="721"/>
      <c r="Z57" s="721"/>
      <c r="AA57" s="721"/>
      <c r="AB57" s="721"/>
      <c r="AC57" s="721"/>
      <c r="AD57" s="721"/>
      <c r="AE57" s="721"/>
      <c r="AF57" s="721"/>
      <c r="AG57" s="721"/>
      <c r="AH57" s="721"/>
      <c r="AI57" s="721"/>
      <c r="AJ57" s="721"/>
      <c r="AK57" s="721"/>
      <c r="AL57" s="721"/>
      <c r="AM57" s="721"/>
      <c r="AN57" s="721"/>
      <c r="AO57" s="721"/>
      <c r="AP57" s="721"/>
      <c r="AQ57" s="721"/>
      <c r="AR57" s="721"/>
      <c r="AS57" s="721"/>
      <c r="AT57" s="721"/>
      <c r="AU57" s="721"/>
      <c r="AV57" s="721"/>
      <c r="AW57" s="721"/>
      <c r="AX57" s="721"/>
      <c r="AY57" s="721"/>
      <c r="AZ57" s="721"/>
      <c r="BA57" s="721"/>
      <c r="BB57" s="721"/>
      <c r="BC57" s="721"/>
      <c r="BD57" s="721"/>
      <c r="BE57" s="721"/>
      <c r="BF57" s="721"/>
    </row>
    <row r="58" spans="1:58" ht="26.4" customHeight="1" x14ac:dyDescent="0.25">
      <c r="A58" s="799"/>
      <c r="B58" s="745" t="s">
        <v>96</v>
      </c>
      <c r="C58" s="487" t="s">
        <v>125</v>
      </c>
      <c r="D58" s="488" t="s">
        <v>126</v>
      </c>
      <c r="E58" s="180"/>
      <c r="F58" s="487" t="s">
        <v>127</v>
      </c>
      <c r="G58" s="707"/>
      <c r="H58" s="721"/>
      <c r="I58" s="721"/>
      <c r="J58" s="721"/>
      <c r="K58" s="721"/>
      <c r="L58" s="721"/>
      <c r="M58" s="721"/>
      <c r="N58" s="721"/>
      <c r="O58" s="721"/>
      <c r="P58" s="721"/>
      <c r="Q58" s="721"/>
      <c r="R58" s="721"/>
      <c r="S58" s="721"/>
      <c r="T58" s="721"/>
      <c r="U58" s="721"/>
      <c r="V58" s="721"/>
      <c r="W58" s="721"/>
      <c r="X58" s="721"/>
      <c r="Y58" s="721"/>
      <c r="Z58" s="721"/>
      <c r="AA58" s="721"/>
      <c r="AB58" s="721"/>
      <c r="AC58" s="721"/>
      <c r="AD58" s="721"/>
      <c r="AE58" s="721"/>
      <c r="AF58" s="721"/>
      <c r="AG58" s="721"/>
      <c r="AH58" s="721"/>
      <c r="AI58" s="721"/>
      <c r="AJ58" s="721"/>
      <c r="AK58" s="721"/>
      <c r="AL58" s="721"/>
      <c r="AM58" s="721"/>
      <c r="AN58" s="721"/>
      <c r="AO58" s="721"/>
      <c r="AP58" s="721"/>
      <c r="AQ58" s="721"/>
      <c r="AR58" s="721"/>
      <c r="AS58" s="721"/>
      <c r="AT58" s="721"/>
      <c r="AU58" s="721"/>
      <c r="AV58" s="721"/>
      <c r="AW58" s="721"/>
      <c r="AX58" s="721"/>
      <c r="AY58" s="721"/>
      <c r="AZ58" s="721"/>
      <c r="BA58" s="721"/>
      <c r="BB58" s="721"/>
      <c r="BC58" s="721"/>
      <c r="BD58" s="721"/>
      <c r="BE58" s="721"/>
      <c r="BF58" s="721"/>
    </row>
    <row r="59" spans="1:58" ht="26.4" x14ac:dyDescent="0.25">
      <c r="A59" s="799"/>
      <c r="B59" s="745" t="s">
        <v>98</v>
      </c>
      <c r="C59" s="489"/>
      <c r="D59" s="488" t="s">
        <v>128</v>
      </c>
      <c r="E59" s="180"/>
      <c r="F59" s="489"/>
      <c r="G59" s="707"/>
      <c r="H59" s="721"/>
      <c r="I59" s="721"/>
      <c r="J59" s="721"/>
      <c r="K59" s="721"/>
      <c r="L59" s="721"/>
      <c r="M59" s="721"/>
      <c r="N59" s="721"/>
      <c r="O59" s="721"/>
      <c r="P59" s="721"/>
      <c r="Q59" s="721"/>
      <c r="R59" s="721"/>
      <c r="S59" s="721"/>
      <c r="T59" s="721"/>
      <c r="U59" s="721"/>
      <c r="V59" s="721"/>
      <c r="W59" s="721"/>
      <c r="X59" s="721"/>
      <c r="Y59" s="721"/>
      <c r="Z59" s="721"/>
      <c r="AA59" s="721"/>
      <c r="AB59" s="721"/>
      <c r="AC59" s="721"/>
      <c r="AD59" s="721"/>
      <c r="AE59" s="721"/>
      <c r="AF59" s="721"/>
      <c r="AG59" s="721"/>
      <c r="AH59" s="721"/>
      <c r="AI59" s="721"/>
      <c r="AJ59" s="721"/>
      <c r="AK59" s="721"/>
      <c r="AL59" s="721"/>
      <c r="AM59" s="721"/>
      <c r="AN59" s="721"/>
      <c r="AO59" s="721"/>
      <c r="AP59" s="721"/>
      <c r="AQ59" s="721"/>
      <c r="AR59" s="721"/>
      <c r="AS59" s="721"/>
      <c r="AT59" s="721"/>
      <c r="AU59" s="721"/>
      <c r="AV59" s="721"/>
      <c r="AW59" s="721"/>
      <c r="AX59" s="721"/>
      <c r="AY59" s="721"/>
      <c r="AZ59" s="721"/>
      <c r="BA59" s="721"/>
      <c r="BB59" s="721"/>
      <c r="BC59" s="721"/>
      <c r="BD59" s="721"/>
      <c r="BE59" s="721"/>
      <c r="BF59" s="721"/>
    </row>
    <row r="60" spans="1:58" x14ac:dyDescent="0.25">
      <c r="A60" s="785" t="s">
        <v>129</v>
      </c>
      <c r="B60" s="746" t="s">
        <v>95</v>
      </c>
      <c r="C60" s="746" t="s">
        <v>130</v>
      </c>
      <c r="D60" s="746"/>
      <c r="E60" s="180"/>
      <c r="F60" s="746"/>
      <c r="G60" s="707"/>
      <c r="H60" s="721"/>
      <c r="I60" s="721"/>
      <c r="J60" s="721"/>
      <c r="K60" s="721"/>
      <c r="L60" s="721"/>
      <c r="M60" s="721"/>
      <c r="N60" s="721"/>
      <c r="O60" s="721"/>
      <c r="P60" s="721"/>
      <c r="Q60" s="721"/>
      <c r="R60" s="721"/>
      <c r="S60" s="721"/>
      <c r="T60" s="721"/>
      <c r="U60" s="721"/>
      <c r="V60" s="721"/>
      <c r="W60" s="721"/>
      <c r="X60" s="721"/>
      <c r="Y60" s="721"/>
      <c r="Z60" s="721"/>
      <c r="AA60" s="721"/>
      <c r="AB60" s="721"/>
      <c r="AC60" s="721"/>
      <c r="AD60" s="721"/>
      <c r="AE60" s="721"/>
      <c r="AF60" s="721"/>
      <c r="AG60" s="721"/>
      <c r="AH60" s="721"/>
      <c r="AI60" s="721"/>
      <c r="AJ60" s="721"/>
      <c r="AK60" s="721"/>
      <c r="AL60" s="721"/>
      <c r="AM60" s="721"/>
      <c r="AN60" s="721"/>
      <c r="AO60" s="721"/>
      <c r="AP60" s="721"/>
      <c r="AQ60" s="721"/>
      <c r="AR60" s="721"/>
      <c r="AS60" s="721"/>
      <c r="AT60" s="721"/>
      <c r="AU60" s="721"/>
      <c r="AV60" s="721"/>
      <c r="AW60" s="721"/>
      <c r="AX60" s="721"/>
      <c r="AY60" s="721"/>
      <c r="AZ60" s="721"/>
      <c r="BA60" s="721"/>
      <c r="BB60" s="721"/>
      <c r="BC60" s="721"/>
      <c r="BD60" s="721"/>
      <c r="BE60" s="721"/>
      <c r="BF60" s="721"/>
    </row>
    <row r="61" spans="1:58" x14ac:dyDescent="0.25">
      <c r="A61" s="786"/>
      <c r="B61" s="746" t="s">
        <v>96</v>
      </c>
      <c r="C61" s="746" t="s">
        <v>131</v>
      </c>
      <c r="D61" s="746"/>
      <c r="E61" s="180"/>
      <c r="F61" s="746" t="s">
        <v>132</v>
      </c>
      <c r="G61" s="707"/>
      <c r="H61" s="795"/>
      <c r="I61" s="795"/>
      <c r="J61" s="795"/>
      <c r="K61" s="795"/>
      <c r="L61" s="795"/>
      <c r="M61" s="795"/>
      <c r="N61" s="795"/>
      <c r="O61" s="795"/>
      <c r="P61" s="795"/>
      <c r="Q61" s="795"/>
      <c r="R61" s="795"/>
      <c r="S61" s="795"/>
      <c r="T61" s="795"/>
      <c r="U61" s="795"/>
      <c r="V61" s="795"/>
      <c r="W61" s="795"/>
      <c r="X61" s="795"/>
      <c r="Y61" s="795"/>
      <c r="Z61" s="795"/>
      <c r="AA61" s="795"/>
      <c r="AB61" s="795"/>
      <c r="AC61" s="795"/>
      <c r="AD61" s="795"/>
      <c r="AE61" s="795"/>
      <c r="AF61" s="795"/>
      <c r="AG61" s="795"/>
      <c r="AH61" s="795"/>
      <c r="AI61" s="795"/>
      <c r="AJ61" s="795"/>
      <c r="AK61" s="795"/>
      <c r="AL61" s="795"/>
      <c r="AM61" s="795"/>
      <c r="AN61" s="795"/>
      <c r="AO61" s="795"/>
      <c r="AP61" s="795"/>
      <c r="AQ61" s="795"/>
      <c r="AR61" s="795"/>
      <c r="AS61" s="795"/>
      <c r="AT61" s="795"/>
      <c r="AU61" s="795"/>
      <c r="AV61" s="795"/>
      <c r="AW61" s="795"/>
      <c r="AX61" s="795"/>
      <c r="AY61" s="795"/>
      <c r="AZ61" s="795"/>
      <c r="BA61" s="795"/>
      <c r="BB61" s="795"/>
      <c r="BC61" s="795"/>
      <c r="BD61" s="795"/>
      <c r="BE61" s="795"/>
      <c r="BF61" s="795"/>
    </row>
    <row r="62" spans="1:58" ht="13.95" customHeight="1" x14ac:dyDescent="0.25">
      <c r="A62" s="787" t="s">
        <v>133</v>
      </c>
      <c r="B62" s="490" t="s">
        <v>134</v>
      </c>
      <c r="C62" s="490" t="s">
        <v>135</v>
      </c>
      <c r="D62" s="490" t="s">
        <v>135</v>
      </c>
      <c r="F62" s="490" t="s">
        <v>135</v>
      </c>
      <c r="G62" s="270"/>
      <c r="H62" s="795"/>
      <c r="I62" s="795"/>
      <c r="J62" s="795"/>
      <c r="K62" s="795"/>
      <c r="L62" s="795"/>
      <c r="M62" s="795"/>
      <c r="N62" s="795"/>
      <c r="O62" s="795"/>
      <c r="P62" s="795"/>
      <c r="Q62" s="795"/>
      <c r="R62" s="795"/>
      <c r="S62" s="795"/>
      <c r="T62" s="795"/>
      <c r="U62" s="795"/>
      <c r="V62" s="795"/>
      <c r="W62" s="795"/>
      <c r="X62" s="795"/>
      <c r="Y62" s="795"/>
      <c r="Z62" s="795"/>
      <c r="AA62" s="795"/>
      <c r="AB62" s="795"/>
      <c r="AC62" s="795"/>
      <c r="AD62" s="795"/>
      <c r="AE62" s="795"/>
      <c r="AF62" s="795"/>
      <c r="AG62" s="795"/>
      <c r="AH62" s="795"/>
      <c r="AI62" s="795"/>
      <c r="AJ62" s="795"/>
      <c r="AK62" s="795"/>
      <c r="AL62" s="795"/>
      <c r="AM62" s="795"/>
      <c r="AN62" s="795"/>
      <c r="AO62" s="795"/>
      <c r="AP62" s="795"/>
      <c r="AQ62" s="795"/>
      <c r="AR62" s="795"/>
      <c r="AS62" s="795"/>
      <c r="AT62" s="795"/>
      <c r="AU62" s="795"/>
      <c r="AV62" s="795"/>
      <c r="AW62" s="795"/>
      <c r="AX62" s="795"/>
      <c r="AY62" s="795"/>
      <c r="AZ62" s="795"/>
      <c r="BA62" s="795"/>
      <c r="BB62" s="795"/>
      <c r="BC62" s="795"/>
      <c r="BD62" s="795"/>
      <c r="BE62" s="795"/>
      <c r="BF62" s="795"/>
    </row>
    <row r="63" spans="1:58" ht="13.95" customHeight="1" x14ac:dyDescent="0.25">
      <c r="A63" s="787"/>
      <c r="B63" s="490" t="s">
        <v>136</v>
      </c>
      <c r="C63" s="490" t="s">
        <v>137</v>
      </c>
      <c r="D63" s="490" t="s">
        <v>138</v>
      </c>
      <c r="F63" s="490" t="s">
        <v>138</v>
      </c>
      <c r="G63" s="270"/>
      <c r="H63" s="795"/>
      <c r="I63" s="795"/>
      <c r="J63" s="795"/>
      <c r="K63" s="795"/>
      <c r="L63" s="795"/>
      <c r="M63" s="795"/>
      <c r="N63" s="795"/>
      <c r="O63" s="795"/>
      <c r="P63" s="795"/>
      <c r="Q63" s="795"/>
      <c r="R63" s="795"/>
      <c r="S63" s="795"/>
      <c r="T63" s="795"/>
      <c r="U63" s="795"/>
      <c r="V63" s="795"/>
      <c r="W63" s="795"/>
      <c r="X63" s="795"/>
      <c r="Y63" s="795"/>
      <c r="Z63" s="795"/>
      <c r="AA63" s="795"/>
      <c r="AB63" s="795"/>
      <c r="AC63" s="795"/>
      <c r="AD63" s="795"/>
      <c r="AE63" s="795"/>
      <c r="AF63" s="795"/>
      <c r="AG63" s="795"/>
      <c r="AH63" s="795"/>
      <c r="AI63" s="795"/>
      <c r="AJ63" s="795"/>
      <c r="AK63" s="795"/>
      <c r="AL63" s="795"/>
      <c r="AM63" s="795"/>
      <c r="AN63" s="795"/>
      <c r="AO63" s="795"/>
      <c r="AP63" s="795"/>
      <c r="AQ63" s="795"/>
      <c r="AR63" s="795"/>
      <c r="AS63" s="795"/>
      <c r="AT63" s="795"/>
      <c r="AU63" s="795"/>
      <c r="AV63" s="795"/>
      <c r="AW63" s="795"/>
      <c r="AX63" s="795"/>
      <c r="AY63" s="795"/>
      <c r="AZ63" s="795"/>
      <c r="BA63" s="795"/>
      <c r="BB63" s="795"/>
      <c r="BC63" s="795"/>
      <c r="BD63" s="795"/>
      <c r="BE63" s="795"/>
      <c r="BF63" s="795"/>
    </row>
    <row r="64" spans="1:58" ht="13.95" customHeight="1" x14ac:dyDescent="0.25">
      <c r="A64" s="787"/>
      <c r="B64" s="490" t="s">
        <v>139</v>
      </c>
      <c r="C64" s="490" t="s">
        <v>140</v>
      </c>
      <c r="D64" s="490" t="s">
        <v>135</v>
      </c>
      <c r="E64" s="721"/>
      <c r="F64" s="490" t="s">
        <v>135</v>
      </c>
      <c r="G64" s="721"/>
      <c r="H64" s="795"/>
      <c r="I64" s="795"/>
      <c r="J64" s="795"/>
      <c r="K64" s="795"/>
      <c r="L64" s="795"/>
      <c r="M64" s="795"/>
      <c r="N64" s="795"/>
      <c r="O64" s="795"/>
      <c r="P64" s="795"/>
      <c r="Q64" s="795"/>
      <c r="R64" s="795"/>
      <c r="S64" s="795"/>
      <c r="T64" s="795"/>
      <c r="U64" s="795"/>
      <c r="V64" s="795"/>
      <c r="W64" s="795"/>
      <c r="X64" s="795"/>
      <c r="Y64" s="795"/>
      <c r="Z64" s="795"/>
      <c r="AA64" s="795"/>
      <c r="AB64" s="795"/>
      <c r="AC64" s="795"/>
      <c r="AD64" s="795"/>
      <c r="AE64" s="795"/>
      <c r="AF64" s="795"/>
      <c r="AG64" s="795"/>
      <c r="AH64" s="795"/>
      <c r="AI64" s="795"/>
      <c r="AJ64" s="795"/>
      <c r="AK64" s="795"/>
      <c r="AL64" s="795"/>
      <c r="AM64" s="795"/>
      <c r="AN64" s="795"/>
      <c r="AO64" s="795"/>
      <c r="AP64" s="795"/>
      <c r="AQ64" s="795"/>
      <c r="AR64" s="795"/>
      <c r="AS64" s="795"/>
      <c r="AT64" s="795"/>
      <c r="AU64" s="795"/>
      <c r="AV64" s="795"/>
      <c r="AW64" s="795"/>
      <c r="AX64" s="795"/>
      <c r="AY64" s="795"/>
      <c r="AZ64" s="795"/>
      <c r="BA64" s="795"/>
      <c r="BB64" s="795"/>
      <c r="BC64" s="795"/>
      <c r="BD64" s="795"/>
      <c r="BE64" s="795"/>
      <c r="BF64" s="795"/>
    </row>
    <row r="65" spans="1:58" ht="14.4" customHeight="1" x14ac:dyDescent="0.25">
      <c r="A65" s="787"/>
      <c r="B65" s="490" t="s">
        <v>141</v>
      </c>
      <c r="C65" s="490" t="s">
        <v>142</v>
      </c>
      <c r="D65" s="490" t="s">
        <v>138</v>
      </c>
      <c r="E65" s="721"/>
      <c r="F65" s="490" t="s">
        <v>138</v>
      </c>
      <c r="G65" s="721"/>
      <c r="H65" s="795"/>
      <c r="I65" s="795"/>
      <c r="J65" s="795"/>
      <c r="K65" s="795"/>
      <c r="L65" s="795"/>
      <c r="M65" s="795"/>
      <c r="N65" s="795"/>
      <c r="O65" s="795"/>
      <c r="P65" s="795"/>
      <c r="Q65" s="795"/>
      <c r="R65" s="795"/>
      <c r="S65" s="795"/>
      <c r="T65" s="795"/>
      <c r="U65" s="795"/>
      <c r="V65" s="795"/>
      <c r="W65" s="795"/>
      <c r="X65" s="795"/>
      <c r="Y65" s="795"/>
      <c r="Z65" s="795"/>
      <c r="AA65" s="795"/>
      <c r="AB65" s="795"/>
      <c r="AC65" s="795"/>
      <c r="AD65" s="795"/>
      <c r="AE65" s="795"/>
      <c r="AF65" s="795"/>
      <c r="AG65" s="795"/>
      <c r="AH65" s="795"/>
      <c r="AI65" s="795"/>
      <c r="AJ65" s="795"/>
      <c r="AK65" s="795"/>
      <c r="AL65" s="795"/>
      <c r="AM65" s="795"/>
      <c r="AN65" s="795"/>
      <c r="AO65" s="795"/>
      <c r="AP65" s="795"/>
      <c r="AQ65" s="795"/>
      <c r="AR65" s="795"/>
      <c r="AS65" s="795"/>
      <c r="AT65" s="795"/>
      <c r="AU65" s="795"/>
      <c r="AV65" s="795"/>
      <c r="AW65" s="795"/>
      <c r="AX65" s="795"/>
      <c r="AY65" s="795"/>
      <c r="AZ65" s="795"/>
      <c r="BA65" s="795"/>
      <c r="BB65" s="795"/>
      <c r="BC65" s="795"/>
      <c r="BD65" s="795"/>
      <c r="BE65" s="795"/>
      <c r="BF65" s="795"/>
    </row>
    <row r="66" spans="1:58" x14ac:dyDescent="0.25">
      <c r="A66" s="788" t="s">
        <v>35</v>
      </c>
      <c r="B66" s="788"/>
      <c r="C66" s="788"/>
      <c r="D66" s="788"/>
      <c r="E66" s="788"/>
      <c r="F66" s="184"/>
      <c r="G66" s="721"/>
      <c r="H66" s="795"/>
      <c r="I66" s="795"/>
      <c r="J66" s="795"/>
      <c r="K66" s="795"/>
      <c r="L66" s="795"/>
      <c r="M66" s="795"/>
      <c r="N66" s="795"/>
      <c r="O66" s="795"/>
      <c r="P66" s="795"/>
      <c r="Q66" s="795"/>
      <c r="R66" s="795"/>
      <c r="S66" s="795"/>
      <c r="T66" s="795"/>
      <c r="U66" s="795"/>
      <c r="V66" s="795"/>
      <c r="W66" s="795"/>
      <c r="X66" s="795"/>
      <c r="Y66" s="795"/>
      <c r="Z66" s="795"/>
      <c r="AA66" s="795"/>
      <c r="AB66" s="795"/>
      <c r="AC66" s="795"/>
      <c r="AD66" s="795"/>
      <c r="AE66" s="795"/>
      <c r="AF66" s="795"/>
      <c r="AG66" s="795"/>
      <c r="AH66" s="795"/>
      <c r="AI66" s="795"/>
      <c r="AJ66" s="795"/>
      <c r="AK66" s="795"/>
      <c r="AL66" s="795"/>
      <c r="AM66" s="795"/>
      <c r="AN66" s="795"/>
      <c r="AO66" s="795"/>
      <c r="AP66" s="795"/>
      <c r="AQ66" s="795"/>
      <c r="AR66" s="795"/>
      <c r="AS66" s="795"/>
      <c r="AT66" s="795"/>
      <c r="AU66" s="795"/>
      <c r="AV66" s="795"/>
      <c r="AW66" s="795"/>
      <c r="AX66" s="795"/>
      <c r="AY66" s="795"/>
      <c r="AZ66" s="795"/>
      <c r="BA66" s="795"/>
      <c r="BB66" s="795"/>
      <c r="BC66" s="795"/>
      <c r="BD66" s="795"/>
      <c r="BE66" s="795"/>
      <c r="BF66" s="795"/>
    </row>
    <row r="67" spans="1:58" ht="26.4" x14ac:dyDescent="0.25">
      <c r="A67" s="491" t="s">
        <v>143</v>
      </c>
      <c r="B67" s="491"/>
      <c r="C67" s="492" t="s">
        <v>144</v>
      </c>
      <c r="D67" s="493" t="s">
        <v>145</v>
      </c>
      <c r="F67" s="494">
        <v>30</v>
      </c>
      <c r="G67" s="721"/>
      <c r="H67" s="721"/>
      <c r="I67" s="721"/>
      <c r="J67" s="721"/>
      <c r="K67" s="721"/>
      <c r="L67" s="721"/>
      <c r="M67" s="721"/>
      <c r="N67" s="721"/>
      <c r="O67" s="721"/>
      <c r="P67" s="721"/>
      <c r="Q67" s="721"/>
      <c r="R67" s="721"/>
      <c r="S67" s="721"/>
      <c r="T67" s="721"/>
      <c r="U67" s="721"/>
      <c r="V67" s="721"/>
      <c r="W67" s="721"/>
      <c r="X67" s="721"/>
      <c r="Y67" s="721"/>
      <c r="Z67" s="721"/>
      <c r="AA67" s="721"/>
      <c r="AB67" s="721"/>
      <c r="AC67" s="721"/>
      <c r="AD67" s="721"/>
      <c r="AE67" s="721"/>
      <c r="AF67" s="721"/>
      <c r="AG67" s="721"/>
      <c r="AH67" s="721"/>
      <c r="AI67" s="721"/>
      <c r="AJ67" s="721"/>
      <c r="AK67" s="721"/>
      <c r="AL67" s="721"/>
      <c r="AM67" s="721"/>
      <c r="AN67" s="721"/>
      <c r="AO67" s="721"/>
      <c r="AP67" s="721"/>
      <c r="AQ67" s="721"/>
      <c r="AR67" s="721"/>
      <c r="AS67" s="721"/>
      <c r="AT67" s="721"/>
      <c r="AU67" s="721"/>
      <c r="AV67" s="721"/>
      <c r="AW67" s="721"/>
      <c r="AX67" s="721"/>
      <c r="AY67" s="721"/>
      <c r="AZ67" s="721"/>
      <c r="BA67" s="721"/>
      <c r="BB67" s="721"/>
      <c r="BC67" s="721"/>
      <c r="BD67" s="721"/>
      <c r="BE67" s="721"/>
      <c r="BF67" s="721"/>
    </row>
    <row r="68" spans="1:58" x14ac:dyDescent="0.25">
      <c r="A68" s="789" t="s">
        <v>146</v>
      </c>
      <c r="B68" s="495" t="s">
        <v>95</v>
      </c>
      <c r="C68" s="496" t="s">
        <v>100</v>
      </c>
      <c r="D68" s="497">
        <v>1.93</v>
      </c>
      <c r="F68" s="498">
        <v>0.4</v>
      </c>
      <c r="G68" s="721"/>
    </row>
    <row r="69" spans="1:58" x14ac:dyDescent="0.25">
      <c r="A69" s="790"/>
      <c r="B69" s="499" t="s">
        <v>96</v>
      </c>
      <c r="C69" s="500">
        <v>2.2000000000000002</v>
      </c>
      <c r="D69" s="501">
        <v>7.6999999999999999E-2</v>
      </c>
      <c r="F69" s="502">
        <v>0.03</v>
      </c>
      <c r="G69" s="721"/>
    </row>
    <row r="70" spans="1:58" x14ac:dyDescent="0.25">
      <c r="A70" s="791"/>
      <c r="B70" s="499" t="s">
        <v>98</v>
      </c>
      <c r="C70" s="503"/>
      <c r="D70" s="504" t="s">
        <v>147</v>
      </c>
      <c r="F70" s="499"/>
      <c r="G70" s="721"/>
    </row>
    <row r="71" spans="1:58" x14ac:dyDescent="0.25">
      <c r="A71" s="505" t="s">
        <v>148</v>
      </c>
      <c r="B71" s="505"/>
      <c r="C71" s="506" t="s">
        <v>149</v>
      </c>
      <c r="D71" s="507" t="s">
        <v>150</v>
      </c>
      <c r="F71" s="505" t="s">
        <v>151</v>
      </c>
      <c r="G71" s="721"/>
    </row>
    <row r="72" spans="1:58" x14ac:dyDescent="0.25">
      <c r="A72" s="508" t="s">
        <v>152</v>
      </c>
      <c r="B72" s="508"/>
      <c r="C72" s="501">
        <v>180</v>
      </c>
      <c r="D72" s="501">
        <v>212</v>
      </c>
      <c r="F72" s="508">
        <v>180</v>
      </c>
      <c r="G72" s="721"/>
    </row>
    <row r="73" spans="1:58" x14ac:dyDescent="0.25">
      <c r="A73" s="231"/>
      <c r="B73" s="231"/>
      <c r="C73" s="269"/>
      <c r="D73" s="269"/>
      <c r="F73" s="231"/>
      <c r="G73" s="721"/>
    </row>
    <row r="74" spans="1:58" ht="26.4" x14ac:dyDescent="0.25">
      <c r="A74" s="258" t="s">
        <v>153</v>
      </c>
      <c r="B74" s="509"/>
      <c r="C74" s="510">
        <f>2201.28*264.17</f>
        <v>581512.13760000013</v>
      </c>
      <c r="D74" s="510">
        <f>1301.55*264.17</f>
        <v>343830.46350000001</v>
      </c>
      <c r="F74" s="510">
        <v>71224</v>
      </c>
      <c r="G74" s="721"/>
    </row>
    <row r="75" spans="1:58" x14ac:dyDescent="0.25">
      <c r="A75" s="184"/>
      <c r="B75" s="184"/>
      <c r="C75" s="130" t="s">
        <v>154</v>
      </c>
      <c r="D75" s="130" t="s">
        <v>155</v>
      </c>
      <c r="E75" s="721"/>
      <c r="F75" s="184"/>
      <c r="G75" s="721"/>
    </row>
    <row r="79" spans="1:58" x14ac:dyDescent="0.25">
      <c r="A79" s="800" t="s">
        <v>156</v>
      </c>
      <c r="B79" s="800"/>
      <c r="C79" s="800"/>
    </row>
    <row r="80" spans="1:58" ht="14.4" x14ac:dyDescent="0.3">
      <c r="A80" t="s">
        <v>157</v>
      </c>
      <c r="B80"/>
      <c r="C80"/>
      <c r="D80"/>
      <c r="E80"/>
      <c r="F80"/>
      <c r="G80"/>
      <c r="H80"/>
      <c r="I80"/>
      <c r="J80"/>
      <c r="L80"/>
      <c r="M80"/>
      <c r="N80"/>
      <c r="O80"/>
      <c r="P80"/>
      <c r="Q80"/>
      <c r="R80"/>
    </row>
    <row r="81" spans="1:21" ht="14.4" x14ac:dyDescent="0.3">
      <c r="A81"/>
      <c r="B81"/>
      <c r="C81"/>
      <c r="D81"/>
      <c r="E81"/>
      <c r="F81"/>
      <c r="G81"/>
      <c r="H81"/>
      <c r="I81"/>
      <c r="J81"/>
      <c r="K81"/>
      <c r="L81"/>
      <c r="N81"/>
      <c r="O81"/>
      <c r="P81"/>
      <c r="Q81"/>
      <c r="R81"/>
      <c r="S81"/>
      <c r="T81"/>
    </row>
    <row r="82" spans="1:21" ht="14.4" x14ac:dyDescent="0.3">
      <c r="A82"/>
      <c r="B82"/>
      <c r="C82"/>
      <c r="D82"/>
      <c r="E82"/>
      <c r="F82"/>
      <c r="G82"/>
      <c r="H82"/>
      <c r="I82"/>
      <c r="J82"/>
      <c r="K82"/>
      <c r="L82"/>
      <c r="M82"/>
      <c r="N82"/>
      <c r="O82"/>
      <c r="P82"/>
      <c r="Q82"/>
      <c r="R82"/>
      <c r="S82"/>
      <c r="T82"/>
    </row>
    <row r="83" spans="1:21" ht="14.4" x14ac:dyDescent="0.3">
      <c r="A83"/>
      <c r="B83"/>
      <c r="C83"/>
      <c r="D83"/>
      <c r="E83"/>
      <c r="F83"/>
      <c r="G83"/>
      <c r="H83"/>
      <c r="I83"/>
      <c r="J83"/>
      <c r="K83"/>
      <c r="L83"/>
      <c r="M83"/>
      <c r="N83"/>
      <c r="O83"/>
      <c r="P83"/>
      <c r="Q83"/>
      <c r="R83"/>
      <c r="S83"/>
      <c r="T83"/>
    </row>
    <row r="84" spans="1:21" ht="14.4" x14ac:dyDescent="0.3">
      <c r="A84"/>
      <c r="B84"/>
      <c r="C84"/>
      <c r="D84"/>
      <c r="E84"/>
      <c r="F84"/>
      <c r="G84"/>
      <c r="H84"/>
      <c r="I84"/>
      <c r="J84"/>
      <c r="K84"/>
      <c r="L84"/>
      <c r="M84"/>
      <c r="N84"/>
      <c r="O84"/>
      <c r="P84"/>
      <c r="Q84"/>
      <c r="R84"/>
      <c r="S84"/>
      <c r="T84"/>
      <c r="U84"/>
    </row>
    <row r="85" spans="1:21" ht="14.4" x14ac:dyDescent="0.3">
      <c r="A85"/>
      <c r="B85"/>
      <c r="C85"/>
      <c r="D85"/>
      <c r="E85"/>
      <c r="F85"/>
      <c r="G85"/>
      <c r="H85"/>
      <c r="I85"/>
      <c r="J85"/>
      <c r="K85"/>
      <c r="L85"/>
      <c r="M85"/>
      <c r="N85"/>
      <c r="O85"/>
      <c r="P85"/>
      <c r="Q85"/>
      <c r="R85"/>
      <c r="S85"/>
      <c r="T85"/>
      <c r="U85"/>
    </row>
    <row r="86" spans="1:21" ht="14.4" x14ac:dyDescent="0.3">
      <c r="A86"/>
      <c r="B86"/>
      <c r="C86"/>
      <c r="D86"/>
      <c r="E86"/>
      <c r="F86"/>
      <c r="G86"/>
      <c r="H86"/>
      <c r="I86"/>
      <c r="J86"/>
      <c r="K86"/>
      <c r="L86"/>
      <c r="M86"/>
      <c r="N86"/>
      <c r="O86"/>
      <c r="P86"/>
      <c r="Q86"/>
      <c r="R86"/>
      <c r="S86"/>
      <c r="T86"/>
      <c r="U86"/>
    </row>
    <row r="87" spans="1:21" ht="14.4" x14ac:dyDescent="0.3">
      <c r="A87"/>
      <c r="B87"/>
      <c r="C87"/>
      <c r="D87"/>
      <c r="E87"/>
      <c r="F87"/>
      <c r="G87"/>
      <c r="H87"/>
      <c r="I87"/>
      <c r="J87"/>
      <c r="K87"/>
      <c r="L87"/>
      <c r="M87"/>
      <c r="N87"/>
      <c r="O87"/>
      <c r="P87"/>
      <c r="Q87"/>
      <c r="R87"/>
      <c r="S87"/>
      <c r="T87"/>
      <c r="U87"/>
    </row>
    <row r="88" spans="1:21" ht="14.4" x14ac:dyDescent="0.3">
      <c r="A88"/>
      <c r="B88"/>
      <c r="C88"/>
      <c r="D88"/>
      <c r="E88"/>
      <c r="F88"/>
      <c r="G88"/>
      <c r="H88"/>
      <c r="I88"/>
      <c r="J88"/>
      <c r="K88"/>
      <c r="L88"/>
      <c r="M88"/>
      <c r="N88"/>
      <c r="O88"/>
      <c r="P88"/>
      <c r="Q88"/>
      <c r="R88"/>
      <c r="S88"/>
      <c r="T88"/>
      <c r="U88"/>
    </row>
    <row r="89" spans="1:21" ht="14.4" x14ac:dyDescent="0.3">
      <c r="A89"/>
      <c r="B89"/>
      <c r="C89"/>
      <c r="D89"/>
      <c r="E89"/>
      <c r="F89"/>
      <c r="G89"/>
      <c r="H89"/>
      <c r="I89"/>
      <c r="J89"/>
      <c r="K89"/>
      <c r="L89"/>
      <c r="M89"/>
      <c r="N89"/>
      <c r="O89"/>
      <c r="P89"/>
      <c r="Q89"/>
      <c r="R89"/>
      <c r="S89"/>
      <c r="T89"/>
      <c r="U89"/>
    </row>
    <row r="90" spans="1:21" ht="14.4" x14ac:dyDescent="0.3">
      <c r="A90"/>
      <c r="B90"/>
      <c r="C90"/>
      <c r="D90"/>
      <c r="E90"/>
      <c r="F90"/>
      <c r="G90"/>
      <c r="H90"/>
      <c r="I90"/>
      <c r="J90"/>
      <c r="K90"/>
      <c r="L90"/>
      <c r="M90"/>
      <c r="N90"/>
      <c r="O90"/>
      <c r="P90"/>
      <c r="Q90"/>
      <c r="R90"/>
      <c r="S90"/>
      <c r="T90"/>
      <c r="U90"/>
    </row>
    <row r="91" spans="1:21" ht="14.4" x14ac:dyDescent="0.3">
      <c r="A91"/>
      <c r="B91"/>
      <c r="C91"/>
      <c r="D91"/>
      <c r="E91"/>
      <c r="F91"/>
      <c r="G91"/>
      <c r="H91"/>
      <c r="I91"/>
      <c r="J91"/>
      <c r="K91"/>
      <c r="L91"/>
      <c r="M91"/>
      <c r="N91"/>
      <c r="O91"/>
      <c r="P91"/>
      <c r="Q91"/>
      <c r="R91"/>
      <c r="S91"/>
      <c r="T91"/>
      <c r="U91"/>
    </row>
    <row r="92" spans="1:21" ht="14.4" x14ac:dyDescent="0.3">
      <c r="A92"/>
      <c r="B92"/>
      <c r="C92"/>
      <c r="D92"/>
      <c r="E92"/>
      <c r="F92"/>
      <c r="G92"/>
      <c r="H92"/>
      <c r="I92"/>
      <c r="J92"/>
      <c r="K92"/>
      <c r="L92"/>
      <c r="M92"/>
      <c r="N92"/>
      <c r="O92"/>
      <c r="P92"/>
      <c r="Q92"/>
      <c r="R92"/>
      <c r="S92"/>
      <c r="T92"/>
      <c r="U92"/>
    </row>
    <row r="93" spans="1:21" ht="14.4" x14ac:dyDescent="0.3">
      <c r="A93"/>
      <c r="B93"/>
      <c r="C93"/>
      <c r="D93"/>
      <c r="E93"/>
      <c r="F93"/>
      <c r="G93"/>
      <c r="H93"/>
      <c r="I93"/>
      <c r="J93"/>
      <c r="K93"/>
      <c r="L93"/>
      <c r="M93"/>
      <c r="N93"/>
      <c r="O93"/>
      <c r="P93"/>
      <c r="Q93"/>
      <c r="R93"/>
      <c r="S93"/>
      <c r="T93"/>
      <c r="U93"/>
    </row>
    <row r="94" spans="1:21" ht="14.4" x14ac:dyDescent="0.3">
      <c r="A94"/>
      <c r="B94"/>
      <c r="C94"/>
      <c r="D94"/>
      <c r="E94"/>
      <c r="F94"/>
      <c r="G94"/>
      <c r="H94"/>
      <c r="I94"/>
      <c r="J94"/>
      <c r="K94"/>
      <c r="L94"/>
      <c r="M94"/>
      <c r="N94"/>
      <c r="O94"/>
      <c r="P94"/>
      <c r="Q94"/>
      <c r="R94"/>
      <c r="S94"/>
      <c r="T94"/>
      <c r="U94"/>
    </row>
    <row r="95" spans="1:21" ht="14.4" x14ac:dyDescent="0.3">
      <c r="A95"/>
      <c r="B95"/>
      <c r="C95"/>
      <c r="D95"/>
      <c r="E95"/>
      <c r="F95"/>
      <c r="G95"/>
      <c r="H95"/>
      <c r="I95"/>
      <c r="J95"/>
      <c r="K95"/>
      <c r="L95"/>
      <c r="M95"/>
      <c r="N95"/>
      <c r="O95"/>
      <c r="P95"/>
      <c r="Q95"/>
      <c r="R95"/>
      <c r="S95"/>
      <c r="T95"/>
      <c r="U95"/>
    </row>
    <row r="96" spans="1:21" ht="14.4" x14ac:dyDescent="0.3">
      <c r="A96"/>
      <c r="B96"/>
      <c r="C96"/>
      <c r="D96"/>
      <c r="E96"/>
      <c r="F96"/>
      <c r="G96"/>
      <c r="H96"/>
      <c r="I96"/>
      <c r="J96"/>
      <c r="K96"/>
      <c r="L96"/>
      <c r="M96"/>
      <c r="N96"/>
      <c r="O96"/>
      <c r="P96"/>
      <c r="Q96"/>
      <c r="R96"/>
      <c r="S96"/>
      <c r="T96"/>
      <c r="U96"/>
    </row>
    <row r="97" spans="1:21" ht="14.4" x14ac:dyDescent="0.3">
      <c r="A97"/>
      <c r="B97"/>
      <c r="C97"/>
      <c r="D97"/>
      <c r="E97"/>
      <c r="F97"/>
      <c r="G97"/>
      <c r="H97"/>
      <c r="I97"/>
      <c r="J97"/>
      <c r="K97"/>
      <c r="L97"/>
      <c r="M97"/>
      <c r="N97"/>
      <c r="O97"/>
      <c r="P97"/>
      <c r="Q97"/>
      <c r="R97"/>
      <c r="S97"/>
      <c r="T97"/>
      <c r="U97"/>
    </row>
    <row r="98" spans="1:21" ht="14.4" x14ac:dyDescent="0.3">
      <c r="A98"/>
      <c r="B98"/>
      <c r="C98"/>
      <c r="D98"/>
      <c r="E98"/>
      <c r="F98"/>
      <c r="G98"/>
      <c r="H98"/>
      <c r="I98"/>
      <c r="J98"/>
      <c r="K98"/>
      <c r="L98"/>
      <c r="M98"/>
      <c r="N98"/>
      <c r="O98"/>
      <c r="P98"/>
      <c r="Q98"/>
      <c r="R98"/>
      <c r="S98"/>
      <c r="T98"/>
      <c r="U98"/>
    </row>
    <row r="99" spans="1:21" ht="14.4" x14ac:dyDescent="0.3">
      <c r="A99"/>
      <c r="B99"/>
      <c r="C99"/>
      <c r="D99"/>
      <c r="E99"/>
      <c r="F99"/>
      <c r="G99"/>
      <c r="H99"/>
      <c r="I99"/>
      <c r="J99"/>
      <c r="K99"/>
      <c r="L99"/>
      <c r="M99"/>
      <c r="N99"/>
      <c r="O99"/>
      <c r="P99"/>
      <c r="Q99"/>
      <c r="R99"/>
      <c r="S99"/>
      <c r="T99"/>
      <c r="U99"/>
    </row>
    <row r="100" spans="1:21" ht="14.4" x14ac:dyDescent="0.3">
      <c r="A100"/>
      <c r="B100"/>
      <c r="C100"/>
      <c r="D100"/>
      <c r="E100"/>
      <c r="F100"/>
      <c r="G100"/>
      <c r="H100"/>
      <c r="I100"/>
      <c r="J100"/>
      <c r="K100"/>
      <c r="L100"/>
      <c r="M100"/>
      <c r="N100"/>
      <c r="O100"/>
      <c r="P100"/>
      <c r="Q100"/>
      <c r="R100"/>
      <c r="S100"/>
      <c r="T100"/>
      <c r="U100"/>
    </row>
    <row r="101" spans="1:21" ht="14.4" x14ac:dyDescent="0.3">
      <c r="A101"/>
      <c r="B101"/>
      <c r="C101"/>
      <c r="D101"/>
      <c r="E101"/>
      <c r="F101"/>
      <c r="G101"/>
      <c r="H101"/>
      <c r="I101"/>
      <c r="J101"/>
      <c r="K101"/>
      <c r="L101"/>
      <c r="M101"/>
      <c r="N101"/>
      <c r="O101"/>
      <c r="P101"/>
      <c r="Q101"/>
      <c r="R101"/>
      <c r="S101"/>
      <c r="T101"/>
      <c r="U101"/>
    </row>
    <row r="102" spans="1:21" ht="14.4" x14ac:dyDescent="0.3">
      <c r="A102"/>
      <c r="B102"/>
      <c r="C102"/>
      <c r="D102"/>
      <c r="E102"/>
      <c r="F102"/>
      <c r="G102"/>
      <c r="H102"/>
      <c r="I102"/>
      <c r="J102"/>
      <c r="K102"/>
      <c r="L102"/>
      <c r="M102"/>
      <c r="N102"/>
      <c r="O102"/>
      <c r="P102"/>
      <c r="Q102"/>
      <c r="R102"/>
      <c r="S102"/>
      <c r="T102"/>
      <c r="U102"/>
    </row>
    <row r="103" spans="1:21" ht="14.4" x14ac:dyDescent="0.3">
      <c r="A103"/>
      <c r="B103"/>
      <c r="C103"/>
      <c r="D103"/>
      <c r="E103"/>
      <c r="F103"/>
      <c r="G103"/>
      <c r="H103"/>
      <c r="I103"/>
      <c r="J103"/>
      <c r="K103"/>
      <c r="L103"/>
      <c r="M103"/>
      <c r="N103"/>
      <c r="O103"/>
      <c r="P103"/>
      <c r="Q103"/>
      <c r="R103"/>
      <c r="S103"/>
      <c r="T103"/>
      <c r="U103"/>
    </row>
    <row r="104" spans="1:21" ht="14.4" x14ac:dyDescent="0.3">
      <c r="A104"/>
      <c r="B104"/>
      <c r="C104"/>
      <c r="D104"/>
      <c r="E104"/>
      <c r="F104"/>
      <c r="G104"/>
      <c r="H104"/>
      <c r="I104"/>
      <c r="J104"/>
      <c r="K104"/>
      <c r="L104"/>
      <c r="M104"/>
      <c r="N104"/>
      <c r="O104"/>
      <c r="P104"/>
      <c r="Q104"/>
      <c r="R104"/>
      <c r="S104"/>
      <c r="T104"/>
      <c r="U104"/>
    </row>
    <row r="105" spans="1:21" ht="14.4" x14ac:dyDescent="0.3">
      <c r="A105"/>
      <c r="B105"/>
      <c r="C105"/>
      <c r="D105"/>
      <c r="E105"/>
      <c r="F105"/>
      <c r="G105"/>
      <c r="H105"/>
      <c r="I105"/>
      <c r="J105"/>
      <c r="K105"/>
      <c r="L105"/>
      <c r="M105"/>
      <c r="N105"/>
      <c r="O105"/>
      <c r="P105"/>
      <c r="Q105"/>
      <c r="R105"/>
      <c r="S105"/>
      <c r="T105"/>
      <c r="U105"/>
    </row>
    <row r="106" spans="1:21" ht="14.4" x14ac:dyDescent="0.3">
      <c r="A106"/>
      <c r="B106"/>
      <c r="C106"/>
      <c r="D106"/>
      <c r="E106"/>
      <c r="F106"/>
      <c r="G106"/>
      <c r="H106"/>
      <c r="I106"/>
      <c r="J106"/>
      <c r="K106"/>
      <c r="L106"/>
      <c r="M106"/>
      <c r="N106"/>
      <c r="O106"/>
      <c r="P106"/>
      <c r="Q106"/>
      <c r="R106"/>
      <c r="S106"/>
      <c r="T106"/>
      <c r="U106"/>
    </row>
    <row r="107" spans="1:21" ht="14.4" x14ac:dyDescent="0.3">
      <c r="A107"/>
      <c r="B107"/>
      <c r="C107"/>
      <c r="D107"/>
      <c r="E107"/>
      <c r="F107"/>
      <c r="G107"/>
      <c r="H107"/>
      <c r="I107"/>
      <c r="J107"/>
      <c r="K107"/>
      <c r="L107"/>
      <c r="M107"/>
      <c r="N107"/>
      <c r="O107"/>
      <c r="P107"/>
      <c r="Q107"/>
      <c r="R107"/>
      <c r="S107"/>
      <c r="T107"/>
      <c r="U107"/>
    </row>
    <row r="108" spans="1:21" ht="14.4" x14ac:dyDescent="0.3">
      <c r="A108"/>
      <c r="B108"/>
      <c r="C108"/>
      <c r="D108"/>
      <c r="E108"/>
      <c r="F108"/>
      <c r="G108"/>
      <c r="H108"/>
      <c r="I108"/>
      <c r="J108"/>
      <c r="K108"/>
      <c r="L108"/>
      <c r="M108"/>
      <c r="N108"/>
      <c r="O108"/>
      <c r="P108"/>
      <c r="Q108"/>
      <c r="R108"/>
      <c r="S108"/>
      <c r="T108"/>
      <c r="U108"/>
    </row>
  </sheetData>
  <mergeCells count="267">
    <mergeCell ref="AE65:AE66"/>
    <mergeCell ref="AF65:AF66"/>
    <mergeCell ref="AG65:AG66"/>
    <mergeCell ref="AH65:AH66"/>
    <mergeCell ref="AI65:AI66"/>
    <mergeCell ref="BE61:BE64"/>
    <mergeCell ref="AB61:AB64"/>
    <mergeCell ref="AC61:AC64"/>
    <mergeCell ref="AD61:AD64"/>
    <mergeCell ref="AE61:AE64"/>
    <mergeCell ref="AW61:AW64"/>
    <mergeCell ref="AO65:AO66"/>
    <mergeCell ref="AP65:AP66"/>
    <mergeCell ref="AQ65:AQ66"/>
    <mergeCell ref="AR65:AR66"/>
    <mergeCell ref="AS65:AS66"/>
    <mergeCell ref="AJ65:AJ66"/>
    <mergeCell ref="BD65:BD66"/>
    <mergeCell ref="BE65:BE66"/>
    <mergeCell ref="AL65:AL66"/>
    <mergeCell ref="AM65:AM66"/>
    <mergeCell ref="AN65:AN66"/>
    <mergeCell ref="AK65:AK66"/>
    <mergeCell ref="BF65:BF66"/>
    <mergeCell ref="AY65:AY66"/>
    <mergeCell ref="AZ65:AZ66"/>
    <mergeCell ref="BA65:BA66"/>
    <mergeCell ref="BB65:BB66"/>
    <mergeCell ref="BC65:BC66"/>
    <mergeCell ref="AT65:AT66"/>
    <mergeCell ref="AU65:AU66"/>
    <mergeCell ref="AV65:AV66"/>
    <mergeCell ref="AW65:AW66"/>
    <mergeCell ref="AX65:AX66"/>
    <mergeCell ref="A79:C79"/>
    <mergeCell ref="AB65:AB66"/>
    <mergeCell ref="AC65:AC66"/>
    <mergeCell ref="AD65:AD66"/>
    <mergeCell ref="U65:U66"/>
    <mergeCell ref="V65:V66"/>
    <mergeCell ref="W65:W66"/>
    <mergeCell ref="X65:X66"/>
    <mergeCell ref="Y65:Y66"/>
    <mergeCell ref="P65:P66"/>
    <mergeCell ref="Q65:Q66"/>
    <mergeCell ref="R65:R66"/>
    <mergeCell ref="S65:S66"/>
    <mergeCell ref="T65:T66"/>
    <mergeCell ref="BF61:BF64"/>
    <mergeCell ref="H65:H66"/>
    <mergeCell ref="I65:I66"/>
    <mergeCell ref="J65:J66"/>
    <mergeCell ref="K65:K66"/>
    <mergeCell ref="L65:L66"/>
    <mergeCell ref="M65:M66"/>
    <mergeCell ref="N65:N66"/>
    <mergeCell ref="O65:O66"/>
    <mergeCell ref="AZ61:AZ64"/>
    <mergeCell ref="BA61:BA64"/>
    <mergeCell ref="BB61:BB64"/>
    <mergeCell ref="BC61:BC64"/>
    <mergeCell ref="BD61:BD64"/>
    <mergeCell ref="AU61:AU64"/>
    <mergeCell ref="AV61:AV64"/>
    <mergeCell ref="Z65:Z66"/>
    <mergeCell ref="AA65:AA66"/>
    <mergeCell ref="AX61:AX64"/>
    <mergeCell ref="AY61:AY64"/>
    <mergeCell ref="AP61:AP64"/>
    <mergeCell ref="AQ61:AQ64"/>
    <mergeCell ref="AR61:AR64"/>
    <mergeCell ref="AA61:AA64"/>
    <mergeCell ref="L61:L64"/>
    <mergeCell ref="M61:M64"/>
    <mergeCell ref="N61:N64"/>
    <mergeCell ref="O61:O64"/>
    <mergeCell ref="P61:P64"/>
    <mergeCell ref="AF61:AF64"/>
    <mergeCell ref="AG61:AG64"/>
    <mergeCell ref="AS61:AS64"/>
    <mergeCell ref="AT61:AT64"/>
    <mergeCell ref="AK61:AK64"/>
    <mergeCell ref="AL61:AL64"/>
    <mergeCell ref="AM61:AM64"/>
    <mergeCell ref="AN61:AN64"/>
    <mergeCell ref="AO61:AO64"/>
    <mergeCell ref="AH61:AH64"/>
    <mergeCell ref="AI61:AI64"/>
    <mergeCell ref="AJ61:AJ64"/>
    <mergeCell ref="H61:H64"/>
    <mergeCell ref="I61:I64"/>
    <mergeCell ref="J61:J64"/>
    <mergeCell ref="K61:K64"/>
    <mergeCell ref="AC52:AC54"/>
    <mergeCell ref="AD52:AD54"/>
    <mergeCell ref="AE52:AE54"/>
    <mergeCell ref="AF52:AF54"/>
    <mergeCell ref="AG52:AG54"/>
    <mergeCell ref="Q61:Q64"/>
    <mergeCell ref="X52:X54"/>
    <mergeCell ref="Y52:Y54"/>
    <mergeCell ref="Z52:Z54"/>
    <mergeCell ref="AA52:AA54"/>
    <mergeCell ref="AB52:AB54"/>
    <mergeCell ref="V61:V64"/>
    <mergeCell ref="W61:W64"/>
    <mergeCell ref="X61:X64"/>
    <mergeCell ref="Y61:Y64"/>
    <mergeCell ref="Z61:Z64"/>
    <mergeCell ref="R61:R64"/>
    <mergeCell ref="S61:S64"/>
    <mergeCell ref="T61:T64"/>
    <mergeCell ref="U61:U64"/>
    <mergeCell ref="AM52:AM54"/>
    <mergeCell ref="AN52:AN54"/>
    <mergeCell ref="AO52:AO54"/>
    <mergeCell ref="AP52:AP54"/>
    <mergeCell ref="AQ52:AQ54"/>
    <mergeCell ref="AH52:AH54"/>
    <mergeCell ref="AI52:AI54"/>
    <mergeCell ref="AJ52:AJ54"/>
    <mergeCell ref="AK52:AK54"/>
    <mergeCell ref="AL52:AL54"/>
    <mergeCell ref="BD52:BD54"/>
    <mergeCell ref="BE52:BE54"/>
    <mergeCell ref="BF52:BF54"/>
    <mergeCell ref="AW52:AW54"/>
    <mergeCell ref="AX52:AX54"/>
    <mergeCell ref="AY52:AY54"/>
    <mergeCell ref="AZ52:AZ54"/>
    <mergeCell ref="BA52:BA54"/>
    <mergeCell ref="AR52:AR54"/>
    <mergeCell ref="AS52:AS54"/>
    <mergeCell ref="AT52:AT54"/>
    <mergeCell ref="AU52:AU54"/>
    <mergeCell ref="AV52:AV54"/>
    <mergeCell ref="BB52:BB54"/>
    <mergeCell ref="BC52:BC54"/>
    <mergeCell ref="AR46:AR49"/>
    <mergeCell ref="AS46:AS49"/>
    <mergeCell ref="AT46:AT49"/>
    <mergeCell ref="AU46:AU49"/>
    <mergeCell ref="AV46:AV49"/>
    <mergeCell ref="AM46:AM49"/>
    <mergeCell ref="AN46:AN49"/>
    <mergeCell ref="AO46:AO49"/>
    <mergeCell ref="AP46:AP49"/>
    <mergeCell ref="AQ46:AQ49"/>
    <mergeCell ref="AT42:AT45"/>
    <mergeCell ref="AU42:AU45"/>
    <mergeCell ref="AV42:AV45"/>
    <mergeCell ref="AW42:AW45"/>
    <mergeCell ref="AN42:AN45"/>
    <mergeCell ref="AO42:AO45"/>
    <mergeCell ref="AP42:AP45"/>
    <mergeCell ref="AQ42:AQ45"/>
    <mergeCell ref="AR42:AR45"/>
    <mergeCell ref="BC46:BC49"/>
    <mergeCell ref="BD46:BD49"/>
    <mergeCell ref="BE46:BE49"/>
    <mergeCell ref="BF46:BF49"/>
    <mergeCell ref="AW46:AW49"/>
    <mergeCell ref="AX46:AX49"/>
    <mergeCell ref="AY46:AY49"/>
    <mergeCell ref="AZ46:AZ49"/>
    <mergeCell ref="BA46:BA49"/>
    <mergeCell ref="BB46:BB49"/>
    <mergeCell ref="BF42:BF45"/>
    <mergeCell ref="AE42:AE45"/>
    <mergeCell ref="AF42:AF45"/>
    <mergeCell ref="AG42:AG45"/>
    <mergeCell ref="AH42:AH45"/>
    <mergeCell ref="Y42:Y45"/>
    <mergeCell ref="Z42:Z45"/>
    <mergeCell ref="AA42:AA45"/>
    <mergeCell ref="AB42:AB45"/>
    <mergeCell ref="AC42:AC45"/>
    <mergeCell ref="AX42:AX45"/>
    <mergeCell ref="AY42:AY45"/>
    <mergeCell ref="AZ42:AZ45"/>
    <mergeCell ref="BA42:BA45"/>
    <mergeCell ref="BB42:BB45"/>
    <mergeCell ref="AS42:AS45"/>
    <mergeCell ref="BC42:BC45"/>
    <mergeCell ref="BD42:BD45"/>
    <mergeCell ref="BE42:BE45"/>
    <mergeCell ref="AI42:AI45"/>
    <mergeCell ref="AJ42:AJ45"/>
    <mergeCell ref="AK42:AK45"/>
    <mergeCell ref="AL42:AL45"/>
    <mergeCell ref="AM42:AM45"/>
    <mergeCell ref="A50:A52"/>
    <mergeCell ref="A57:A59"/>
    <mergeCell ref="AH46:AH49"/>
    <mergeCell ref="AI46:AI49"/>
    <mergeCell ref="AJ46:AJ49"/>
    <mergeCell ref="AK46:AK49"/>
    <mergeCell ref="AL46:AL49"/>
    <mergeCell ref="AC46:AC49"/>
    <mergeCell ref="AD46:AD49"/>
    <mergeCell ref="AE46:AE49"/>
    <mergeCell ref="AF46:AF49"/>
    <mergeCell ref="AG46:AG49"/>
    <mergeCell ref="Y46:Y49"/>
    <mergeCell ref="Z46:Z49"/>
    <mergeCell ref="AA46:AA49"/>
    <mergeCell ref="K52:K54"/>
    <mergeCell ref="L52:L54"/>
    <mergeCell ref="M52:M54"/>
    <mergeCell ref="AB46:AB49"/>
    <mergeCell ref="S46:S49"/>
    <mergeCell ref="T46:T49"/>
    <mergeCell ref="U46:U49"/>
    <mergeCell ref="V46:V49"/>
    <mergeCell ref="S52:S54"/>
    <mergeCell ref="X46:X49"/>
    <mergeCell ref="W46:W49"/>
    <mergeCell ref="H42:H45"/>
    <mergeCell ref="I42:I45"/>
    <mergeCell ref="H46:H49"/>
    <mergeCell ref="I46:I49"/>
    <mergeCell ref="J46:J49"/>
    <mergeCell ref="H52:H54"/>
    <mergeCell ref="I52:I54"/>
    <mergeCell ref="J52:J54"/>
    <mergeCell ref="T52:T54"/>
    <mergeCell ref="U52:U54"/>
    <mergeCell ref="V52:V54"/>
    <mergeCell ref="W52:W54"/>
    <mergeCell ref="N52:N54"/>
    <mergeCell ref="O52:O54"/>
    <mergeCell ref="P52:P54"/>
    <mergeCell ref="Q52:Q54"/>
    <mergeCell ref="R52:R54"/>
    <mergeCell ref="A45:A47"/>
    <mergeCell ref="K46:K49"/>
    <mergeCell ref="L46:L49"/>
    <mergeCell ref="M46:M49"/>
    <mergeCell ref="N46:N49"/>
    <mergeCell ref="O46:O49"/>
    <mergeCell ref="P46:P49"/>
    <mergeCell ref="Q46:Q49"/>
    <mergeCell ref="R46:R49"/>
    <mergeCell ref="A60:A61"/>
    <mergeCell ref="A62:A65"/>
    <mergeCell ref="A66:E66"/>
    <mergeCell ref="A68:A70"/>
    <mergeCell ref="A1:C1"/>
    <mergeCell ref="A2:C2"/>
    <mergeCell ref="AD42:AD45"/>
    <mergeCell ref="P42:P45"/>
    <mergeCell ref="Q42:Q45"/>
    <mergeCell ref="R42:R45"/>
    <mergeCell ref="S42:S45"/>
    <mergeCell ref="J42:J45"/>
    <mergeCell ref="K42:K45"/>
    <mergeCell ref="L42:L45"/>
    <mergeCell ref="M42:M45"/>
    <mergeCell ref="N42:N45"/>
    <mergeCell ref="U42:U45"/>
    <mergeCell ref="V42:V45"/>
    <mergeCell ref="W42:W45"/>
    <mergeCell ref="X42:X45"/>
    <mergeCell ref="O42:O45"/>
    <mergeCell ref="T42:T45"/>
    <mergeCell ref="A41:D41"/>
    <mergeCell ref="A42:A44"/>
  </mergeCells>
  <phoneticPr fontId="6" type="noConversion"/>
  <hyperlinks>
    <hyperlink ref="A29" r:id="rId1" xr:uid="{8BEB8AFD-1B55-4565-9666-5741D7F5024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16"/>
  <sheetViews>
    <sheetView zoomScale="85" zoomScaleNormal="85" workbookViewId="0">
      <selection sqref="A1:M1"/>
    </sheetView>
  </sheetViews>
  <sheetFormatPr defaultColWidth="8.6640625" defaultRowHeight="13.2" x14ac:dyDescent="0.25"/>
  <cols>
    <col min="1" max="1" width="29.109375" style="124" customWidth="1"/>
    <col min="2" max="2" width="23.5546875" style="124" customWidth="1"/>
    <col min="3" max="3" width="44" style="124" customWidth="1"/>
    <col min="4" max="5" width="17.33203125" style="124" customWidth="1"/>
    <col min="6" max="6" width="14.6640625" style="124" customWidth="1"/>
    <col min="7" max="7" width="12.6640625" style="124" customWidth="1"/>
    <col min="8" max="8" width="12" style="124" bestFit="1" customWidth="1"/>
    <col min="9" max="10" width="11.33203125" style="124" customWidth="1"/>
    <col min="11" max="11" width="19.33203125" style="124" customWidth="1"/>
    <col min="12" max="12" width="27.109375" style="124" customWidth="1"/>
    <col min="13" max="13" width="25.6640625" style="124" customWidth="1"/>
    <col min="14" max="14" width="12.6640625" style="124" customWidth="1"/>
    <col min="15" max="15" width="30.6640625" style="124" customWidth="1"/>
    <col min="16" max="16" width="22.33203125" style="124" bestFit="1" customWidth="1"/>
    <col min="17" max="17" width="18.33203125" style="124" customWidth="1"/>
    <col min="18" max="18" width="25.6640625" style="124" customWidth="1"/>
    <col min="19" max="19" width="22.6640625" style="124" customWidth="1"/>
    <col min="20" max="20" width="16.33203125" style="124" customWidth="1"/>
    <col min="21" max="21" width="6.6640625" style="124" bestFit="1" customWidth="1"/>
    <col min="22" max="26" width="17.33203125" style="124" customWidth="1"/>
    <col min="27" max="16384" width="8.6640625" style="124"/>
  </cols>
  <sheetData>
    <row r="1" spans="1:18" ht="25.95" customHeight="1" x14ac:dyDescent="0.25">
      <c r="A1" s="802" t="str">
        <f>"Proposed Layout - "&amp;Prototype!A2</f>
        <v>Proposed Layout - RestaurantSitDown</v>
      </c>
      <c r="B1" s="802"/>
      <c r="C1" s="802"/>
      <c r="D1" s="802"/>
      <c r="E1" s="802"/>
      <c r="F1" s="802"/>
      <c r="G1" s="802"/>
      <c r="H1" s="802"/>
      <c r="I1" s="802"/>
      <c r="J1" s="802"/>
      <c r="K1" s="802"/>
      <c r="L1" s="802"/>
      <c r="M1" s="802"/>
    </row>
    <row r="2" spans="1:18" ht="39.6" customHeight="1" x14ac:dyDescent="0.25">
      <c r="A2" s="747" t="s">
        <v>158</v>
      </c>
      <c r="B2" s="456" t="s">
        <v>159</v>
      </c>
      <c r="C2" s="639" t="s">
        <v>160</v>
      </c>
      <c r="D2" s="455" t="s">
        <v>161</v>
      </c>
      <c r="E2" s="455" t="s">
        <v>162</v>
      </c>
      <c r="F2" s="455" t="s">
        <v>163</v>
      </c>
      <c r="G2" s="456" t="s">
        <v>164</v>
      </c>
      <c r="H2" s="250" t="s">
        <v>165</v>
      </c>
      <c r="I2" s="455" t="s">
        <v>166</v>
      </c>
      <c r="J2" s="455" t="s">
        <v>167</v>
      </c>
      <c r="K2" s="254" t="s">
        <v>168</v>
      </c>
      <c r="L2" s="637" t="s">
        <v>169</v>
      </c>
      <c r="M2" s="636" t="s">
        <v>42</v>
      </c>
      <c r="O2" s="657" t="s">
        <v>170</v>
      </c>
      <c r="P2" s="658"/>
      <c r="Q2" s="151"/>
      <c r="R2" s="151"/>
    </row>
    <row r="3" spans="1:18" ht="32.4" customHeight="1" x14ac:dyDescent="0.25">
      <c r="A3" s="664" t="s">
        <v>47</v>
      </c>
      <c r="B3" s="663" t="s">
        <v>95</v>
      </c>
      <c r="C3" s="709" t="s">
        <v>171</v>
      </c>
      <c r="D3" s="461" t="s">
        <v>172</v>
      </c>
      <c r="E3" s="461" t="s">
        <v>173</v>
      </c>
      <c r="F3" s="457" t="s">
        <v>174</v>
      </c>
      <c r="G3" s="458">
        <f>H3/$H$6</f>
        <v>0.72727239681498212</v>
      </c>
      <c r="H3" s="457">
        <v>4001.46</v>
      </c>
      <c r="I3" s="457">
        <f>H3*Prototype!$B$15</f>
        <v>40014.6</v>
      </c>
      <c r="J3" s="457">
        <v>1</v>
      </c>
      <c r="K3" s="461">
        <f>L3*H3/1000</f>
        <v>132.04818</v>
      </c>
      <c r="L3" s="635">
        <v>33</v>
      </c>
      <c r="M3" s="638"/>
      <c r="O3" s="659"/>
      <c r="P3" s="660"/>
      <c r="Q3" s="151"/>
      <c r="R3" s="151"/>
    </row>
    <row r="4" spans="1:18" ht="17.7" customHeight="1" x14ac:dyDescent="0.25">
      <c r="A4" s="664" t="s">
        <v>47</v>
      </c>
      <c r="B4" s="663" t="s">
        <v>96</v>
      </c>
      <c r="C4" s="709" t="s">
        <v>175</v>
      </c>
      <c r="D4" s="461" t="s">
        <v>176</v>
      </c>
      <c r="E4" s="461" t="s">
        <v>96</v>
      </c>
      <c r="F4" s="457" t="s">
        <v>174</v>
      </c>
      <c r="G4" s="458">
        <f>H4/$H$6</f>
        <v>0.27272760318501782</v>
      </c>
      <c r="H4" s="457">
        <v>1500.55</v>
      </c>
      <c r="I4" s="457">
        <f>H4*Prototype!$B$15</f>
        <v>15005.5</v>
      </c>
      <c r="J4" s="457">
        <v>1</v>
      </c>
      <c r="K4" s="457">
        <f>L4*H4/1000</f>
        <v>4.5016499999999997</v>
      </c>
      <c r="L4" s="635">
        <v>3</v>
      </c>
      <c r="M4" s="634"/>
      <c r="O4" s="659"/>
      <c r="P4" s="660"/>
      <c r="Q4" s="151"/>
      <c r="R4" s="151"/>
    </row>
    <row r="5" spans="1:18" ht="17.7" customHeight="1" x14ac:dyDescent="0.25">
      <c r="A5" s="664" t="s">
        <v>47</v>
      </c>
      <c r="B5" s="663" t="s">
        <v>177</v>
      </c>
      <c r="C5" s="709" t="s">
        <v>177</v>
      </c>
      <c r="D5" s="459" t="s">
        <v>178</v>
      </c>
      <c r="E5" s="459"/>
      <c r="F5" s="457" t="s">
        <v>179</v>
      </c>
      <c r="G5" s="458"/>
      <c r="H5" s="457">
        <f>H6</f>
        <v>5502.01</v>
      </c>
      <c r="I5" s="457">
        <f>H5*Prototype!$B$15</f>
        <v>55020.100000000006</v>
      </c>
      <c r="J5" s="457">
        <v>1</v>
      </c>
      <c r="K5" s="457">
        <f t="shared" ref="K5" si="0">L5*H5/1000</f>
        <v>0</v>
      </c>
      <c r="L5" s="635"/>
      <c r="M5" s="634"/>
      <c r="O5" s="659"/>
      <c r="P5" s="660"/>
      <c r="Q5" s="151"/>
      <c r="R5" s="151"/>
    </row>
    <row r="6" spans="1:18" ht="31.95" customHeight="1" x14ac:dyDescent="0.25">
      <c r="A6" s="640" t="s">
        <v>180</v>
      </c>
      <c r="B6" s="640" t="s">
        <v>181</v>
      </c>
      <c r="C6" s="640" t="s">
        <v>182</v>
      </c>
      <c r="D6" s="463" t="s">
        <v>183</v>
      </c>
      <c r="E6" s="515" t="s">
        <v>184</v>
      </c>
      <c r="F6" s="459" t="s">
        <v>185</v>
      </c>
      <c r="G6" s="460">
        <f>SUM(G3:G4)</f>
        <v>1</v>
      </c>
      <c r="H6" s="460">
        <f>SUM(H3:H4)</f>
        <v>5502.01</v>
      </c>
      <c r="I6" s="457">
        <f>SUM(I3:I4)</f>
        <v>55020.1</v>
      </c>
      <c r="J6" s="457"/>
      <c r="K6" s="457"/>
      <c r="L6" s="635"/>
      <c r="M6" s="634"/>
      <c r="O6" s="659"/>
      <c r="P6" s="660"/>
      <c r="Q6" s="151"/>
      <c r="R6" s="151"/>
    </row>
    <row r="7" spans="1:18" ht="15" customHeight="1" x14ac:dyDescent="0.25">
      <c r="A7" s="296"/>
      <c r="B7" s="296"/>
      <c r="C7" s="297"/>
      <c r="D7" s="297"/>
      <c r="E7" s="297"/>
      <c r="F7" s="298"/>
      <c r="G7" s="298"/>
      <c r="H7" s="167"/>
      <c r="I7" s="167"/>
      <c r="J7" s="167"/>
      <c r="K7" s="299"/>
      <c r="L7" s="299"/>
      <c r="O7" s="659"/>
      <c r="P7" s="660"/>
      <c r="Q7" s="151"/>
      <c r="R7" s="151"/>
    </row>
    <row r="8" spans="1:18" ht="15" customHeight="1" x14ac:dyDescent="0.25">
      <c r="A8" s="296"/>
      <c r="B8" s="296"/>
      <c r="C8" s="297"/>
      <c r="D8" s="297"/>
      <c r="E8" s="297"/>
      <c r="F8" s="298"/>
      <c r="G8" s="298"/>
      <c r="H8" s="167"/>
      <c r="I8" s="167"/>
      <c r="J8" s="167"/>
      <c r="K8" s="299"/>
      <c r="L8" s="299"/>
      <c r="O8" s="659"/>
      <c r="P8" s="660"/>
      <c r="Q8" s="151"/>
      <c r="R8" s="151"/>
    </row>
    <row r="9" spans="1:18" ht="15" customHeight="1" x14ac:dyDescent="0.25">
      <c r="A9" s="296"/>
      <c r="B9" s="296"/>
      <c r="C9" s="297"/>
      <c r="D9" s="297"/>
      <c r="E9" s="297"/>
      <c r="F9" s="298"/>
      <c r="G9" s="298"/>
      <c r="H9" s="167"/>
      <c r="I9" s="167"/>
      <c r="J9" s="167"/>
      <c r="K9" s="299"/>
      <c r="L9" s="299"/>
      <c r="O9" s="659"/>
      <c r="P9" s="660"/>
      <c r="Q9" s="151"/>
      <c r="R9" s="151"/>
    </row>
    <row r="10" spans="1:18" ht="15" customHeight="1" x14ac:dyDescent="0.25">
      <c r="A10" s="296"/>
      <c r="B10" s="296"/>
      <c r="C10" s="297"/>
      <c r="D10" s="297"/>
      <c r="E10" s="297"/>
      <c r="F10" s="298"/>
      <c r="G10" s="298"/>
      <c r="H10" s="167"/>
      <c r="I10" s="167"/>
      <c r="J10" s="167"/>
      <c r="K10" s="299"/>
      <c r="L10" s="299"/>
      <c r="O10" s="659"/>
      <c r="P10" s="660"/>
      <c r="Q10" s="151"/>
      <c r="R10" s="151"/>
    </row>
    <row r="11" spans="1:18" ht="14.4" customHeight="1" x14ac:dyDescent="0.25">
      <c r="A11" s="296"/>
      <c r="B11" s="296"/>
      <c r="C11" s="297"/>
      <c r="D11" s="297"/>
      <c r="E11" s="297"/>
      <c r="F11" s="298"/>
      <c r="G11" s="298"/>
      <c r="H11" s="167"/>
      <c r="I11" s="167"/>
      <c r="J11" s="167"/>
      <c r="K11" s="299"/>
      <c r="L11" s="299"/>
      <c r="O11" s="659"/>
      <c r="P11" s="660"/>
    </row>
    <row r="12" spans="1:18" ht="15" customHeight="1" x14ac:dyDescent="0.25">
      <c r="G12" s="140"/>
      <c r="H12" s="140"/>
      <c r="I12" s="140"/>
      <c r="J12" s="140"/>
      <c r="K12" s="320"/>
      <c r="L12" s="320"/>
      <c r="O12" s="659"/>
      <c r="P12" s="660"/>
    </row>
    <row r="13" spans="1:18" ht="10.95" customHeight="1" x14ac:dyDescent="0.25">
      <c r="A13" s="314"/>
      <c r="B13" s="314"/>
      <c r="C13" s="315"/>
      <c r="D13" s="315"/>
      <c r="E13" s="315"/>
      <c r="F13" s="316"/>
      <c r="G13" s="315"/>
      <c r="H13" s="315"/>
      <c r="I13" s="315"/>
      <c r="J13" s="315"/>
      <c r="K13" s="317"/>
      <c r="L13" s="317"/>
      <c r="O13" s="659"/>
      <c r="P13" s="660"/>
    </row>
    <row r="14" spans="1:18" ht="14.4" customHeight="1" x14ac:dyDescent="0.25">
      <c r="A14" s="314"/>
      <c r="B14" s="314"/>
      <c r="C14" s="315"/>
      <c r="D14" s="315"/>
      <c r="E14" s="315"/>
      <c r="F14" s="316"/>
      <c r="G14" s="315"/>
      <c r="H14" s="315"/>
      <c r="I14" s="315"/>
      <c r="J14" s="315"/>
      <c r="K14" s="317"/>
      <c r="L14" s="317"/>
      <c r="O14" s="661"/>
      <c r="P14" s="662"/>
    </row>
    <row r="15" spans="1:18" x14ac:dyDescent="0.25">
      <c r="A15" s="318"/>
      <c r="B15" s="318"/>
      <c r="C15" s="319"/>
      <c r="D15" s="319"/>
      <c r="E15" s="319"/>
      <c r="F15" s="319"/>
      <c r="G15" s="319"/>
      <c r="H15" s="319"/>
      <c r="I15" s="315"/>
      <c r="J15" s="315"/>
      <c r="K15" s="317"/>
      <c r="L15" s="317"/>
    </row>
    <row r="16" spans="1:18" x14ac:dyDescent="0.25">
      <c r="G16" s="140"/>
      <c r="H16" s="140"/>
      <c r="I16" s="140"/>
      <c r="J16" s="140"/>
      <c r="K16" s="140"/>
      <c r="L16" s="140"/>
    </row>
  </sheetData>
  <mergeCells count="1">
    <mergeCell ref="A1:M1"/>
  </mergeCells>
  <phoneticPr fontId="6"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96CC951-A9B1-4E1C-B5AB-70B9DEFD8206}">
          <x14:formula1>
            <xm:f>Data!$A$2:$A$200</xm:f>
          </x14:formula1>
          <xm:sqref>C3:C5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N109"/>
  <sheetViews>
    <sheetView zoomScaleNormal="100" workbookViewId="0">
      <selection sqref="A1:X1"/>
    </sheetView>
  </sheetViews>
  <sheetFormatPr defaultColWidth="9.33203125" defaultRowHeight="13.8" x14ac:dyDescent="0.25"/>
  <cols>
    <col min="1" max="1" width="17.33203125" style="168" customWidth="1"/>
    <col min="2" max="2" width="18.33203125" style="170" customWidth="1"/>
    <col min="3" max="3" width="21.5546875" style="168" customWidth="1"/>
    <col min="4" max="4" width="42.5546875" style="168" customWidth="1"/>
    <col min="5" max="5" width="13.33203125" style="168" customWidth="1"/>
    <col min="6" max="6" width="15.6640625" style="168" customWidth="1"/>
    <col min="7" max="7" width="20.5546875" style="171" customWidth="1"/>
    <col min="8" max="8" width="42.6640625" style="168" customWidth="1"/>
    <col min="9" max="9" width="6.88671875" style="168" customWidth="1"/>
    <col min="10" max="12" width="7" style="168" customWidth="1"/>
    <col min="13" max="14" width="7.33203125" style="168" customWidth="1"/>
    <col min="15" max="15" width="7" style="168" customWidth="1"/>
    <col min="16" max="16" width="7.109375" style="168" customWidth="1"/>
    <col min="17" max="17" width="7.5546875" style="168" customWidth="1"/>
    <col min="18" max="21" width="7" style="168" customWidth="1"/>
    <col min="22" max="22" width="7.6640625" style="168" customWidth="1"/>
    <col min="23" max="24" width="7" style="168" customWidth="1"/>
    <col min="25" max="26" width="9.33203125" style="168"/>
    <col min="27" max="30" width="7.6640625" style="168" customWidth="1"/>
    <col min="31" max="31" width="9.6640625" style="168" customWidth="1"/>
    <col min="32" max="32" width="7.5546875" style="168" customWidth="1"/>
    <col min="33" max="33" width="11.44140625" style="168" customWidth="1"/>
    <col min="34" max="42" width="7.6640625" style="168" customWidth="1"/>
    <col min="43" max="46" width="10.44140625" style="168" customWidth="1"/>
    <col min="47" max="47" width="9.88671875" style="168" customWidth="1"/>
    <col min="48" max="48" width="10.44140625" style="168" customWidth="1"/>
    <col min="49" max="49" width="21.6640625" style="168" customWidth="1"/>
    <col min="50" max="50" width="10.44140625" style="168" customWidth="1"/>
    <col min="51" max="53" width="7.44140625" style="168" customWidth="1"/>
    <col min="54" max="54" width="7.6640625" style="168" customWidth="1"/>
    <col min="55" max="55" width="7.44140625" style="168" customWidth="1"/>
    <col min="56" max="56" width="13.6640625" style="168" customWidth="1"/>
    <col min="57" max="60" width="7.44140625" style="168" customWidth="1"/>
    <col min="61" max="62" width="9.6640625" style="168" bestFit="1" customWidth="1"/>
    <col min="63" max="16384" width="9.33203125" style="168"/>
  </cols>
  <sheetData>
    <row r="1" spans="1:66" ht="25.2" customHeight="1" x14ac:dyDescent="0.25">
      <c r="A1" s="807" t="str">
        <f>"Envelope - "&amp;Prototype!A2</f>
        <v>Envelope - RestaurantSitDown</v>
      </c>
      <c r="B1" s="807"/>
      <c r="C1" s="807"/>
      <c r="D1" s="807"/>
      <c r="E1" s="807"/>
      <c r="F1" s="807"/>
      <c r="G1" s="807"/>
      <c r="H1" s="807"/>
      <c r="I1" s="807"/>
      <c r="J1" s="807"/>
      <c r="K1" s="807"/>
      <c r="L1" s="807"/>
      <c r="M1" s="807"/>
      <c r="N1" s="807"/>
      <c r="O1" s="807"/>
      <c r="P1" s="807"/>
      <c r="Q1" s="807"/>
      <c r="R1" s="807"/>
      <c r="S1" s="807"/>
      <c r="T1" s="807"/>
      <c r="U1" s="807"/>
      <c r="V1" s="807"/>
      <c r="W1" s="807"/>
      <c r="X1" s="807"/>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row>
    <row r="2" spans="1:66" ht="27" customHeight="1" x14ac:dyDescent="0.25">
      <c r="A2" s="179" t="s">
        <v>186</v>
      </c>
      <c r="B2" s="179" t="s">
        <v>7</v>
      </c>
      <c r="C2" s="179" t="s">
        <v>187</v>
      </c>
      <c r="D2" s="179" t="s">
        <v>188</v>
      </c>
      <c r="E2" s="681" t="s">
        <v>189</v>
      </c>
      <c r="F2" s="179" t="s">
        <v>190</v>
      </c>
      <c r="G2" s="681" t="s">
        <v>191</v>
      </c>
      <c r="H2" s="179" t="s">
        <v>42</v>
      </c>
      <c r="I2" s="179" t="s">
        <v>192</v>
      </c>
      <c r="J2" s="179" t="s">
        <v>193</v>
      </c>
      <c r="K2" s="179" t="s">
        <v>194</v>
      </c>
      <c r="L2" s="179" t="s">
        <v>195</v>
      </c>
      <c r="M2" s="179" t="s">
        <v>196</v>
      </c>
      <c r="N2" s="179" t="s">
        <v>197</v>
      </c>
      <c r="O2" s="179" t="s">
        <v>198</v>
      </c>
      <c r="P2" s="179" t="s">
        <v>199</v>
      </c>
      <c r="Q2" s="179" t="s">
        <v>200</v>
      </c>
      <c r="R2" s="179" t="s">
        <v>201</v>
      </c>
      <c r="S2" s="179" t="s">
        <v>202</v>
      </c>
      <c r="T2" s="179" t="s">
        <v>203</v>
      </c>
      <c r="U2" s="179" t="s">
        <v>204</v>
      </c>
      <c r="V2" s="179" t="s">
        <v>205</v>
      </c>
      <c r="W2" s="179" t="s">
        <v>206</v>
      </c>
      <c r="X2" s="179" t="s">
        <v>207</v>
      </c>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row>
    <row r="3" spans="1:66" ht="13.95" customHeight="1" x14ac:dyDescent="0.25">
      <c r="A3" s="809" t="s">
        <v>208</v>
      </c>
      <c r="B3" s="809" t="str">
        <f>Prototype!A2</f>
        <v>RestaurantSitDown</v>
      </c>
      <c r="C3" s="808" t="s">
        <v>209</v>
      </c>
      <c r="D3" s="808" t="s">
        <v>210</v>
      </c>
      <c r="E3" s="809" t="s">
        <v>211</v>
      </c>
      <c r="F3" s="708" t="s">
        <v>212</v>
      </c>
      <c r="G3" s="708" t="s">
        <v>72</v>
      </c>
      <c r="H3" s="709" t="s">
        <v>213</v>
      </c>
      <c r="I3" s="667">
        <v>0.35199999999999998</v>
      </c>
      <c r="J3" s="667">
        <v>0.35199999999999998</v>
      </c>
      <c r="K3" s="667">
        <v>0.35199999999999998</v>
      </c>
      <c r="L3" s="667">
        <v>0.35199999999999998</v>
      </c>
      <c r="M3" s="667">
        <v>0.35199999999999998</v>
      </c>
      <c r="N3" s="667">
        <v>0.35199999999999998</v>
      </c>
      <c r="O3" s="667">
        <v>0.35199999999999998</v>
      </c>
      <c r="P3" s="667">
        <v>0.35199999999999998</v>
      </c>
      <c r="Q3" s="667">
        <v>0.35199999999999998</v>
      </c>
      <c r="R3" s="667">
        <v>0.35199999999999998</v>
      </c>
      <c r="S3" s="667">
        <v>0.35199999999999998</v>
      </c>
      <c r="T3" s="667">
        <v>0.35199999999999998</v>
      </c>
      <c r="U3" s="667">
        <v>0.35199999999999998</v>
      </c>
      <c r="V3" s="667">
        <v>0.35199999999999998</v>
      </c>
      <c r="W3" s="667">
        <v>0.35199999999999998</v>
      </c>
      <c r="X3" s="667">
        <v>0.35199999999999998</v>
      </c>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row>
    <row r="4" spans="1:66" ht="34.200000000000003" customHeight="1" x14ac:dyDescent="0.25">
      <c r="A4" s="809"/>
      <c r="B4" s="809"/>
      <c r="C4" s="808"/>
      <c r="D4" s="808"/>
      <c r="E4" s="809"/>
      <c r="F4" s="668" t="s">
        <v>214</v>
      </c>
      <c r="G4" s="668">
        <v>1986</v>
      </c>
      <c r="H4" s="669" t="s">
        <v>215</v>
      </c>
      <c r="I4" s="670">
        <f>1/7.52</f>
        <v>0.13297872340425532</v>
      </c>
      <c r="J4" s="670">
        <f t="shared" ref="J4:X4" si="0">1/7.52</f>
        <v>0.13297872340425532</v>
      </c>
      <c r="K4" s="670">
        <f t="shared" si="0"/>
        <v>0.13297872340425532</v>
      </c>
      <c r="L4" s="670">
        <f t="shared" si="0"/>
        <v>0.13297872340425532</v>
      </c>
      <c r="M4" s="670">
        <f t="shared" si="0"/>
        <v>0.13297872340425532</v>
      </c>
      <c r="N4" s="670">
        <f t="shared" si="0"/>
        <v>0.13297872340425532</v>
      </c>
      <c r="O4" s="670">
        <f t="shared" si="0"/>
        <v>0.13297872340425532</v>
      </c>
      <c r="P4" s="670">
        <f t="shared" si="0"/>
        <v>0.13297872340425532</v>
      </c>
      <c r="Q4" s="670">
        <f t="shared" si="0"/>
        <v>0.13297872340425532</v>
      </c>
      <c r="R4" s="670">
        <f t="shared" si="0"/>
        <v>0.13297872340425532</v>
      </c>
      <c r="S4" s="670">
        <f t="shared" si="0"/>
        <v>0.13297872340425532</v>
      </c>
      <c r="T4" s="670">
        <f t="shared" si="0"/>
        <v>0.13297872340425532</v>
      </c>
      <c r="U4" s="670">
        <f t="shared" si="0"/>
        <v>0.13297872340425532</v>
      </c>
      <c r="V4" s="670">
        <f t="shared" si="0"/>
        <v>0.13297872340425532</v>
      </c>
      <c r="W4" s="670">
        <f t="shared" si="0"/>
        <v>0.13297872340425532</v>
      </c>
      <c r="X4" s="670">
        <f t="shared" si="0"/>
        <v>0.13297872340425532</v>
      </c>
      <c r="Y4" s="127" t="s">
        <v>216</v>
      </c>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row>
    <row r="5" spans="1:66" x14ac:dyDescent="0.25">
      <c r="A5" s="809"/>
      <c r="B5" s="809"/>
      <c r="C5" s="808"/>
      <c r="D5" s="808"/>
      <c r="E5" s="809"/>
      <c r="F5" s="671" t="s">
        <v>217</v>
      </c>
      <c r="G5" s="671">
        <v>2001</v>
      </c>
      <c r="H5" s="671" t="s">
        <v>218</v>
      </c>
      <c r="I5" s="672">
        <v>0.182</v>
      </c>
      <c r="J5" s="672">
        <v>0.182</v>
      </c>
      <c r="K5" s="672">
        <v>0.189</v>
      </c>
      <c r="L5" s="672">
        <v>0.189</v>
      </c>
      <c r="M5" s="672">
        <v>0.189</v>
      </c>
      <c r="N5" s="672">
        <v>0.189</v>
      </c>
      <c r="O5" s="672">
        <v>0.189</v>
      </c>
      <c r="P5" s="672">
        <v>0.189</v>
      </c>
      <c r="Q5" s="672">
        <v>0.189</v>
      </c>
      <c r="R5" s="672">
        <v>0.182</v>
      </c>
      <c r="S5" s="672">
        <v>0.182</v>
      </c>
      <c r="T5" s="672">
        <v>0.182</v>
      </c>
      <c r="U5" s="672">
        <v>0.182</v>
      </c>
      <c r="V5" s="672">
        <v>0.182</v>
      </c>
      <c r="W5" s="672">
        <v>0.182</v>
      </c>
      <c r="X5" s="672">
        <v>0.182</v>
      </c>
      <c r="Y5" s="185"/>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row>
    <row r="6" spans="1:66" x14ac:dyDescent="0.25">
      <c r="A6" s="809"/>
      <c r="B6" s="809"/>
      <c r="C6" s="808"/>
      <c r="D6" s="808"/>
      <c r="E6" s="809"/>
      <c r="F6" s="673" t="s">
        <v>219</v>
      </c>
      <c r="G6" s="673">
        <v>2013</v>
      </c>
      <c r="H6" s="673" t="s">
        <v>220</v>
      </c>
      <c r="I6" s="674">
        <v>9.8000000000000004E-2</v>
      </c>
      <c r="J6" s="674">
        <v>6.2E-2</v>
      </c>
      <c r="K6" s="674">
        <v>8.2000000000000003E-2</v>
      </c>
      <c r="L6" s="674">
        <v>6.2E-2</v>
      </c>
      <c r="M6" s="674">
        <v>6.2E-2</v>
      </c>
      <c r="N6" s="674">
        <v>9.8000000000000004E-2</v>
      </c>
      <c r="O6" s="674">
        <v>9.8000000000000004E-2</v>
      </c>
      <c r="P6" s="674">
        <v>6.2E-2</v>
      </c>
      <c r="Q6" s="674">
        <v>6.2E-2</v>
      </c>
      <c r="R6" s="674">
        <v>6.2E-2</v>
      </c>
      <c r="S6" s="674">
        <v>6.2E-2</v>
      </c>
      <c r="T6" s="674">
        <v>6.2E-2</v>
      </c>
      <c r="U6" s="674">
        <v>6.2E-2</v>
      </c>
      <c r="V6" s="674">
        <v>6.2E-2</v>
      </c>
      <c r="W6" s="674">
        <v>6.2E-2</v>
      </c>
      <c r="X6" s="674">
        <v>6.2E-2</v>
      </c>
      <c r="Y6" s="185"/>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row>
    <row r="7" spans="1:66" x14ac:dyDescent="0.25">
      <c r="A7" s="809"/>
      <c r="B7" s="809"/>
      <c r="C7" s="808"/>
      <c r="D7" s="808"/>
      <c r="E7" s="809"/>
      <c r="F7" s="675" t="s">
        <v>222</v>
      </c>
      <c r="G7" s="676">
        <v>2025</v>
      </c>
      <c r="H7" s="676" t="s">
        <v>220</v>
      </c>
      <c r="I7" s="676">
        <v>0.06</v>
      </c>
      <c r="J7" s="676">
        <v>5.5E-2</v>
      </c>
      <c r="K7" s="676">
        <v>7.0999999999999994E-2</v>
      </c>
      <c r="L7" s="676">
        <v>5.5E-2</v>
      </c>
      <c r="M7" s="676">
        <v>5.5E-2</v>
      </c>
      <c r="N7" s="676">
        <v>0.06</v>
      </c>
      <c r="O7" s="676">
        <v>0.06</v>
      </c>
      <c r="P7" s="676">
        <v>5.5E-2</v>
      </c>
      <c r="Q7" s="676">
        <v>5.5E-2</v>
      </c>
      <c r="R7" s="676">
        <v>5.5E-2</v>
      </c>
      <c r="S7" s="676">
        <v>5.5E-2</v>
      </c>
      <c r="T7" s="676">
        <v>5.5E-2</v>
      </c>
      <c r="U7" s="676">
        <v>5.5E-2</v>
      </c>
      <c r="V7" s="676">
        <v>5.5E-2</v>
      </c>
      <c r="W7" s="676">
        <v>5.5E-2</v>
      </c>
      <c r="X7" s="676">
        <v>5.5E-2</v>
      </c>
      <c r="Y7" s="185"/>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row>
    <row r="8" spans="1:66" ht="13.95" customHeight="1" x14ac:dyDescent="0.25">
      <c r="A8" s="809" t="s">
        <v>223</v>
      </c>
      <c r="B8" s="809" t="str">
        <f>B3</f>
        <v>RestaurantSitDown</v>
      </c>
      <c r="C8" s="808" t="s">
        <v>224</v>
      </c>
      <c r="D8" s="808" t="s">
        <v>225</v>
      </c>
      <c r="E8" s="809" t="s">
        <v>211</v>
      </c>
      <c r="F8" s="708" t="s">
        <v>212</v>
      </c>
      <c r="G8" s="708" t="s">
        <v>72</v>
      </c>
      <c r="H8" s="810" t="s">
        <v>226</v>
      </c>
      <c r="I8" s="710">
        <f>I9</f>
        <v>5.7000000000000002E-2</v>
      </c>
      <c r="J8" s="710">
        <f t="shared" ref="J8:X8" si="1">J9</f>
        <v>5.7000000000000002E-2</v>
      </c>
      <c r="K8" s="710">
        <f t="shared" si="1"/>
        <v>5.7000000000000002E-2</v>
      </c>
      <c r="L8" s="710">
        <f t="shared" si="1"/>
        <v>5.7000000000000002E-2</v>
      </c>
      <c r="M8" s="710">
        <f t="shared" si="1"/>
        <v>5.7000000000000002E-2</v>
      </c>
      <c r="N8" s="710">
        <f t="shared" si="1"/>
        <v>7.8E-2</v>
      </c>
      <c r="O8" s="710">
        <f t="shared" si="1"/>
        <v>7.8E-2</v>
      </c>
      <c r="P8" s="710">
        <f t="shared" si="1"/>
        <v>7.8E-2</v>
      </c>
      <c r="Q8" s="710">
        <f t="shared" si="1"/>
        <v>7.8E-2</v>
      </c>
      <c r="R8" s="710">
        <f t="shared" si="1"/>
        <v>7.8E-2</v>
      </c>
      <c r="S8" s="710">
        <f t="shared" si="1"/>
        <v>5.7000000000000002E-2</v>
      </c>
      <c r="T8" s="710">
        <f t="shared" si="1"/>
        <v>5.7000000000000002E-2</v>
      </c>
      <c r="U8" s="710">
        <f t="shared" si="1"/>
        <v>5.7000000000000002E-2</v>
      </c>
      <c r="V8" s="710">
        <f t="shared" si="1"/>
        <v>5.7000000000000002E-2</v>
      </c>
      <c r="W8" s="710">
        <f t="shared" si="1"/>
        <v>5.7000000000000002E-2</v>
      </c>
      <c r="X8" s="710">
        <f t="shared" si="1"/>
        <v>5.7000000000000002E-2</v>
      </c>
      <c r="Y8" s="185"/>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row>
    <row r="9" spans="1:66" ht="13.95" customHeight="1" x14ac:dyDescent="0.25">
      <c r="A9" s="809"/>
      <c r="B9" s="809"/>
      <c r="C9" s="808"/>
      <c r="D9" s="808"/>
      <c r="E9" s="809"/>
      <c r="F9" s="668" t="s">
        <v>214</v>
      </c>
      <c r="G9" s="668">
        <v>1992</v>
      </c>
      <c r="H9" s="810"/>
      <c r="I9" s="677">
        <v>5.7000000000000002E-2</v>
      </c>
      <c r="J9" s="677">
        <v>5.7000000000000002E-2</v>
      </c>
      <c r="K9" s="677">
        <v>5.7000000000000002E-2</v>
      </c>
      <c r="L9" s="677">
        <v>5.7000000000000002E-2</v>
      </c>
      <c r="M9" s="677">
        <v>5.7000000000000002E-2</v>
      </c>
      <c r="N9" s="677">
        <v>7.8E-2</v>
      </c>
      <c r="O9" s="677">
        <v>7.8E-2</v>
      </c>
      <c r="P9" s="677">
        <v>7.8E-2</v>
      </c>
      <c r="Q9" s="677">
        <v>7.8E-2</v>
      </c>
      <c r="R9" s="677">
        <v>7.8E-2</v>
      </c>
      <c r="S9" s="677">
        <v>5.7000000000000002E-2</v>
      </c>
      <c r="T9" s="677">
        <v>5.7000000000000002E-2</v>
      </c>
      <c r="U9" s="677">
        <v>5.7000000000000002E-2</v>
      </c>
      <c r="V9" s="677">
        <v>5.7000000000000002E-2</v>
      </c>
      <c r="W9" s="677">
        <v>5.7000000000000002E-2</v>
      </c>
      <c r="X9" s="677">
        <v>5.7000000000000002E-2</v>
      </c>
      <c r="Y9" s="185"/>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row>
    <row r="10" spans="1:66" ht="13.95" customHeight="1" x14ac:dyDescent="0.25">
      <c r="A10" s="809"/>
      <c r="B10" s="809"/>
      <c r="C10" s="808"/>
      <c r="D10" s="808"/>
      <c r="E10" s="809"/>
      <c r="F10" s="671" t="s">
        <v>217</v>
      </c>
      <c r="G10" s="671">
        <v>2001</v>
      </c>
      <c r="H10" s="671" t="s">
        <v>227</v>
      </c>
      <c r="I10" s="672">
        <v>5.7000000000000002E-2</v>
      </c>
      <c r="J10" s="672">
        <v>5.7000000000000002E-2</v>
      </c>
      <c r="K10" s="672">
        <v>5.7000000000000002E-2</v>
      </c>
      <c r="L10" s="672">
        <v>5.7000000000000002E-2</v>
      </c>
      <c r="M10" s="672">
        <v>5.7000000000000002E-2</v>
      </c>
      <c r="N10" s="672">
        <v>7.8E-2</v>
      </c>
      <c r="O10" s="672">
        <v>7.8E-2</v>
      </c>
      <c r="P10" s="672">
        <v>7.8E-2</v>
      </c>
      <c r="Q10" s="672">
        <v>7.8E-2</v>
      </c>
      <c r="R10" s="672">
        <v>5.7000000000000002E-2</v>
      </c>
      <c r="S10" s="672">
        <v>5.7000000000000002E-2</v>
      </c>
      <c r="T10" s="672">
        <v>5.7000000000000002E-2</v>
      </c>
      <c r="U10" s="672">
        <v>5.7000000000000002E-2</v>
      </c>
      <c r="V10" s="672">
        <v>5.7000000000000002E-2</v>
      </c>
      <c r="W10" s="672">
        <v>5.7000000000000002E-2</v>
      </c>
      <c r="X10" s="672">
        <v>5.7000000000000002E-2</v>
      </c>
      <c r="Y10" s="185"/>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row>
    <row r="11" spans="1:66" ht="13.95" customHeight="1" x14ac:dyDescent="0.25">
      <c r="A11" s="809"/>
      <c r="B11" s="809"/>
      <c r="C11" s="808"/>
      <c r="D11" s="808"/>
      <c r="E11" s="809"/>
      <c r="F11" s="673" t="s">
        <v>219</v>
      </c>
      <c r="G11" s="673">
        <v>2013</v>
      </c>
      <c r="H11" s="748" t="s">
        <v>228</v>
      </c>
      <c r="I11" s="674">
        <v>4.9000000000000002E-2</v>
      </c>
      <c r="J11" s="674">
        <v>3.9E-2</v>
      </c>
      <c r="K11" s="674">
        <v>3.9E-2</v>
      </c>
      <c r="L11" s="674">
        <v>3.9E-2</v>
      </c>
      <c r="M11" s="674">
        <v>4.9000000000000002E-2</v>
      </c>
      <c r="N11" s="674">
        <v>7.4999999999999997E-2</v>
      </c>
      <c r="O11" s="674">
        <v>6.7000000000000004E-2</v>
      </c>
      <c r="P11" s="674">
        <v>6.7000000000000004E-2</v>
      </c>
      <c r="Q11" s="674">
        <v>3.9E-2</v>
      </c>
      <c r="R11" s="674">
        <v>3.9E-2</v>
      </c>
      <c r="S11" s="674">
        <v>3.9E-2</v>
      </c>
      <c r="T11" s="674">
        <v>3.9E-2</v>
      </c>
      <c r="U11" s="674">
        <v>3.9E-2</v>
      </c>
      <c r="V11" s="674">
        <v>3.9E-2</v>
      </c>
      <c r="W11" s="674">
        <v>3.9E-2</v>
      </c>
      <c r="X11" s="674">
        <v>3.9E-2</v>
      </c>
      <c r="Y11" s="185"/>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row>
    <row r="12" spans="1:66" ht="13.95" customHeight="1" x14ac:dyDescent="0.25">
      <c r="A12" s="809"/>
      <c r="B12" s="809"/>
      <c r="C12" s="808"/>
      <c r="D12" s="808"/>
      <c r="E12" s="809"/>
      <c r="F12" s="675" t="s">
        <v>222</v>
      </c>
      <c r="G12" s="676">
        <v>2025</v>
      </c>
      <c r="H12" s="678" t="s">
        <v>229</v>
      </c>
      <c r="I12" s="676">
        <v>2.8000000000000001E-2</v>
      </c>
      <c r="J12" s="676">
        <v>2.8000000000000001E-2</v>
      </c>
      <c r="K12" s="676">
        <v>2.8000000000000001E-2</v>
      </c>
      <c r="L12" s="676">
        <v>2.8000000000000001E-2</v>
      </c>
      <c r="M12" s="676">
        <v>2.8000000000000001E-2</v>
      </c>
      <c r="N12" s="676">
        <v>4.7E-2</v>
      </c>
      <c r="O12" s="676">
        <v>4.7E-2</v>
      </c>
      <c r="P12" s="676">
        <v>4.7E-2</v>
      </c>
      <c r="Q12" s="676">
        <v>2.8000000000000001E-2</v>
      </c>
      <c r="R12" s="676">
        <v>2.8000000000000001E-2</v>
      </c>
      <c r="S12" s="676">
        <v>2.8000000000000001E-2</v>
      </c>
      <c r="T12" s="676">
        <v>2.8000000000000001E-2</v>
      </c>
      <c r="U12" s="676">
        <v>2.8000000000000001E-2</v>
      </c>
      <c r="V12" s="676">
        <v>2.8000000000000001E-2</v>
      </c>
      <c r="W12" s="676">
        <v>2.8000000000000001E-2</v>
      </c>
      <c r="X12" s="676">
        <v>2.8000000000000001E-2</v>
      </c>
      <c r="Y12" s="185"/>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row>
    <row r="13" spans="1:66" ht="19.95" customHeight="1" x14ac:dyDescent="0.25">
      <c r="A13" s="809" t="s">
        <v>230</v>
      </c>
      <c r="B13" s="809" t="str">
        <f>B3</f>
        <v>RestaurantSitDown</v>
      </c>
      <c r="C13" s="808" t="s">
        <v>231</v>
      </c>
      <c r="D13" s="808" t="s">
        <v>232</v>
      </c>
      <c r="E13" s="809" t="s">
        <v>211</v>
      </c>
      <c r="F13" s="708" t="s">
        <v>212</v>
      </c>
      <c r="G13" s="708" t="s">
        <v>72</v>
      </c>
      <c r="H13" s="810" t="s">
        <v>233</v>
      </c>
      <c r="I13" s="682">
        <f>0.3*1.12+0.7*I16</f>
        <v>0.58800000000000008</v>
      </c>
      <c r="J13" s="682">
        <f t="shared" ref="J13:X13" si="2">0.3*1.12+0.7*J16</f>
        <v>0.58800000000000008</v>
      </c>
      <c r="K13" s="682">
        <f t="shared" si="2"/>
        <v>0.58800000000000008</v>
      </c>
      <c r="L13" s="682">
        <f t="shared" si="2"/>
        <v>0.58800000000000008</v>
      </c>
      <c r="M13" s="682">
        <f t="shared" si="2"/>
        <v>0.58800000000000008</v>
      </c>
      <c r="N13" s="682">
        <f t="shared" si="2"/>
        <v>0.58800000000000008</v>
      </c>
      <c r="O13" s="682">
        <f t="shared" si="2"/>
        <v>0.58800000000000008</v>
      </c>
      <c r="P13" s="682">
        <f t="shared" si="2"/>
        <v>0.58800000000000008</v>
      </c>
      <c r="Q13" s="682">
        <f t="shared" si="2"/>
        <v>0.58800000000000008</v>
      </c>
      <c r="R13" s="682">
        <f t="shared" si="2"/>
        <v>0.58800000000000008</v>
      </c>
      <c r="S13" s="682">
        <f t="shared" si="2"/>
        <v>0.58800000000000008</v>
      </c>
      <c r="T13" s="682">
        <f t="shared" si="2"/>
        <v>0.58800000000000008</v>
      </c>
      <c r="U13" s="682">
        <f t="shared" si="2"/>
        <v>0.58800000000000008</v>
      </c>
      <c r="V13" s="682">
        <f t="shared" si="2"/>
        <v>0.58800000000000008</v>
      </c>
      <c r="W13" s="682">
        <f t="shared" si="2"/>
        <v>0.58800000000000008</v>
      </c>
      <c r="X13" s="682">
        <f t="shared" si="2"/>
        <v>0.58800000000000008</v>
      </c>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row>
    <row r="14" spans="1:66" ht="18" customHeight="1" x14ac:dyDescent="0.25">
      <c r="A14" s="809"/>
      <c r="B14" s="809"/>
      <c r="C14" s="808"/>
      <c r="D14" s="808"/>
      <c r="E14" s="809"/>
      <c r="F14" s="668" t="s">
        <v>214</v>
      </c>
      <c r="G14" s="668" t="s">
        <v>72</v>
      </c>
      <c r="H14" s="810"/>
      <c r="I14" s="683">
        <f>I13</f>
        <v>0.58800000000000008</v>
      </c>
      <c r="J14" s="683">
        <f t="shared" ref="J14:X14" si="3">J13</f>
        <v>0.58800000000000008</v>
      </c>
      <c r="K14" s="683">
        <f t="shared" si="3"/>
        <v>0.58800000000000008</v>
      </c>
      <c r="L14" s="683">
        <f t="shared" si="3"/>
        <v>0.58800000000000008</v>
      </c>
      <c r="M14" s="683">
        <f t="shared" si="3"/>
        <v>0.58800000000000008</v>
      </c>
      <c r="N14" s="683">
        <f t="shared" si="3"/>
        <v>0.58800000000000008</v>
      </c>
      <c r="O14" s="683">
        <f t="shared" si="3"/>
        <v>0.58800000000000008</v>
      </c>
      <c r="P14" s="683">
        <f t="shared" si="3"/>
        <v>0.58800000000000008</v>
      </c>
      <c r="Q14" s="683">
        <f t="shared" si="3"/>
        <v>0.58800000000000008</v>
      </c>
      <c r="R14" s="683">
        <f t="shared" si="3"/>
        <v>0.58800000000000008</v>
      </c>
      <c r="S14" s="683">
        <f t="shared" si="3"/>
        <v>0.58800000000000008</v>
      </c>
      <c r="T14" s="683">
        <f t="shared" si="3"/>
        <v>0.58800000000000008</v>
      </c>
      <c r="U14" s="683">
        <f t="shared" si="3"/>
        <v>0.58800000000000008</v>
      </c>
      <c r="V14" s="683">
        <f t="shared" si="3"/>
        <v>0.58800000000000008</v>
      </c>
      <c r="W14" s="683">
        <f t="shared" si="3"/>
        <v>0.58800000000000008</v>
      </c>
      <c r="X14" s="683">
        <f t="shared" si="3"/>
        <v>0.58800000000000008</v>
      </c>
      <c r="Y14" s="127" t="s">
        <v>234</v>
      </c>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row>
    <row r="15" spans="1:66" x14ac:dyDescent="0.25">
      <c r="A15" s="809"/>
      <c r="B15" s="809"/>
      <c r="C15" s="808"/>
      <c r="D15" s="811" t="s">
        <v>235</v>
      </c>
      <c r="E15" s="809"/>
      <c r="F15" s="671" t="s">
        <v>217</v>
      </c>
      <c r="G15" s="671">
        <v>2001</v>
      </c>
      <c r="H15" s="679" t="s">
        <v>236</v>
      </c>
      <c r="I15" s="684">
        <v>0.49</v>
      </c>
      <c r="J15" s="684">
        <v>0.49</v>
      </c>
      <c r="K15" s="684">
        <v>0.81</v>
      </c>
      <c r="L15" s="684">
        <v>0.81</v>
      </c>
      <c r="M15" s="684">
        <v>0.81</v>
      </c>
      <c r="N15" s="684">
        <v>0.81</v>
      </c>
      <c r="O15" s="684">
        <v>0.81</v>
      </c>
      <c r="P15" s="684">
        <v>0.81</v>
      </c>
      <c r="Q15" s="684">
        <v>0.81</v>
      </c>
      <c r="R15" s="684">
        <v>0.49</v>
      </c>
      <c r="S15" s="684">
        <v>0.49</v>
      </c>
      <c r="T15" s="684">
        <v>0.49</v>
      </c>
      <c r="U15" s="684">
        <v>0.49</v>
      </c>
      <c r="V15" s="684">
        <v>0.49</v>
      </c>
      <c r="W15" s="684">
        <v>0.49</v>
      </c>
      <c r="X15" s="684">
        <v>0.49</v>
      </c>
      <c r="Y15" s="127"/>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row>
    <row r="16" spans="1:66" ht="13.95" customHeight="1" x14ac:dyDescent="0.25">
      <c r="A16" s="809"/>
      <c r="B16" s="809"/>
      <c r="C16" s="808"/>
      <c r="D16" s="811"/>
      <c r="E16" s="809"/>
      <c r="F16" s="673" t="s">
        <v>219</v>
      </c>
      <c r="G16" s="673">
        <v>2013</v>
      </c>
      <c r="H16" s="674" t="s">
        <v>237</v>
      </c>
      <c r="I16" s="685">
        <v>0.36</v>
      </c>
      <c r="J16" s="685">
        <v>0.36</v>
      </c>
      <c r="K16" s="685">
        <v>0.36</v>
      </c>
      <c r="L16" s="685">
        <v>0.36</v>
      </c>
      <c r="M16" s="685">
        <v>0.36</v>
      </c>
      <c r="N16" s="685">
        <v>0.36</v>
      </c>
      <c r="O16" s="685">
        <v>0.36</v>
      </c>
      <c r="P16" s="685">
        <v>0.36</v>
      </c>
      <c r="Q16" s="685">
        <v>0.36</v>
      </c>
      <c r="R16" s="685">
        <v>0.36</v>
      </c>
      <c r="S16" s="685">
        <v>0.36</v>
      </c>
      <c r="T16" s="685">
        <v>0.36</v>
      </c>
      <c r="U16" s="685">
        <v>0.36</v>
      </c>
      <c r="V16" s="685">
        <v>0.36</v>
      </c>
      <c r="W16" s="685">
        <v>0.36</v>
      </c>
      <c r="X16" s="685">
        <v>0.36</v>
      </c>
      <c r="Y16" s="127"/>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row>
    <row r="17" spans="1:66" ht="13.95" customHeight="1" x14ac:dyDescent="0.25">
      <c r="A17" s="809"/>
      <c r="B17" s="809"/>
      <c r="C17" s="808"/>
      <c r="D17" s="811"/>
      <c r="E17" s="809"/>
      <c r="F17" s="675" t="s">
        <v>222</v>
      </c>
      <c r="G17" s="676">
        <v>2025</v>
      </c>
      <c r="H17" s="676" t="s">
        <v>237</v>
      </c>
      <c r="I17" s="686">
        <v>0.36</v>
      </c>
      <c r="J17" s="686">
        <v>0.36</v>
      </c>
      <c r="K17" s="686">
        <v>0.36</v>
      </c>
      <c r="L17" s="686">
        <v>0.36</v>
      </c>
      <c r="M17" s="686">
        <v>0.36</v>
      </c>
      <c r="N17" s="686">
        <v>0.36</v>
      </c>
      <c r="O17" s="686">
        <v>0.36</v>
      </c>
      <c r="P17" s="686">
        <v>0.36</v>
      </c>
      <c r="Q17" s="686">
        <v>0.34</v>
      </c>
      <c r="R17" s="686">
        <v>0.36</v>
      </c>
      <c r="S17" s="686">
        <v>0.34</v>
      </c>
      <c r="T17" s="686">
        <v>0.34</v>
      </c>
      <c r="U17" s="686">
        <v>0.34</v>
      </c>
      <c r="V17" s="686">
        <v>0.34</v>
      </c>
      <c r="W17" s="686">
        <v>0.34</v>
      </c>
      <c r="X17" s="686">
        <v>0.36</v>
      </c>
      <c r="Y17" s="127"/>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row>
    <row r="18" spans="1:66" ht="23.25" customHeight="1" x14ac:dyDescent="0.25">
      <c r="A18" s="809"/>
      <c r="B18" s="809"/>
      <c r="C18" s="808"/>
      <c r="D18" s="808" t="s">
        <v>232</v>
      </c>
      <c r="E18" s="809" t="s">
        <v>238</v>
      </c>
      <c r="F18" s="708" t="s">
        <v>212</v>
      </c>
      <c r="G18" s="708" t="s">
        <v>72</v>
      </c>
      <c r="H18" s="810" t="s">
        <v>239</v>
      </c>
      <c r="I18" s="682">
        <f>0.79*0.3+I21*0.7</f>
        <v>0.41199999999999998</v>
      </c>
      <c r="J18" s="682">
        <f t="shared" ref="J18:X18" si="4">0.79*0.3+J21*0.7</f>
        <v>0.41199999999999998</v>
      </c>
      <c r="K18" s="682">
        <f>0.79*0.3+K21*0.7</f>
        <v>0.41199999999999998</v>
      </c>
      <c r="L18" s="682">
        <f t="shared" si="4"/>
        <v>0.41199999999999998</v>
      </c>
      <c r="M18" s="682">
        <f t="shared" si="4"/>
        <v>0.41199999999999998</v>
      </c>
      <c r="N18" s="682">
        <f t="shared" si="4"/>
        <v>0.41199999999999998</v>
      </c>
      <c r="O18" s="682">
        <f t="shared" si="4"/>
        <v>0.41199999999999998</v>
      </c>
      <c r="P18" s="682">
        <f t="shared" si="4"/>
        <v>0.41199999999999998</v>
      </c>
      <c r="Q18" s="682">
        <f t="shared" si="4"/>
        <v>0.41199999999999998</v>
      </c>
      <c r="R18" s="682">
        <f t="shared" si="4"/>
        <v>0.41199999999999998</v>
      </c>
      <c r="S18" s="682">
        <f t="shared" si="4"/>
        <v>0.41199999999999998</v>
      </c>
      <c r="T18" s="682">
        <f t="shared" si="4"/>
        <v>0.41199999999999998</v>
      </c>
      <c r="U18" s="682">
        <f t="shared" si="4"/>
        <v>0.41199999999999998</v>
      </c>
      <c r="V18" s="682">
        <f t="shared" si="4"/>
        <v>0.41199999999999998</v>
      </c>
      <c r="W18" s="682">
        <f t="shared" si="4"/>
        <v>0.41199999999999998</v>
      </c>
      <c r="X18" s="682">
        <f t="shared" si="4"/>
        <v>0.41199999999999998</v>
      </c>
      <c r="Y18" s="127"/>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row>
    <row r="19" spans="1:66" ht="22.5" customHeight="1" x14ac:dyDescent="0.25">
      <c r="A19" s="809"/>
      <c r="B19" s="809"/>
      <c r="C19" s="808"/>
      <c r="D19" s="808"/>
      <c r="E19" s="809"/>
      <c r="F19" s="668" t="s">
        <v>214</v>
      </c>
      <c r="G19" s="668" t="s">
        <v>72</v>
      </c>
      <c r="H19" s="810"/>
      <c r="I19" s="683">
        <f>I18</f>
        <v>0.41199999999999998</v>
      </c>
      <c r="J19" s="683">
        <f t="shared" ref="J19:X19" si="5">J18</f>
        <v>0.41199999999999998</v>
      </c>
      <c r="K19" s="683">
        <f t="shared" si="5"/>
        <v>0.41199999999999998</v>
      </c>
      <c r="L19" s="683">
        <f t="shared" si="5"/>
        <v>0.41199999999999998</v>
      </c>
      <c r="M19" s="683">
        <f t="shared" si="5"/>
        <v>0.41199999999999998</v>
      </c>
      <c r="N19" s="683">
        <f t="shared" si="5"/>
        <v>0.41199999999999998</v>
      </c>
      <c r="O19" s="683">
        <f t="shared" si="5"/>
        <v>0.41199999999999998</v>
      </c>
      <c r="P19" s="683">
        <f t="shared" si="5"/>
        <v>0.41199999999999998</v>
      </c>
      <c r="Q19" s="683">
        <f t="shared" si="5"/>
        <v>0.41199999999999998</v>
      </c>
      <c r="R19" s="683">
        <f t="shared" si="5"/>
        <v>0.41199999999999998</v>
      </c>
      <c r="S19" s="683">
        <f t="shared" si="5"/>
        <v>0.41199999999999998</v>
      </c>
      <c r="T19" s="683">
        <f t="shared" si="5"/>
        <v>0.41199999999999998</v>
      </c>
      <c r="U19" s="683">
        <f t="shared" si="5"/>
        <v>0.41199999999999998</v>
      </c>
      <c r="V19" s="683">
        <f t="shared" si="5"/>
        <v>0.41199999999999998</v>
      </c>
      <c r="W19" s="683">
        <f t="shared" si="5"/>
        <v>0.41199999999999998</v>
      </c>
      <c r="X19" s="683">
        <f t="shared" si="5"/>
        <v>0.41199999999999998</v>
      </c>
      <c r="Y19" s="127" t="s">
        <v>234</v>
      </c>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row>
    <row r="20" spans="1:66" ht="15.6" customHeight="1" x14ac:dyDescent="0.25">
      <c r="A20" s="809"/>
      <c r="B20" s="809"/>
      <c r="C20" s="808"/>
      <c r="D20" s="809" t="s">
        <v>235</v>
      </c>
      <c r="E20" s="809"/>
      <c r="F20" s="671" t="s">
        <v>217</v>
      </c>
      <c r="G20" s="671">
        <v>2001</v>
      </c>
      <c r="H20" s="680" t="s">
        <v>240</v>
      </c>
      <c r="I20" s="684">
        <v>0.43</v>
      </c>
      <c r="J20" s="684">
        <v>0.36</v>
      </c>
      <c r="K20" s="684">
        <v>0.55000000000000004</v>
      </c>
      <c r="L20" s="684">
        <v>0.55000000000000004</v>
      </c>
      <c r="M20" s="684">
        <v>0.55000000000000004</v>
      </c>
      <c r="N20" s="684">
        <v>0.61</v>
      </c>
      <c r="O20" s="684">
        <v>0.61</v>
      </c>
      <c r="P20" s="684">
        <v>0.61</v>
      </c>
      <c r="Q20" s="684">
        <v>0.61</v>
      </c>
      <c r="R20" s="684">
        <v>0.36</v>
      </c>
      <c r="S20" s="684">
        <v>0.36</v>
      </c>
      <c r="T20" s="684">
        <v>0.36</v>
      </c>
      <c r="U20" s="684">
        <v>0.36</v>
      </c>
      <c r="V20" s="684">
        <v>0.36</v>
      </c>
      <c r="W20" s="684">
        <v>0.36</v>
      </c>
      <c r="X20" s="684">
        <v>0.43</v>
      </c>
      <c r="Y20" s="127"/>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row>
    <row r="21" spans="1:66" ht="15.6" customHeight="1" x14ac:dyDescent="0.25">
      <c r="A21" s="809"/>
      <c r="B21" s="809"/>
      <c r="C21" s="808"/>
      <c r="D21" s="809"/>
      <c r="E21" s="809"/>
      <c r="F21" s="673" t="s">
        <v>219</v>
      </c>
      <c r="G21" s="673">
        <v>2013</v>
      </c>
      <c r="H21" s="673" t="s">
        <v>237</v>
      </c>
      <c r="I21" s="685">
        <v>0.25</v>
      </c>
      <c r="J21" s="685">
        <v>0.25</v>
      </c>
      <c r="K21" s="685">
        <v>0.25</v>
      </c>
      <c r="L21" s="685">
        <v>0.25</v>
      </c>
      <c r="M21" s="685">
        <v>0.25</v>
      </c>
      <c r="N21" s="685">
        <v>0.25</v>
      </c>
      <c r="O21" s="685">
        <v>0.25</v>
      </c>
      <c r="P21" s="685">
        <v>0.25</v>
      </c>
      <c r="Q21" s="685">
        <v>0.25</v>
      </c>
      <c r="R21" s="685">
        <v>0.25</v>
      </c>
      <c r="S21" s="685">
        <v>0.25</v>
      </c>
      <c r="T21" s="685">
        <v>0.25</v>
      </c>
      <c r="U21" s="685">
        <v>0.25</v>
      </c>
      <c r="V21" s="685">
        <v>0.25</v>
      </c>
      <c r="W21" s="685">
        <v>0.25</v>
      </c>
      <c r="X21" s="685">
        <v>0.25</v>
      </c>
      <c r="Y21" s="185"/>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row>
    <row r="22" spans="1:66" ht="15.6" customHeight="1" x14ac:dyDescent="0.25">
      <c r="A22" s="809"/>
      <c r="B22" s="809"/>
      <c r="C22" s="808"/>
      <c r="D22" s="809"/>
      <c r="E22" s="809"/>
      <c r="F22" s="675" t="s">
        <v>222</v>
      </c>
      <c r="G22" s="676">
        <v>2025</v>
      </c>
      <c r="H22" s="676" t="s">
        <v>237</v>
      </c>
      <c r="I22" s="686">
        <v>0.25</v>
      </c>
      <c r="J22" s="686">
        <v>0.25</v>
      </c>
      <c r="K22" s="686">
        <v>0.25</v>
      </c>
      <c r="L22" s="686">
        <v>0.25</v>
      </c>
      <c r="M22" s="686">
        <v>0.25</v>
      </c>
      <c r="N22" s="686">
        <v>0.25</v>
      </c>
      <c r="O22" s="686">
        <v>0.25</v>
      </c>
      <c r="P22" s="686">
        <v>0.25</v>
      </c>
      <c r="Q22" s="686">
        <v>0.22</v>
      </c>
      <c r="R22" s="686">
        <v>0.25</v>
      </c>
      <c r="S22" s="686">
        <v>0.22</v>
      </c>
      <c r="T22" s="686">
        <v>0.22</v>
      </c>
      <c r="U22" s="686">
        <v>0.22</v>
      </c>
      <c r="V22" s="686">
        <v>0.22</v>
      </c>
      <c r="W22" s="686">
        <v>0.22</v>
      </c>
      <c r="X22" s="686">
        <v>0.25</v>
      </c>
      <c r="Y22" s="185"/>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row>
    <row r="23" spans="1:66" ht="15.75" customHeight="1" x14ac:dyDescent="0.25">
      <c r="A23" s="124"/>
      <c r="B23" s="130"/>
      <c r="C23" s="124"/>
      <c r="D23" s="124"/>
      <c r="E23" s="186"/>
      <c r="F23" s="186"/>
      <c r="G23" s="187"/>
      <c r="H23" s="186"/>
      <c r="I23" s="186"/>
      <c r="J23" s="186"/>
      <c r="K23" s="186"/>
      <c r="L23" s="186"/>
      <c r="M23" s="186"/>
      <c r="N23" s="186"/>
      <c r="O23" s="186"/>
      <c r="P23" s="186"/>
      <c r="Q23" s="186"/>
      <c r="R23" s="186"/>
      <c r="S23" s="186"/>
      <c r="T23" s="186"/>
      <c r="U23" s="186"/>
      <c r="V23" s="186"/>
      <c r="W23" s="186"/>
      <c r="X23" s="186"/>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row>
    <row r="24" spans="1:66" ht="25.95" customHeight="1" x14ac:dyDescent="0.25">
      <c r="A24" s="124"/>
      <c r="B24" s="130"/>
      <c r="C24" s="802" t="s">
        <v>241</v>
      </c>
      <c r="D24" s="802"/>
      <c r="E24" s="802"/>
      <c r="F24" s="802"/>
      <c r="G24" s="802"/>
      <c r="H24" s="802"/>
      <c r="I24" s="802"/>
      <c r="J24" s="802"/>
      <c r="K24" s="225"/>
      <c r="L24" s="225"/>
      <c r="M24" s="188"/>
      <c r="N24" s="188"/>
      <c r="O24" s="188"/>
      <c r="P24" s="188"/>
      <c r="Q24" s="188"/>
      <c r="R24" s="188"/>
      <c r="S24" s="188"/>
      <c r="T24" s="188"/>
      <c r="U24" s="188"/>
      <c r="V24" s="188"/>
      <c r="W24" s="188"/>
      <c r="X24" s="188"/>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row>
    <row r="25" spans="1:66" ht="43.2" customHeight="1" x14ac:dyDescent="0.25">
      <c r="A25" s="124"/>
      <c r="B25" s="124"/>
      <c r="C25" s="749"/>
      <c r="D25" s="749" t="s">
        <v>158</v>
      </c>
      <c r="E25" s="749" t="s">
        <v>88</v>
      </c>
      <c r="F25" s="226" t="s">
        <v>190</v>
      </c>
      <c r="G25" s="233" t="s">
        <v>242</v>
      </c>
      <c r="H25" s="233" t="s">
        <v>243</v>
      </c>
      <c r="I25" s="818" t="s">
        <v>244</v>
      </c>
      <c r="J25" s="819"/>
      <c r="K25" s="819"/>
      <c r="L25" s="819"/>
      <c r="M25" s="819"/>
      <c r="N25" s="819"/>
      <c r="O25" s="819"/>
      <c r="P25" s="819"/>
      <c r="Q25" s="819"/>
      <c r="R25" s="819"/>
      <c r="S25" s="819"/>
      <c r="T25" s="819"/>
      <c r="U25" s="819"/>
      <c r="V25" s="819"/>
      <c r="W25" s="819"/>
      <c r="X25" s="820"/>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row>
    <row r="26" spans="1:66" ht="24.6" customHeight="1" x14ac:dyDescent="0.25">
      <c r="A26" s="124"/>
      <c r="B26" s="124"/>
      <c r="C26" s="812" t="s">
        <v>241</v>
      </c>
      <c r="D26" s="812" t="s">
        <v>47</v>
      </c>
      <c r="E26" s="812"/>
      <c r="F26" s="666" t="s">
        <v>212</v>
      </c>
      <c r="G26" s="666">
        <v>1.1000000000000001</v>
      </c>
      <c r="H26" s="227" t="s">
        <v>245</v>
      </c>
      <c r="I26" s="815">
        <f>0.112*G26*$F$36</f>
        <v>0.58027200000000012</v>
      </c>
      <c r="J26" s="816"/>
      <c r="K26" s="816"/>
      <c r="L26" s="816"/>
      <c r="M26" s="816"/>
      <c r="N26" s="816"/>
      <c r="O26" s="816"/>
      <c r="P26" s="816"/>
      <c r="Q26" s="816"/>
      <c r="R26" s="816"/>
      <c r="S26" s="816"/>
      <c r="T26" s="816"/>
      <c r="U26" s="816"/>
      <c r="V26" s="816"/>
      <c r="W26" s="816"/>
      <c r="X26" s="817"/>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row>
    <row r="27" spans="1:66" ht="24.6" customHeight="1" x14ac:dyDescent="0.25">
      <c r="A27" s="124"/>
      <c r="B27" s="124"/>
      <c r="C27" s="813"/>
      <c r="D27" s="813"/>
      <c r="E27" s="813"/>
      <c r="F27" s="666" t="s">
        <v>214</v>
      </c>
      <c r="G27" s="666">
        <v>1.1000000000000001</v>
      </c>
      <c r="H27" s="227" t="s">
        <v>245</v>
      </c>
      <c r="I27" s="815">
        <f>0.112*G27*$F$36</f>
        <v>0.58027200000000012</v>
      </c>
      <c r="J27" s="816"/>
      <c r="K27" s="816"/>
      <c r="L27" s="816"/>
      <c r="M27" s="816"/>
      <c r="N27" s="816"/>
      <c r="O27" s="816"/>
      <c r="P27" s="816"/>
      <c r="Q27" s="816"/>
      <c r="R27" s="816"/>
      <c r="S27" s="816"/>
      <c r="T27" s="816"/>
      <c r="U27" s="816"/>
      <c r="V27" s="816"/>
      <c r="W27" s="816"/>
      <c r="X27" s="817"/>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row>
    <row r="28" spans="1:66" ht="24.6" customHeight="1" x14ac:dyDescent="0.25">
      <c r="A28" s="124"/>
      <c r="B28" s="124"/>
      <c r="C28" s="813"/>
      <c r="D28" s="813"/>
      <c r="E28" s="813"/>
      <c r="F28" s="666" t="s">
        <v>217</v>
      </c>
      <c r="G28" s="666">
        <v>1.1000000000000001</v>
      </c>
      <c r="H28" s="227" t="s">
        <v>245</v>
      </c>
      <c r="I28" s="815">
        <f>0.112*G28*$F$36</f>
        <v>0.58027200000000012</v>
      </c>
      <c r="J28" s="816"/>
      <c r="K28" s="816"/>
      <c r="L28" s="816"/>
      <c r="M28" s="816"/>
      <c r="N28" s="816"/>
      <c r="O28" s="816"/>
      <c r="P28" s="816"/>
      <c r="Q28" s="816"/>
      <c r="R28" s="816"/>
      <c r="S28" s="816"/>
      <c r="T28" s="816"/>
      <c r="U28" s="816"/>
      <c r="V28" s="816"/>
      <c r="W28" s="816"/>
      <c r="X28" s="817"/>
      <c r="Y28" s="169"/>
      <c r="Z28" s="122"/>
      <c r="AA28" s="122"/>
      <c r="AB28" s="806"/>
      <c r="AC28" s="806"/>
      <c r="AD28" s="806"/>
      <c r="AE28" s="806"/>
      <c r="AF28" s="806"/>
      <c r="AG28" s="806"/>
      <c r="AH28" s="806"/>
      <c r="AI28" s="806"/>
      <c r="AJ28" s="806"/>
      <c r="AK28" s="806"/>
      <c r="AL28" s="806"/>
      <c r="AM28" s="806"/>
      <c r="AN28" s="806"/>
      <c r="AO28" s="806"/>
      <c r="AP28" s="806"/>
      <c r="AQ28" s="806"/>
      <c r="AR28" s="806"/>
      <c r="AS28" s="806"/>
      <c r="AT28" s="806"/>
      <c r="AU28" s="806"/>
      <c r="AV28" s="806"/>
      <c r="AW28" s="806"/>
      <c r="AX28" s="806"/>
      <c r="AY28" s="122"/>
      <c r="AZ28" s="122"/>
      <c r="BA28" s="122"/>
      <c r="BB28" s="122"/>
      <c r="BC28" s="122"/>
      <c r="BD28" s="122"/>
      <c r="BE28" s="122"/>
      <c r="BF28" s="122"/>
      <c r="BG28" s="122"/>
      <c r="BH28" s="122"/>
      <c r="BI28" s="122"/>
      <c r="BJ28" s="122"/>
      <c r="BK28" s="122"/>
      <c r="BL28" s="122"/>
      <c r="BM28" s="122"/>
      <c r="BN28" s="122"/>
    </row>
    <row r="29" spans="1:66" ht="33.6" customHeight="1" x14ac:dyDescent="0.25">
      <c r="A29" s="124"/>
      <c r="B29" s="124"/>
      <c r="C29" s="813"/>
      <c r="D29" s="813"/>
      <c r="E29" s="813"/>
      <c r="F29" s="666" t="s">
        <v>219</v>
      </c>
      <c r="G29" s="257">
        <v>1</v>
      </c>
      <c r="H29" s="232" t="s">
        <v>246</v>
      </c>
      <c r="I29" s="815">
        <f>0.112*G29*$F$36</f>
        <v>0.52751999999999999</v>
      </c>
      <c r="J29" s="816"/>
      <c r="K29" s="816"/>
      <c r="L29" s="816"/>
      <c r="M29" s="816"/>
      <c r="N29" s="816"/>
      <c r="O29" s="816"/>
      <c r="P29" s="816"/>
      <c r="Q29" s="816"/>
      <c r="R29" s="816"/>
      <c r="S29" s="816"/>
      <c r="T29" s="816"/>
      <c r="U29" s="816"/>
      <c r="V29" s="816"/>
      <c r="W29" s="816"/>
      <c r="X29" s="817"/>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row>
    <row r="30" spans="1:66" ht="34.200000000000003" customHeight="1" x14ac:dyDescent="0.25">
      <c r="A30" s="124"/>
      <c r="B30" s="124"/>
      <c r="C30" s="814"/>
      <c r="D30" s="814"/>
      <c r="E30" s="814"/>
      <c r="F30" s="666" t="s">
        <v>222</v>
      </c>
      <c r="G30" s="666">
        <v>0.6</v>
      </c>
      <c r="H30" s="232" t="s">
        <v>247</v>
      </c>
      <c r="I30" s="815">
        <f>0.112*G30*$F$36</f>
        <v>0.31651199999999996</v>
      </c>
      <c r="J30" s="816"/>
      <c r="K30" s="816"/>
      <c r="L30" s="816"/>
      <c r="M30" s="816"/>
      <c r="N30" s="816"/>
      <c r="O30" s="816"/>
      <c r="P30" s="816"/>
      <c r="Q30" s="816"/>
      <c r="R30" s="816"/>
      <c r="S30" s="816"/>
      <c r="T30" s="816"/>
      <c r="U30" s="816"/>
      <c r="V30" s="816"/>
      <c r="W30" s="816"/>
      <c r="X30" s="817"/>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row>
    <row r="31" spans="1:66" x14ac:dyDescent="0.25">
      <c r="A31" s="122"/>
      <c r="B31" s="189"/>
      <c r="C31" s="122"/>
      <c r="D31" s="122"/>
      <c r="E31" s="184" t="s">
        <v>248</v>
      </c>
      <c r="F31" s="721"/>
      <c r="G31" s="750"/>
      <c r="H31" s="239"/>
      <c r="I31" s="239"/>
      <c r="J31" s="239"/>
      <c r="K31" s="239"/>
      <c r="L31" s="239"/>
      <c r="M31" s="239"/>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row>
    <row r="32" spans="1:66" ht="14.4" x14ac:dyDescent="0.3">
      <c r="A32" s="122"/>
      <c r="B32" s="189"/>
      <c r="C32" s="122"/>
      <c r="D32" s="122"/>
      <c r="E32" s="230" t="s">
        <v>249</v>
      </c>
      <c r="F32" s="239"/>
      <c r="G32" s="239"/>
      <c r="H32" s="239"/>
      <c r="I32" s="239"/>
      <c r="J32" s="239"/>
      <c r="K32" s="239"/>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row>
    <row r="33" spans="1:66" x14ac:dyDescent="0.25">
      <c r="A33" s="122"/>
      <c r="B33" s="189"/>
      <c r="C33" s="122"/>
      <c r="D33" s="122"/>
      <c r="E33" s="122"/>
      <c r="F33" s="122"/>
      <c r="G33" s="190"/>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row>
    <row r="34" spans="1:66" x14ac:dyDescent="0.25">
      <c r="A34" s="124"/>
      <c r="B34" s="130"/>
      <c r="C34" s="124"/>
      <c r="D34" s="124"/>
      <c r="E34" s="124" t="s">
        <v>250</v>
      </c>
      <c r="F34" s="181">
        <f>(74.2*4)*10+(74.2^2)*2</f>
        <v>13979.28</v>
      </c>
      <c r="G34" s="711"/>
      <c r="H34" s="124"/>
      <c r="I34" s="124"/>
      <c r="J34" s="124"/>
      <c r="K34" s="124"/>
      <c r="L34" s="124"/>
      <c r="M34" s="124"/>
      <c r="N34" s="124"/>
      <c r="O34" s="124"/>
      <c r="P34" s="124"/>
      <c r="Q34" s="124"/>
      <c r="R34" s="124"/>
      <c r="S34" s="124"/>
      <c r="T34" s="124"/>
      <c r="U34" s="124"/>
      <c r="V34" s="124"/>
      <c r="W34" s="124"/>
      <c r="X34" s="124"/>
      <c r="Y34" s="124"/>
      <c r="Z34" s="124"/>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row>
    <row r="35" spans="1:66" x14ac:dyDescent="0.25">
      <c r="A35" s="124"/>
      <c r="B35" s="130"/>
      <c r="C35" s="124"/>
      <c r="D35" s="124"/>
      <c r="E35" s="124" t="s">
        <v>251</v>
      </c>
      <c r="F35" s="181">
        <f>(74.2*4)*10</f>
        <v>2968</v>
      </c>
      <c r="G35" s="711"/>
      <c r="H35" s="124"/>
      <c r="I35" s="124"/>
      <c r="J35" s="124"/>
      <c r="K35" s="124"/>
      <c r="L35" s="124"/>
      <c r="M35" s="124"/>
      <c r="N35" s="124"/>
      <c r="O35" s="124"/>
      <c r="P35" s="124"/>
      <c r="Q35" s="124"/>
      <c r="R35" s="124"/>
      <c r="S35" s="124"/>
      <c r="T35" s="124"/>
      <c r="U35" s="124"/>
      <c r="V35" s="124"/>
      <c r="W35" s="124"/>
      <c r="X35" s="124"/>
      <c r="Y35" s="124"/>
      <c r="Z35" s="124"/>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row>
    <row r="36" spans="1:66" x14ac:dyDescent="0.25">
      <c r="A36" s="124"/>
      <c r="B36" s="130"/>
      <c r="C36" s="124"/>
      <c r="D36" s="124"/>
      <c r="E36" s="124" t="s">
        <v>252</v>
      </c>
      <c r="F36" s="312">
        <f>F34/F35</f>
        <v>4.71</v>
      </c>
      <c r="G36" s="711"/>
      <c r="H36" s="124"/>
      <c r="I36" s="124"/>
      <c r="J36" s="124"/>
      <c r="K36" s="124"/>
      <c r="L36" s="124"/>
      <c r="M36" s="124"/>
      <c r="N36" s="124"/>
      <c r="O36" s="124"/>
      <c r="P36" s="124"/>
      <c r="Q36" s="124"/>
      <c r="R36" s="124"/>
      <c r="S36" s="124"/>
      <c r="T36" s="124"/>
      <c r="U36" s="124"/>
      <c r="V36" s="124"/>
      <c r="W36" s="124"/>
      <c r="X36" s="124"/>
      <c r="Y36" s="124"/>
      <c r="Z36" s="124"/>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row>
    <row r="37" spans="1:66" x14ac:dyDescent="0.25">
      <c r="A37" s="124"/>
      <c r="B37" s="130"/>
      <c r="C37" s="124"/>
      <c r="D37" s="124"/>
      <c r="E37" s="122"/>
      <c r="F37" s="122"/>
      <c r="G37" s="711"/>
      <c r="H37" s="124"/>
      <c r="I37" s="124"/>
      <c r="J37" s="124"/>
      <c r="K37" s="124"/>
      <c r="L37" s="124"/>
      <c r="M37" s="124"/>
      <c r="N37" s="124"/>
      <c r="O37" s="124"/>
      <c r="P37" s="124"/>
      <c r="Q37" s="124"/>
      <c r="R37" s="124"/>
      <c r="S37" s="124"/>
      <c r="T37" s="124"/>
      <c r="U37" s="124"/>
      <c r="V37" s="124"/>
      <c r="W37" s="124"/>
      <c r="X37" s="124"/>
      <c r="Y37" s="124"/>
      <c r="Z37" s="124"/>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row>
    <row r="38" spans="1:66" x14ac:dyDescent="0.25">
      <c r="A38" s="122"/>
      <c r="B38" s="189"/>
      <c r="C38" s="122"/>
      <c r="D38" s="122"/>
      <c r="E38" s="122"/>
      <c r="F38" s="124"/>
      <c r="G38" s="190"/>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row>
    <row r="39" spans="1:66" x14ac:dyDescent="0.25">
      <c r="A39" s="122"/>
      <c r="B39" s="189"/>
      <c r="C39" s="122"/>
      <c r="D39" s="122"/>
      <c r="E39" s="122"/>
      <c r="F39" s="122"/>
      <c r="G39" s="190"/>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row>
    <row r="40" spans="1:66" x14ac:dyDescent="0.25">
      <c r="A40" s="122"/>
      <c r="B40" s="189"/>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row>
    <row r="41" spans="1:66" x14ac:dyDescent="0.25">
      <c r="A41" s="122"/>
      <c r="B41" s="189"/>
      <c r="C41" s="122"/>
      <c r="D41" s="122"/>
      <c r="E41" s="122"/>
      <c r="F41" s="122"/>
      <c r="G41" s="122"/>
      <c r="H41" s="122"/>
      <c r="I41" s="238"/>
      <c r="J41" s="238"/>
      <c r="K41" s="238"/>
      <c r="L41" s="238"/>
      <c r="M41" s="238"/>
      <c r="N41" s="238"/>
      <c r="O41" s="238"/>
      <c r="P41" s="238"/>
      <c r="Q41" s="238"/>
      <c r="R41" s="238"/>
      <c r="S41" s="238"/>
      <c r="T41" s="238"/>
      <c r="U41" s="238"/>
      <c r="V41" s="238"/>
      <c r="W41" s="238"/>
      <c r="X41" s="238"/>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row>
    <row r="42" spans="1:66" x14ac:dyDescent="0.25">
      <c r="A42" s="122"/>
      <c r="B42" s="189"/>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row>
    <row r="43" spans="1:66" x14ac:dyDescent="0.25">
      <c r="A43" s="122"/>
      <c r="B43" s="189"/>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row>
    <row r="44" spans="1:66" x14ac:dyDescent="0.25">
      <c r="A44" s="122"/>
      <c r="B44" s="189"/>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row>
    <row r="45" spans="1:66" x14ac:dyDescent="0.25">
      <c r="A45" s="122"/>
      <c r="B45" s="189"/>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row>
    <row r="46" spans="1:66" x14ac:dyDescent="0.25">
      <c r="A46" s="122"/>
      <c r="B46" s="189"/>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row>
    <row r="47" spans="1:66" x14ac:dyDescent="0.25">
      <c r="A47" s="122"/>
      <c r="B47" s="189"/>
      <c r="C47" s="122"/>
      <c r="D47" s="122"/>
      <c r="E47" s="122"/>
      <c r="F47" s="122"/>
      <c r="G47" s="190"/>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row>
    <row r="48" spans="1:66" x14ac:dyDescent="0.25">
      <c r="A48" s="122"/>
      <c r="B48" s="189"/>
      <c r="C48" s="122"/>
      <c r="D48" s="122"/>
      <c r="E48" s="122"/>
      <c r="F48" s="122"/>
      <c r="G48" s="190"/>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2"/>
      <c r="AX48" s="122"/>
      <c r="AY48" s="122"/>
      <c r="AZ48" s="122"/>
      <c r="BA48" s="122"/>
      <c r="BB48" s="122"/>
      <c r="BC48" s="122"/>
      <c r="BD48" s="122"/>
      <c r="BE48" s="122"/>
      <c r="BF48" s="122"/>
      <c r="BG48" s="122"/>
      <c r="BH48" s="122"/>
      <c r="BI48" s="122"/>
      <c r="BJ48" s="122"/>
      <c r="BK48" s="122"/>
      <c r="BL48" s="122"/>
      <c r="BM48" s="122"/>
      <c r="BN48" s="122"/>
    </row>
    <row r="49" spans="1:66" x14ac:dyDescent="0.25">
      <c r="A49" s="122"/>
      <c r="B49" s="189"/>
      <c r="C49" s="122"/>
      <c r="D49" s="122"/>
      <c r="E49" s="122"/>
      <c r="F49" s="122"/>
      <c r="G49" s="190"/>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row>
    <row r="50" spans="1:66" x14ac:dyDescent="0.25">
      <c r="A50" s="122"/>
      <c r="B50" s="189"/>
      <c r="C50" s="122"/>
      <c r="D50" s="122"/>
      <c r="E50" s="122"/>
      <c r="F50" s="122"/>
      <c r="G50" s="190"/>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row>
    <row r="51" spans="1:66" x14ac:dyDescent="0.25">
      <c r="A51" s="122"/>
      <c r="B51" s="189"/>
      <c r="C51" s="122"/>
      <c r="D51" s="122"/>
      <c r="E51" s="122"/>
      <c r="F51" s="122"/>
      <c r="G51" s="190"/>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122"/>
      <c r="AH51" s="122"/>
      <c r="AI51" s="122"/>
      <c r="AJ51" s="122"/>
      <c r="AK51" s="122"/>
      <c r="AL51" s="122"/>
      <c r="AM51" s="122"/>
      <c r="AN51" s="122"/>
      <c r="AO51" s="122"/>
      <c r="AP51" s="122"/>
      <c r="AQ51" s="122"/>
      <c r="AR51" s="122"/>
      <c r="AS51" s="122"/>
      <c r="AT51" s="122"/>
      <c r="AU51" s="122"/>
      <c r="AV51" s="122"/>
      <c r="AW51" s="122"/>
      <c r="AX51" s="122"/>
      <c r="AY51" s="122"/>
      <c r="AZ51" s="122"/>
      <c r="BA51" s="122"/>
      <c r="BB51" s="122"/>
      <c r="BC51" s="122"/>
      <c r="BD51" s="122"/>
      <c r="BE51" s="122"/>
      <c r="BF51" s="122"/>
      <c r="BG51" s="122"/>
      <c r="BH51" s="122"/>
      <c r="BI51" s="122"/>
      <c r="BJ51" s="122"/>
      <c r="BK51" s="122"/>
      <c r="BL51" s="122"/>
      <c r="BM51" s="122"/>
      <c r="BN51" s="122"/>
    </row>
    <row r="52" spans="1:66" x14ac:dyDescent="0.25">
      <c r="A52" s="122"/>
      <c r="B52" s="189"/>
      <c r="C52" s="122"/>
      <c r="D52" s="122"/>
      <c r="E52" s="122"/>
      <c r="F52" s="122"/>
      <c r="G52" s="190"/>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2"/>
      <c r="AX52" s="122"/>
      <c r="AY52" s="122"/>
      <c r="AZ52" s="122"/>
      <c r="BA52" s="122"/>
      <c r="BB52" s="122"/>
      <c r="BC52" s="122"/>
      <c r="BD52" s="122"/>
      <c r="BE52" s="122"/>
      <c r="BF52" s="122"/>
      <c r="BG52" s="122"/>
      <c r="BH52" s="122"/>
      <c r="BI52" s="122"/>
      <c r="BJ52" s="122"/>
      <c r="BK52" s="122"/>
      <c r="BL52" s="122"/>
      <c r="BM52" s="122"/>
      <c r="BN52" s="122"/>
    </row>
    <row r="53" spans="1:66" x14ac:dyDescent="0.25">
      <c r="A53" s="122"/>
      <c r="B53" s="189"/>
      <c r="C53" s="122"/>
      <c r="D53" s="122"/>
      <c r="E53" s="122"/>
      <c r="F53" s="122"/>
      <c r="G53" s="190"/>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122"/>
      <c r="BN53" s="122"/>
    </row>
    <row r="54" spans="1:66" x14ac:dyDescent="0.25">
      <c r="A54" s="122"/>
      <c r="B54" s="189"/>
      <c r="C54" s="122"/>
      <c r="D54" s="122"/>
      <c r="E54" s="122"/>
      <c r="F54" s="122"/>
      <c r="G54" s="190"/>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row>
    <row r="55" spans="1:66" x14ac:dyDescent="0.25">
      <c r="A55" s="122"/>
      <c r="B55" s="189"/>
      <c r="C55" s="122"/>
      <c r="D55" s="122"/>
      <c r="E55" s="122"/>
      <c r="F55" s="122"/>
      <c r="G55" s="190"/>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row>
    <row r="56" spans="1:66" x14ac:dyDescent="0.25">
      <c r="A56" s="122"/>
      <c r="B56" s="189"/>
      <c r="C56" s="122"/>
      <c r="D56" s="122"/>
      <c r="E56" s="122"/>
      <c r="F56" s="122"/>
      <c r="G56" s="190"/>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row>
    <row r="57" spans="1:66" x14ac:dyDescent="0.25">
      <c r="A57" s="122"/>
      <c r="B57" s="189"/>
      <c r="C57" s="122"/>
      <c r="D57" s="122"/>
      <c r="E57" s="122"/>
      <c r="F57" s="122"/>
      <c r="G57" s="190"/>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row>
    <row r="58" spans="1:66" x14ac:dyDescent="0.25">
      <c r="A58" s="122"/>
      <c r="B58" s="189"/>
      <c r="C58" s="122"/>
      <c r="D58" s="122"/>
      <c r="E58" s="122"/>
      <c r="F58" s="122"/>
      <c r="G58" s="190"/>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row>
    <row r="59" spans="1:66" x14ac:dyDescent="0.25">
      <c r="A59" s="122"/>
      <c r="B59" s="189"/>
      <c r="C59" s="122"/>
      <c r="D59" s="122"/>
      <c r="E59" s="122"/>
      <c r="F59" s="122"/>
      <c r="G59" s="190"/>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row>
    <row r="60" spans="1:66" x14ac:dyDescent="0.25">
      <c r="A60" s="122"/>
      <c r="B60" s="189"/>
      <c r="C60" s="122"/>
      <c r="D60" s="122"/>
      <c r="E60" s="122"/>
      <c r="F60" s="122"/>
      <c r="G60" s="190"/>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row>
    <row r="61" spans="1:66" x14ac:dyDescent="0.25">
      <c r="A61" s="122"/>
      <c r="B61" s="189"/>
      <c r="C61" s="122"/>
      <c r="D61" s="122"/>
      <c r="E61" s="122"/>
      <c r="F61" s="122"/>
      <c r="G61" s="190"/>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row>
    <row r="62" spans="1:66" x14ac:dyDescent="0.25">
      <c r="A62" s="122"/>
      <c r="B62" s="189"/>
      <c r="C62" s="122"/>
      <c r="D62" s="122"/>
      <c r="E62" s="122"/>
      <c r="F62" s="122"/>
      <c r="G62" s="190"/>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row>
    <row r="63" spans="1:66" x14ac:dyDescent="0.25">
      <c r="A63" s="122"/>
      <c r="B63" s="189"/>
      <c r="C63" s="122"/>
      <c r="D63" s="122"/>
      <c r="E63" s="122"/>
      <c r="F63" s="122"/>
      <c r="G63" s="190"/>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row>
    <row r="64" spans="1:66" x14ac:dyDescent="0.25">
      <c r="A64" s="122"/>
      <c r="B64" s="189"/>
      <c r="C64" s="122"/>
      <c r="D64" s="122"/>
      <c r="E64" s="122"/>
      <c r="F64" s="122"/>
      <c r="G64" s="190"/>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row>
    <row r="65" spans="1:66" x14ac:dyDescent="0.25">
      <c r="A65" s="122"/>
      <c r="B65" s="189"/>
      <c r="C65" s="122"/>
      <c r="D65" s="122"/>
      <c r="E65" s="122"/>
      <c r="F65" s="122"/>
      <c r="G65" s="190"/>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row>
    <row r="66" spans="1:66" x14ac:dyDescent="0.25">
      <c r="A66" s="122"/>
      <c r="B66" s="189"/>
      <c r="C66" s="122"/>
      <c r="D66" s="122"/>
      <c r="E66" s="122"/>
      <c r="F66" s="122"/>
      <c r="G66" s="190"/>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row>
    <row r="67" spans="1:66" x14ac:dyDescent="0.25">
      <c r="A67" s="122"/>
      <c r="B67" s="189"/>
      <c r="C67" s="122"/>
      <c r="D67" s="122"/>
      <c r="E67" s="122"/>
      <c r="F67" s="122"/>
      <c r="G67" s="190"/>
      <c r="H67" s="122"/>
      <c r="I67" s="122"/>
      <c r="J67" s="122"/>
      <c r="K67" s="122"/>
      <c r="L67" s="122"/>
      <c r="M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row>
    <row r="68" spans="1:66" x14ac:dyDescent="0.25">
      <c r="A68" s="122"/>
      <c r="B68" s="189"/>
      <c r="C68" s="122"/>
      <c r="D68" s="122"/>
      <c r="E68" s="122"/>
      <c r="F68" s="122"/>
      <c r="G68" s="190"/>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row>
    <row r="69" spans="1:66" x14ac:dyDescent="0.25">
      <c r="A69" s="122"/>
      <c r="B69" s="189"/>
      <c r="C69" s="122"/>
      <c r="D69" s="122"/>
      <c r="E69" s="122"/>
      <c r="F69" s="122"/>
      <c r="G69" s="190"/>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122"/>
      <c r="BN69" s="122"/>
    </row>
    <row r="70" spans="1:66" x14ac:dyDescent="0.25">
      <c r="A70" s="122"/>
      <c r="B70" s="189"/>
      <c r="C70" s="122"/>
      <c r="D70" s="122"/>
      <c r="E70" s="122"/>
      <c r="F70" s="122"/>
      <c r="G70" s="190"/>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row>
    <row r="71" spans="1:66" x14ac:dyDescent="0.25">
      <c r="A71" s="122"/>
      <c r="B71" s="189"/>
      <c r="C71" s="122"/>
      <c r="D71" s="122"/>
      <c r="E71" s="122"/>
      <c r="F71" s="122"/>
      <c r="G71" s="190"/>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row>
    <row r="72" spans="1:66" x14ac:dyDescent="0.25">
      <c r="A72" s="122"/>
      <c r="B72" s="189"/>
      <c r="C72" s="122"/>
      <c r="D72" s="122"/>
      <c r="E72" s="122"/>
      <c r="F72" s="122"/>
      <c r="G72" s="190"/>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row>
    <row r="73" spans="1:66" x14ac:dyDescent="0.25">
      <c r="A73" s="122"/>
      <c r="B73" s="189"/>
      <c r="C73" s="122"/>
      <c r="D73" s="122"/>
      <c r="E73" s="122"/>
      <c r="F73" s="122"/>
      <c r="G73" s="190"/>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row>
    <row r="74" spans="1:66" x14ac:dyDescent="0.25">
      <c r="A74" s="122"/>
      <c r="B74" s="189"/>
      <c r="C74" s="122"/>
      <c r="D74" s="122"/>
      <c r="E74" s="122"/>
      <c r="F74" s="122"/>
      <c r="G74" s="190"/>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row>
    <row r="75" spans="1:66" x14ac:dyDescent="0.25">
      <c r="A75" s="122"/>
      <c r="B75" s="189"/>
      <c r="C75" s="122"/>
      <c r="D75" s="122"/>
      <c r="E75" s="122"/>
      <c r="F75" s="122"/>
      <c r="G75" s="190"/>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row>
    <row r="76" spans="1:66" x14ac:dyDescent="0.25">
      <c r="A76" s="122"/>
      <c r="B76" s="189"/>
      <c r="C76" s="122"/>
      <c r="D76" s="122"/>
      <c r="E76" s="122"/>
      <c r="F76" s="122"/>
      <c r="G76" s="190"/>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row>
    <row r="77" spans="1:66" x14ac:dyDescent="0.25">
      <c r="A77" s="122"/>
      <c r="B77" s="189"/>
      <c r="C77" s="122"/>
      <c r="D77" s="122"/>
      <c r="E77" s="122"/>
      <c r="F77" s="122"/>
      <c r="G77" s="190"/>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row>
    <row r="78" spans="1:66" x14ac:dyDescent="0.25">
      <c r="A78" s="122"/>
      <c r="B78" s="189"/>
      <c r="C78" s="122"/>
      <c r="D78" s="122"/>
      <c r="E78" s="122"/>
      <c r="F78" s="122"/>
      <c r="G78" s="190"/>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c r="AY78" s="122"/>
      <c r="AZ78" s="122"/>
      <c r="BA78" s="122"/>
      <c r="BB78" s="122"/>
      <c r="BC78" s="122"/>
      <c r="BD78" s="122"/>
      <c r="BE78" s="122"/>
      <c r="BF78" s="122"/>
      <c r="BG78" s="122"/>
      <c r="BH78" s="122"/>
      <c r="BI78" s="122"/>
      <c r="BJ78" s="122"/>
      <c r="BK78" s="122"/>
      <c r="BL78" s="122"/>
      <c r="BM78" s="122"/>
      <c r="BN78" s="122"/>
    </row>
    <row r="79" spans="1:66" x14ac:dyDescent="0.25">
      <c r="A79" s="122"/>
      <c r="B79" s="189"/>
      <c r="C79" s="122"/>
      <c r="D79" s="122"/>
      <c r="E79" s="122"/>
      <c r="F79" s="122"/>
      <c r="G79" s="190"/>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c r="AY79" s="122"/>
      <c r="AZ79" s="122"/>
      <c r="BA79" s="122"/>
      <c r="BB79" s="122"/>
      <c r="BC79" s="122"/>
      <c r="BD79" s="122"/>
      <c r="BE79" s="122"/>
      <c r="BF79" s="122"/>
      <c r="BG79" s="122"/>
      <c r="BH79" s="122"/>
      <c r="BI79" s="122"/>
      <c r="BJ79" s="122"/>
      <c r="BK79" s="122"/>
      <c r="BL79" s="122"/>
      <c r="BM79" s="122"/>
      <c r="BN79" s="122"/>
    </row>
    <row r="80" spans="1:66" x14ac:dyDescent="0.25">
      <c r="A80" s="122"/>
      <c r="B80" s="189"/>
      <c r="C80" s="122"/>
      <c r="D80" s="122"/>
      <c r="E80" s="122"/>
      <c r="F80" s="122"/>
      <c r="G80" s="190"/>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row>
    <row r="81" spans="1:66" x14ac:dyDescent="0.25">
      <c r="A81" s="122"/>
      <c r="B81" s="189"/>
      <c r="C81" s="122"/>
      <c r="D81" s="122"/>
      <c r="E81" s="122"/>
      <c r="F81" s="122"/>
      <c r="G81" s="190"/>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122"/>
      <c r="BN81" s="122"/>
    </row>
    <row r="82" spans="1:66" x14ac:dyDescent="0.25">
      <c r="A82" s="122"/>
      <c r="B82" s="189"/>
      <c r="C82" s="122"/>
      <c r="D82" s="122"/>
      <c r="E82" s="122"/>
      <c r="F82" s="122"/>
      <c r="G82" s="190"/>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122"/>
      <c r="BN82" s="122"/>
    </row>
    <row r="83" spans="1:66" x14ac:dyDescent="0.25">
      <c r="A83" s="122"/>
      <c r="B83" s="189"/>
      <c r="C83" s="122"/>
      <c r="D83" s="122"/>
      <c r="E83" s="122"/>
      <c r="F83" s="122"/>
      <c r="G83" s="190"/>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c r="AY83" s="122"/>
      <c r="AZ83" s="122"/>
      <c r="BA83" s="122"/>
      <c r="BB83" s="122"/>
      <c r="BC83" s="122"/>
      <c r="BD83" s="122"/>
      <c r="BE83" s="122"/>
      <c r="BF83" s="122"/>
      <c r="BG83" s="122"/>
      <c r="BH83" s="122"/>
      <c r="BI83" s="122"/>
      <c r="BJ83" s="122"/>
      <c r="BK83" s="122"/>
      <c r="BL83" s="122"/>
      <c r="BM83" s="122"/>
      <c r="BN83" s="122"/>
    </row>
    <row r="84" spans="1:66" x14ac:dyDescent="0.25">
      <c r="A84" s="122"/>
      <c r="B84" s="189"/>
      <c r="C84" s="122"/>
      <c r="D84" s="122"/>
      <c r="E84" s="122"/>
      <c r="F84" s="122"/>
      <c r="G84" s="190"/>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2"/>
      <c r="BN84" s="122"/>
    </row>
    <row r="85" spans="1:66" x14ac:dyDescent="0.25">
      <c r="A85" s="122"/>
      <c r="B85" s="189"/>
      <c r="C85" s="122"/>
      <c r="D85" s="122"/>
      <c r="E85" s="122"/>
      <c r="F85" s="122"/>
      <c r="G85" s="190"/>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c r="AY85" s="122"/>
      <c r="AZ85" s="122"/>
      <c r="BA85" s="122"/>
      <c r="BB85" s="122"/>
      <c r="BC85" s="122"/>
      <c r="BD85" s="122"/>
      <c r="BE85" s="122"/>
      <c r="BF85" s="122"/>
      <c r="BG85" s="122"/>
      <c r="BH85" s="122"/>
      <c r="BI85" s="122"/>
      <c r="BJ85" s="122"/>
      <c r="BK85" s="122"/>
      <c r="BL85" s="122"/>
      <c r="BM85" s="122"/>
      <c r="BN85" s="122"/>
    </row>
    <row r="86" spans="1:66" x14ac:dyDescent="0.25">
      <c r="A86" s="122"/>
      <c r="B86" s="189"/>
      <c r="C86" s="122"/>
      <c r="D86" s="122"/>
      <c r="E86" s="122"/>
      <c r="F86" s="122"/>
      <c r="G86" s="190"/>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c r="AY86" s="122"/>
      <c r="AZ86" s="122"/>
      <c r="BA86" s="122"/>
      <c r="BB86" s="122"/>
      <c r="BC86" s="122"/>
      <c r="BD86" s="122"/>
      <c r="BE86" s="122"/>
      <c r="BF86" s="122"/>
      <c r="BG86" s="122"/>
      <c r="BH86" s="122"/>
      <c r="BI86" s="122"/>
      <c r="BJ86" s="122"/>
      <c r="BK86" s="122"/>
      <c r="BL86" s="122"/>
      <c r="BM86" s="122"/>
      <c r="BN86" s="122"/>
    </row>
    <row r="87" spans="1:66" x14ac:dyDescent="0.25">
      <c r="A87" s="122"/>
      <c r="B87" s="189"/>
      <c r="C87" s="122"/>
      <c r="D87" s="122"/>
      <c r="E87" s="122"/>
      <c r="F87" s="122"/>
      <c r="G87" s="190"/>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row>
    <row r="88" spans="1:66" x14ac:dyDescent="0.25">
      <c r="A88" s="122"/>
      <c r="B88" s="189"/>
      <c r="C88" s="122"/>
      <c r="D88" s="122"/>
      <c r="E88" s="122"/>
      <c r="F88" s="122"/>
      <c r="G88" s="190"/>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c r="AY88" s="122"/>
      <c r="AZ88" s="122"/>
      <c r="BA88" s="122"/>
      <c r="BB88" s="122"/>
      <c r="BC88" s="122"/>
      <c r="BD88" s="122"/>
      <c r="BE88" s="122"/>
      <c r="BF88" s="122"/>
      <c r="BG88" s="122"/>
      <c r="BH88" s="122"/>
      <c r="BI88" s="122"/>
      <c r="BJ88" s="122"/>
      <c r="BK88" s="122"/>
      <c r="BL88" s="122"/>
      <c r="BM88" s="122"/>
      <c r="BN88" s="122"/>
    </row>
    <row r="89" spans="1:66" x14ac:dyDescent="0.25">
      <c r="A89" s="122"/>
      <c r="B89" s="189"/>
      <c r="C89" s="122"/>
      <c r="D89" s="122"/>
      <c r="E89" s="122"/>
      <c r="F89" s="122"/>
      <c r="G89" s="190"/>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c r="AZ89" s="122"/>
      <c r="BA89" s="122"/>
      <c r="BB89" s="122"/>
      <c r="BC89" s="122"/>
      <c r="BD89" s="122"/>
      <c r="BE89" s="122"/>
      <c r="BF89" s="122"/>
      <c r="BG89" s="122"/>
      <c r="BH89" s="122"/>
      <c r="BI89" s="122"/>
      <c r="BJ89" s="122"/>
      <c r="BK89" s="122"/>
      <c r="BL89" s="122"/>
      <c r="BM89" s="122"/>
      <c r="BN89" s="122"/>
    </row>
    <row r="90" spans="1:66" x14ac:dyDescent="0.25">
      <c r="A90" s="122"/>
      <c r="B90" s="189"/>
      <c r="C90" s="122"/>
      <c r="D90" s="122"/>
      <c r="E90" s="122"/>
      <c r="F90" s="122"/>
      <c r="G90" s="190"/>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row>
    <row r="91" spans="1:66" x14ac:dyDescent="0.25">
      <c r="A91" s="122"/>
      <c r="B91" s="189"/>
      <c r="C91" s="122"/>
      <c r="D91" s="122"/>
      <c r="E91" s="122"/>
      <c r="F91" s="122"/>
      <c r="G91" s="190"/>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2"/>
      <c r="BN91" s="122"/>
    </row>
    <row r="92" spans="1:66" x14ac:dyDescent="0.25">
      <c r="A92" s="122"/>
      <c r="B92" s="189"/>
      <c r="C92" s="122"/>
      <c r="D92" s="122"/>
      <c r="E92" s="122"/>
      <c r="F92" s="122"/>
      <c r="G92" s="190"/>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row>
    <row r="93" spans="1:66" x14ac:dyDescent="0.25">
      <c r="A93" s="122"/>
      <c r="B93" s="189"/>
      <c r="C93" s="122"/>
      <c r="D93" s="122"/>
      <c r="E93" s="122"/>
      <c r="F93" s="122"/>
      <c r="G93" s="190"/>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row>
    <row r="94" spans="1:66" x14ac:dyDescent="0.25">
      <c r="A94" s="122"/>
      <c r="B94" s="189"/>
      <c r="C94" s="122"/>
      <c r="D94" s="122"/>
      <c r="E94" s="122"/>
      <c r="F94" s="122"/>
      <c r="G94" s="190"/>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row>
    <row r="95" spans="1:66" x14ac:dyDescent="0.25">
      <c r="A95" s="122"/>
      <c r="B95" s="189"/>
      <c r="C95" s="122"/>
      <c r="D95" s="122"/>
      <c r="E95" s="122"/>
      <c r="F95" s="122"/>
      <c r="G95" s="190"/>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c r="AY95" s="122"/>
      <c r="AZ95" s="122"/>
      <c r="BA95" s="122"/>
      <c r="BB95" s="122"/>
      <c r="BC95" s="122"/>
      <c r="BD95" s="122"/>
      <c r="BE95" s="122"/>
      <c r="BF95" s="122"/>
      <c r="BG95" s="122"/>
      <c r="BH95" s="122"/>
      <c r="BI95" s="122"/>
      <c r="BJ95" s="122"/>
      <c r="BK95" s="122"/>
      <c r="BL95" s="122"/>
      <c r="BM95" s="122"/>
      <c r="BN95" s="122"/>
    </row>
    <row r="96" spans="1:66" x14ac:dyDescent="0.25">
      <c r="A96" s="122"/>
      <c r="B96" s="189"/>
      <c r="C96" s="122"/>
      <c r="D96" s="122"/>
      <c r="E96" s="122"/>
      <c r="F96" s="122"/>
      <c r="G96" s="190"/>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c r="AY96" s="122"/>
      <c r="AZ96" s="122"/>
      <c r="BA96" s="122"/>
      <c r="BB96" s="122"/>
      <c r="BC96" s="122"/>
      <c r="BD96" s="122"/>
      <c r="BE96" s="122"/>
      <c r="BF96" s="122"/>
      <c r="BG96" s="122"/>
      <c r="BH96" s="122"/>
      <c r="BI96" s="122"/>
      <c r="BJ96" s="122"/>
      <c r="BK96" s="122"/>
      <c r="BL96" s="122"/>
      <c r="BM96" s="122"/>
      <c r="BN96" s="122"/>
    </row>
    <row r="97" spans="1:66" x14ac:dyDescent="0.25">
      <c r="A97" s="122"/>
      <c r="B97" s="189"/>
      <c r="C97" s="122"/>
      <c r="D97" s="122"/>
      <c r="E97" s="122"/>
      <c r="F97" s="122"/>
      <c r="G97" s="190"/>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c r="AY97" s="122"/>
      <c r="AZ97" s="122"/>
      <c r="BA97" s="122"/>
      <c r="BB97" s="122"/>
      <c r="BC97" s="122"/>
      <c r="BD97" s="122"/>
      <c r="BE97" s="122"/>
      <c r="BF97" s="122"/>
      <c r="BG97" s="122"/>
      <c r="BH97" s="122"/>
      <c r="BI97" s="122"/>
      <c r="BJ97" s="122"/>
      <c r="BK97" s="122"/>
      <c r="BL97" s="122"/>
      <c r="BM97" s="122"/>
      <c r="BN97" s="122"/>
    </row>
    <row r="98" spans="1:66" x14ac:dyDescent="0.25">
      <c r="A98" s="122"/>
      <c r="B98" s="189"/>
      <c r="C98" s="122"/>
      <c r="D98" s="122"/>
      <c r="E98" s="122"/>
      <c r="F98" s="122"/>
      <c r="G98" s="190"/>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row>
    <row r="99" spans="1:66" x14ac:dyDescent="0.25">
      <c r="A99" s="122"/>
      <c r="B99" s="189"/>
      <c r="C99" s="122"/>
      <c r="D99" s="122"/>
      <c r="E99" s="122"/>
      <c r="F99" s="122"/>
      <c r="G99" s="190"/>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c r="AY99" s="122"/>
      <c r="AZ99" s="122"/>
      <c r="BA99" s="122"/>
      <c r="BB99" s="122"/>
      <c r="BC99" s="122"/>
      <c r="BD99" s="122"/>
      <c r="BE99" s="122"/>
      <c r="BF99" s="122"/>
      <c r="BG99" s="122"/>
      <c r="BH99" s="122"/>
      <c r="BI99" s="122"/>
      <c r="BJ99" s="122"/>
      <c r="BK99" s="122"/>
      <c r="BL99" s="122"/>
      <c r="BM99" s="122"/>
      <c r="BN99" s="122"/>
    </row>
    <row r="100" spans="1:66" x14ac:dyDescent="0.25">
      <c r="A100" s="122"/>
      <c r="B100" s="189"/>
      <c r="C100" s="122"/>
      <c r="D100" s="122"/>
      <c r="E100" s="122"/>
      <c r="F100" s="122"/>
      <c r="G100" s="190"/>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row>
    <row r="101" spans="1:66" x14ac:dyDescent="0.25">
      <c r="A101" s="122"/>
      <c r="B101" s="189"/>
      <c r="C101" s="122"/>
      <c r="D101" s="122"/>
      <c r="E101" s="122"/>
      <c r="F101" s="122"/>
      <c r="G101" s="190"/>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row>
    <row r="102" spans="1:66" x14ac:dyDescent="0.25">
      <c r="A102" s="122"/>
      <c r="B102" s="189"/>
      <c r="C102" s="122"/>
      <c r="D102" s="122"/>
      <c r="E102" s="122"/>
      <c r="F102" s="122"/>
      <c r="G102" s="190"/>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row>
    <row r="103" spans="1:66" x14ac:dyDescent="0.25">
      <c r="A103" s="122"/>
      <c r="B103" s="189"/>
      <c r="C103" s="122"/>
      <c r="D103" s="122"/>
      <c r="E103" s="122"/>
      <c r="F103" s="122"/>
      <c r="G103" s="190"/>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row>
    <row r="104" spans="1:66" x14ac:dyDescent="0.25">
      <c r="A104" s="122"/>
      <c r="B104" s="189"/>
      <c r="C104" s="122"/>
      <c r="D104" s="122"/>
      <c r="E104" s="122"/>
      <c r="F104" s="122"/>
      <c r="G104" s="190"/>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row>
    <row r="105" spans="1:66" x14ac:dyDescent="0.25">
      <c r="A105" s="122"/>
      <c r="B105" s="189"/>
      <c r="C105" s="122"/>
      <c r="D105" s="122"/>
      <c r="E105" s="122"/>
      <c r="F105" s="122"/>
      <c r="G105" s="190"/>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row>
    <row r="106" spans="1:66" x14ac:dyDescent="0.25">
      <c r="A106" s="122"/>
      <c r="B106" s="189"/>
      <c r="C106" s="122"/>
      <c r="D106" s="122"/>
      <c r="E106" s="122"/>
      <c r="F106" s="122"/>
      <c r="G106" s="190"/>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row>
    <row r="107" spans="1:66" x14ac:dyDescent="0.25">
      <c r="A107" s="122"/>
      <c r="B107" s="189"/>
      <c r="C107" s="122"/>
      <c r="D107" s="122"/>
      <c r="E107" s="122"/>
      <c r="F107" s="122"/>
      <c r="G107" s="190"/>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row>
    <row r="108" spans="1:66" x14ac:dyDescent="0.25">
      <c r="A108" s="122"/>
      <c r="B108" s="189"/>
      <c r="C108" s="122"/>
      <c r="D108" s="122"/>
      <c r="E108" s="122"/>
      <c r="F108" s="122"/>
      <c r="G108" s="190"/>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row>
    <row r="109" spans="1:66" x14ac:dyDescent="0.25">
      <c r="A109" s="122"/>
      <c r="B109" s="189"/>
      <c r="C109" s="122"/>
      <c r="D109" s="122"/>
      <c r="E109" s="122"/>
      <c r="F109" s="122"/>
      <c r="G109" s="190"/>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122"/>
      <c r="BF109" s="122"/>
      <c r="BG109" s="122"/>
      <c r="BH109" s="122"/>
      <c r="BI109" s="122"/>
      <c r="BJ109" s="122"/>
      <c r="BK109" s="122"/>
      <c r="BL109" s="122"/>
      <c r="BM109" s="122"/>
      <c r="BN109" s="122"/>
    </row>
  </sheetData>
  <mergeCells count="38">
    <mergeCell ref="I26:X26"/>
    <mergeCell ref="C26:C30"/>
    <mergeCell ref="D26:D30"/>
    <mergeCell ref="B8:B12"/>
    <mergeCell ref="E8:E12"/>
    <mergeCell ref="E13:E17"/>
    <mergeCell ref="D8:D12"/>
    <mergeCell ref="D13:D14"/>
    <mergeCell ref="B13:B22"/>
    <mergeCell ref="C13:C22"/>
    <mergeCell ref="C24:J24"/>
    <mergeCell ref="I30:X30"/>
    <mergeCell ref="I25:X25"/>
    <mergeCell ref="E26:E30"/>
    <mergeCell ref="I27:X27"/>
    <mergeCell ref="I28:X28"/>
    <mergeCell ref="I29:X29"/>
    <mergeCell ref="A1:X1"/>
    <mergeCell ref="D18:D19"/>
    <mergeCell ref="E18:E22"/>
    <mergeCell ref="A13:A22"/>
    <mergeCell ref="E3:E7"/>
    <mergeCell ref="B3:B7"/>
    <mergeCell ref="A3:A7"/>
    <mergeCell ref="D3:D7"/>
    <mergeCell ref="C3:C7"/>
    <mergeCell ref="C8:C12"/>
    <mergeCell ref="H8:H9"/>
    <mergeCell ref="D15:D17"/>
    <mergeCell ref="H13:H14"/>
    <mergeCell ref="H18:H19"/>
    <mergeCell ref="D20:D22"/>
    <mergeCell ref="A8:A12"/>
    <mergeCell ref="AQ28:AT28"/>
    <mergeCell ref="AU28:AX28"/>
    <mergeCell ref="AG28:AK28"/>
    <mergeCell ref="AB28:AF28"/>
    <mergeCell ref="AL28:AP28"/>
  </mergeCells>
  <phoneticPr fontId="6" type="noConversion"/>
  <hyperlinks>
    <hyperlink ref="H26" r:id="rId1" xr:uid="{9153F47E-FCBB-42B5-A7E2-9AE58445F5C5}"/>
    <hyperlink ref="H27:H28" r:id="rId2" display="2022 CASE report (Table 38)" xr:uid="{AB6FEC5D-A312-48E5-9443-3858096808B6}"/>
    <hyperlink ref="E32" r:id="rId3" xr:uid="{25C90A1D-2413-41E3-8163-A6D94106D91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K39"/>
  <sheetViews>
    <sheetView zoomScale="70" zoomScaleNormal="70" workbookViewId="0">
      <selection sqref="A1:G1"/>
    </sheetView>
  </sheetViews>
  <sheetFormatPr defaultColWidth="8.6640625" defaultRowHeight="13.2" x14ac:dyDescent="0.25"/>
  <cols>
    <col min="1" max="1" width="26" style="124" customWidth="1"/>
    <col min="2" max="2" width="23.109375" style="124" customWidth="1"/>
    <col min="3" max="3" width="31.109375" style="124" customWidth="1"/>
    <col min="4" max="4" width="35.6640625" style="124" customWidth="1"/>
    <col min="5" max="5" width="35.33203125" style="124" customWidth="1"/>
    <col min="6" max="6" width="41.109375" style="124" customWidth="1"/>
    <col min="7" max="7" width="45.88671875" style="124" customWidth="1"/>
    <col min="8" max="8" width="41" style="124" customWidth="1"/>
    <col min="9" max="12" width="12.6640625" style="124" customWidth="1"/>
    <col min="13" max="20" width="15.33203125" style="124" customWidth="1"/>
    <col min="21" max="21" width="14.6640625" style="124" customWidth="1"/>
    <col min="22" max="22" width="13.5546875" style="124" customWidth="1"/>
    <col min="23" max="23" width="15.6640625" style="124" customWidth="1"/>
    <col min="24" max="30" width="11" style="124" customWidth="1"/>
    <col min="31" max="39" width="6.5546875" style="124" customWidth="1"/>
    <col min="40" max="40" width="8.6640625" style="124" customWidth="1"/>
    <col min="41" max="16384" width="8.6640625" style="124"/>
  </cols>
  <sheetData>
    <row r="1" spans="1:11" ht="27" customHeight="1" x14ac:dyDescent="0.25">
      <c r="A1" s="827" t="str">
        <f>"HVAC system - "&amp;Prototype!A2</f>
        <v>HVAC system - RestaurantSitDown</v>
      </c>
      <c r="B1" s="827"/>
      <c r="C1" s="827"/>
      <c r="D1" s="827"/>
      <c r="E1" s="827"/>
      <c r="F1" s="827"/>
      <c r="G1" s="827"/>
      <c r="H1" s="126"/>
    </row>
    <row r="2" spans="1:11" ht="22.2" customHeight="1" x14ac:dyDescent="0.25">
      <c r="A2" s="717" t="s">
        <v>190</v>
      </c>
      <c r="B2" s="717" t="s">
        <v>159</v>
      </c>
      <c r="C2" s="717" t="s">
        <v>253</v>
      </c>
      <c r="D2" s="717" t="s">
        <v>254</v>
      </c>
      <c r="E2" s="717" t="s">
        <v>255</v>
      </c>
      <c r="F2" s="717" t="s">
        <v>256</v>
      </c>
      <c r="G2" s="717" t="s">
        <v>243</v>
      </c>
    </row>
    <row r="3" spans="1:11" ht="30.6" customHeight="1" x14ac:dyDescent="0.25">
      <c r="A3" s="821" t="s">
        <v>257</v>
      </c>
      <c r="B3" s="135" t="s">
        <v>95</v>
      </c>
      <c r="C3" s="284" t="s">
        <v>258</v>
      </c>
      <c r="D3" s="284" t="s">
        <v>259</v>
      </c>
      <c r="E3" s="284" t="s">
        <v>260</v>
      </c>
      <c r="F3" s="284" t="s">
        <v>261</v>
      </c>
      <c r="G3" s="821" t="s">
        <v>262</v>
      </c>
      <c r="H3" s="183"/>
      <c r="I3" s="705"/>
      <c r="J3" s="705"/>
      <c r="K3" s="705"/>
    </row>
    <row r="4" spans="1:11" ht="39.6" x14ac:dyDescent="0.25">
      <c r="A4" s="822"/>
      <c r="B4" s="135" t="s">
        <v>96</v>
      </c>
      <c r="C4" s="284" t="s">
        <v>258</v>
      </c>
      <c r="D4" s="284" t="s">
        <v>259</v>
      </c>
      <c r="E4" s="284" t="s">
        <v>260</v>
      </c>
      <c r="F4" s="284" t="s">
        <v>263</v>
      </c>
      <c r="G4" s="823"/>
      <c r="H4" s="705"/>
      <c r="J4" s="705"/>
      <c r="K4" s="705"/>
    </row>
    <row r="5" spans="1:11" ht="30.6" customHeight="1" x14ac:dyDescent="0.25">
      <c r="A5" s="821" t="s">
        <v>264</v>
      </c>
      <c r="B5" s="135" t="s">
        <v>95</v>
      </c>
      <c r="C5" s="284" t="s">
        <v>258</v>
      </c>
      <c r="D5" s="284" t="s">
        <v>259</v>
      </c>
      <c r="E5" s="284" t="s">
        <v>260</v>
      </c>
      <c r="F5" s="285" t="s">
        <v>265</v>
      </c>
      <c r="G5" s="828" t="s">
        <v>266</v>
      </c>
      <c r="H5" s="705"/>
      <c r="I5" s="705"/>
      <c r="J5" s="705"/>
      <c r="K5" s="705"/>
    </row>
    <row r="6" spans="1:11" ht="43.2" customHeight="1" x14ac:dyDescent="0.25">
      <c r="A6" s="823"/>
      <c r="B6" s="135" t="s">
        <v>96</v>
      </c>
      <c r="C6" s="284" t="s">
        <v>258</v>
      </c>
      <c r="D6" s="284" t="s">
        <v>259</v>
      </c>
      <c r="E6" s="284" t="s">
        <v>260</v>
      </c>
      <c r="F6" s="285" t="s">
        <v>267</v>
      </c>
      <c r="G6" s="829"/>
      <c r="H6" s="705"/>
      <c r="I6" s="705"/>
      <c r="J6" s="705"/>
      <c r="K6" s="705"/>
    </row>
    <row r="7" spans="1:11" x14ac:dyDescent="0.25">
      <c r="A7" s="192" t="s">
        <v>268</v>
      </c>
    </row>
    <row r="10" spans="1:11" x14ac:dyDescent="0.25">
      <c r="A10" s="126"/>
      <c r="B10" s="126"/>
      <c r="C10" s="126"/>
      <c r="D10" s="126"/>
      <c r="E10" s="126"/>
      <c r="F10" s="126"/>
    </row>
    <row r="11" spans="1:11" ht="45" customHeight="1" x14ac:dyDescent="0.25">
      <c r="A11" s="833" t="s">
        <v>269</v>
      </c>
      <c r="B11" s="834"/>
      <c r="C11" s="834"/>
      <c r="D11" s="834"/>
      <c r="E11" s="834"/>
      <c r="F11" s="834"/>
      <c r="G11" s="835"/>
    </row>
    <row r="12" spans="1:11" ht="28.2" customHeight="1" x14ac:dyDescent="0.25">
      <c r="A12" s="149" t="s">
        <v>190</v>
      </c>
      <c r="B12" s="176" t="s">
        <v>270</v>
      </c>
      <c r="C12" s="176" t="s">
        <v>271</v>
      </c>
      <c r="D12" s="176" t="s">
        <v>272</v>
      </c>
      <c r="E12" s="346" t="s">
        <v>273</v>
      </c>
      <c r="F12" s="717" t="s">
        <v>243</v>
      </c>
      <c r="G12" s="717" t="s">
        <v>274</v>
      </c>
    </row>
    <row r="13" spans="1:11" ht="34.200000000000003" customHeight="1" x14ac:dyDescent="0.3">
      <c r="A13" s="284" t="s">
        <v>212</v>
      </c>
      <c r="B13" s="824">
        <v>2008</v>
      </c>
      <c r="C13" s="824" t="s">
        <v>275</v>
      </c>
      <c r="D13" s="824" t="s">
        <v>276</v>
      </c>
      <c r="E13" s="824" t="s">
        <v>276</v>
      </c>
      <c r="F13" s="821" t="s">
        <v>277</v>
      </c>
      <c r="G13" s="830" t="s">
        <v>278</v>
      </c>
      <c r="H13"/>
    </row>
    <row r="14" spans="1:11" ht="34.200000000000003" customHeight="1" x14ac:dyDescent="0.25">
      <c r="A14" s="284" t="s">
        <v>214</v>
      </c>
      <c r="B14" s="825"/>
      <c r="C14" s="825"/>
      <c r="D14" s="825"/>
      <c r="E14" s="825"/>
      <c r="F14" s="822"/>
      <c r="G14" s="831"/>
    </row>
    <row r="15" spans="1:11" ht="34.200000000000003" customHeight="1" x14ac:dyDescent="0.25">
      <c r="A15" s="284" t="s">
        <v>217</v>
      </c>
      <c r="B15" s="826"/>
      <c r="C15" s="826"/>
      <c r="D15" s="826"/>
      <c r="E15" s="826"/>
      <c r="F15" s="823"/>
      <c r="G15" s="832"/>
    </row>
    <row r="16" spans="1:11" ht="43.2" customHeight="1" x14ac:dyDescent="0.25">
      <c r="A16" s="284" t="s">
        <v>219</v>
      </c>
      <c r="B16" s="284">
        <v>2013</v>
      </c>
      <c r="C16" s="284" t="s">
        <v>275</v>
      </c>
      <c r="D16" s="284" t="s">
        <v>279</v>
      </c>
      <c r="E16" s="284" t="s">
        <v>279</v>
      </c>
      <c r="F16" s="135" t="s">
        <v>280</v>
      </c>
      <c r="G16" s="258" t="s">
        <v>281</v>
      </c>
    </row>
    <row r="17" spans="1:8" ht="58.95" customHeight="1" x14ac:dyDescent="0.25">
      <c r="A17" s="284" t="s">
        <v>264</v>
      </c>
      <c r="B17" s="284">
        <v>2025</v>
      </c>
      <c r="C17" s="284" t="s">
        <v>275</v>
      </c>
      <c r="D17" s="284" t="s">
        <v>279</v>
      </c>
      <c r="E17" s="284" t="s">
        <v>279</v>
      </c>
      <c r="F17" s="135" t="s">
        <v>282</v>
      </c>
      <c r="G17" s="448" t="s">
        <v>283</v>
      </c>
    </row>
    <row r="18" spans="1:8" x14ac:dyDescent="0.25">
      <c r="C18" s="127"/>
      <c r="D18" s="127"/>
      <c r="E18" s="127"/>
    </row>
    <row r="19" spans="1:8" x14ac:dyDescent="0.25">
      <c r="C19" s="127"/>
      <c r="D19" s="127"/>
      <c r="E19" s="150"/>
      <c r="F19" s="127"/>
    </row>
    <row r="20" spans="1:8" x14ac:dyDescent="0.25">
      <c r="C20" s="127"/>
      <c r="D20" s="127"/>
      <c r="E20" s="150"/>
      <c r="F20" s="127"/>
    </row>
    <row r="21" spans="1:8" ht="27" customHeight="1" x14ac:dyDescent="0.25">
      <c r="A21" s="852" t="s">
        <v>284</v>
      </c>
      <c r="B21" s="852"/>
      <c r="C21" s="852"/>
      <c r="D21" s="853"/>
      <c r="E21" s="853"/>
      <c r="F21" s="853"/>
      <c r="G21" s="853"/>
      <c r="H21" s="853"/>
    </row>
    <row r="22" spans="1:8" ht="57.75" customHeight="1" x14ac:dyDescent="0.25">
      <c r="A22" s="647" t="s">
        <v>190</v>
      </c>
      <c r="B22" s="653" t="s">
        <v>285</v>
      </c>
      <c r="C22" s="653" t="s">
        <v>286</v>
      </c>
      <c r="D22" s="654" t="s">
        <v>287</v>
      </c>
      <c r="E22" s="654" t="s">
        <v>288</v>
      </c>
      <c r="F22" s="654" t="s">
        <v>289</v>
      </c>
      <c r="G22" s="654" t="s">
        <v>290</v>
      </c>
      <c r="H22" s="648" t="s">
        <v>291</v>
      </c>
    </row>
    <row r="23" spans="1:8" ht="29.4" customHeight="1" x14ac:dyDescent="0.25">
      <c r="A23" s="848" t="s">
        <v>221</v>
      </c>
      <c r="B23" s="850" t="s">
        <v>292</v>
      </c>
      <c r="C23" s="232" t="s">
        <v>293</v>
      </c>
      <c r="D23" s="271">
        <v>2.5</v>
      </c>
      <c r="E23" s="271">
        <v>0.65</v>
      </c>
      <c r="F23" s="844" t="s">
        <v>294</v>
      </c>
      <c r="G23" s="846"/>
      <c r="H23" s="850" t="s">
        <v>295</v>
      </c>
    </row>
    <row r="24" spans="1:8" ht="26.4" customHeight="1" x14ac:dyDescent="0.25">
      <c r="A24" s="849"/>
      <c r="B24" s="851"/>
      <c r="C24" s="271" t="s">
        <v>296</v>
      </c>
      <c r="D24" s="271" t="s">
        <v>297</v>
      </c>
      <c r="E24" s="271">
        <v>0.65</v>
      </c>
      <c r="F24" s="845"/>
      <c r="G24" s="847"/>
      <c r="H24" s="851"/>
    </row>
    <row r="25" spans="1:8" ht="16.2" customHeight="1" x14ac:dyDescent="0.25">
      <c r="A25" s="656" t="s">
        <v>298</v>
      </c>
      <c r="B25" s="261"/>
      <c r="C25" s="262"/>
      <c r="D25" s="262"/>
      <c r="E25" s="751"/>
      <c r="F25" s="262"/>
      <c r="G25" s="262"/>
      <c r="H25" s="263"/>
    </row>
    <row r="26" spans="1:8" ht="15.6" customHeight="1" x14ac:dyDescent="0.25">
      <c r="A26" s="655" t="s">
        <v>299</v>
      </c>
      <c r="B26" s="186"/>
      <c r="C26" s="186"/>
      <c r="D26" s="240"/>
      <c r="E26" s="186"/>
      <c r="F26" s="241"/>
      <c r="G26" s="241"/>
      <c r="H26" s="264"/>
    </row>
    <row r="27" spans="1:8" ht="27" customHeight="1" x14ac:dyDescent="0.25">
      <c r="A27" s="842" t="s">
        <v>264</v>
      </c>
      <c r="B27" s="840" t="s">
        <v>300</v>
      </c>
      <c r="C27" s="649" t="s">
        <v>301</v>
      </c>
      <c r="D27" s="472">
        <f>G27*$F$27*$E$27/746*6356</f>
        <v>3.9973787131367295</v>
      </c>
      <c r="E27" s="836">
        <v>0.65</v>
      </c>
      <c r="F27" s="836">
        <v>0.9</v>
      </c>
      <c r="G27" s="650">
        <v>0.80200000000000005</v>
      </c>
      <c r="H27" s="838" t="s">
        <v>302</v>
      </c>
    </row>
    <row r="28" spans="1:8" ht="25.95" customHeight="1" x14ac:dyDescent="0.25">
      <c r="A28" s="843"/>
      <c r="B28" s="841"/>
      <c r="C28" s="651" t="s">
        <v>303</v>
      </c>
      <c r="D28" s="471">
        <f>G28*$F$27*$E$27/746*6356</f>
        <v>3.8877249329758712</v>
      </c>
      <c r="E28" s="837"/>
      <c r="F28" s="837"/>
      <c r="G28" s="652">
        <v>0.78</v>
      </c>
      <c r="H28" s="839"/>
    </row>
    <row r="29" spans="1:8" ht="19.2" customHeight="1" x14ac:dyDescent="0.25">
      <c r="A29" s="705"/>
      <c r="B29" s="128"/>
      <c r="C29" s="128"/>
      <c r="D29" s="128"/>
      <c r="E29" s="239"/>
      <c r="F29" s="127" t="s">
        <v>304</v>
      </c>
    </row>
    <row r="30" spans="1:8" x14ac:dyDescent="0.25">
      <c r="A30" s="124" t="s">
        <v>305</v>
      </c>
    </row>
    <row r="31" spans="1:8" x14ac:dyDescent="0.25">
      <c r="A31" s="127" t="s">
        <v>306</v>
      </c>
    </row>
    <row r="32" spans="1:8" ht="13.95" customHeight="1" x14ac:dyDescent="0.25">
      <c r="A32" s="127" t="s">
        <v>307</v>
      </c>
      <c r="B32" s="129"/>
      <c r="E32" s="147"/>
    </row>
    <row r="33" spans="1:6" ht="13.95" customHeight="1" x14ac:dyDescent="0.25">
      <c r="A33" s="127"/>
      <c r="B33" s="129"/>
      <c r="E33" s="147"/>
    </row>
    <row r="34" spans="1:6" ht="13.95" customHeight="1" x14ac:dyDescent="0.25">
      <c r="A34" s="127"/>
      <c r="B34" s="129"/>
      <c r="E34" s="147"/>
    </row>
    <row r="35" spans="1:6" ht="13.95" customHeight="1" x14ac:dyDescent="0.25">
      <c r="A35" s="127"/>
      <c r="B35" s="129"/>
      <c r="E35" s="147"/>
    </row>
    <row r="36" spans="1:6" ht="13.95" customHeight="1" x14ac:dyDescent="0.25">
      <c r="A36" s="129"/>
      <c r="B36" s="129"/>
      <c r="E36" s="147"/>
    </row>
    <row r="39" spans="1:6" x14ac:dyDescent="0.25">
      <c r="A39" s="126"/>
      <c r="B39" s="126"/>
      <c r="C39" s="126"/>
      <c r="D39" s="126"/>
      <c r="E39" s="126"/>
      <c r="F39" s="126"/>
    </row>
  </sheetData>
  <mergeCells count="23">
    <mergeCell ref="F23:F24"/>
    <mergeCell ref="G23:G24"/>
    <mergeCell ref="A23:A24"/>
    <mergeCell ref="B23:B24"/>
    <mergeCell ref="A21:H21"/>
    <mergeCell ref="H23:H24"/>
    <mergeCell ref="F27:F28"/>
    <mergeCell ref="E27:E28"/>
    <mergeCell ref="H27:H28"/>
    <mergeCell ref="B27:B28"/>
    <mergeCell ref="A27:A28"/>
    <mergeCell ref="A3:A4"/>
    <mergeCell ref="A5:A6"/>
    <mergeCell ref="C13:C15"/>
    <mergeCell ref="A1:G1"/>
    <mergeCell ref="G5:G6"/>
    <mergeCell ref="G3:G4"/>
    <mergeCell ref="D13:D15"/>
    <mergeCell ref="F13:F15"/>
    <mergeCell ref="G13:G15"/>
    <mergeCell ref="B13:B15"/>
    <mergeCell ref="E13:E15"/>
    <mergeCell ref="A11:G11"/>
  </mergeCells>
  <phoneticPr fontId="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D6AA-916D-4427-B361-5898BBB8B544}">
  <sheetPr codeName="Sheet8"/>
  <dimension ref="A1:AQ78"/>
  <sheetViews>
    <sheetView topLeftCell="L1" zoomScale="85" zoomScaleNormal="85" workbookViewId="0">
      <selection activeCell="AB3" sqref="AB3"/>
    </sheetView>
  </sheetViews>
  <sheetFormatPr defaultRowHeight="14.4" x14ac:dyDescent="0.3"/>
  <cols>
    <col min="1" max="1" width="16.33203125" customWidth="1"/>
    <col min="2" max="4" width="11.33203125" customWidth="1"/>
    <col min="5" max="5" width="11.33203125" style="53" customWidth="1"/>
    <col min="6" max="8" width="11.33203125" customWidth="1"/>
    <col min="9" max="9" width="2.6640625" customWidth="1"/>
    <col min="15" max="24" width="15.33203125" customWidth="1"/>
    <col min="25" max="25" width="11.33203125" customWidth="1"/>
    <col min="26" max="26" width="7.6640625" customWidth="1"/>
    <col min="27" max="27" width="12.44140625" customWidth="1"/>
    <col min="28" max="43" width="6.5546875" customWidth="1"/>
  </cols>
  <sheetData>
    <row r="1" spans="1:43" ht="30" customHeight="1" x14ac:dyDescent="0.3">
      <c r="A1" s="858" t="s">
        <v>308</v>
      </c>
      <c r="B1" s="859" t="s">
        <v>309</v>
      </c>
      <c r="C1" s="859"/>
      <c r="D1" s="859"/>
      <c r="E1" s="50"/>
      <c r="F1" s="855" t="s">
        <v>310</v>
      </c>
      <c r="G1" s="856"/>
      <c r="H1" s="856"/>
      <c r="I1" s="37"/>
      <c r="J1" s="857" t="s">
        <v>311</v>
      </c>
      <c r="K1" s="857"/>
      <c r="L1" s="48"/>
      <c r="M1" s="48"/>
      <c r="Z1" s="854" t="s">
        <v>312</v>
      </c>
      <c r="AA1" s="854"/>
      <c r="AB1" s="854"/>
      <c r="AC1" s="854"/>
      <c r="AD1" s="854"/>
      <c r="AE1" s="854"/>
      <c r="AF1" s="854"/>
      <c r="AG1" s="854"/>
      <c r="AH1" s="854"/>
      <c r="AI1" s="854"/>
      <c r="AJ1" s="854"/>
      <c r="AK1" s="854"/>
      <c r="AL1" s="854"/>
      <c r="AM1" s="854"/>
      <c r="AN1" s="854"/>
      <c r="AO1" s="854"/>
      <c r="AP1" s="854"/>
      <c r="AQ1" s="854"/>
    </row>
    <row r="2" spans="1:43" ht="30" customHeight="1" x14ac:dyDescent="0.3">
      <c r="A2" s="858"/>
      <c r="B2" s="38" t="str">
        <f>AA28</f>
        <v>Saturation (Electric)</v>
      </c>
      <c r="C2" s="38" t="str">
        <f>AA2</f>
        <v>Saturation (Gas)</v>
      </c>
      <c r="D2" s="38" t="str">
        <f>AA55</f>
        <v>Saturation
(Other Fuels)</v>
      </c>
      <c r="E2" s="51"/>
      <c r="F2" s="47" t="e">
        <f>'HVAC System'!#REF!</f>
        <v>#REF!</v>
      </c>
      <c r="G2" s="47" t="e">
        <f>'HVAC System'!#REF!</f>
        <v>#REF!</v>
      </c>
      <c r="H2" s="47" t="e">
        <f>'HVAC System'!#REF!</f>
        <v>#REF!</v>
      </c>
      <c r="I2" s="35"/>
      <c r="J2" s="34" t="s">
        <v>313</v>
      </c>
      <c r="K2" s="34" t="s">
        <v>314</v>
      </c>
      <c r="L2" s="49"/>
      <c r="M2" s="49"/>
      <c r="O2" s="10" t="s">
        <v>315</v>
      </c>
      <c r="P2" s="3" t="s">
        <v>316</v>
      </c>
      <c r="Q2" s="3" t="s">
        <v>317</v>
      </c>
      <c r="R2" s="4" t="s">
        <v>318</v>
      </c>
      <c r="S2" s="4" t="s">
        <v>319</v>
      </c>
      <c r="T2" s="4" t="s">
        <v>320</v>
      </c>
      <c r="U2" s="4" t="s">
        <v>321</v>
      </c>
      <c r="V2" s="19" t="s">
        <v>322</v>
      </c>
      <c r="W2" s="19" t="s">
        <v>323</v>
      </c>
      <c r="X2" s="4" t="s">
        <v>324</v>
      </c>
      <c r="Y2" s="21"/>
      <c r="Z2" s="42"/>
      <c r="AA2" s="42" t="s">
        <v>323</v>
      </c>
      <c r="AB2" s="43">
        <v>1</v>
      </c>
      <c r="AC2" s="43">
        <v>2</v>
      </c>
      <c r="AD2" s="43">
        <v>3</v>
      </c>
      <c r="AE2" s="43">
        <v>4</v>
      </c>
      <c r="AF2" s="43">
        <v>5</v>
      </c>
      <c r="AG2" s="43">
        <v>6</v>
      </c>
      <c r="AH2" s="43">
        <v>7</v>
      </c>
      <c r="AI2" s="43">
        <v>8</v>
      </c>
      <c r="AJ2" s="43">
        <v>9</v>
      </c>
      <c r="AK2" s="43">
        <v>10</v>
      </c>
      <c r="AL2" s="43">
        <v>11</v>
      </c>
      <c r="AM2" s="43">
        <v>12</v>
      </c>
      <c r="AN2" s="43">
        <v>13</v>
      </c>
      <c r="AO2" s="43">
        <v>14</v>
      </c>
      <c r="AP2" s="43">
        <v>15</v>
      </c>
      <c r="AQ2" s="43">
        <v>16</v>
      </c>
    </row>
    <row r="3" spans="1:43" x14ac:dyDescent="0.3">
      <c r="A3" s="24">
        <v>1</v>
      </c>
      <c r="B3" s="7" t="e">
        <f>AB51</f>
        <v>#REF!</v>
      </c>
      <c r="C3" s="7" t="e">
        <f>AB25</f>
        <v>#REF!</v>
      </c>
      <c r="D3" s="7" t="e">
        <f>AB78</f>
        <v>#REF!</v>
      </c>
      <c r="E3" s="52"/>
      <c r="F3" s="32" t="e">
        <f>'HVAC System'!#REF!</f>
        <v>#REF!</v>
      </c>
      <c r="G3" s="32" t="e">
        <f>'HVAC System'!#REF!</f>
        <v>#REF!</v>
      </c>
      <c r="H3" s="32" t="e">
        <f>'HVAC System'!#REF!</f>
        <v>#REF!</v>
      </c>
      <c r="I3" s="36"/>
      <c r="J3" s="63">
        <v>1</v>
      </c>
      <c r="K3" s="63">
        <v>4</v>
      </c>
      <c r="L3" s="720"/>
      <c r="M3" s="54" t="e">
        <f>B3-F3</f>
        <v>#REF!</v>
      </c>
      <c r="O3" s="13" t="s">
        <v>325</v>
      </c>
      <c r="P3" s="14" t="s">
        <v>326</v>
      </c>
      <c r="Q3" s="14" t="s">
        <v>327</v>
      </c>
      <c r="R3" s="15">
        <v>0.91160158583481499</v>
      </c>
      <c r="S3" s="15">
        <v>0.43376662308021102</v>
      </c>
      <c r="T3" s="15">
        <v>0.55528364756249704</v>
      </c>
      <c r="U3" s="15">
        <v>1.0949729357291899E-2</v>
      </c>
      <c r="V3" s="15">
        <v>0.39542234148213301</v>
      </c>
      <c r="W3" s="15">
        <v>0.5061974537061128</v>
      </c>
      <c r="X3" s="15">
        <v>9.9817906465693249E-3</v>
      </c>
      <c r="Y3" s="20"/>
      <c r="Z3" t="s">
        <v>328</v>
      </c>
      <c r="AA3" s="30">
        <f>AA18</f>
        <v>0.72768161312071966</v>
      </c>
      <c r="AB3" s="30" t="e">
        <f>$AA3*#REF!</f>
        <v>#REF!</v>
      </c>
      <c r="AC3" s="30" t="e">
        <f>$AA3*#REF!</f>
        <v>#REF!</v>
      </c>
      <c r="AD3" s="30" t="e">
        <f>$AA3*#REF!</f>
        <v>#REF!</v>
      </c>
      <c r="AE3" s="30" t="e">
        <f>$AA3*#REF!</f>
        <v>#REF!</v>
      </c>
      <c r="AF3" s="30" t="e">
        <f>$AA3*#REF!</f>
        <v>#REF!</v>
      </c>
      <c r="AG3" s="30" t="e">
        <f>$AA3*#REF!</f>
        <v>#REF!</v>
      </c>
      <c r="AH3" s="30" t="e">
        <f>$AA3*#REF!</f>
        <v>#REF!</v>
      </c>
      <c r="AI3" s="30" t="e">
        <f>$AA3*#REF!</f>
        <v>#REF!</v>
      </c>
      <c r="AJ3" s="30" t="e">
        <f>$AA3*#REF!</f>
        <v>#REF!</v>
      </c>
      <c r="AK3" s="30" t="e">
        <f>$AA3*#REF!</f>
        <v>#REF!</v>
      </c>
      <c r="AL3" s="30" t="e">
        <f>$AA3*#REF!</f>
        <v>#REF!</v>
      </c>
      <c r="AM3" s="30" t="e">
        <f>$AA3*#REF!</f>
        <v>#REF!</v>
      </c>
      <c r="AN3" s="30" t="e">
        <f>$AA3*#REF!</f>
        <v>#REF!</v>
      </c>
      <c r="AO3" s="30" t="e">
        <f>$AA3*#REF!</f>
        <v>#REF!</v>
      </c>
      <c r="AP3" s="30" t="e">
        <f>$AA3*#REF!</f>
        <v>#REF!</v>
      </c>
      <c r="AQ3" s="30" t="e">
        <f>$AA3*#REF!</f>
        <v>#REF!</v>
      </c>
    </row>
    <row r="4" spans="1:43" x14ac:dyDescent="0.3">
      <c r="A4" s="24">
        <v>2</v>
      </c>
      <c r="B4" s="7" t="e">
        <f>AC51</f>
        <v>#REF!</v>
      </c>
      <c r="C4" s="7" t="e">
        <f>AC25</f>
        <v>#REF!</v>
      </c>
      <c r="D4" s="7" t="e">
        <f>AC78</f>
        <v>#REF!</v>
      </c>
      <c r="E4" s="52"/>
      <c r="F4" s="32" t="e">
        <f>'HVAC System'!#REF!</f>
        <v>#REF!</v>
      </c>
      <c r="G4" s="32" t="e">
        <f>'HVAC System'!#REF!</f>
        <v>#REF!</v>
      </c>
      <c r="H4" s="32" t="e">
        <f>'HVAC System'!#REF!</f>
        <v>#REF!</v>
      </c>
      <c r="I4" s="36"/>
      <c r="J4" s="63">
        <v>0</v>
      </c>
      <c r="K4" s="63">
        <v>5</v>
      </c>
      <c r="L4" s="720"/>
      <c r="M4" s="54" t="e">
        <f t="shared" ref="M4:M18" si="0">B4-F4</f>
        <v>#REF!</v>
      </c>
      <c r="O4" s="5" t="s">
        <v>329</v>
      </c>
      <c r="P4" s="6" t="s">
        <v>326</v>
      </c>
      <c r="Q4" s="6" t="s">
        <v>327</v>
      </c>
      <c r="R4" s="12">
        <v>0.913015137153385</v>
      </c>
      <c r="S4" s="12">
        <v>0.30732839182905403</v>
      </c>
      <c r="T4" s="12">
        <v>0.683792773703922</v>
      </c>
      <c r="U4" s="12">
        <v>8.8788344670240899E-3</v>
      </c>
      <c r="V4" s="12">
        <v>0.28059547381693301</v>
      </c>
      <c r="W4" s="12">
        <v>0.6243131530677799</v>
      </c>
      <c r="X4" s="12">
        <v>8.1065102686722016E-3</v>
      </c>
      <c r="Y4" s="20"/>
      <c r="Z4" s="22" t="s">
        <v>329</v>
      </c>
      <c r="AA4" s="30">
        <f t="shared" ref="AA4:AA14" si="1">W4</f>
        <v>0.6243131530677799</v>
      </c>
      <c r="AB4" s="30" t="e">
        <f>$AA4*#REF!</f>
        <v>#REF!</v>
      </c>
      <c r="AC4" s="30" t="e">
        <f>$AA4*#REF!</f>
        <v>#REF!</v>
      </c>
      <c r="AD4" s="30" t="e">
        <f>$AA4*#REF!</f>
        <v>#REF!</v>
      </c>
      <c r="AE4" s="30" t="e">
        <f>$AA4*#REF!</f>
        <v>#REF!</v>
      </c>
      <c r="AF4" s="30" t="e">
        <f>$AA4*#REF!</f>
        <v>#REF!</v>
      </c>
      <c r="AG4" s="30" t="e">
        <f>$AA4*#REF!</f>
        <v>#REF!</v>
      </c>
      <c r="AH4" s="30" t="e">
        <f>$AA4*#REF!</f>
        <v>#REF!</v>
      </c>
      <c r="AI4" s="30" t="e">
        <f>$AA4*#REF!</f>
        <v>#REF!</v>
      </c>
      <c r="AJ4" s="30" t="e">
        <f>$AA4*#REF!</f>
        <v>#REF!</v>
      </c>
      <c r="AK4" s="30" t="e">
        <f>$AA4*#REF!</f>
        <v>#REF!</v>
      </c>
      <c r="AL4" s="30" t="e">
        <f>$AA4*#REF!</f>
        <v>#REF!</v>
      </c>
      <c r="AM4" s="30" t="e">
        <f>$AA4*#REF!</f>
        <v>#REF!</v>
      </c>
      <c r="AN4" s="30" t="e">
        <f>$AA4*#REF!</f>
        <v>#REF!</v>
      </c>
      <c r="AO4" s="30" t="e">
        <f>$AA4*#REF!</f>
        <v>#REF!</v>
      </c>
      <c r="AP4" s="30" t="e">
        <f>$AA4*#REF!</f>
        <v>#REF!</v>
      </c>
      <c r="AQ4" s="30" t="e">
        <f>$AA4*#REF!</f>
        <v>#REF!</v>
      </c>
    </row>
    <row r="5" spans="1:43" x14ac:dyDescent="0.3">
      <c r="A5" s="24">
        <v>3</v>
      </c>
      <c r="B5" s="7" t="e">
        <f>AD51</f>
        <v>#REF!</v>
      </c>
      <c r="C5" s="7" t="e">
        <f>AD25</f>
        <v>#REF!</v>
      </c>
      <c r="D5" s="7" t="e">
        <f>AD78</f>
        <v>#REF!</v>
      </c>
      <c r="E5" s="52"/>
      <c r="F5" s="32" t="e">
        <f>'HVAC System'!#REF!</f>
        <v>#REF!</v>
      </c>
      <c r="G5" s="32" t="e">
        <f>'HVAC System'!#REF!</f>
        <v>#REF!</v>
      </c>
      <c r="H5" s="32" t="e">
        <f>'HVAC System'!#REF!</f>
        <v>#REF!</v>
      </c>
      <c r="I5" s="36"/>
      <c r="J5" s="63">
        <v>1</v>
      </c>
      <c r="K5" s="63">
        <v>4</v>
      </c>
      <c r="L5" s="720"/>
      <c r="M5" s="54" t="e">
        <f t="shared" si="0"/>
        <v>#REF!</v>
      </c>
      <c r="O5" s="5" t="s">
        <v>330</v>
      </c>
      <c r="P5" s="6" t="s">
        <v>326</v>
      </c>
      <c r="Q5" s="6" t="s">
        <v>327</v>
      </c>
      <c r="R5" s="12">
        <v>0.86214134248327801</v>
      </c>
      <c r="S5" s="12">
        <v>0.11930352976413799</v>
      </c>
      <c r="T5" s="12">
        <v>0.81413327321005802</v>
      </c>
      <c r="U5" s="12">
        <v>6.65631970258036E-2</v>
      </c>
      <c r="V5" s="12">
        <v>0.10285650531384764</v>
      </c>
      <c r="W5" s="12">
        <v>0.70189795312562475</v>
      </c>
      <c r="X5" s="12">
        <v>5.738688404380525E-2</v>
      </c>
      <c r="Y5" s="20"/>
      <c r="Z5" s="22" t="s">
        <v>330</v>
      </c>
      <c r="AA5" s="30">
        <f t="shared" si="1"/>
        <v>0.70189795312562475</v>
      </c>
      <c r="AB5" s="30" t="e">
        <f>$AA5*#REF!</f>
        <v>#REF!</v>
      </c>
      <c r="AC5" s="30" t="e">
        <f>$AA5*#REF!</f>
        <v>#REF!</v>
      </c>
      <c r="AD5" s="30" t="e">
        <f>$AA5*#REF!</f>
        <v>#REF!</v>
      </c>
      <c r="AE5" s="30" t="e">
        <f>$AA5*#REF!</f>
        <v>#REF!</v>
      </c>
      <c r="AF5" s="30" t="e">
        <f>$AA5*#REF!</f>
        <v>#REF!</v>
      </c>
      <c r="AG5" s="30" t="e">
        <f>$AA5*#REF!</f>
        <v>#REF!</v>
      </c>
      <c r="AH5" s="30" t="e">
        <f>$AA5*#REF!</f>
        <v>#REF!</v>
      </c>
      <c r="AI5" s="30" t="e">
        <f>$AA5*#REF!</f>
        <v>#REF!</v>
      </c>
      <c r="AJ5" s="30" t="e">
        <f>$AA5*#REF!</f>
        <v>#REF!</v>
      </c>
      <c r="AK5" s="30" t="e">
        <f>$AA5*#REF!</f>
        <v>#REF!</v>
      </c>
      <c r="AL5" s="30" t="e">
        <f>$AA5*#REF!</f>
        <v>#REF!</v>
      </c>
      <c r="AM5" s="30" t="e">
        <f>$AA5*#REF!</f>
        <v>#REF!</v>
      </c>
      <c r="AN5" s="30" t="e">
        <f>$AA5*#REF!</f>
        <v>#REF!</v>
      </c>
      <c r="AO5" s="30" t="e">
        <f>$AA5*#REF!</f>
        <v>#REF!</v>
      </c>
      <c r="AP5" s="30" t="e">
        <f>$AA5*#REF!</f>
        <v>#REF!</v>
      </c>
      <c r="AQ5" s="30" t="e">
        <f>$AA5*#REF!</f>
        <v>#REF!</v>
      </c>
    </row>
    <row r="6" spans="1:43" x14ac:dyDescent="0.3">
      <c r="A6" s="24">
        <v>4</v>
      </c>
      <c r="B6" s="7" t="e">
        <f>AE51</f>
        <v>#REF!</v>
      </c>
      <c r="C6" s="7" t="e">
        <f>AE25</f>
        <v>#REF!</v>
      </c>
      <c r="D6" s="7" t="e">
        <f>AE78</f>
        <v>#REF!</v>
      </c>
      <c r="E6" s="52"/>
      <c r="F6" s="32" t="e">
        <f>'HVAC System'!#REF!</f>
        <v>#REF!</v>
      </c>
      <c r="G6" s="32" t="e">
        <f>'HVAC System'!#REF!</f>
        <v>#REF!</v>
      </c>
      <c r="H6" s="32" t="e">
        <f>'HVAC System'!#REF!</f>
        <v>#REF!</v>
      </c>
      <c r="I6" s="36"/>
      <c r="J6" s="63">
        <v>1</v>
      </c>
      <c r="K6" s="63">
        <v>4</v>
      </c>
      <c r="L6" s="720"/>
      <c r="M6" s="54" t="e">
        <f t="shared" si="0"/>
        <v>#REF!</v>
      </c>
      <c r="O6" s="5" t="s">
        <v>331</v>
      </c>
      <c r="P6" s="6" t="s">
        <v>326</v>
      </c>
      <c r="Q6" s="6" t="s">
        <v>327</v>
      </c>
      <c r="R6" s="12">
        <v>0.89761067258268601</v>
      </c>
      <c r="S6" s="12">
        <v>0.25361457950326799</v>
      </c>
      <c r="T6" s="12">
        <v>0.66491077160192602</v>
      </c>
      <c r="U6" s="12">
        <v>8.1474648894806295E-2</v>
      </c>
      <c r="V6" s="12">
        <v>0.22764715328470347</v>
      </c>
      <c r="W6" s="12">
        <v>0.59683100490507757</v>
      </c>
      <c r="X6" s="12">
        <v>7.3132514392905273E-2</v>
      </c>
      <c r="Y6" s="20"/>
      <c r="Z6" s="22" t="s">
        <v>331</v>
      </c>
      <c r="AA6" s="30">
        <f t="shared" si="1"/>
        <v>0.59683100490507757</v>
      </c>
      <c r="AB6" s="30" t="e">
        <f>$AA6*#REF!</f>
        <v>#REF!</v>
      </c>
      <c r="AC6" s="30" t="e">
        <f>$AA6*#REF!</f>
        <v>#REF!</v>
      </c>
      <c r="AD6" s="30" t="e">
        <f>$AA6*#REF!</f>
        <v>#REF!</v>
      </c>
      <c r="AE6" s="30" t="e">
        <f>$AA6*#REF!</f>
        <v>#REF!</v>
      </c>
      <c r="AF6" s="30" t="e">
        <f>$AA6*#REF!</f>
        <v>#REF!</v>
      </c>
      <c r="AG6" s="30" t="e">
        <f>$AA6*#REF!</f>
        <v>#REF!</v>
      </c>
      <c r="AH6" s="30" t="e">
        <f>$AA6*#REF!</f>
        <v>#REF!</v>
      </c>
      <c r="AI6" s="30" t="e">
        <f>$AA6*#REF!</f>
        <v>#REF!</v>
      </c>
      <c r="AJ6" s="30" t="e">
        <f>$AA6*#REF!</f>
        <v>#REF!</v>
      </c>
      <c r="AK6" s="30" t="e">
        <f>$AA6*#REF!</f>
        <v>#REF!</v>
      </c>
      <c r="AL6" s="30" t="e">
        <f>$AA6*#REF!</f>
        <v>#REF!</v>
      </c>
      <c r="AM6" s="30" t="e">
        <f>$AA6*#REF!</f>
        <v>#REF!</v>
      </c>
      <c r="AN6" s="30" t="e">
        <f>$AA6*#REF!</f>
        <v>#REF!</v>
      </c>
      <c r="AO6" s="30" t="e">
        <f>$AA6*#REF!</f>
        <v>#REF!</v>
      </c>
      <c r="AP6" s="30" t="e">
        <f>$AA6*#REF!</f>
        <v>#REF!</v>
      </c>
      <c r="AQ6" s="30" t="e">
        <f>$AA6*#REF!</f>
        <v>#REF!</v>
      </c>
    </row>
    <row r="7" spans="1:43" x14ac:dyDescent="0.3">
      <c r="A7" s="24">
        <v>5</v>
      </c>
      <c r="B7" s="7" t="e">
        <f>AF51</f>
        <v>#REF!</v>
      </c>
      <c r="C7" s="7" t="e">
        <f>AF25</f>
        <v>#REF!</v>
      </c>
      <c r="D7" s="7" t="e">
        <f>AF78</f>
        <v>#REF!</v>
      </c>
      <c r="E7" s="52"/>
      <c r="F7" s="32" t="e">
        <f>'HVAC System'!#REF!</f>
        <v>#REF!</v>
      </c>
      <c r="G7" s="32" t="e">
        <f>'HVAC System'!#REF!</f>
        <v>#REF!</v>
      </c>
      <c r="H7" s="32" t="e">
        <f>'HVAC System'!#REF!</f>
        <v>#REF!</v>
      </c>
      <c r="I7" s="36"/>
      <c r="J7" s="63">
        <v>1</v>
      </c>
      <c r="K7" s="63">
        <v>4</v>
      </c>
      <c r="L7" s="720"/>
      <c r="M7" s="54" t="e">
        <f t="shared" si="0"/>
        <v>#REF!</v>
      </c>
      <c r="O7" s="5" t="s">
        <v>332</v>
      </c>
      <c r="P7" s="6" t="s">
        <v>326</v>
      </c>
      <c r="Q7" s="6" t="s">
        <v>327</v>
      </c>
      <c r="R7" s="12">
        <v>0.89761067258268601</v>
      </c>
      <c r="S7" s="12">
        <v>0.25361457950326799</v>
      </c>
      <c r="T7" s="12">
        <v>0.66491077160192602</v>
      </c>
      <c r="U7" s="12">
        <v>8.1474648894806295E-2</v>
      </c>
      <c r="V7" s="12">
        <v>0.22764715328470347</v>
      </c>
      <c r="W7" s="12">
        <v>0.59683100490507757</v>
      </c>
      <c r="X7" s="12">
        <v>7.3132514392905273E-2</v>
      </c>
      <c r="Y7" s="20"/>
      <c r="Z7" s="22" t="s">
        <v>332</v>
      </c>
      <c r="AA7" s="30">
        <f t="shared" si="1"/>
        <v>0.59683100490507757</v>
      </c>
      <c r="AB7" s="30" t="e">
        <f>$AA7*#REF!</f>
        <v>#REF!</v>
      </c>
      <c r="AC7" s="30" t="e">
        <f>$AA7*#REF!</f>
        <v>#REF!</v>
      </c>
      <c r="AD7" s="30" t="e">
        <f>$AA7*#REF!</f>
        <v>#REF!</v>
      </c>
      <c r="AE7" s="30" t="e">
        <f>$AA7*#REF!</f>
        <v>#REF!</v>
      </c>
      <c r="AF7" s="30" t="e">
        <f>$AA7*#REF!</f>
        <v>#REF!</v>
      </c>
      <c r="AG7" s="30" t="e">
        <f>$AA7*#REF!</f>
        <v>#REF!</v>
      </c>
      <c r="AH7" s="30" t="e">
        <f>$AA7*#REF!</f>
        <v>#REF!</v>
      </c>
      <c r="AI7" s="30" t="e">
        <f>$AA7*#REF!</f>
        <v>#REF!</v>
      </c>
      <c r="AJ7" s="30" t="e">
        <f>$AA7*#REF!</f>
        <v>#REF!</v>
      </c>
      <c r="AK7" s="30" t="e">
        <f>$AA7*#REF!</f>
        <v>#REF!</v>
      </c>
      <c r="AL7" s="30" t="e">
        <f>$AA7*#REF!</f>
        <v>#REF!</v>
      </c>
      <c r="AM7" s="30" t="e">
        <f>$AA7*#REF!</f>
        <v>#REF!</v>
      </c>
      <c r="AN7" s="30" t="e">
        <f>$AA7*#REF!</f>
        <v>#REF!</v>
      </c>
      <c r="AO7" s="30" t="e">
        <f>$AA7*#REF!</f>
        <v>#REF!</v>
      </c>
      <c r="AP7" s="30" t="e">
        <f>$AA7*#REF!</f>
        <v>#REF!</v>
      </c>
      <c r="AQ7" s="30" t="e">
        <f>$AA7*#REF!</f>
        <v>#REF!</v>
      </c>
    </row>
    <row r="8" spans="1:43" x14ac:dyDescent="0.3">
      <c r="A8" s="24">
        <v>6</v>
      </c>
      <c r="B8" s="7" t="e">
        <f>AG51</f>
        <v>#REF!</v>
      </c>
      <c r="C8" s="7" t="e">
        <f>AG25</f>
        <v>#REF!</v>
      </c>
      <c r="D8" s="7" t="e">
        <f>AG78</f>
        <v>#REF!</v>
      </c>
      <c r="E8" s="52"/>
      <c r="F8" s="32" t="e">
        <f>'HVAC System'!#REF!</f>
        <v>#REF!</v>
      </c>
      <c r="G8" s="32" t="e">
        <f>'HVAC System'!#REF!</f>
        <v>#REF!</v>
      </c>
      <c r="H8" s="32" t="e">
        <f>'HVAC System'!#REF!</f>
        <v>#REF!</v>
      </c>
      <c r="I8" s="36"/>
      <c r="J8" s="63">
        <v>3</v>
      </c>
      <c r="K8" s="63">
        <v>2</v>
      </c>
      <c r="L8" s="720"/>
      <c r="M8" s="54" t="e">
        <f t="shared" si="0"/>
        <v>#REF!</v>
      </c>
      <c r="O8" s="5" t="s">
        <v>333</v>
      </c>
      <c r="P8" s="6" t="s">
        <v>326</v>
      </c>
      <c r="Q8" s="6" t="s">
        <v>327</v>
      </c>
      <c r="R8" s="12">
        <v>0.92215011146483605</v>
      </c>
      <c r="S8" s="12">
        <v>0.20498208869885901</v>
      </c>
      <c r="T8" s="12">
        <v>0.78911405428862003</v>
      </c>
      <c r="U8" s="12">
        <v>5.9038570125219403E-3</v>
      </c>
      <c r="V8" s="12">
        <v>0.18902425594194774</v>
      </c>
      <c r="W8" s="12">
        <v>0.72768161312071966</v>
      </c>
      <c r="X8" s="12">
        <v>5.4442424021695609E-3</v>
      </c>
      <c r="Y8" s="20"/>
      <c r="Z8" s="22" t="s">
        <v>333</v>
      </c>
      <c r="AA8" s="30">
        <f t="shared" si="1"/>
        <v>0.72768161312071966</v>
      </c>
      <c r="AB8" s="30" t="e">
        <f>$AA8*#REF!</f>
        <v>#REF!</v>
      </c>
      <c r="AC8" s="30" t="e">
        <f>$AA8*#REF!</f>
        <v>#REF!</v>
      </c>
      <c r="AD8" s="30" t="e">
        <f>$AA8*#REF!</f>
        <v>#REF!</v>
      </c>
      <c r="AE8" s="30" t="e">
        <f>$AA8*#REF!</f>
        <v>#REF!</v>
      </c>
      <c r="AF8" s="30" t="e">
        <f>$AA8*#REF!</f>
        <v>#REF!</v>
      </c>
      <c r="AG8" s="30" t="e">
        <f>$AA8*#REF!</f>
        <v>#REF!</v>
      </c>
      <c r="AH8" s="30" t="e">
        <f>$AA8*#REF!</f>
        <v>#REF!</v>
      </c>
      <c r="AI8" s="30" t="e">
        <f>$AA8*#REF!</f>
        <v>#REF!</v>
      </c>
      <c r="AJ8" s="30" t="e">
        <f>$AA8*#REF!</f>
        <v>#REF!</v>
      </c>
      <c r="AK8" s="30" t="e">
        <f>$AA8*#REF!</f>
        <v>#REF!</v>
      </c>
      <c r="AL8" s="30" t="e">
        <f>$AA8*#REF!</f>
        <v>#REF!</v>
      </c>
      <c r="AM8" s="30" t="e">
        <f>$AA8*#REF!</f>
        <v>#REF!</v>
      </c>
      <c r="AN8" s="30" t="e">
        <f>$AA8*#REF!</f>
        <v>#REF!</v>
      </c>
      <c r="AO8" s="30" t="e">
        <f>$AA8*#REF!</f>
        <v>#REF!</v>
      </c>
      <c r="AP8" s="30" t="e">
        <f>$AA8*#REF!</f>
        <v>#REF!</v>
      </c>
      <c r="AQ8" s="30" t="e">
        <f>$AA8*#REF!</f>
        <v>#REF!</v>
      </c>
    </row>
    <row r="9" spans="1:43" x14ac:dyDescent="0.3">
      <c r="A9" s="24">
        <v>7</v>
      </c>
      <c r="B9" s="7" t="e">
        <f>AH51</f>
        <v>#REF!</v>
      </c>
      <c r="C9" s="7" t="e">
        <f>AH25</f>
        <v>#REF!</v>
      </c>
      <c r="D9" s="7" t="e">
        <f>AH78</f>
        <v>#REF!</v>
      </c>
      <c r="E9" s="52"/>
      <c r="F9" s="32" t="e">
        <f>'HVAC System'!#REF!</f>
        <v>#REF!</v>
      </c>
      <c r="G9" s="32" t="e">
        <f>'HVAC System'!#REF!</f>
        <v>#REF!</v>
      </c>
      <c r="H9" s="32" t="e">
        <f>'HVAC System'!#REF!</f>
        <v>#REF!</v>
      </c>
      <c r="I9" s="36"/>
      <c r="J9" s="56">
        <v>2</v>
      </c>
      <c r="K9" s="56">
        <v>3</v>
      </c>
      <c r="L9" s="720"/>
      <c r="M9" s="54" t="e">
        <f t="shared" si="0"/>
        <v>#REF!</v>
      </c>
      <c r="O9" s="5" t="s">
        <v>334</v>
      </c>
      <c r="P9" s="6" t="s">
        <v>326</v>
      </c>
      <c r="Q9" s="6" t="s">
        <v>327</v>
      </c>
      <c r="R9" s="12">
        <v>0.92647550734030604</v>
      </c>
      <c r="S9" s="12">
        <v>0.25462062143847902</v>
      </c>
      <c r="T9" s="12">
        <v>0.74336958835016798</v>
      </c>
      <c r="U9" s="12">
        <v>2.00979021135256E-3</v>
      </c>
      <c r="V9" s="12">
        <v>0.23589976942651886</v>
      </c>
      <c r="W9" s="12">
        <v>0.68871371650807633</v>
      </c>
      <c r="X9" s="12">
        <v>1.8620214057104439E-3</v>
      </c>
      <c r="Y9" s="20"/>
      <c r="Z9" s="22" t="s">
        <v>334</v>
      </c>
      <c r="AA9" s="30">
        <f t="shared" si="1"/>
        <v>0.68871371650807633</v>
      </c>
      <c r="AB9" s="30" t="e">
        <f>$AA9*#REF!</f>
        <v>#REF!</v>
      </c>
      <c r="AC9" s="30" t="e">
        <f>$AA9*#REF!</f>
        <v>#REF!</v>
      </c>
      <c r="AD9" s="30" t="e">
        <f>$AA9*#REF!</f>
        <v>#REF!</v>
      </c>
      <c r="AE9" s="30" t="e">
        <f>$AA9*#REF!</f>
        <v>#REF!</v>
      </c>
      <c r="AF9" s="30" t="e">
        <f>$AA9*#REF!</f>
        <v>#REF!</v>
      </c>
      <c r="AG9" s="30" t="e">
        <f>$AA9*#REF!</f>
        <v>#REF!</v>
      </c>
      <c r="AH9" s="30" t="e">
        <f>$AA9*#REF!</f>
        <v>#REF!</v>
      </c>
      <c r="AI9" s="30" t="e">
        <f>$AA9*#REF!</f>
        <v>#REF!</v>
      </c>
      <c r="AJ9" s="30" t="e">
        <f>$AA9*#REF!</f>
        <v>#REF!</v>
      </c>
      <c r="AK9" s="30" t="e">
        <f>$AA9*#REF!</f>
        <v>#REF!</v>
      </c>
      <c r="AL9" s="30" t="e">
        <f>$AA9*#REF!</f>
        <v>#REF!</v>
      </c>
      <c r="AM9" s="30" t="e">
        <f>$AA9*#REF!</f>
        <v>#REF!</v>
      </c>
      <c r="AN9" s="30" t="e">
        <f>$AA9*#REF!</f>
        <v>#REF!</v>
      </c>
      <c r="AO9" s="30" t="e">
        <f>$AA9*#REF!</f>
        <v>#REF!</v>
      </c>
      <c r="AP9" s="30" t="e">
        <f>$AA9*#REF!</f>
        <v>#REF!</v>
      </c>
      <c r="AQ9" s="30" t="e">
        <f>$AA9*#REF!</f>
        <v>#REF!</v>
      </c>
    </row>
    <row r="10" spans="1:43" x14ac:dyDescent="0.3">
      <c r="A10" s="24">
        <v>8</v>
      </c>
      <c r="B10" s="7" t="e">
        <f>AI51</f>
        <v>#REF!</v>
      </c>
      <c r="C10" s="7" t="e">
        <f>AI25</f>
        <v>#REF!</v>
      </c>
      <c r="D10" s="7" t="e">
        <f>AI78</f>
        <v>#REF!</v>
      </c>
      <c r="E10" s="52"/>
      <c r="F10" s="32" t="e">
        <f>'HVAC System'!#REF!</f>
        <v>#REF!</v>
      </c>
      <c r="G10" s="32" t="e">
        <f>'HVAC System'!#REF!</f>
        <v>#REF!</v>
      </c>
      <c r="H10" s="32" t="e">
        <f>'HVAC System'!#REF!</f>
        <v>#REF!</v>
      </c>
      <c r="I10" s="36"/>
      <c r="J10" s="63">
        <v>3</v>
      </c>
      <c r="K10" s="63">
        <v>2</v>
      </c>
      <c r="L10" s="720"/>
      <c r="M10" s="54" t="e">
        <f t="shared" si="0"/>
        <v>#REF!</v>
      </c>
      <c r="O10" s="16" t="s">
        <v>335</v>
      </c>
      <c r="P10" s="6" t="s">
        <v>326</v>
      </c>
      <c r="Q10" s="6" t="s">
        <v>327</v>
      </c>
      <c r="R10" s="17">
        <v>0.95232641393717099</v>
      </c>
      <c r="S10" s="17">
        <v>0.66151275494356798</v>
      </c>
      <c r="T10" s="17">
        <v>0.33848724505643202</v>
      </c>
      <c r="U10" s="17">
        <v>0</v>
      </c>
      <c r="V10" s="57">
        <v>0.62997606968910669</v>
      </c>
      <c r="W10" s="57">
        <v>0.3223503442480643</v>
      </c>
      <c r="X10" s="17">
        <v>0</v>
      </c>
      <c r="Y10" s="20"/>
      <c r="Z10" s="23" t="s">
        <v>335</v>
      </c>
      <c r="AA10" s="30">
        <f t="shared" si="1"/>
        <v>0.3223503442480643</v>
      </c>
      <c r="AB10" s="30" t="e">
        <f>$AA10*#REF!</f>
        <v>#REF!</v>
      </c>
      <c r="AC10" s="30" t="e">
        <f>$AA10*#REF!</f>
        <v>#REF!</v>
      </c>
      <c r="AD10" s="30" t="e">
        <f>$AA10*#REF!</f>
        <v>#REF!</v>
      </c>
      <c r="AE10" s="30" t="e">
        <f>$AA10*#REF!</f>
        <v>#REF!</v>
      </c>
      <c r="AF10" s="30" t="e">
        <f>$AA10*#REF!</f>
        <v>#REF!</v>
      </c>
      <c r="AG10" s="30" t="e">
        <f>$AA10*#REF!</f>
        <v>#REF!</v>
      </c>
      <c r="AH10" s="30" t="e">
        <f>$AA10*#REF!</f>
        <v>#REF!</v>
      </c>
      <c r="AI10" s="30" t="e">
        <f>$AA10*#REF!</f>
        <v>#REF!</v>
      </c>
      <c r="AJ10" s="30" t="e">
        <f>$AA10*#REF!</f>
        <v>#REF!</v>
      </c>
      <c r="AK10" s="30" t="e">
        <f>$AA10*#REF!</f>
        <v>#REF!</v>
      </c>
      <c r="AL10" s="30" t="e">
        <f>$AA10*#REF!</f>
        <v>#REF!</v>
      </c>
      <c r="AM10" s="30" t="e">
        <f>$AA10*#REF!</f>
        <v>#REF!</v>
      </c>
      <c r="AN10" s="30" t="e">
        <f>$AA10*#REF!</f>
        <v>#REF!</v>
      </c>
      <c r="AO10" s="30" t="e">
        <f>$AA10*#REF!</f>
        <v>#REF!</v>
      </c>
      <c r="AP10" s="30" t="e">
        <f>$AA10*#REF!</f>
        <v>#REF!</v>
      </c>
      <c r="AQ10" s="30" t="e">
        <f>$AA10*#REF!</f>
        <v>#REF!</v>
      </c>
    </row>
    <row r="11" spans="1:43" x14ac:dyDescent="0.3">
      <c r="A11" s="24">
        <v>9</v>
      </c>
      <c r="B11" s="46" t="e">
        <f>AJ51</f>
        <v>#REF!</v>
      </c>
      <c r="C11" s="46" t="e">
        <f>AJ25</f>
        <v>#REF!</v>
      </c>
      <c r="D11" s="7" t="e">
        <f>AJ78</f>
        <v>#REF!</v>
      </c>
      <c r="E11" s="52"/>
      <c r="F11" s="55" t="e">
        <f>'HVAC System'!#REF!</f>
        <v>#REF!</v>
      </c>
      <c r="G11" s="55" t="e">
        <f>'HVAC System'!#REF!</f>
        <v>#REF!</v>
      </c>
      <c r="H11" s="32" t="e">
        <f>'HVAC System'!#REF!</f>
        <v>#REF!</v>
      </c>
      <c r="I11" s="36"/>
      <c r="J11" s="63">
        <v>3</v>
      </c>
      <c r="K11" s="63">
        <v>2</v>
      </c>
      <c r="L11" s="720"/>
      <c r="M11" s="54" t="e">
        <f t="shared" si="0"/>
        <v>#REF!</v>
      </c>
      <c r="O11" s="16" t="s">
        <v>336</v>
      </c>
      <c r="P11" s="6" t="s">
        <v>326</v>
      </c>
      <c r="Q11" s="6" t="s">
        <v>327</v>
      </c>
      <c r="R11" s="17">
        <v>0.93208847308618303</v>
      </c>
      <c r="S11" s="17">
        <v>0.54120830007463705</v>
      </c>
      <c r="T11" s="17">
        <v>0.45879169992536301</v>
      </c>
      <c r="U11" s="17">
        <v>0</v>
      </c>
      <c r="V11" s="57">
        <v>0.50445401803813705</v>
      </c>
      <c r="W11" s="57">
        <v>0.42763445504804587</v>
      </c>
      <c r="X11" s="17">
        <v>0</v>
      </c>
      <c r="Y11" s="20"/>
      <c r="Z11" s="23" t="s">
        <v>336</v>
      </c>
      <c r="AA11" s="30">
        <f t="shared" si="1"/>
        <v>0.42763445504804587</v>
      </c>
      <c r="AB11" s="30" t="e">
        <f>$AA11*#REF!</f>
        <v>#REF!</v>
      </c>
      <c r="AC11" s="30" t="e">
        <f>$AA11*#REF!</f>
        <v>#REF!</v>
      </c>
      <c r="AD11" s="30" t="e">
        <f>$AA11*#REF!</f>
        <v>#REF!</v>
      </c>
      <c r="AE11" s="30" t="e">
        <f>$AA11*#REF!</f>
        <v>#REF!</v>
      </c>
      <c r="AF11" s="30" t="e">
        <f>$AA11*#REF!</f>
        <v>#REF!</v>
      </c>
      <c r="AG11" s="30" t="e">
        <f>$AA11*#REF!</f>
        <v>#REF!</v>
      </c>
      <c r="AH11" s="30" t="e">
        <f>$AA11*#REF!</f>
        <v>#REF!</v>
      </c>
      <c r="AI11" s="30" t="e">
        <f>$AA11*#REF!</f>
        <v>#REF!</v>
      </c>
      <c r="AJ11" s="30" t="e">
        <f>$AA11*#REF!</f>
        <v>#REF!</v>
      </c>
      <c r="AK11" s="30" t="e">
        <f>$AA11*#REF!</f>
        <v>#REF!</v>
      </c>
      <c r="AL11" s="30" t="e">
        <f>$AA11*#REF!</f>
        <v>#REF!</v>
      </c>
      <c r="AM11" s="30" t="e">
        <f>$AA11*#REF!</f>
        <v>#REF!</v>
      </c>
      <c r="AN11" s="30" t="e">
        <f>$AA11*#REF!</f>
        <v>#REF!</v>
      </c>
      <c r="AO11" s="30" t="e">
        <f>$AA11*#REF!</f>
        <v>#REF!</v>
      </c>
      <c r="AP11" s="30" t="e">
        <f>$AA11*#REF!</f>
        <v>#REF!</v>
      </c>
      <c r="AQ11" s="30" t="e">
        <f>$AA11*#REF!</f>
        <v>#REF!</v>
      </c>
    </row>
    <row r="12" spans="1:43" x14ac:dyDescent="0.3">
      <c r="A12" s="24">
        <v>10</v>
      </c>
      <c r="B12" s="7" t="e">
        <f>AK51</f>
        <v>#REF!</v>
      </c>
      <c r="C12" s="7" t="e">
        <f>AK25</f>
        <v>#REF!</v>
      </c>
      <c r="D12" s="7" t="e">
        <f>AK78</f>
        <v>#REF!</v>
      </c>
      <c r="E12" s="52"/>
      <c r="F12" s="32" t="e">
        <f>'HVAC System'!#REF!</f>
        <v>#REF!</v>
      </c>
      <c r="G12" s="32" t="e">
        <f>'HVAC System'!#REF!</f>
        <v>#REF!</v>
      </c>
      <c r="H12" s="32" t="e">
        <f>'HVAC System'!#REF!</f>
        <v>#REF!</v>
      </c>
      <c r="I12" s="36"/>
      <c r="J12" s="56">
        <v>2</v>
      </c>
      <c r="K12" s="56">
        <v>3</v>
      </c>
      <c r="L12" s="720"/>
      <c r="M12" s="54" t="e">
        <f t="shared" si="0"/>
        <v>#REF!</v>
      </c>
      <c r="O12" s="16" t="s">
        <v>337</v>
      </c>
      <c r="P12" s="6" t="s">
        <v>326</v>
      </c>
      <c r="Q12" s="6" t="s">
        <v>327</v>
      </c>
      <c r="R12" s="17">
        <v>0.94526480719865702</v>
      </c>
      <c r="S12" s="17">
        <v>5.9542837671763001E-2</v>
      </c>
      <c r="T12" s="17">
        <v>0.91122329330998597</v>
      </c>
      <c r="U12" s="17">
        <v>2.92338690182509E-2</v>
      </c>
      <c r="V12" s="58">
        <v>5.6283748971859983E-2</v>
      </c>
      <c r="W12" s="58">
        <v>0.86134731066558923</v>
      </c>
      <c r="X12" s="17">
        <v>2.763374756120773E-2</v>
      </c>
      <c r="Y12" s="20"/>
      <c r="Z12" s="23" t="s">
        <v>337</v>
      </c>
      <c r="AA12" s="30">
        <f t="shared" si="1"/>
        <v>0.86134731066558923</v>
      </c>
      <c r="AB12" s="30" t="e">
        <f>$AA12*#REF!</f>
        <v>#REF!</v>
      </c>
      <c r="AC12" s="30" t="e">
        <f>$AA12*#REF!</f>
        <v>#REF!</v>
      </c>
      <c r="AD12" s="30" t="e">
        <f>$AA12*#REF!</f>
        <v>#REF!</v>
      </c>
      <c r="AE12" s="30" t="e">
        <f>$AA12*#REF!</f>
        <v>#REF!</v>
      </c>
      <c r="AF12" s="30" t="e">
        <f>$AA12*#REF!</f>
        <v>#REF!</v>
      </c>
      <c r="AG12" s="30" t="e">
        <f>$AA12*#REF!</f>
        <v>#REF!</v>
      </c>
      <c r="AH12" s="30" t="e">
        <f>$AA12*#REF!</f>
        <v>#REF!</v>
      </c>
      <c r="AI12" s="30" t="e">
        <f>$AA12*#REF!</f>
        <v>#REF!</v>
      </c>
      <c r="AJ12" s="30" t="e">
        <f>$AA12*#REF!</f>
        <v>#REF!</v>
      </c>
      <c r="AK12" s="30" t="e">
        <f>$AA12*#REF!</f>
        <v>#REF!</v>
      </c>
      <c r="AL12" s="30" t="e">
        <f>$AA12*#REF!</f>
        <v>#REF!</v>
      </c>
      <c r="AM12" s="30" t="e">
        <f>$AA12*#REF!</f>
        <v>#REF!</v>
      </c>
      <c r="AN12" s="30" t="e">
        <f>$AA12*#REF!</f>
        <v>#REF!</v>
      </c>
      <c r="AO12" s="30" t="e">
        <f>$AA12*#REF!</f>
        <v>#REF!</v>
      </c>
      <c r="AP12" s="30" t="e">
        <f>$AA12*#REF!</f>
        <v>#REF!</v>
      </c>
      <c r="AQ12" s="30" t="e">
        <f>$AA12*#REF!</f>
        <v>#REF!</v>
      </c>
    </row>
    <row r="13" spans="1:43" x14ac:dyDescent="0.3">
      <c r="A13" s="24">
        <v>11</v>
      </c>
      <c r="B13" s="7" t="e">
        <f>AL51</f>
        <v>#REF!</v>
      </c>
      <c r="C13" s="7" t="e">
        <f>AL25</f>
        <v>#REF!</v>
      </c>
      <c r="D13" s="7" t="e">
        <f>AL78</f>
        <v>#REF!</v>
      </c>
      <c r="E13" s="52"/>
      <c r="F13" s="32" t="e">
        <f>'HVAC System'!#REF!</f>
        <v>#REF!</v>
      </c>
      <c r="G13" s="32" t="e">
        <f>'HVAC System'!#REF!</f>
        <v>#REF!</v>
      </c>
      <c r="H13" s="32" t="e">
        <f>'HVAC System'!#REF!</f>
        <v>#REF!</v>
      </c>
      <c r="I13" s="36"/>
      <c r="J13" s="63">
        <v>1</v>
      </c>
      <c r="K13" s="63">
        <v>4</v>
      </c>
      <c r="L13" s="720"/>
      <c r="M13" s="54" t="e">
        <f t="shared" si="0"/>
        <v>#REF!</v>
      </c>
      <c r="O13" s="16" t="s">
        <v>338</v>
      </c>
      <c r="P13" s="6" t="s">
        <v>326</v>
      </c>
      <c r="Q13" s="6" t="s">
        <v>327</v>
      </c>
      <c r="R13" s="17">
        <v>0.91238163204536304</v>
      </c>
      <c r="S13" s="17">
        <v>0.45969281260800399</v>
      </c>
      <c r="T13" s="17">
        <v>0.54030718739199601</v>
      </c>
      <c r="U13" s="17">
        <v>0</v>
      </c>
      <c r="V13" s="57">
        <v>0.41941527860681393</v>
      </c>
      <c r="W13" s="57">
        <v>0.49296635343854911</v>
      </c>
      <c r="X13" s="17">
        <v>0</v>
      </c>
      <c r="Y13" s="20"/>
      <c r="Z13" s="23" t="s">
        <v>338</v>
      </c>
      <c r="AA13" s="30">
        <f t="shared" si="1"/>
        <v>0.49296635343854911</v>
      </c>
      <c r="AB13" s="30" t="e">
        <f>$AA13*#REF!</f>
        <v>#REF!</v>
      </c>
      <c r="AC13" s="30" t="e">
        <f>$AA13*#REF!</f>
        <v>#REF!</v>
      </c>
      <c r="AD13" s="30" t="e">
        <f>$AA13*#REF!</f>
        <v>#REF!</v>
      </c>
      <c r="AE13" s="30" t="e">
        <f>$AA13*#REF!</f>
        <v>#REF!</v>
      </c>
      <c r="AF13" s="30" t="e">
        <f>$AA13*#REF!</f>
        <v>#REF!</v>
      </c>
      <c r="AG13" s="30" t="e">
        <f>$AA13*#REF!</f>
        <v>#REF!</v>
      </c>
      <c r="AH13" s="30" t="e">
        <f>$AA13*#REF!</f>
        <v>#REF!</v>
      </c>
      <c r="AI13" s="30" t="e">
        <f>$AA13*#REF!</f>
        <v>#REF!</v>
      </c>
      <c r="AJ13" s="30" t="e">
        <f>$AA13*#REF!</f>
        <v>#REF!</v>
      </c>
      <c r="AK13" s="30" t="e">
        <f>$AA13*#REF!</f>
        <v>#REF!</v>
      </c>
      <c r="AL13" s="30" t="e">
        <f>$AA13*#REF!</f>
        <v>#REF!</v>
      </c>
      <c r="AM13" s="30" t="e">
        <f>$AA13*#REF!</f>
        <v>#REF!</v>
      </c>
      <c r="AN13" s="30" t="e">
        <f>$AA13*#REF!</f>
        <v>#REF!</v>
      </c>
      <c r="AO13" s="30" t="e">
        <f>$AA13*#REF!</f>
        <v>#REF!</v>
      </c>
      <c r="AP13" s="30" t="e">
        <f>$AA13*#REF!</f>
        <v>#REF!</v>
      </c>
      <c r="AQ13" s="30" t="e">
        <f>$AA13*#REF!</f>
        <v>#REF!</v>
      </c>
    </row>
    <row r="14" spans="1:43" x14ac:dyDescent="0.3">
      <c r="A14" s="24">
        <v>12</v>
      </c>
      <c r="B14" s="7" t="e">
        <f>AM51</f>
        <v>#REF!</v>
      </c>
      <c r="C14" s="7" t="e">
        <f>AM25</f>
        <v>#REF!</v>
      </c>
      <c r="D14" s="7" t="e">
        <f>AM78</f>
        <v>#REF!</v>
      </c>
      <c r="E14" s="52"/>
      <c r="F14" s="32" t="e">
        <f>'HVAC System'!#REF!</f>
        <v>#REF!</v>
      </c>
      <c r="G14" s="32" t="e">
        <f>'HVAC System'!#REF!</f>
        <v>#REF!</v>
      </c>
      <c r="H14" s="32" t="e">
        <f>'HVAC System'!#REF!</f>
        <v>#REF!</v>
      </c>
      <c r="I14" s="36"/>
      <c r="J14" s="63">
        <v>1</v>
      </c>
      <c r="K14" s="63">
        <v>4</v>
      </c>
      <c r="L14" s="720"/>
      <c r="M14" s="54" t="e">
        <f t="shared" si="0"/>
        <v>#REF!</v>
      </c>
      <c r="O14" s="16" t="s">
        <v>339</v>
      </c>
      <c r="P14" s="6" t="s">
        <v>326</v>
      </c>
      <c r="Q14" s="6" t="s">
        <v>327</v>
      </c>
      <c r="R14" s="17">
        <v>0.98089903927879796</v>
      </c>
      <c r="S14" s="17">
        <v>0.535142770100697</v>
      </c>
      <c r="T14" s="17">
        <v>0.45769447083251602</v>
      </c>
      <c r="U14" s="17">
        <v>7.1627590667870103E-3</v>
      </c>
      <c r="V14" s="57">
        <v>0.52492102906876836</v>
      </c>
      <c r="W14" s="57">
        <v>0.44895206672283278</v>
      </c>
      <c r="X14" s="17">
        <v>7.0259434871968781E-3</v>
      </c>
      <c r="Y14" s="20"/>
      <c r="Z14" s="23" t="s">
        <v>339</v>
      </c>
      <c r="AA14" s="30">
        <f t="shared" si="1"/>
        <v>0.44895206672283278</v>
      </c>
      <c r="AB14" s="30" t="e">
        <f>$AA14*#REF!</f>
        <v>#REF!</v>
      </c>
      <c r="AC14" s="30" t="e">
        <f>$AA14*#REF!</f>
        <v>#REF!</v>
      </c>
      <c r="AD14" s="30" t="e">
        <f>$AA14*#REF!</f>
        <v>#REF!</v>
      </c>
      <c r="AE14" s="30" t="e">
        <f>$AA14*#REF!</f>
        <v>#REF!</v>
      </c>
      <c r="AF14" s="30" t="e">
        <f>$AA14*#REF!</f>
        <v>#REF!</v>
      </c>
      <c r="AG14" s="30" t="e">
        <f>$AA14*#REF!</f>
        <v>#REF!</v>
      </c>
      <c r="AH14" s="30" t="e">
        <f>$AA14*#REF!</f>
        <v>#REF!</v>
      </c>
      <c r="AI14" s="30" t="e">
        <f>$AA14*#REF!</f>
        <v>#REF!</v>
      </c>
      <c r="AJ14" s="30" t="e">
        <f>$AA14*#REF!</f>
        <v>#REF!</v>
      </c>
      <c r="AK14" s="30" t="e">
        <f>$AA14*#REF!</f>
        <v>#REF!</v>
      </c>
      <c r="AL14" s="30" t="e">
        <f>$AA14*#REF!</f>
        <v>#REF!</v>
      </c>
      <c r="AM14" s="30" t="e">
        <f>$AA14*#REF!</f>
        <v>#REF!</v>
      </c>
      <c r="AN14" s="30" t="e">
        <f>$AA14*#REF!</f>
        <v>#REF!</v>
      </c>
      <c r="AO14" s="30" t="e">
        <f>$AA14*#REF!</f>
        <v>#REF!</v>
      </c>
      <c r="AP14" s="30" t="e">
        <f>$AA14*#REF!</f>
        <v>#REF!</v>
      </c>
      <c r="AQ14" s="30" t="e">
        <f>$AA14*#REF!</f>
        <v>#REF!</v>
      </c>
    </row>
    <row r="15" spans="1:43" x14ac:dyDescent="0.3">
      <c r="A15" s="24">
        <v>13</v>
      </c>
      <c r="B15" s="7" t="e">
        <f>AN51</f>
        <v>#REF!</v>
      </c>
      <c r="C15" s="7" t="e">
        <f>AN25</f>
        <v>#REF!</v>
      </c>
      <c r="D15" s="7" t="e">
        <f>AN78</f>
        <v>#REF!</v>
      </c>
      <c r="E15" s="52"/>
      <c r="F15" s="32" t="e">
        <f>'HVAC System'!#REF!</f>
        <v>#REF!</v>
      </c>
      <c r="G15" s="32" t="e">
        <f>'HVAC System'!#REF!</f>
        <v>#REF!</v>
      </c>
      <c r="H15" s="32" t="e">
        <f>'HVAC System'!#REF!</f>
        <v>#REF!</v>
      </c>
      <c r="I15" s="36"/>
      <c r="J15" s="63">
        <v>1</v>
      </c>
      <c r="K15" s="63">
        <v>4</v>
      </c>
      <c r="L15" s="720"/>
      <c r="M15" s="54" t="e">
        <f t="shared" si="0"/>
        <v>#REF!</v>
      </c>
      <c r="O15" s="16" t="s">
        <v>340</v>
      </c>
      <c r="P15" s="6" t="s">
        <v>326</v>
      </c>
      <c r="Q15" s="6" t="s">
        <v>327</v>
      </c>
      <c r="R15" s="17">
        <v>0.90055976309347696</v>
      </c>
      <c r="S15" s="17">
        <v>0.57985696419694299</v>
      </c>
      <c r="T15" s="17">
        <v>0.41763915397062901</v>
      </c>
      <c r="U15" s="17">
        <v>2.50388183242737E-3</v>
      </c>
      <c r="V15" s="57">
        <v>0.52219585030530169</v>
      </c>
      <c r="W15" s="57">
        <v>0.3761090175583498</v>
      </c>
      <c r="X15" s="17">
        <v>2.2548952298248534E-3</v>
      </c>
      <c r="Y15" s="20"/>
      <c r="Z15" s="23" t="s">
        <v>341</v>
      </c>
      <c r="AA15" s="30">
        <f>(W15+W16)/2</f>
        <v>0.44192117448773427</v>
      </c>
      <c r="AB15" s="30" t="e">
        <f>$AA15*#REF!</f>
        <v>#REF!</v>
      </c>
      <c r="AC15" s="30" t="e">
        <f>$AA15*#REF!</f>
        <v>#REF!</v>
      </c>
      <c r="AD15" s="30" t="e">
        <f>$AA15*#REF!</f>
        <v>#REF!</v>
      </c>
      <c r="AE15" s="30" t="e">
        <f>$AA15*#REF!</f>
        <v>#REF!</v>
      </c>
      <c r="AF15" s="30" t="e">
        <f>$AA15*#REF!</f>
        <v>#REF!</v>
      </c>
      <c r="AG15" s="30" t="e">
        <f>$AA15*#REF!</f>
        <v>#REF!</v>
      </c>
      <c r="AH15" s="30" t="e">
        <f>$AA15*#REF!</f>
        <v>#REF!</v>
      </c>
      <c r="AI15" s="30" t="e">
        <f>$AA15*#REF!</f>
        <v>#REF!</v>
      </c>
      <c r="AJ15" s="30" t="e">
        <f>$AA15*#REF!</f>
        <v>#REF!</v>
      </c>
      <c r="AK15" s="30" t="e">
        <f>$AA15*#REF!</f>
        <v>#REF!</v>
      </c>
      <c r="AL15" s="30" t="e">
        <f>$AA15*#REF!</f>
        <v>#REF!</v>
      </c>
      <c r="AM15" s="30" t="e">
        <f>$AA15*#REF!</f>
        <v>#REF!</v>
      </c>
      <c r="AN15" s="30" t="e">
        <f>$AA15*#REF!</f>
        <v>#REF!</v>
      </c>
      <c r="AO15" s="30" t="e">
        <f>$AA15*#REF!</f>
        <v>#REF!</v>
      </c>
      <c r="AP15" s="30" t="e">
        <f>$AA15*#REF!</f>
        <v>#REF!</v>
      </c>
      <c r="AQ15" s="30" t="e">
        <f>$AA15*#REF!</f>
        <v>#REF!</v>
      </c>
    </row>
    <row r="16" spans="1:43" x14ac:dyDescent="0.3">
      <c r="A16" s="24">
        <v>14</v>
      </c>
      <c r="B16" s="46" t="e">
        <f>AO51</f>
        <v>#REF!</v>
      </c>
      <c r="C16" s="46" t="e">
        <f>AO25</f>
        <v>#REF!</v>
      </c>
      <c r="D16" s="7" t="e">
        <f>AO78</f>
        <v>#REF!</v>
      </c>
      <c r="E16" s="52"/>
      <c r="F16" s="55" t="e">
        <f>'HVAC System'!#REF!</f>
        <v>#REF!</v>
      </c>
      <c r="G16" s="55" t="e">
        <f>'HVAC System'!#REF!</f>
        <v>#REF!</v>
      </c>
      <c r="H16" s="32" t="e">
        <f>'HVAC System'!#REF!</f>
        <v>#REF!</v>
      </c>
      <c r="I16" s="36"/>
      <c r="J16" s="63">
        <v>3</v>
      </c>
      <c r="K16" s="63">
        <v>2</v>
      </c>
      <c r="L16" s="720"/>
      <c r="M16" s="54" t="e">
        <f t="shared" si="0"/>
        <v>#REF!</v>
      </c>
      <c r="O16" s="16" t="s">
        <v>342</v>
      </c>
      <c r="P16" s="6" t="s">
        <v>326</v>
      </c>
      <c r="Q16" s="6" t="s">
        <v>327</v>
      </c>
      <c r="R16" s="17">
        <v>0.87840233062968898</v>
      </c>
      <c r="S16" s="17">
        <v>0.420592802012414</v>
      </c>
      <c r="T16" s="17">
        <v>0.57801910777393595</v>
      </c>
      <c r="U16" s="17">
        <v>1.38809021364916E-3</v>
      </c>
      <c r="V16" s="57">
        <v>0.36944969753377582</v>
      </c>
      <c r="W16" s="57">
        <v>0.50773333141711874</v>
      </c>
      <c r="X16" s="17">
        <v>1.219301678793685E-3</v>
      </c>
      <c r="Y16" s="20"/>
      <c r="Z16" s="23" t="s">
        <v>343</v>
      </c>
      <c r="AA16" s="30">
        <f>W17</f>
        <v>0.53370716424748876</v>
      </c>
      <c r="AB16" s="30" t="e">
        <f>$AA16*#REF!</f>
        <v>#REF!</v>
      </c>
      <c r="AC16" s="30" t="e">
        <f>$AA16*#REF!</f>
        <v>#REF!</v>
      </c>
      <c r="AD16" s="30" t="e">
        <f>$AA16*#REF!</f>
        <v>#REF!</v>
      </c>
      <c r="AE16" s="30" t="e">
        <f>$AA16*#REF!</f>
        <v>#REF!</v>
      </c>
      <c r="AF16" s="30" t="e">
        <f>$AA16*#REF!</f>
        <v>#REF!</v>
      </c>
      <c r="AG16" s="30" t="e">
        <f>$AA16*#REF!</f>
        <v>#REF!</v>
      </c>
      <c r="AH16" s="30" t="e">
        <f>$AA16*#REF!</f>
        <v>#REF!</v>
      </c>
      <c r="AI16" s="30" t="e">
        <f>$AA16*#REF!</f>
        <v>#REF!</v>
      </c>
      <c r="AJ16" s="30" t="e">
        <f>$AA16*#REF!</f>
        <v>#REF!</v>
      </c>
      <c r="AK16" s="30" t="e">
        <f>$AA16*#REF!</f>
        <v>#REF!</v>
      </c>
      <c r="AL16" s="30" t="e">
        <f>$AA16*#REF!</f>
        <v>#REF!</v>
      </c>
      <c r="AM16" s="30" t="e">
        <f>$AA16*#REF!</f>
        <v>#REF!</v>
      </c>
      <c r="AN16" s="30" t="e">
        <f>$AA16*#REF!</f>
        <v>#REF!</v>
      </c>
      <c r="AO16" s="30" t="e">
        <f>$AA16*#REF!</f>
        <v>#REF!</v>
      </c>
      <c r="AP16" s="30" t="e">
        <f>$AA16*#REF!</f>
        <v>#REF!</v>
      </c>
      <c r="AQ16" s="30" t="e">
        <f>$AA16*#REF!</f>
        <v>#REF!</v>
      </c>
    </row>
    <row r="17" spans="1:43" x14ac:dyDescent="0.3">
      <c r="A17" s="24">
        <v>15</v>
      </c>
      <c r="B17" s="7" t="e">
        <f>AP51</f>
        <v>#REF!</v>
      </c>
      <c r="C17" s="7" t="e">
        <f>AP25</f>
        <v>#REF!</v>
      </c>
      <c r="D17" s="7" t="e">
        <f>AP78</f>
        <v>#REF!</v>
      </c>
      <c r="E17" s="52"/>
      <c r="F17" s="32" t="e">
        <f>'HVAC System'!#REF!</f>
        <v>#REF!</v>
      </c>
      <c r="G17" s="32" t="e">
        <f>'HVAC System'!#REF!</f>
        <v>#REF!</v>
      </c>
      <c r="H17" s="32" t="e">
        <f>'HVAC System'!#REF!</f>
        <v>#REF!</v>
      </c>
      <c r="I17" s="36"/>
      <c r="J17" s="63">
        <v>3</v>
      </c>
      <c r="K17" s="63">
        <v>2</v>
      </c>
      <c r="L17" s="720"/>
      <c r="M17" s="54" t="e">
        <f t="shared" si="0"/>
        <v>#REF!</v>
      </c>
      <c r="O17" s="16" t="s">
        <v>343</v>
      </c>
      <c r="P17" s="6" t="s">
        <v>326</v>
      </c>
      <c r="Q17" s="6" t="s">
        <v>327</v>
      </c>
      <c r="R17" s="17">
        <v>0.86848685189464703</v>
      </c>
      <c r="S17" s="17">
        <v>0.38547467577294903</v>
      </c>
      <c r="T17" s="17">
        <v>0.61452532422705097</v>
      </c>
      <c r="U17" s="17">
        <v>0</v>
      </c>
      <c r="V17" s="57">
        <v>0.33477968764715826</v>
      </c>
      <c r="W17" s="57">
        <v>0.53370716424748876</v>
      </c>
      <c r="X17" s="17">
        <v>0</v>
      </c>
      <c r="Y17" s="20"/>
      <c r="Z17" s="23" t="s">
        <v>344</v>
      </c>
      <c r="AA17" s="30">
        <f>W8</f>
        <v>0.72768161312071966</v>
      </c>
      <c r="AB17" s="30" t="e">
        <f>$AA17*#REF!</f>
        <v>#REF!</v>
      </c>
      <c r="AC17" s="30" t="e">
        <f>$AA17*#REF!</f>
        <v>#REF!</v>
      </c>
      <c r="AD17" s="30" t="e">
        <f>$AA17*#REF!</f>
        <v>#REF!</v>
      </c>
      <c r="AE17" s="30" t="e">
        <f>$AA17*#REF!</f>
        <v>#REF!</v>
      </c>
      <c r="AF17" s="30" t="e">
        <f>$AA17*#REF!</f>
        <v>#REF!</v>
      </c>
      <c r="AG17" s="30" t="e">
        <f>$AA17*#REF!</f>
        <v>#REF!</v>
      </c>
      <c r="AH17" s="30" t="e">
        <f>$AA17*#REF!</f>
        <v>#REF!</v>
      </c>
      <c r="AI17" s="30" t="e">
        <f>$AA17*#REF!</f>
        <v>#REF!</v>
      </c>
      <c r="AJ17" s="30" t="e">
        <f>$AA17*#REF!</f>
        <v>#REF!</v>
      </c>
      <c r="AK17" s="30" t="e">
        <f>$AA17*#REF!</f>
        <v>#REF!</v>
      </c>
      <c r="AL17" s="30" t="e">
        <f>$AA17*#REF!</f>
        <v>#REF!</v>
      </c>
      <c r="AM17" s="30" t="e">
        <f>$AA17*#REF!</f>
        <v>#REF!</v>
      </c>
      <c r="AN17" s="30" t="e">
        <f>$AA17*#REF!</f>
        <v>#REF!</v>
      </c>
      <c r="AO17" s="30" t="e">
        <f>$AA17*#REF!</f>
        <v>#REF!</v>
      </c>
      <c r="AP17" s="30" t="e">
        <f>$AA17*#REF!</f>
        <v>#REF!</v>
      </c>
      <c r="AQ17" s="30" t="e">
        <f>$AA17*#REF!</f>
        <v>#REF!</v>
      </c>
    </row>
    <row r="18" spans="1:43" x14ac:dyDescent="0.3">
      <c r="A18" s="24">
        <v>16</v>
      </c>
      <c r="B18" s="7" t="e">
        <f>AQ51</f>
        <v>#REF!</v>
      </c>
      <c r="C18" s="7" t="e">
        <f>AQ25</f>
        <v>#REF!</v>
      </c>
      <c r="D18" s="7" t="e">
        <f>AQ78</f>
        <v>#REF!</v>
      </c>
      <c r="E18" s="52"/>
      <c r="F18" s="32" t="e">
        <f>'HVAC System'!#REF!</f>
        <v>#REF!</v>
      </c>
      <c r="G18" s="32" t="e">
        <f>'HVAC System'!#REF!</f>
        <v>#REF!</v>
      </c>
      <c r="H18" s="32" t="e">
        <f>'HVAC System'!#REF!</f>
        <v>#REF!</v>
      </c>
      <c r="I18" s="36"/>
      <c r="J18" s="63">
        <v>1</v>
      </c>
      <c r="K18" s="63">
        <v>4</v>
      </c>
      <c r="L18" s="720"/>
      <c r="M18" s="54" t="e">
        <f t="shared" si="0"/>
        <v>#REF!</v>
      </c>
      <c r="O18" s="16" t="s">
        <v>345</v>
      </c>
      <c r="P18" s="6" t="s">
        <v>326</v>
      </c>
      <c r="Q18" s="6" t="s">
        <v>327</v>
      </c>
      <c r="R18" s="17">
        <v>0.73640494632961395</v>
      </c>
      <c r="S18" s="17">
        <v>0.48204749105772099</v>
      </c>
      <c r="T18" s="17">
        <v>0.51795250894227896</v>
      </c>
      <c r="U18" s="17">
        <v>0</v>
      </c>
      <c r="V18" s="57">
        <v>0.35498215678068606</v>
      </c>
      <c r="W18" s="57">
        <v>0.38142278954892783</v>
      </c>
      <c r="X18" s="17">
        <v>0</v>
      </c>
      <c r="Y18" s="20"/>
      <c r="Z18" s="23" t="s">
        <v>346</v>
      </c>
      <c r="AA18" s="30">
        <f>W8</f>
        <v>0.72768161312071966</v>
      </c>
      <c r="AB18" s="30" t="e">
        <f>$AA18*#REF!</f>
        <v>#REF!</v>
      </c>
      <c r="AC18" s="30" t="e">
        <f>$AA18*#REF!</f>
        <v>#REF!</v>
      </c>
      <c r="AD18" s="30" t="e">
        <f>$AA18*#REF!</f>
        <v>#REF!</v>
      </c>
      <c r="AE18" s="30" t="e">
        <f>$AA18*#REF!</f>
        <v>#REF!</v>
      </c>
      <c r="AF18" s="30" t="e">
        <f>$AA18*#REF!</f>
        <v>#REF!</v>
      </c>
      <c r="AG18" s="30" t="e">
        <f>$AA18*#REF!</f>
        <v>#REF!</v>
      </c>
      <c r="AH18" s="30" t="e">
        <f>$AA18*#REF!</f>
        <v>#REF!</v>
      </c>
      <c r="AI18" s="30" t="e">
        <f>$AA18*#REF!</f>
        <v>#REF!</v>
      </c>
      <c r="AJ18" s="30" t="e">
        <f>$AA18*#REF!</f>
        <v>#REF!</v>
      </c>
      <c r="AK18" s="30" t="e">
        <f>$AA18*#REF!</f>
        <v>#REF!</v>
      </c>
      <c r="AL18" s="30" t="e">
        <f>$AA18*#REF!</f>
        <v>#REF!</v>
      </c>
      <c r="AM18" s="30" t="e">
        <f>$AA18*#REF!</f>
        <v>#REF!</v>
      </c>
      <c r="AN18" s="30" t="e">
        <f>$AA18*#REF!</f>
        <v>#REF!</v>
      </c>
      <c r="AO18" s="30" t="e">
        <f>$AA18*#REF!</f>
        <v>#REF!</v>
      </c>
      <c r="AP18" s="30" t="e">
        <f>$AA18*#REF!</f>
        <v>#REF!</v>
      </c>
      <c r="AQ18" s="30" t="e">
        <f>$AA18*#REF!</f>
        <v>#REF!</v>
      </c>
    </row>
    <row r="19" spans="1:43" x14ac:dyDescent="0.3">
      <c r="O19" s="16" t="s">
        <v>347</v>
      </c>
      <c r="P19" s="6" t="s">
        <v>326</v>
      </c>
      <c r="Q19" s="6" t="s">
        <v>327</v>
      </c>
      <c r="R19" s="17">
        <v>0.90563925890418395</v>
      </c>
      <c r="S19" s="17">
        <v>0.35215232552270398</v>
      </c>
      <c r="T19" s="17">
        <v>0.64784767447729597</v>
      </c>
      <c r="U19" s="17">
        <v>0</v>
      </c>
      <c r="V19" s="17">
        <v>0.31892297110776657</v>
      </c>
      <c r="W19" s="17">
        <v>0.58671628779641738</v>
      </c>
      <c r="X19" s="17">
        <v>0</v>
      </c>
      <c r="Y19" s="20"/>
      <c r="Z19" s="23" t="s">
        <v>345</v>
      </c>
      <c r="AA19" s="30">
        <f>W18</f>
        <v>0.38142278954892783</v>
      </c>
      <c r="AB19" s="30" t="e">
        <f>$AA19*#REF!</f>
        <v>#REF!</v>
      </c>
      <c r="AC19" s="30" t="e">
        <f>$AA19*#REF!</f>
        <v>#REF!</v>
      </c>
      <c r="AD19" s="30" t="e">
        <f>$AA19*#REF!</f>
        <v>#REF!</v>
      </c>
      <c r="AE19" s="30" t="e">
        <f>$AA19*#REF!</f>
        <v>#REF!</v>
      </c>
      <c r="AF19" s="30" t="e">
        <f>$AA19*#REF!</f>
        <v>#REF!</v>
      </c>
      <c r="AG19" s="30" t="e">
        <f>$AA19*#REF!</f>
        <v>#REF!</v>
      </c>
      <c r="AH19" s="30" t="e">
        <f>$AA19*#REF!</f>
        <v>#REF!</v>
      </c>
      <c r="AI19" s="30" t="e">
        <f>$AA19*#REF!</f>
        <v>#REF!</v>
      </c>
      <c r="AJ19" s="30" t="e">
        <f>$AA19*#REF!</f>
        <v>#REF!</v>
      </c>
      <c r="AK19" s="30" t="e">
        <f>$AA19*#REF!</f>
        <v>#REF!</v>
      </c>
      <c r="AL19" s="30" t="e">
        <f>$AA19*#REF!</f>
        <v>#REF!</v>
      </c>
      <c r="AM19" s="30" t="e">
        <f>$AA19*#REF!</f>
        <v>#REF!</v>
      </c>
      <c r="AN19" s="30" t="e">
        <f>$AA19*#REF!</f>
        <v>#REF!</v>
      </c>
      <c r="AO19" s="30" t="e">
        <f>$AA19*#REF!</f>
        <v>#REF!</v>
      </c>
      <c r="AP19" s="30" t="e">
        <f>$AA19*#REF!</f>
        <v>#REF!</v>
      </c>
      <c r="AQ19" s="30" t="e">
        <f>$AA19*#REF!</f>
        <v>#REF!</v>
      </c>
    </row>
    <row r="20" spans="1:43" x14ac:dyDescent="0.3">
      <c r="Z20" s="23" t="s">
        <v>347</v>
      </c>
      <c r="AA20" s="30">
        <f>W19</f>
        <v>0.58671628779641738</v>
      </c>
      <c r="AB20" s="30" t="e">
        <f>$AA20*#REF!</f>
        <v>#REF!</v>
      </c>
      <c r="AC20" s="30" t="e">
        <f>$AA20*#REF!</f>
        <v>#REF!</v>
      </c>
      <c r="AD20" s="30" t="e">
        <f>$AA20*#REF!</f>
        <v>#REF!</v>
      </c>
      <c r="AE20" s="30" t="e">
        <f>$AA20*#REF!</f>
        <v>#REF!</v>
      </c>
      <c r="AF20" s="30" t="e">
        <f>$AA20*#REF!</f>
        <v>#REF!</v>
      </c>
      <c r="AG20" s="30" t="e">
        <f>$AA20*#REF!</f>
        <v>#REF!</v>
      </c>
      <c r="AH20" s="30" t="e">
        <f>$AA20*#REF!</f>
        <v>#REF!</v>
      </c>
      <c r="AI20" s="30" t="e">
        <f>$AA20*#REF!</f>
        <v>#REF!</v>
      </c>
      <c r="AJ20" s="30" t="e">
        <f>$AA20*#REF!</f>
        <v>#REF!</v>
      </c>
      <c r="AK20" s="30" t="e">
        <f>$AA20*#REF!</f>
        <v>#REF!</v>
      </c>
      <c r="AL20" s="30" t="e">
        <f>$AA20*#REF!</f>
        <v>#REF!</v>
      </c>
      <c r="AM20" s="30" t="e">
        <f>$AA20*#REF!</f>
        <v>#REF!</v>
      </c>
      <c r="AN20" s="30" t="e">
        <f>$AA20*#REF!</f>
        <v>#REF!</v>
      </c>
      <c r="AO20" s="30" t="e">
        <f>$AA20*#REF!</f>
        <v>#REF!</v>
      </c>
      <c r="AP20" s="30" t="e">
        <f>$AA20*#REF!</f>
        <v>#REF!</v>
      </c>
      <c r="AQ20" s="30" t="e">
        <f>$AA20*#REF!</f>
        <v>#REF!</v>
      </c>
    </row>
    <row r="21" spans="1:43" x14ac:dyDescent="0.3">
      <c r="Z21" s="23" t="s">
        <v>348</v>
      </c>
      <c r="AA21" s="30">
        <f>W19</f>
        <v>0.58671628779641738</v>
      </c>
      <c r="AB21" s="30" t="e">
        <f>$AA21*#REF!</f>
        <v>#REF!</v>
      </c>
      <c r="AC21" s="30" t="e">
        <f>$AA21*#REF!</f>
        <v>#REF!</v>
      </c>
      <c r="AD21" s="30" t="e">
        <f>$AA21*#REF!</f>
        <v>#REF!</v>
      </c>
      <c r="AE21" s="30" t="e">
        <f>$AA21*#REF!</f>
        <v>#REF!</v>
      </c>
      <c r="AF21" s="30" t="e">
        <f>$AA21*#REF!</f>
        <v>#REF!</v>
      </c>
      <c r="AG21" s="30" t="e">
        <f>$AA21*#REF!</f>
        <v>#REF!</v>
      </c>
      <c r="AH21" s="30" t="e">
        <f>$AA21*#REF!</f>
        <v>#REF!</v>
      </c>
      <c r="AI21" s="30" t="e">
        <f>$AA21*#REF!</f>
        <v>#REF!</v>
      </c>
      <c r="AJ21" s="30" t="e">
        <f>$AA21*#REF!</f>
        <v>#REF!</v>
      </c>
      <c r="AK21" s="30" t="e">
        <f>$AA21*#REF!</f>
        <v>#REF!</v>
      </c>
      <c r="AL21" s="30" t="e">
        <f>$AA21*#REF!</f>
        <v>#REF!</v>
      </c>
      <c r="AM21" s="30" t="e">
        <f>$AA21*#REF!</f>
        <v>#REF!</v>
      </c>
      <c r="AN21" s="30" t="e">
        <f>$AA21*#REF!</f>
        <v>#REF!</v>
      </c>
      <c r="AO21" s="30" t="e">
        <f>$AA21*#REF!</f>
        <v>#REF!</v>
      </c>
      <c r="AP21" s="30" t="e">
        <f>$AA21*#REF!</f>
        <v>#REF!</v>
      </c>
      <c r="AQ21" s="30" t="e">
        <f>$AA21*#REF!</f>
        <v>#REF!</v>
      </c>
    </row>
    <row r="22" spans="1:43" x14ac:dyDescent="0.3">
      <c r="Z22" s="23" t="s">
        <v>349</v>
      </c>
      <c r="AA22" s="39">
        <f>W14</f>
        <v>0.44895206672283278</v>
      </c>
      <c r="AB22" s="30" t="e">
        <f>$AA22*#REF!</f>
        <v>#REF!</v>
      </c>
      <c r="AC22" s="30" t="e">
        <f>$AA22*#REF!</f>
        <v>#REF!</v>
      </c>
      <c r="AD22" s="30" t="e">
        <f>$AA22*#REF!</f>
        <v>#REF!</v>
      </c>
      <c r="AE22" s="30" t="e">
        <f>$AA22*#REF!</f>
        <v>#REF!</v>
      </c>
      <c r="AF22" s="30" t="e">
        <f>$AA22*#REF!</f>
        <v>#REF!</v>
      </c>
      <c r="AG22" s="30" t="e">
        <f>$AA22*#REF!</f>
        <v>#REF!</v>
      </c>
      <c r="AH22" s="30" t="e">
        <f>$AA22*#REF!</f>
        <v>#REF!</v>
      </c>
      <c r="AI22" s="30" t="e">
        <f>$AA22*#REF!</f>
        <v>#REF!</v>
      </c>
      <c r="AJ22" s="30" t="e">
        <f>$AA22*#REF!</f>
        <v>#REF!</v>
      </c>
      <c r="AK22" s="30" t="e">
        <f>$AA22*#REF!</f>
        <v>#REF!</v>
      </c>
      <c r="AL22" s="30" t="e">
        <f>$AA22*#REF!</f>
        <v>#REF!</v>
      </c>
      <c r="AM22" s="30" t="e">
        <f>$AA22*#REF!</f>
        <v>#REF!</v>
      </c>
      <c r="AN22" s="30" t="e">
        <f>$AA22*#REF!</f>
        <v>#REF!</v>
      </c>
      <c r="AO22" s="30" t="e">
        <f>$AA22*#REF!</f>
        <v>#REF!</v>
      </c>
      <c r="AP22" s="30" t="e">
        <f>$AA22*#REF!</f>
        <v>#REF!</v>
      </c>
      <c r="AQ22" s="30" t="e">
        <f>$AA22*#REF!</f>
        <v>#REF!</v>
      </c>
    </row>
    <row r="23" spans="1:43" x14ac:dyDescent="0.3">
      <c r="Z23" s="40" t="s">
        <v>350</v>
      </c>
      <c r="AA23" s="41">
        <f>W13</f>
        <v>0.49296635343854911</v>
      </c>
      <c r="AB23" s="30" t="e">
        <f>$AA23*#REF!</f>
        <v>#REF!</v>
      </c>
      <c r="AC23" s="30" t="e">
        <f>$AA23*#REF!</f>
        <v>#REF!</v>
      </c>
      <c r="AD23" s="30" t="e">
        <f>$AA23*#REF!</f>
        <v>#REF!</v>
      </c>
      <c r="AE23" s="30" t="e">
        <f>$AA23*#REF!</f>
        <v>#REF!</v>
      </c>
      <c r="AF23" s="30" t="e">
        <f>$AA23*#REF!</f>
        <v>#REF!</v>
      </c>
      <c r="AG23" s="30" t="e">
        <f>$AA23*#REF!</f>
        <v>#REF!</v>
      </c>
      <c r="AH23" s="30" t="e">
        <f>$AA23*#REF!</f>
        <v>#REF!</v>
      </c>
      <c r="AI23" s="30" t="e">
        <f>$AA23*#REF!</f>
        <v>#REF!</v>
      </c>
      <c r="AJ23" s="30" t="e">
        <f>$AA23*#REF!</f>
        <v>#REF!</v>
      </c>
      <c r="AK23" s="30" t="e">
        <f>$AA23*#REF!</f>
        <v>#REF!</v>
      </c>
      <c r="AL23" s="30" t="e">
        <f>$AA23*#REF!</f>
        <v>#REF!</v>
      </c>
      <c r="AM23" s="30" t="e">
        <f>$AA23*#REF!</f>
        <v>#REF!</v>
      </c>
      <c r="AN23" s="30" t="e">
        <f>$AA23*#REF!</f>
        <v>#REF!</v>
      </c>
      <c r="AO23" s="30" t="e">
        <f>$AA23*#REF!</f>
        <v>#REF!</v>
      </c>
      <c r="AP23" s="30" t="e">
        <f>$AA23*#REF!</f>
        <v>#REF!</v>
      </c>
      <c r="AQ23" s="30" t="e">
        <f>$AA23*#REF!</f>
        <v>#REF!</v>
      </c>
    </row>
    <row r="24" spans="1:43" x14ac:dyDescent="0.3">
      <c r="Z24" s="23" t="s">
        <v>351</v>
      </c>
      <c r="AA24" s="68"/>
      <c r="AB24" s="108" t="e">
        <f>SUM(AB3:AB23)</f>
        <v>#REF!</v>
      </c>
      <c r="AC24" s="108" t="e">
        <f t="shared" ref="AC24:AQ24" si="2">SUM(AC3:AC23)</f>
        <v>#REF!</v>
      </c>
      <c r="AD24" s="108" t="e">
        <f t="shared" si="2"/>
        <v>#REF!</v>
      </c>
      <c r="AE24" s="108" t="e">
        <f t="shared" si="2"/>
        <v>#REF!</v>
      </c>
      <c r="AF24" s="108" t="e">
        <f t="shared" si="2"/>
        <v>#REF!</v>
      </c>
      <c r="AG24" s="108" t="e">
        <f t="shared" si="2"/>
        <v>#REF!</v>
      </c>
      <c r="AH24" s="108" t="e">
        <f t="shared" si="2"/>
        <v>#REF!</v>
      </c>
      <c r="AI24" s="108" t="e">
        <f t="shared" si="2"/>
        <v>#REF!</v>
      </c>
      <c r="AJ24" s="108" t="e">
        <f t="shared" si="2"/>
        <v>#REF!</v>
      </c>
      <c r="AK24" s="108" t="e">
        <f t="shared" si="2"/>
        <v>#REF!</v>
      </c>
      <c r="AL24" s="108" t="e">
        <f t="shared" si="2"/>
        <v>#REF!</v>
      </c>
      <c r="AM24" s="108" t="e">
        <f t="shared" si="2"/>
        <v>#REF!</v>
      </c>
      <c r="AN24" s="108" t="e">
        <f t="shared" si="2"/>
        <v>#REF!</v>
      </c>
      <c r="AO24" s="108" t="e">
        <f t="shared" si="2"/>
        <v>#REF!</v>
      </c>
      <c r="AP24" s="108" t="e">
        <f t="shared" si="2"/>
        <v>#REF!</v>
      </c>
      <c r="AQ24" s="108" t="e">
        <f t="shared" si="2"/>
        <v>#REF!</v>
      </c>
    </row>
    <row r="25" spans="1:43" x14ac:dyDescent="0.3">
      <c r="AB25" s="108" t="e">
        <f>AB24/(AB50+AB24+AB77)</f>
        <v>#REF!</v>
      </c>
      <c r="AC25" s="108" t="e">
        <f t="shared" ref="AC25:AQ25" si="3">AC24/(AC50+AC24+AC77)</f>
        <v>#REF!</v>
      </c>
      <c r="AD25" s="108" t="e">
        <f t="shared" si="3"/>
        <v>#REF!</v>
      </c>
      <c r="AE25" s="108" t="e">
        <f t="shared" si="3"/>
        <v>#REF!</v>
      </c>
      <c r="AF25" s="108" t="e">
        <f t="shared" si="3"/>
        <v>#REF!</v>
      </c>
      <c r="AG25" s="108" t="e">
        <f t="shared" si="3"/>
        <v>#REF!</v>
      </c>
      <c r="AH25" s="108" t="e">
        <f t="shared" si="3"/>
        <v>#REF!</v>
      </c>
      <c r="AI25" s="108" t="e">
        <f t="shared" si="3"/>
        <v>#REF!</v>
      </c>
      <c r="AJ25" s="108" t="e">
        <f t="shared" si="3"/>
        <v>#REF!</v>
      </c>
      <c r="AK25" s="108" t="e">
        <f t="shared" si="3"/>
        <v>#REF!</v>
      </c>
      <c r="AL25" s="108" t="e">
        <f t="shared" si="3"/>
        <v>#REF!</v>
      </c>
      <c r="AM25" s="108" t="e">
        <f t="shared" si="3"/>
        <v>#REF!</v>
      </c>
      <c r="AN25" s="108" t="e">
        <f t="shared" si="3"/>
        <v>#REF!</v>
      </c>
      <c r="AO25" s="108" t="e">
        <f t="shared" si="3"/>
        <v>#REF!</v>
      </c>
      <c r="AP25" s="108" t="e">
        <f t="shared" si="3"/>
        <v>#REF!</v>
      </c>
      <c r="AQ25" s="108" t="e">
        <f t="shared" si="3"/>
        <v>#REF!</v>
      </c>
    </row>
    <row r="26" spans="1:43" x14ac:dyDescent="0.3">
      <c r="AB26" s="108"/>
      <c r="AC26" s="108"/>
      <c r="AD26" s="108"/>
      <c r="AE26" s="108"/>
      <c r="AF26" s="108"/>
      <c r="AG26" s="108"/>
      <c r="AH26" s="108"/>
      <c r="AI26" s="108"/>
      <c r="AJ26" s="108"/>
      <c r="AK26" s="108"/>
      <c r="AL26" s="108"/>
      <c r="AM26" s="108"/>
      <c r="AN26" s="108"/>
      <c r="AO26" s="108"/>
      <c r="AP26" s="108"/>
      <c r="AQ26" s="108"/>
    </row>
    <row r="28" spans="1:43" ht="28.8" x14ac:dyDescent="0.3">
      <c r="Z28" s="29"/>
      <c r="AA28" s="4" t="s">
        <v>322</v>
      </c>
      <c r="AB28" s="25">
        <v>1</v>
      </c>
      <c r="AC28" s="26">
        <v>2</v>
      </c>
      <c r="AD28" s="26">
        <v>3</v>
      </c>
      <c r="AE28" s="26">
        <v>4</v>
      </c>
      <c r="AF28" s="26">
        <v>5</v>
      </c>
      <c r="AG28" s="26">
        <v>6</v>
      </c>
      <c r="AH28" s="26">
        <v>7</v>
      </c>
      <c r="AI28" s="26">
        <v>8</v>
      </c>
      <c r="AJ28" s="26">
        <v>9</v>
      </c>
      <c r="AK28" s="26">
        <v>10</v>
      </c>
      <c r="AL28" s="26">
        <v>11</v>
      </c>
      <c r="AM28" s="26">
        <v>12</v>
      </c>
      <c r="AN28" s="26">
        <v>13</v>
      </c>
      <c r="AO28" s="26">
        <v>14</v>
      </c>
      <c r="AP28" s="26">
        <v>15</v>
      </c>
      <c r="AQ28" s="27">
        <v>16</v>
      </c>
    </row>
    <row r="29" spans="1:43" ht="16.95" customHeight="1" x14ac:dyDescent="0.3">
      <c r="Z29" t="s">
        <v>328</v>
      </c>
      <c r="AA29" s="30">
        <f>AA44</f>
        <v>0.18902425594194774</v>
      </c>
      <c r="AB29" s="108" t="e">
        <f>$AA29*#REF!</f>
        <v>#REF!</v>
      </c>
      <c r="AC29" s="108" t="e">
        <f>$AA29*#REF!</f>
        <v>#REF!</v>
      </c>
      <c r="AD29" s="108" t="e">
        <f>$AA29*#REF!</f>
        <v>#REF!</v>
      </c>
      <c r="AE29" s="108" t="e">
        <f>$AA29*#REF!</f>
        <v>#REF!</v>
      </c>
      <c r="AF29" s="108" t="e">
        <f>$AA29*#REF!</f>
        <v>#REF!</v>
      </c>
      <c r="AG29" s="108" t="e">
        <f>$AA29*#REF!</f>
        <v>#REF!</v>
      </c>
      <c r="AH29" s="108" t="e">
        <f>$AA29*#REF!</f>
        <v>#REF!</v>
      </c>
      <c r="AI29" s="108" t="e">
        <f>$AA29*#REF!</f>
        <v>#REF!</v>
      </c>
      <c r="AJ29" s="108" t="e">
        <f>$AA29*#REF!</f>
        <v>#REF!</v>
      </c>
      <c r="AK29" s="108" t="e">
        <f>$AA29*#REF!</f>
        <v>#REF!</v>
      </c>
      <c r="AL29" s="108" t="e">
        <f>$AA29*#REF!</f>
        <v>#REF!</v>
      </c>
      <c r="AM29" s="108" t="e">
        <f>$AA29*#REF!</f>
        <v>#REF!</v>
      </c>
      <c r="AN29" s="108" t="e">
        <f>$AA29*#REF!</f>
        <v>#REF!</v>
      </c>
      <c r="AO29" s="108" t="e">
        <f>$AA29*#REF!</f>
        <v>#REF!</v>
      </c>
      <c r="AP29" s="108" t="e">
        <f>$AA29*#REF!</f>
        <v>#REF!</v>
      </c>
      <c r="AQ29" s="108" t="e">
        <f>$AA29*#REF!</f>
        <v>#REF!</v>
      </c>
    </row>
    <row r="30" spans="1:43" x14ac:dyDescent="0.3">
      <c r="Y30" s="720"/>
      <c r="Z30" s="22" t="s">
        <v>329</v>
      </c>
      <c r="AA30" s="30">
        <f t="shared" ref="AA30:AA40" si="4">V4</f>
        <v>0.28059547381693301</v>
      </c>
      <c r="AB30" s="108" t="e">
        <f>$AA30*#REF!</f>
        <v>#REF!</v>
      </c>
      <c r="AC30" s="108" t="e">
        <f>$AA30*#REF!</f>
        <v>#REF!</v>
      </c>
      <c r="AD30" s="108" t="e">
        <f>$AA30*#REF!</f>
        <v>#REF!</v>
      </c>
      <c r="AE30" s="108" t="e">
        <f>$AA30*#REF!</f>
        <v>#REF!</v>
      </c>
      <c r="AF30" s="108" t="e">
        <f>$AA30*#REF!</f>
        <v>#REF!</v>
      </c>
      <c r="AG30" s="108" t="e">
        <f>$AA30*#REF!</f>
        <v>#REF!</v>
      </c>
      <c r="AH30" s="108" t="e">
        <f>$AA30*#REF!</f>
        <v>#REF!</v>
      </c>
      <c r="AI30" s="108" t="e">
        <f>$AA30*#REF!</f>
        <v>#REF!</v>
      </c>
      <c r="AJ30" s="108" t="e">
        <f>$AA30*#REF!</f>
        <v>#REF!</v>
      </c>
      <c r="AK30" s="108" t="e">
        <f>$AA30*#REF!</f>
        <v>#REF!</v>
      </c>
      <c r="AL30" s="108" t="e">
        <f>$AA30*#REF!</f>
        <v>#REF!</v>
      </c>
      <c r="AM30" s="108" t="e">
        <f>$AA30*#REF!</f>
        <v>#REF!</v>
      </c>
      <c r="AN30" s="108" t="e">
        <f>$AA30*#REF!</f>
        <v>#REF!</v>
      </c>
      <c r="AO30" s="108" t="e">
        <f>$AA30*#REF!</f>
        <v>#REF!</v>
      </c>
      <c r="AP30" s="108" t="e">
        <f>$AA30*#REF!</f>
        <v>#REF!</v>
      </c>
      <c r="AQ30" s="108" t="e">
        <f>$AA30*#REF!</f>
        <v>#REF!</v>
      </c>
    </row>
    <row r="31" spans="1:43" ht="15.6" x14ac:dyDescent="0.3">
      <c r="Y31" s="33"/>
      <c r="Z31" s="22" t="s">
        <v>330</v>
      </c>
      <c r="AA31" s="30">
        <f t="shared" si="4"/>
        <v>0.10285650531384764</v>
      </c>
      <c r="AB31" s="108" t="e">
        <f>$AA31*#REF!</f>
        <v>#REF!</v>
      </c>
      <c r="AC31" s="108" t="e">
        <f>$AA31*#REF!</f>
        <v>#REF!</v>
      </c>
      <c r="AD31" s="108" t="e">
        <f>$AA31*#REF!</f>
        <v>#REF!</v>
      </c>
      <c r="AE31" s="108" t="e">
        <f>$AA31*#REF!</f>
        <v>#REF!</v>
      </c>
      <c r="AF31" s="108" t="e">
        <f>$AA31*#REF!</f>
        <v>#REF!</v>
      </c>
      <c r="AG31" s="108" t="e">
        <f>$AA31*#REF!</f>
        <v>#REF!</v>
      </c>
      <c r="AH31" s="108" t="e">
        <f>$AA31*#REF!</f>
        <v>#REF!</v>
      </c>
      <c r="AI31" s="108" t="e">
        <f>$AA31*#REF!</f>
        <v>#REF!</v>
      </c>
      <c r="AJ31" s="108" t="e">
        <f>$AA31*#REF!</f>
        <v>#REF!</v>
      </c>
      <c r="AK31" s="108" t="e">
        <f>$AA31*#REF!</f>
        <v>#REF!</v>
      </c>
      <c r="AL31" s="108" t="e">
        <f>$AA31*#REF!</f>
        <v>#REF!</v>
      </c>
      <c r="AM31" s="108" t="e">
        <f>$AA31*#REF!</f>
        <v>#REF!</v>
      </c>
      <c r="AN31" s="108" t="e">
        <f>$AA31*#REF!</f>
        <v>#REF!</v>
      </c>
      <c r="AO31" s="108" t="e">
        <f>$AA31*#REF!</f>
        <v>#REF!</v>
      </c>
      <c r="AP31" s="108" t="e">
        <f>$AA31*#REF!</f>
        <v>#REF!</v>
      </c>
      <c r="AQ31" s="108" t="e">
        <f>$AA31*#REF!</f>
        <v>#REF!</v>
      </c>
    </row>
    <row r="32" spans="1:43" ht="15.6" x14ac:dyDescent="0.3">
      <c r="Y32" s="33"/>
      <c r="Z32" s="22" t="s">
        <v>331</v>
      </c>
      <c r="AA32" s="30">
        <f t="shared" si="4"/>
        <v>0.22764715328470347</v>
      </c>
      <c r="AB32" s="108" t="e">
        <f>$AA32*#REF!</f>
        <v>#REF!</v>
      </c>
      <c r="AC32" s="108" t="e">
        <f>$AA32*#REF!</f>
        <v>#REF!</v>
      </c>
      <c r="AD32" s="108" t="e">
        <f>$AA32*#REF!</f>
        <v>#REF!</v>
      </c>
      <c r="AE32" s="108" t="e">
        <f>$AA32*#REF!</f>
        <v>#REF!</v>
      </c>
      <c r="AF32" s="108" t="e">
        <f>$AA32*#REF!</f>
        <v>#REF!</v>
      </c>
      <c r="AG32" s="108" t="e">
        <f>$AA32*#REF!</f>
        <v>#REF!</v>
      </c>
      <c r="AH32" s="108" t="e">
        <f>$AA32*#REF!</f>
        <v>#REF!</v>
      </c>
      <c r="AI32" s="108" t="e">
        <f>$AA32*#REF!</f>
        <v>#REF!</v>
      </c>
      <c r="AJ32" s="108" t="e">
        <f>$AA32*#REF!</f>
        <v>#REF!</v>
      </c>
      <c r="AK32" s="108" t="e">
        <f>$AA32*#REF!</f>
        <v>#REF!</v>
      </c>
      <c r="AL32" s="108" t="e">
        <f>$AA32*#REF!</f>
        <v>#REF!</v>
      </c>
      <c r="AM32" s="108" t="e">
        <f>$AA32*#REF!</f>
        <v>#REF!</v>
      </c>
      <c r="AN32" s="108" t="e">
        <f>$AA32*#REF!</f>
        <v>#REF!</v>
      </c>
      <c r="AO32" s="108" t="e">
        <f>$AA32*#REF!</f>
        <v>#REF!</v>
      </c>
      <c r="AP32" s="108" t="e">
        <f>$AA32*#REF!</f>
        <v>#REF!</v>
      </c>
      <c r="AQ32" s="108" t="e">
        <f>$AA32*#REF!</f>
        <v>#REF!</v>
      </c>
    </row>
    <row r="33" spans="19:43" x14ac:dyDescent="0.3">
      <c r="Z33" s="22" t="s">
        <v>332</v>
      </c>
      <c r="AA33" s="30">
        <f t="shared" si="4"/>
        <v>0.22764715328470347</v>
      </c>
      <c r="AB33" s="108" t="e">
        <f>$AA33*#REF!</f>
        <v>#REF!</v>
      </c>
      <c r="AC33" s="108" t="e">
        <f>$AA33*#REF!</f>
        <v>#REF!</v>
      </c>
      <c r="AD33" s="108" t="e">
        <f>$AA33*#REF!</f>
        <v>#REF!</v>
      </c>
      <c r="AE33" s="108" t="e">
        <f>$AA33*#REF!</f>
        <v>#REF!</v>
      </c>
      <c r="AF33" s="108" t="e">
        <f>$AA33*#REF!</f>
        <v>#REF!</v>
      </c>
      <c r="AG33" s="108" t="e">
        <f>$AA33*#REF!</f>
        <v>#REF!</v>
      </c>
      <c r="AH33" s="108" t="e">
        <f>$AA33*#REF!</f>
        <v>#REF!</v>
      </c>
      <c r="AI33" s="108" t="e">
        <f>$AA33*#REF!</f>
        <v>#REF!</v>
      </c>
      <c r="AJ33" s="108" t="e">
        <f>$AA33*#REF!</f>
        <v>#REF!</v>
      </c>
      <c r="AK33" s="108" t="e">
        <f>$AA33*#REF!</f>
        <v>#REF!</v>
      </c>
      <c r="AL33" s="108" t="e">
        <f>$AA33*#REF!</f>
        <v>#REF!</v>
      </c>
      <c r="AM33" s="108" t="e">
        <f>$AA33*#REF!</f>
        <v>#REF!</v>
      </c>
      <c r="AN33" s="108" t="e">
        <f>$AA33*#REF!</f>
        <v>#REF!</v>
      </c>
      <c r="AO33" s="108" t="e">
        <f>$AA33*#REF!</f>
        <v>#REF!</v>
      </c>
      <c r="AP33" s="108" t="e">
        <f>$AA33*#REF!</f>
        <v>#REF!</v>
      </c>
      <c r="AQ33" s="108" t="e">
        <f>$AA33*#REF!</f>
        <v>#REF!</v>
      </c>
    </row>
    <row r="34" spans="19:43" x14ac:dyDescent="0.3">
      <c r="Z34" s="22" t="s">
        <v>333</v>
      </c>
      <c r="AA34" s="30">
        <f t="shared" si="4"/>
        <v>0.18902425594194774</v>
      </c>
      <c r="AB34" s="108" t="e">
        <f>$AA34*#REF!</f>
        <v>#REF!</v>
      </c>
      <c r="AC34" s="108" t="e">
        <f>$AA34*#REF!</f>
        <v>#REF!</v>
      </c>
      <c r="AD34" s="108" t="e">
        <f>$AA34*#REF!</f>
        <v>#REF!</v>
      </c>
      <c r="AE34" s="108" t="e">
        <f>$AA34*#REF!</f>
        <v>#REF!</v>
      </c>
      <c r="AF34" s="108" t="e">
        <f>$AA34*#REF!</f>
        <v>#REF!</v>
      </c>
      <c r="AG34" s="108" t="e">
        <f>$AA34*#REF!</f>
        <v>#REF!</v>
      </c>
      <c r="AH34" s="108" t="e">
        <f>$AA34*#REF!</f>
        <v>#REF!</v>
      </c>
      <c r="AI34" s="108" t="e">
        <f>$AA34*#REF!</f>
        <v>#REF!</v>
      </c>
      <c r="AJ34" s="108" t="e">
        <f>$AA34*#REF!</f>
        <v>#REF!</v>
      </c>
      <c r="AK34" s="108" t="e">
        <f>$AA34*#REF!</f>
        <v>#REF!</v>
      </c>
      <c r="AL34" s="108" t="e">
        <f>$AA34*#REF!</f>
        <v>#REF!</v>
      </c>
      <c r="AM34" s="108" t="e">
        <f>$AA34*#REF!</f>
        <v>#REF!</v>
      </c>
      <c r="AN34" s="108" t="e">
        <f>$AA34*#REF!</f>
        <v>#REF!</v>
      </c>
      <c r="AO34" s="108" t="e">
        <f>$AA34*#REF!</f>
        <v>#REF!</v>
      </c>
      <c r="AP34" s="108" t="e">
        <f>$AA34*#REF!</f>
        <v>#REF!</v>
      </c>
      <c r="AQ34" s="108" t="e">
        <f>$AA34*#REF!</f>
        <v>#REF!</v>
      </c>
    </row>
    <row r="35" spans="19:43" x14ac:dyDescent="0.3">
      <c r="Z35" s="22" t="s">
        <v>334</v>
      </c>
      <c r="AA35" s="30">
        <f t="shared" si="4"/>
        <v>0.23589976942651886</v>
      </c>
      <c r="AB35" s="108" t="e">
        <f>$AA35*#REF!</f>
        <v>#REF!</v>
      </c>
      <c r="AC35" s="108" t="e">
        <f>$AA35*#REF!</f>
        <v>#REF!</v>
      </c>
      <c r="AD35" s="108" t="e">
        <f>$AA35*#REF!</f>
        <v>#REF!</v>
      </c>
      <c r="AE35" s="108" t="e">
        <f>$AA35*#REF!</f>
        <v>#REF!</v>
      </c>
      <c r="AF35" s="108" t="e">
        <f>$AA35*#REF!</f>
        <v>#REF!</v>
      </c>
      <c r="AG35" s="108" t="e">
        <f>$AA35*#REF!</f>
        <v>#REF!</v>
      </c>
      <c r="AH35" s="108" t="e">
        <f>$AA35*#REF!</f>
        <v>#REF!</v>
      </c>
      <c r="AI35" s="108" t="e">
        <f>$AA35*#REF!</f>
        <v>#REF!</v>
      </c>
      <c r="AJ35" s="108" t="e">
        <f>$AA35*#REF!</f>
        <v>#REF!</v>
      </c>
      <c r="AK35" s="108" t="e">
        <f>$AA35*#REF!</f>
        <v>#REF!</v>
      </c>
      <c r="AL35" s="108" t="e">
        <f>$AA35*#REF!</f>
        <v>#REF!</v>
      </c>
      <c r="AM35" s="108" t="e">
        <f>$AA35*#REF!</f>
        <v>#REF!</v>
      </c>
      <c r="AN35" s="108" t="e">
        <f>$AA35*#REF!</f>
        <v>#REF!</v>
      </c>
      <c r="AO35" s="108" t="e">
        <f>$AA35*#REF!</f>
        <v>#REF!</v>
      </c>
      <c r="AP35" s="108" t="e">
        <f>$AA35*#REF!</f>
        <v>#REF!</v>
      </c>
      <c r="AQ35" s="108" t="e">
        <f>$AA35*#REF!</f>
        <v>#REF!</v>
      </c>
    </row>
    <row r="36" spans="19:43" x14ac:dyDescent="0.3">
      <c r="Z36" s="23" t="s">
        <v>335</v>
      </c>
      <c r="AA36" s="30">
        <f t="shared" si="4"/>
        <v>0.62997606968910669</v>
      </c>
      <c r="AB36" s="108" t="e">
        <f>$AA36*#REF!</f>
        <v>#REF!</v>
      </c>
      <c r="AC36" s="108" t="e">
        <f>$AA36*#REF!</f>
        <v>#REF!</v>
      </c>
      <c r="AD36" s="108" t="e">
        <f>$AA36*#REF!</f>
        <v>#REF!</v>
      </c>
      <c r="AE36" s="108" t="e">
        <f>$AA36*#REF!</f>
        <v>#REF!</v>
      </c>
      <c r="AF36" s="108" t="e">
        <f>$AA36*#REF!</f>
        <v>#REF!</v>
      </c>
      <c r="AG36" s="108" t="e">
        <f>$AA36*#REF!</f>
        <v>#REF!</v>
      </c>
      <c r="AH36" s="108" t="e">
        <f>$AA36*#REF!</f>
        <v>#REF!</v>
      </c>
      <c r="AI36" s="108" t="e">
        <f>$AA36*#REF!</f>
        <v>#REF!</v>
      </c>
      <c r="AJ36" s="108" t="e">
        <f>$AA36*#REF!</f>
        <v>#REF!</v>
      </c>
      <c r="AK36" s="108" t="e">
        <f>$AA36*#REF!</f>
        <v>#REF!</v>
      </c>
      <c r="AL36" s="108" t="e">
        <f>$AA36*#REF!</f>
        <v>#REF!</v>
      </c>
      <c r="AM36" s="108" t="e">
        <f>$AA36*#REF!</f>
        <v>#REF!</v>
      </c>
      <c r="AN36" s="108" t="e">
        <f>$AA36*#REF!</f>
        <v>#REF!</v>
      </c>
      <c r="AO36" s="108" t="e">
        <f>$AA36*#REF!</f>
        <v>#REF!</v>
      </c>
      <c r="AP36" s="108" t="e">
        <f>$AA36*#REF!</f>
        <v>#REF!</v>
      </c>
      <c r="AQ36" s="108" t="e">
        <f>$AA36*#REF!</f>
        <v>#REF!</v>
      </c>
    </row>
    <row r="37" spans="19:43" x14ac:dyDescent="0.3">
      <c r="Z37" s="23" t="s">
        <v>336</v>
      </c>
      <c r="AA37" s="30">
        <f t="shared" si="4"/>
        <v>0.50445401803813705</v>
      </c>
      <c r="AB37" s="108" t="e">
        <f>$AA37*#REF!</f>
        <v>#REF!</v>
      </c>
      <c r="AC37" s="108" t="e">
        <f>$AA37*#REF!</f>
        <v>#REF!</v>
      </c>
      <c r="AD37" s="108" t="e">
        <f>$AA37*#REF!</f>
        <v>#REF!</v>
      </c>
      <c r="AE37" s="108" t="e">
        <f>$AA37*#REF!</f>
        <v>#REF!</v>
      </c>
      <c r="AF37" s="108" t="e">
        <f>$AA37*#REF!</f>
        <v>#REF!</v>
      </c>
      <c r="AG37" s="108" t="e">
        <f>$AA37*#REF!</f>
        <v>#REF!</v>
      </c>
      <c r="AH37" s="108" t="e">
        <f>$AA37*#REF!</f>
        <v>#REF!</v>
      </c>
      <c r="AI37" s="108" t="e">
        <f>$AA37*#REF!</f>
        <v>#REF!</v>
      </c>
      <c r="AJ37" s="108" t="e">
        <f>$AA37*#REF!</f>
        <v>#REF!</v>
      </c>
      <c r="AK37" s="108" t="e">
        <f>$AA37*#REF!</f>
        <v>#REF!</v>
      </c>
      <c r="AL37" s="108" t="e">
        <f>$AA37*#REF!</f>
        <v>#REF!</v>
      </c>
      <c r="AM37" s="108" t="e">
        <f>$AA37*#REF!</f>
        <v>#REF!</v>
      </c>
      <c r="AN37" s="108" t="e">
        <f>$AA37*#REF!</f>
        <v>#REF!</v>
      </c>
      <c r="AO37" s="108" t="e">
        <f>$AA37*#REF!</f>
        <v>#REF!</v>
      </c>
      <c r="AP37" s="108" t="e">
        <f>$AA37*#REF!</f>
        <v>#REF!</v>
      </c>
      <c r="AQ37" s="108" t="e">
        <f>$AA37*#REF!</f>
        <v>#REF!</v>
      </c>
    </row>
    <row r="38" spans="19:43" x14ac:dyDescent="0.3">
      <c r="Z38" s="23" t="s">
        <v>337</v>
      </c>
      <c r="AA38" s="30">
        <f t="shared" si="4"/>
        <v>5.6283748971859983E-2</v>
      </c>
      <c r="AB38" s="108" t="e">
        <f>$AA38*#REF!</f>
        <v>#REF!</v>
      </c>
      <c r="AC38" s="108" t="e">
        <f>$AA38*#REF!</f>
        <v>#REF!</v>
      </c>
      <c r="AD38" s="108" t="e">
        <f>$AA38*#REF!</f>
        <v>#REF!</v>
      </c>
      <c r="AE38" s="108" t="e">
        <f>$AA38*#REF!</f>
        <v>#REF!</v>
      </c>
      <c r="AF38" s="108" t="e">
        <f>$AA38*#REF!</f>
        <v>#REF!</v>
      </c>
      <c r="AG38" s="108" t="e">
        <f>$AA38*#REF!</f>
        <v>#REF!</v>
      </c>
      <c r="AH38" s="108" t="e">
        <f>$AA38*#REF!</f>
        <v>#REF!</v>
      </c>
      <c r="AI38" s="108" t="e">
        <f>$AA38*#REF!</f>
        <v>#REF!</v>
      </c>
      <c r="AJ38" s="108" t="e">
        <f>$AA38*#REF!</f>
        <v>#REF!</v>
      </c>
      <c r="AK38" s="108" t="e">
        <f>$AA38*#REF!</f>
        <v>#REF!</v>
      </c>
      <c r="AL38" s="108" t="e">
        <f>$AA38*#REF!</f>
        <v>#REF!</v>
      </c>
      <c r="AM38" s="108" t="e">
        <f>$AA38*#REF!</f>
        <v>#REF!</v>
      </c>
      <c r="AN38" s="108" t="e">
        <f>$AA38*#REF!</f>
        <v>#REF!</v>
      </c>
      <c r="AO38" s="108" t="e">
        <f>$AA38*#REF!</f>
        <v>#REF!</v>
      </c>
      <c r="AP38" s="108" t="e">
        <f>$AA38*#REF!</f>
        <v>#REF!</v>
      </c>
      <c r="AQ38" s="108" t="e">
        <f>$AA38*#REF!</f>
        <v>#REF!</v>
      </c>
    </row>
    <row r="39" spans="19:43" x14ac:dyDescent="0.3">
      <c r="S39" s="18"/>
      <c r="T39" s="18"/>
      <c r="Z39" s="23" t="s">
        <v>338</v>
      </c>
      <c r="AA39" s="30">
        <f t="shared" si="4"/>
        <v>0.41941527860681393</v>
      </c>
      <c r="AB39" s="108" t="e">
        <f>$AA39*#REF!</f>
        <v>#REF!</v>
      </c>
      <c r="AC39" s="108" t="e">
        <f>$AA39*#REF!</f>
        <v>#REF!</v>
      </c>
      <c r="AD39" s="108" t="e">
        <f>$AA39*#REF!</f>
        <v>#REF!</v>
      </c>
      <c r="AE39" s="108" t="e">
        <f>$AA39*#REF!</f>
        <v>#REF!</v>
      </c>
      <c r="AF39" s="108" t="e">
        <f>$AA39*#REF!</f>
        <v>#REF!</v>
      </c>
      <c r="AG39" s="108" t="e">
        <f>$AA39*#REF!</f>
        <v>#REF!</v>
      </c>
      <c r="AH39" s="108" t="e">
        <f>$AA39*#REF!</f>
        <v>#REF!</v>
      </c>
      <c r="AI39" s="108" t="e">
        <f>$AA39*#REF!</f>
        <v>#REF!</v>
      </c>
      <c r="AJ39" s="108" t="e">
        <f>$AA39*#REF!</f>
        <v>#REF!</v>
      </c>
      <c r="AK39" s="108" t="e">
        <f>$AA39*#REF!</f>
        <v>#REF!</v>
      </c>
      <c r="AL39" s="108" t="e">
        <f>$AA39*#REF!</f>
        <v>#REF!</v>
      </c>
      <c r="AM39" s="108" t="e">
        <f>$AA39*#REF!</f>
        <v>#REF!</v>
      </c>
      <c r="AN39" s="108" t="e">
        <f>$AA39*#REF!</f>
        <v>#REF!</v>
      </c>
      <c r="AO39" s="108" t="e">
        <f>$AA39*#REF!</f>
        <v>#REF!</v>
      </c>
      <c r="AP39" s="108" t="e">
        <f>$AA39*#REF!</f>
        <v>#REF!</v>
      </c>
      <c r="AQ39" s="108" t="e">
        <f>$AA39*#REF!</f>
        <v>#REF!</v>
      </c>
    </row>
    <row r="40" spans="19:43" x14ac:dyDescent="0.3">
      <c r="Z40" s="23" t="s">
        <v>339</v>
      </c>
      <c r="AA40" s="30">
        <f t="shared" si="4"/>
        <v>0.52492102906876836</v>
      </c>
      <c r="AB40" s="108" t="e">
        <f>$AA40*#REF!</f>
        <v>#REF!</v>
      </c>
      <c r="AC40" s="108" t="e">
        <f>$AA40*#REF!</f>
        <v>#REF!</v>
      </c>
      <c r="AD40" s="108" t="e">
        <f>$AA40*#REF!</f>
        <v>#REF!</v>
      </c>
      <c r="AE40" s="108" t="e">
        <f>$AA40*#REF!</f>
        <v>#REF!</v>
      </c>
      <c r="AF40" s="108" t="e">
        <f>$AA40*#REF!</f>
        <v>#REF!</v>
      </c>
      <c r="AG40" s="108" t="e">
        <f>$AA40*#REF!</f>
        <v>#REF!</v>
      </c>
      <c r="AH40" s="108" t="e">
        <f>$AA40*#REF!</f>
        <v>#REF!</v>
      </c>
      <c r="AI40" s="108" t="e">
        <f>$AA40*#REF!</f>
        <v>#REF!</v>
      </c>
      <c r="AJ40" s="108" t="e">
        <f>$AA40*#REF!</f>
        <v>#REF!</v>
      </c>
      <c r="AK40" s="108" t="e">
        <f>$AA40*#REF!</f>
        <v>#REF!</v>
      </c>
      <c r="AL40" s="108" t="e">
        <f>$AA40*#REF!</f>
        <v>#REF!</v>
      </c>
      <c r="AM40" s="108" t="e">
        <f>$AA40*#REF!</f>
        <v>#REF!</v>
      </c>
      <c r="AN40" s="108" t="e">
        <f>$AA40*#REF!</f>
        <v>#REF!</v>
      </c>
      <c r="AO40" s="108" t="e">
        <f>$AA40*#REF!</f>
        <v>#REF!</v>
      </c>
      <c r="AP40" s="108" t="e">
        <f>$AA40*#REF!</f>
        <v>#REF!</v>
      </c>
      <c r="AQ40" s="108" t="e">
        <f>$AA40*#REF!</f>
        <v>#REF!</v>
      </c>
    </row>
    <row r="41" spans="19:43" x14ac:dyDescent="0.3">
      <c r="Z41" s="23" t="s">
        <v>341</v>
      </c>
      <c r="AA41" s="30">
        <f>(V15+V16)/2</f>
        <v>0.44582277391953873</v>
      </c>
      <c r="AB41" s="108" t="e">
        <f>$AA41*#REF!</f>
        <v>#REF!</v>
      </c>
      <c r="AC41" s="108" t="e">
        <f>$AA41*#REF!</f>
        <v>#REF!</v>
      </c>
      <c r="AD41" s="108" t="e">
        <f>$AA41*#REF!</f>
        <v>#REF!</v>
      </c>
      <c r="AE41" s="108" t="e">
        <f>$AA41*#REF!</f>
        <v>#REF!</v>
      </c>
      <c r="AF41" s="108" t="e">
        <f>$AA41*#REF!</f>
        <v>#REF!</v>
      </c>
      <c r="AG41" s="108" t="e">
        <f>$AA41*#REF!</f>
        <v>#REF!</v>
      </c>
      <c r="AH41" s="108" t="e">
        <f>$AA41*#REF!</f>
        <v>#REF!</v>
      </c>
      <c r="AI41" s="108" t="e">
        <f>$AA41*#REF!</f>
        <v>#REF!</v>
      </c>
      <c r="AJ41" s="108" t="e">
        <f>$AA41*#REF!</f>
        <v>#REF!</v>
      </c>
      <c r="AK41" s="108" t="e">
        <f>$AA41*#REF!</f>
        <v>#REF!</v>
      </c>
      <c r="AL41" s="108" t="e">
        <f>$AA41*#REF!</f>
        <v>#REF!</v>
      </c>
      <c r="AM41" s="108" t="e">
        <f>$AA41*#REF!</f>
        <v>#REF!</v>
      </c>
      <c r="AN41" s="108" t="e">
        <f>$AA41*#REF!</f>
        <v>#REF!</v>
      </c>
      <c r="AO41" s="108" t="e">
        <f>$AA41*#REF!</f>
        <v>#REF!</v>
      </c>
      <c r="AP41" s="108" t="e">
        <f>$AA41*#REF!</f>
        <v>#REF!</v>
      </c>
      <c r="AQ41" s="108" t="e">
        <f>$AA41*#REF!</f>
        <v>#REF!</v>
      </c>
    </row>
    <row r="42" spans="19:43" x14ac:dyDescent="0.3">
      <c r="Z42" s="23" t="s">
        <v>343</v>
      </c>
      <c r="AA42" s="30">
        <f>V17</f>
        <v>0.33477968764715826</v>
      </c>
      <c r="AB42" s="108" t="e">
        <f>$AA42*#REF!</f>
        <v>#REF!</v>
      </c>
      <c r="AC42" s="108" t="e">
        <f>$AA42*#REF!</f>
        <v>#REF!</v>
      </c>
      <c r="AD42" s="108" t="e">
        <f>$AA42*#REF!</f>
        <v>#REF!</v>
      </c>
      <c r="AE42" s="108" t="e">
        <f>$AA42*#REF!</f>
        <v>#REF!</v>
      </c>
      <c r="AF42" s="108" t="e">
        <f>$AA42*#REF!</f>
        <v>#REF!</v>
      </c>
      <c r="AG42" s="108" t="e">
        <f>$AA42*#REF!</f>
        <v>#REF!</v>
      </c>
      <c r="AH42" s="108" t="e">
        <f>$AA42*#REF!</f>
        <v>#REF!</v>
      </c>
      <c r="AI42" s="108" t="e">
        <f>$AA42*#REF!</f>
        <v>#REF!</v>
      </c>
      <c r="AJ42" s="108" t="e">
        <f>$AA42*#REF!</f>
        <v>#REF!</v>
      </c>
      <c r="AK42" s="108" t="e">
        <f>$AA42*#REF!</f>
        <v>#REF!</v>
      </c>
      <c r="AL42" s="108" t="e">
        <f>$AA42*#REF!</f>
        <v>#REF!</v>
      </c>
      <c r="AM42" s="108" t="e">
        <f>$AA42*#REF!</f>
        <v>#REF!</v>
      </c>
      <c r="AN42" s="108" t="e">
        <f>$AA42*#REF!</f>
        <v>#REF!</v>
      </c>
      <c r="AO42" s="108" t="e">
        <f>$AA42*#REF!</f>
        <v>#REF!</v>
      </c>
      <c r="AP42" s="108" t="e">
        <f>$AA42*#REF!</f>
        <v>#REF!</v>
      </c>
      <c r="AQ42" s="108" t="e">
        <f>$AA42*#REF!</f>
        <v>#REF!</v>
      </c>
    </row>
    <row r="43" spans="19:43" x14ac:dyDescent="0.3">
      <c r="Z43" s="23" t="s">
        <v>344</v>
      </c>
      <c r="AA43" s="30">
        <f>V8</f>
        <v>0.18902425594194774</v>
      </c>
      <c r="AB43" s="108" t="e">
        <f>$AA43*#REF!</f>
        <v>#REF!</v>
      </c>
      <c r="AC43" s="108" t="e">
        <f>$AA43*#REF!</f>
        <v>#REF!</v>
      </c>
      <c r="AD43" s="108" t="e">
        <f>$AA43*#REF!</f>
        <v>#REF!</v>
      </c>
      <c r="AE43" s="108" t="e">
        <f>$AA43*#REF!</f>
        <v>#REF!</v>
      </c>
      <c r="AF43" s="108" t="e">
        <f>$AA43*#REF!</f>
        <v>#REF!</v>
      </c>
      <c r="AG43" s="108" t="e">
        <f>$AA43*#REF!</f>
        <v>#REF!</v>
      </c>
      <c r="AH43" s="108" t="e">
        <f>$AA43*#REF!</f>
        <v>#REF!</v>
      </c>
      <c r="AI43" s="108" t="e">
        <f>$AA43*#REF!</f>
        <v>#REF!</v>
      </c>
      <c r="AJ43" s="108" t="e">
        <f>$AA43*#REF!</f>
        <v>#REF!</v>
      </c>
      <c r="AK43" s="108" t="e">
        <f>$AA43*#REF!</f>
        <v>#REF!</v>
      </c>
      <c r="AL43" s="108" t="e">
        <f>$AA43*#REF!</f>
        <v>#REF!</v>
      </c>
      <c r="AM43" s="108" t="e">
        <f>$AA43*#REF!</f>
        <v>#REF!</v>
      </c>
      <c r="AN43" s="108" t="e">
        <f>$AA43*#REF!</f>
        <v>#REF!</v>
      </c>
      <c r="AO43" s="108" t="e">
        <f>$AA43*#REF!</f>
        <v>#REF!</v>
      </c>
      <c r="AP43" s="108" t="e">
        <f>$AA43*#REF!</f>
        <v>#REF!</v>
      </c>
      <c r="AQ43" s="108" t="e">
        <f>$AA43*#REF!</f>
        <v>#REF!</v>
      </c>
    </row>
    <row r="44" spans="19:43" x14ac:dyDescent="0.3">
      <c r="Z44" s="23" t="s">
        <v>346</v>
      </c>
      <c r="AA44" s="30">
        <f>V8</f>
        <v>0.18902425594194774</v>
      </c>
      <c r="AB44" s="108" t="e">
        <f>$AA44*#REF!</f>
        <v>#REF!</v>
      </c>
      <c r="AC44" s="108" t="e">
        <f>$AA44*#REF!</f>
        <v>#REF!</v>
      </c>
      <c r="AD44" s="108" t="e">
        <f>$AA44*#REF!</f>
        <v>#REF!</v>
      </c>
      <c r="AE44" s="108" t="e">
        <f>$AA44*#REF!</f>
        <v>#REF!</v>
      </c>
      <c r="AF44" s="108" t="e">
        <f>$AA44*#REF!</f>
        <v>#REF!</v>
      </c>
      <c r="AG44" s="108" t="e">
        <f>$AA44*#REF!</f>
        <v>#REF!</v>
      </c>
      <c r="AH44" s="108" t="e">
        <f>$AA44*#REF!</f>
        <v>#REF!</v>
      </c>
      <c r="AI44" s="108" t="e">
        <f>$AA44*#REF!</f>
        <v>#REF!</v>
      </c>
      <c r="AJ44" s="108" t="e">
        <f>$AA44*#REF!</f>
        <v>#REF!</v>
      </c>
      <c r="AK44" s="108" t="e">
        <f>$AA44*#REF!</f>
        <v>#REF!</v>
      </c>
      <c r="AL44" s="108" t="e">
        <f>$AA44*#REF!</f>
        <v>#REF!</v>
      </c>
      <c r="AM44" s="108" t="e">
        <f>$AA44*#REF!</f>
        <v>#REF!</v>
      </c>
      <c r="AN44" s="108" t="e">
        <f>$AA44*#REF!</f>
        <v>#REF!</v>
      </c>
      <c r="AO44" s="108" t="e">
        <f>$AA44*#REF!</f>
        <v>#REF!</v>
      </c>
      <c r="AP44" s="108" t="e">
        <f>$AA44*#REF!</f>
        <v>#REF!</v>
      </c>
      <c r="AQ44" s="108" t="e">
        <f>$AA44*#REF!</f>
        <v>#REF!</v>
      </c>
    </row>
    <row r="45" spans="19:43" x14ac:dyDescent="0.3">
      <c r="Z45" s="23" t="s">
        <v>345</v>
      </c>
      <c r="AA45" s="30">
        <f>V18</f>
        <v>0.35498215678068606</v>
      </c>
      <c r="AB45" s="108" t="e">
        <f>$AA45*#REF!</f>
        <v>#REF!</v>
      </c>
      <c r="AC45" s="108" t="e">
        <f>$AA45*#REF!</f>
        <v>#REF!</v>
      </c>
      <c r="AD45" s="108" t="e">
        <f>$AA45*#REF!</f>
        <v>#REF!</v>
      </c>
      <c r="AE45" s="108" t="e">
        <f>$AA45*#REF!</f>
        <v>#REF!</v>
      </c>
      <c r="AF45" s="108" t="e">
        <f>$AA45*#REF!</f>
        <v>#REF!</v>
      </c>
      <c r="AG45" s="108" t="e">
        <f>$AA45*#REF!</f>
        <v>#REF!</v>
      </c>
      <c r="AH45" s="108" t="e">
        <f>$AA45*#REF!</f>
        <v>#REF!</v>
      </c>
      <c r="AI45" s="108" t="e">
        <f>$AA45*#REF!</f>
        <v>#REF!</v>
      </c>
      <c r="AJ45" s="108" t="e">
        <f>$AA45*#REF!</f>
        <v>#REF!</v>
      </c>
      <c r="AK45" s="108" t="e">
        <f>$AA45*#REF!</f>
        <v>#REF!</v>
      </c>
      <c r="AL45" s="108" t="e">
        <f>$AA45*#REF!</f>
        <v>#REF!</v>
      </c>
      <c r="AM45" s="108" t="e">
        <f>$AA45*#REF!</f>
        <v>#REF!</v>
      </c>
      <c r="AN45" s="108" t="e">
        <f>$AA45*#REF!</f>
        <v>#REF!</v>
      </c>
      <c r="AO45" s="108" t="e">
        <f>$AA45*#REF!</f>
        <v>#REF!</v>
      </c>
      <c r="AP45" s="108" t="e">
        <f>$AA45*#REF!</f>
        <v>#REF!</v>
      </c>
      <c r="AQ45" s="108" t="e">
        <f>$AA45*#REF!</f>
        <v>#REF!</v>
      </c>
    </row>
    <row r="46" spans="19:43" x14ac:dyDescent="0.3">
      <c r="Z46" s="23" t="s">
        <v>347</v>
      </c>
      <c r="AA46" s="30">
        <f>V19</f>
        <v>0.31892297110776657</v>
      </c>
      <c r="AB46" s="108" t="e">
        <f>$AA46*#REF!</f>
        <v>#REF!</v>
      </c>
      <c r="AC46" s="108" t="e">
        <f>$AA46*#REF!</f>
        <v>#REF!</v>
      </c>
      <c r="AD46" s="108" t="e">
        <f>$AA46*#REF!</f>
        <v>#REF!</v>
      </c>
      <c r="AE46" s="108" t="e">
        <f>$AA46*#REF!</f>
        <v>#REF!</v>
      </c>
      <c r="AF46" s="108" t="e">
        <f>$AA46*#REF!</f>
        <v>#REF!</v>
      </c>
      <c r="AG46" s="108" t="e">
        <f>$AA46*#REF!</f>
        <v>#REF!</v>
      </c>
      <c r="AH46" s="108" t="e">
        <f>$AA46*#REF!</f>
        <v>#REF!</v>
      </c>
      <c r="AI46" s="108" t="e">
        <f>$AA46*#REF!</f>
        <v>#REF!</v>
      </c>
      <c r="AJ46" s="108" t="e">
        <f>$AA46*#REF!</f>
        <v>#REF!</v>
      </c>
      <c r="AK46" s="108" t="e">
        <f>$AA46*#REF!</f>
        <v>#REF!</v>
      </c>
      <c r="AL46" s="108" t="e">
        <f>$AA46*#REF!</f>
        <v>#REF!</v>
      </c>
      <c r="AM46" s="108" t="e">
        <f>$AA46*#REF!</f>
        <v>#REF!</v>
      </c>
      <c r="AN46" s="108" t="e">
        <f>$AA46*#REF!</f>
        <v>#REF!</v>
      </c>
      <c r="AO46" s="108" t="e">
        <f>$AA46*#REF!</f>
        <v>#REF!</v>
      </c>
      <c r="AP46" s="108" t="e">
        <f>$AA46*#REF!</f>
        <v>#REF!</v>
      </c>
      <c r="AQ46" s="108" t="e">
        <f>$AA46*#REF!</f>
        <v>#REF!</v>
      </c>
    </row>
    <row r="47" spans="19:43" x14ac:dyDescent="0.3">
      <c r="Z47" s="23" t="s">
        <v>348</v>
      </c>
      <c r="AA47" s="30">
        <f>V19</f>
        <v>0.31892297110776657</v>
      </c>
      <c r="AB47" s="108" t="e">
        <f>$AA47*#REF!</f>
        <v>#REF!</v>
      </c>
      <c r="AC47" s="108" t="e">
        <f>$AA47*#REF!</f>
        <v>#REF!</v>
      </c>
      <c r="AD47" s="108" t="e">
        <f>$AA47*#REF!</f>
        <v>#REF!</v>
      </c>
      <c r="AE47" s="108" t="e">
        <f>$AA47*#REF!</f>
        <v>#REF!</v>
      </c>
      <c r="AF47" s="108" t="e">
        <f>$AA47*#REF!</f>
        <v>#REF!</v>
      </c>
      <c r="AG47" s="108" t="e">
        <f>$AA47*#REF!</f>
        <v>#REF!</v>
      </c>
      <c r="AH47" s="108" t="e">
        <f>$AA47*#REF!</f>
        <v>#REF!</v>
      </c>
      <c r="AI47" s="108" t="e">
        <f>$AA47*#REF!</f>
        <v>#REF!</v>
      </c>
      <c r="AJ47" s="108" t="e">
        <f>$AA47*#REF!</f>
        <v>#REF!</v>
      </c>
      <c r="AK47" s="108" t="e">
        <f>$AA47*#REF!</f>
        <v>#REF!</v>
      </c>
      <c r="AL47" s="108" t="e">
        <f>$AA47*#REF!</f>
        <v>#REF!</v>
      </c>
      <c r="AM47" s="108" t="e">
        <f>$AA47*#REF!</f>
        <v>#REF!</v>
      </c>
      <c r="AN47" s="108" t="e">
        <f>$AA47*#REF!</f>
        <v>#REF!</v>
      </c>
      <c r="AO47" s="108" t="e">
        <f>$AA47*#REF!</f>
        <v>#REF!</v>
      </c>
      <c r="AP47" s="108" t="e">
        <f>$AA47*#REF!</f>
        <v>#REF!</v>
      </c>
      <c r="AQ47" s="108" t="e">
        <f>$AA47*#REF!</f>
        <v>#REF!</v>
      </c>
    </row>
    <row r="48" spans="19:43" x14ac:dyDescent="0.3">
      <c r="Z48" s="23" t="s">
        <v>349</v>
      </c>
      <c r="AA48" s="30">
        <f>V14</f>
        <v>0.52492102906876836</v>
      </c>
      <c r="AB48" s="108" t="e">
        <f>$AA48*#REF!</f>
        <v>#REF!</v>
      </c>
      <c r="AC48" s="108" t="e">
        <f>$AA48*#REF!</f>
        <v>#REF!</v>
      </c>
      <c r="AD48" s="108" t="e">
        <f>$AA48*#REF!</f>
        <v>#REF!</v>
      </c>
      <c r="AE48" s="108" t="e">
        <f>$AA48*#REF!</f>
        <v>#REF!</v>
      </c>
      <c r="AF48" s="108" t="e">
        <f>$AA48*#REF!</f>
        <v>#REF!</v>
      </c>
      <c r="AG48" s="108" t="e">
        <f>$AA48*#REF!</f>
        <v>#REF!</v>
      </c>
      <c r="AH48" s="108" t="e">
        <f>$AA48*#REF!</f>
        <v>#REF!</v>
      </c>
      <c r="AI48" s="108" t="e">
        <f>$AA48*#REF!</f>
        <v>#REF!</v>
      </c>
      <c r="AJ48" s="108" t="e">
        <f>$AA48*#REF!</f>
        <v>#REF!</v>
      </c>
      <c r="AK48" s="108" t="e">
        <f>$AA48*#REF!</f>
        <v>#REF!</v>
      </c>
      <c r="AL48" s="108" t="e">
        <f>$AA48*#REF!</f>
        <v>#REF!</v>
      </c>
      <c r="AM48" s="108" t="e">
        <f>$AA48*#REF!</f>
        <v>#REF!</v>
      </c>
      <c r="AN48" s="108" t="e">
        <f>$AA48*#REF!</f>
        <v>#REF!</v>
      </c>
      <c r="AO48" s="108" t="e">
        <f>$AA48*#REF!</f>
        <v>#REF!</v>
      </c>
      <c r="AP48" s="108" t="e">
        <f>$AA48*#REF!</f>
        <v>#REF!</v>
      </c>
      <c r="AQ48" s="108" t="e">
        <f>$AA48*#REF!</f>
        <v>#REF!</v>
      </c>
    </row>
    <row r="49" spans="26:43" x14ac:dyDescent="0.3">
      <c r="Z49" s="23" t="s">
        <v>350</v>
      </c>
      <c r="AA49" s="30">
        <f>V13</f>
        <v>0.41941527860681393</v>
      </c>
      <c r="AB49" s="108" t="e">
        <f>$AA49*#REF!</f>
        <v>#REF!</v>
      </c>
      <c r="AC49" s="108" t="e">
        <f>$AA49*#REF!</f>
        <v>#REF!</v>
      </c>
      <c r="AD49" s="108" t="e">
        <f>$AA49*#REF!</f>
        <v>#REF!</v>
      </c>
      <c r="AE49" s="108" t="e">
        <f>$AA49*#REF!</f>
        <v>#REF!</v>
      </c>
      <c r="AF49" s="108" t="e">
        <f>$AA49*#REF!</f>
        <v>#REF!</v>
      </c>
      <c r="AG49" s="108" t="e">
        <f>$AA49*#REF!</f>
        <v>#REF!</v>
      </c>
      <c r="AH49" s="108" t="e">
        <f>$AA49*#REF!</f>
        <v>#REF!</v>
      </c>
      <c r="AI49" s="108" t="e">
        <f>$AA49*#REF!</f>
        <v>#REF!</v>
      </c>
      <c r="AJ49" s="108" t="e">
        <f>$AA49*#REF!</f>
        <v>#REF!</v>
      </c>
      <c r="AK49" s="108" t="e">
        <f>$AA49*#REF!</f>
        <v>#REF!</v>
      </c>
      <c r="AL49" s="108" t="e">
        <f>$AA49*#REF!</f>
        <v>#REF!</v>
      </c>
      <c r="AM49" s="108" t="e">
        <f>$AA49*#REF!</f>
        <v>#REF!</v>
      </c>
      <c r="AN49" s="108" t="e">
        <f>$AA49*#REF!</f>
        <v>#REF!</v>
      </c>
      <c r="AO49" s="108" t="e">
        <f>$AA49*#REF!</f>
        <v>#REF!</v>
      </c>
      <c r="AP49" s="108" t="e">
        <f>$AA49*#REF!</f>
        <v>#REF!</v>
      </c>
      <c r="AQ49" s="108" t="e">
        <f>$AA49*#REF!</f>
        <v>#REF!</v>
      </c>
    </row>
    <row r="50" spans="26:43" x14ac:dyDescent="0.3">
      <c r="Z50" s="23" t="s">
        <v>351</v>
      </c>
      <c r="AB50" s="108" t="e">
        <f t="shared" ref="AB50:AQ50" si="5">SUM(AB29:AB49)</f>
        <v>#REF!</v>
      </c>
      <c r="AC50" s="108" t="e">
        <f t="shared" si="5"/>
        <v>#REF!</v>
      </c>
      <c r="AD50" s="108" t="e">
        <f t="shared" si="5"/>
        <v>#REF!</v>
      </c>
      <c r="AE50" s="108" t="e">
        <f t="shared" si="5"/>
        <v>#REF!</v>
      </c>
      <c r="AF50" s="108" t="e">
        <f t="shared" si="5"/>
        <v>#REF!</v>
      </c>
      <c r="AG50" s="108" t="e">
        <f t="shared" si="5"/>
        <v>#REF!</v>
      </c>
      <c r="AH50" s="108" t="e">
        <f t="shared" si="5"/>
        <v>#REF!</v>
      </c>
      <c r="AI50" s="108" t="e">
        <f t="shared" si="5"/>
        <v>#REF!</v>
      </c>
      <c r="AJ50" s="108" t="e">
        <f t="shared" si="5"/>
        <v>#REF!</v>
      </c>
      <c r="AK50" s="108" t="e">
        <f t="shared" si="5"/>
        <v>#REF!</v>
      </c>
      <c r="AL50" s="108" t="e">
        <f t="shared" si="5"/>
        <v>#REF!</v>
      </c>
      <c r="AM50" s="108" t="e">
        <f t="shared" si="5"/>
        <v>#REF!</v>
      </c>
      <c r="AN50" s="108" t="e">
        <f t="shared" si="5"/>
        <v>#REF!</v>
      </c>
      <c r="AO50" s="108" t="e">
        <f t="shared" si="5"/>
        <v>#REF!</v>
      </c>
      <c r="AP50" s="108" t="e">
        <f t="shared" si="5"/>
        <v>#REF!</v>
      </c>
      <c r="AQ50" s="108" t="e">
        <f t="shared" si="5"/>
        <v>#REF!</v>
      </c>
    </row>
    <row r="51" spans="26:43" x14ac:dyDescent="0.3">
      <c r="Z51" s="31" t="s">
        <v>352</v>
      </c>
      <c r="AB51" s="108" t="e">
        <f>AB50/(AB24+AB50+AB77)</f>
        <v>#REF!</v>
      </c>
      <c r="AC51" s="108" t="e">
        <f t="shared" ref="AC51:AQ51" si="6">AC50/(AC24+AC50+AC77)</f>
        <v>#REF!</v>
      </c>
      <c r="AD51" s="108" t="e">
        <f t="shared" si="6"/>
        <v>#REF!</v>
      </c>
      <c r="AE51" s="108" t="e">
        <f t="shared" si="6"/>
        <v>#REF!</v>
      </c>
      <c r="AF51" s="108" t="e">
        <f t="shared" si="6"/>
        <v>#REF!</v>
      </c>
      <c r="AG51" s="108" t="e">
        <f t="shared" si="6"/>
        <v>#REF!</v>
      </c>
      <c r="AH51" s="108" t="e">
        <f t="shared" si="6"/>
        <v>#REF!</v>
      </c>
      <c r="AI51" s="108" t="e">
        <f t="shared" si="6"/>
        <v>#REF!</v>
      </c>
      <c r="AJ51" s="108" t="e">
        <f t="shared" si="6"/>
        <v>#REF!</v>
      </c>
      <c r="AK51" s="108" t="e">
        <f t="shared" si="6"/>
        <v>#REF!</v>
      </c>
      <c r="AL51" s="108" t="e">
        <f t="shared" si="6"/>
        <v>#REF!</v>
      </c>
      <c r="AM51" s="108" t="e">
        <f t="shared" si="6"/>
        <v>#REF!</v>
      </c>
      <c r="AN51" s="108" t="e">
        <f t="shared" si="6"/>
        <v>#REF!</v>
      </c>
      <c r="AO51" s="108" t="e">
        <f t="shared" si="6"/>
        <v>#REF!</v>
      </c>
      <c r="AP51" s="108" t="e">
        <f t="shared" si="6"/>
        <v>#REF!</v>
      </c>
      <c r="AQ51" s="108" t="e">
        <f t="shared" si="6"/>
        <v>#REF!</v>
      </c>
    </row>
    <row r="52" spans="26:43" x14ac:dyDescent="0.3">
      <c r="Z52" s="23"/>
    </row>
    <row r="55" spans="26:43" ht="28.8" x14ac:dyDescent="0.3">
      <c r="Z55" s="29"/>
      <c r="AA55" s="4" t="str">
        <f>X2</f>
        <v>Saturation
(Other Fuels)</v>
      </c>
      <c r="AB55" s="25">
        <v>1</v>
      </c>
      <c r="AC55" s="26">
        <v>2</v>
      </c>
      <c r="AD55" s="26">
        <v>3</v>
      </c>
      <c r="AE55" s="26">
        <v>4</v>
      </c>
      <c r="AF55" s="26">
        <v>5</v>
      </c>
      <c r="AG55" s="26">
        <v>6</v>
      </c>
      <c r="AH55" s="26">
        <v>7</v>
      </c>
      <c r="AI55" s="26">
        <v>8</v>
      </c>
      <c r="AJ55" s="26">
        <v>9</v>
      </c>
      <c r="AK55" s="26">
        <v>10</v>
      </c>
      <c r="AL55" s="26">
        <v>11</v>
      </c>
      <c r="AM55" s="26">
        <v>12</v>
      </c>
      <c r="AN55" s="26">
        <v>13</v>
      </c>
      <c r="AO55" s="26">
        <v>14</v>
      </c>
      <c r="AP55" s="26">
        <v>15</v>
      </c>
      <c r="AQ55" s="27">
        <v>16</v>
      </c>
    </row>
    <row r="56" spans="26:43" x14ac:dyDescent="0.3">
      <c r="Z56" t="s">
        <v>328</v>
      </c>
      <c r="AA56" s="28">
        <f>AA71</f>
        <v>5.4442424021695609E-3</v>
      </c>
      <c r="AB56" s="44" t="e">
        <f>$AA56*#REF!</f>
        <v>#REF!</v>
      </c>
      <c r="AC56" s="44" t="e">
        <f>$AA56*#REF!</f>
        <v>#REF!</v>
      </c>
      <c r="AD56" s="44" t="e">
        <f>$AA56*#REF!</f>
        <v>#REF!</v>
      </c>
      <c r="AE56" s="44" t="e">
        <f>$AA56*#REF!</f>
        <v>#REF!</v>
      </c>
      <c r="AF56" s="44" t="e">
        <f>$AA56*#REF!</f>
        <v>#REF!</v>
      </c>
      <c r="AG56" s="44" t="e">
        <f>$AA56*#REF!</f>
        <v>#REF!</v>
      </c>
      <c r="AH56" s="44" t="e">
        <f>$AA56*#REF!</f>
        <v>#REF!</v>
      </c>
      <c r="AI56" s="44" t="e">
        <f>$AA56*#REF!</f>
        <v>#REF!</v>
      </c>
      <c r="AJ56" s="44" t="e">
        <f>$AA56*#REF!</f>
        <v>#REF!</v>
      </c>
      <c r="AK56" s="44" t="e">
        <f>$AA56*#REF!</f>
        <v>#REF!</v>
      </c>
      <c r="AL56" s="44" t="e">
        <f>$AA56*#REF!</f>
        <v>#REF!</v>
      </c>
      <c r="AM56" s="44" t="e">
        <f>$AA56*#REF!</f>
        <v>#REF!</v>
      </c>
      <c r="AN56" s="44" t="e">
        <f>$AA56*#REF!</f>
        <v>#REF!</v>
      </c>
      <c r="AO56" s="44" t="e">
        <f>$AA56*#REF!</f>
        <v>#REF!</v>
      </c>
      <c r="AP56" s="44" t="e">
        <f>$AA56*#REF!</f>
        <v>#REF!</v>
      </c>
      <c r="AQ56" s="44" t="e">
        <f>$AA56*#REF!</f>
        <v>#REF!</v>
      </c>
    </row>
    <row r="57" spans="26:43" x14ac:dyDescent="0.3">
      <c r="Z57" s="22" t="s">
        <v>329</v>
      </c>
      <c r="AA57" s="28">
        <f>X4</f>
        <v>8.1065102686722016E-3</v>
      </c>
      <c r="AB57" s="44" t="e">
        <f>$AA57*#REF!</f>
        <v>#REF!</v>
      </c>
      <c r="AC57" s="44" t="e">
        <f>$AA57*#REF!</f>
        <v>#REF!</v>
      </c>
      <c r="AD57" s="44" t="e">
        <f>$AA57*#REF!</f>
        <v>#REF!</v>
      </c>
      <c r="AE57" s="44" t="e">
        <f>$AA57*#REF!</f>
        <v>#REF!</v>
      </c>
      <c r="AF57" s="44" t="e">
        <f>$AA57*#REF!</f>
        <v>#REF!</v>
      </c>
      <c r="AG57" s="44" t="e">
        <f>$AA57*#REF!</f>
        <v>#REF!</v>
      </c>
      <c r="AH57" s="44" t="e">
        <f>$AA57*#REF!</f>
        <v>#REF!</v>
      </c>
      <c r="AI57" s="44" t="e">
        <f>$AA57*#REF!</f>
        <v>#REF!</v>
      </c>
      <c r="AJ57" s="44" t="e">
        <f>$AA57*#REF!</f>
        <v>#REF!</v>
      </c>
      <c r="AK57" s="44" t="e">
        <f>$AA57*#REF!</f>
        <v>#REF!</v>
      </c>
      <c r="AL57" s="44" t="e">
        <f>$AA57*#REF!</f>
        <v>#REF!</v>
      </c>
      <c r="AM57" s="44" t="e">
        <f>$AA57*#REF!</f>
        <v>#REF!</v>
      </c>
      <c r="AN57" s="44" t="e">
        <f>$AA57*#REF!</f>
        <v>#REF!</v>
      </c>
      <c r="AO57" s="44" t="e">
        <f>$AA57*#REF!</f>
        <v>#REF!</v>
      </c>
      <c r="AP57" s="44" t="e">
        <f>$AA57*#REF!</f>
        <v>#REF!</v>
      </c>
      <c r="AQ57" s="44" t="e">
        <f>$AA57*#REF!</f>
        <v>#REF!</v>
      </c>
    </row>
    <row r="58" spans="26:43" x14ac:dyDescent="0.3">
      <c r="Z58" s="22" t="s">
        <v>330</v>
      </c>
      <c r="AA58" s="28">
        <f t="shared" ref="AA58:AA66" si="7">X5</f>
        <v>5.738688404380525E-2</v>
      </c>
      <c r="AB58" s="44" t="e">
        <f>$AA58*#REF!</f>
        <v>#REF!</v>
      </c>
      <c r="AC58" s="44" t="e">
        <f>$AA58*#REF!</f>
        <v>#REF!</v>
      </c>
      <c r="AD58" s="44" t="e">
        <f>$AA58*#REF!</f>
        <v>#REF!</v>
      </c>
      <c r="AE58" s="44" t="e">
        <f>$AA58*#REF!</f>
        <v>#REF!</v>
      </c>
      <c r="AF58" s="44" t="e">
        <f>$AA58*#REF!</f>
        <v>#REF!</v>
      </c>
      <c r="AG58" s="44" t="e">
        <f>$AA58*#REF!</f>
        <v>#REF!</v>
      </c>
      <c r="AH58" s="44" t="e">
        <f>$AA58*#REF!</f>
        <v>#REF!</v>
      </c>
      <c r="AI58" s="44" t="e">
        <f>$AA58*#REF!</f>
        <v>#REF!</v>
      </c>
      <c r="AJ58" s="44" t="e">
        <f>$AA58*#REF!</f>
        <v>#REF!</v>
      </c>
      <c r="AK58" s="44" t="e">
        <f>$AA58*#REF!</f>
        <v>#REF!</v>
      </c>
      <c r="AL58" s="44" t="e">
        <f>$AA58*#REF!</f>
        <v>#REF!</v>
      </c>
      <c r="AM58" s="44" t="e">
        <f>$AA58*#REF!</f>
        <v>#REF!</v>
      </c>
      <c r="AN58" s="44" t="e">
        <f>$AA58*#REF!</f>
        <v>#REF!</v>
      </c>
      <c r="AO58" s="44" t="e">
        <f>$AA58*#REF!</f>
        <v>#REF!</v>
      </c>
      <c r="AP58" s="44" t="e">
        <f>$AA58*#REF!</f>
        <v>#REF!</v>
      </c>
      <c r="AQ58" s="44" t="e">
        <f>$AA58*#REF!</f>
        <v>#REF!</v>
      </c>
    </row>
    <row r="59" spans="26:43" x14ac:dyDescent="0.3">
      <c r="Z59" s="22" t="s">
        <v>331</v>
      </c>
      <c r="AA59" s="28">
        <f t="shared" si="7"/>
        <v>7.3132514392905273E-2</v>
      </c>
      <c r="AB59" s="44" t="e">
        <f>$AA59*#REF!</f>
        <v>#REF!</v>
      </c>
      <c r="AC59" s="44" t="e">
        <f>$AA59*#REF!</f>
        <v>#REF!</v>
      </c>
      <c r="AD59" s="44" t="e">
        <f>$AA59*#REF!</f>
        <v>#REF!</v>
      </c>
      <c r="AE59" s="44" t="e">
        <f>$AA59*#REF!</f>
        <v>#REF!</v>
      </c>
      <c r="AF59" s="44" t="e">
        <f>$AA59*#REF!</f>
        <v>#REF!</v>
      </c>
      <c r="AG59" s="44" t="e">
        <f>$AA59*#REF!</f>
        <v>#REF!</v>
      </c>
      <c r="AH59" s="44" t="e">
        <f>$AA59*#REF!</f>
        <v>#REF!</v>
      </c>
      <c r="AI59" s="44" t="e">
        <f>$AA59*#REF!</f>
        <v>#REF!</v>
      </c>
      <c r="AJ59" s="44" t="e">
        <f>$AA59*#REF!</f>
        <v>#REF!</v>
      </c>
      <c r="AK59" s="44" t="e">
        <f>$AA59*#REF!</f>
        <v>#REF!</v>
      </c>
      <c r="AL59" s="44" t="e">
        <f>$AA59*#REF!</f>
        <v>#REF!</v>
      </c>
      <c r="AM59" s="44" t="e">
        <f>$AA59*#REF!</f>
        <v>#REF!</v>
      </c>
      <c r="AN59" s="44" t="e">
        <f>$AA59*#REF!</f>
        <v>#REF!</v>
      </c>
      <c r="AO59" s="44" t="e">
        <f>$AA59*#REF!</f>
        <v>#REF!</v>
      </c>
      <c r="AP59" s="44" t="e">
        <f>$AA59*#REF!</f>
        <v>#REF!</v>
      </c>
      <c r="AQ59" s="44" t="e">
        <f>$AA59*#REF!</f>
        <v>#REF!</v>
      </c>
    </row>
    <row r="60" spans="26:43" x14ac:dyDescent="0.3">
      <c r="Z60" s="22" t="s">
        <v>332</v>
      </c>
      <c r="AA60" s="28">
        <f t="shared" si="7"/>
        <v>7.3132514392905273E-2</v>
      </c>
      <c r="AB60" s="44" t="e">
        <f>$AA60*#REF!</f>
        <v>#REF!</v>
      </c>
      <c r="AC60" s="44" t="e">
        <f>$AA60*#REF!</f>
        <v>#REF!</v>
      </c>
      <c r="AD60" s="44" t="e">
        <f>$AA60*#REF!</f>
        <v>#REF!</v>
      </c>
      <c r="AE60" s="44" t="e">
        <f>$AA60*#REF!</f>
        <v>#REF!</v>
      </c>
      <c r="AF60" s="44" t="e">
        <f>$AA60*#REF!</f>
        <v>#REF!</v>
      </c>
      <c r="AG60" s="44" t="e">
        <f>$AA60*#REF!</f>
        <v>#REF!</v>
      </c>
      <c r="AH60" s="44" t="e">
        <f>$AA60*#REF!</f>
        <v>#REF!</v>
      </c>
      <c r="AI60" s="44" t="e">
        <f>$AA60*#REF!</f>
        <v>#REF!</v>
      </c>
      <c r="AJ60" s="44" t="e">
        <f>$AA60*#REF!</f>
        <v>#REF!</v>
      </c>
      <c r="AK60" s="44" t="e">
        <f>$AA60*#REF!</f>
        <v>#REF!</v>
      </c>
      <c r="AL60" s="44" t="e">
        <f>$AA60*#REF!</f>
        <v>#REF!</v>
      </c>
      <c r="AM60" s="44" t="e">
        <f>$AA60*#REF!</f>
        <v>#REF!</v>
      </c>
      <c r="AN60" s="44" t="e">
        <f>$AA60*#REF!</f>
        <v>#REF!</v>
      </c>
      <c r="AO60" s="44" t="e">
        <f>$AA60*#REF!</f>
        <v>#REF!</v>
      </c>
      <c r="AP60" s="44" t="e">
        <f>$AA60*#REF!</f>
        <v>#REF!</v>
      </c>
      <c r="AQ60" s="44" t="e">
        <f>$AA60*#REF!</f>
        <v>#REF!</v>
      </c>
    </row>
    <row r="61" spans="26:43" x14ac:dyDescent="0.3">
      <c r="Z61" s="22" t="s">
        <v>333</v>
      </c>
      <c r="AA61" s="28">
        <f t="shared" si="7"/>
        <v>5.4442424021695609E-3</v>
      </c>
      <c r="AB61" s="44" t="e">
        <f>$AA61*#REF!</f>
        <v>#REF!</v>
      </c>
      <c r="AC61" s="44" t="e">
        <f>$AA61*#REF!</f>
        <v>#REF!</v>
      </c>
      <c r="AD61" s="44" t="e">
        <f>$AA61*#REF!</f>
        <v>#REF!</v>
      </c>
      <c r="AE61" s="44" t="e">
        <f>$AA61*#REF!</f>
        <v>#REF!</v>
      </c>
      <c r="AF61" s="44" t="e">
        <f>$AA61*#REF!</f>
        <v>#REF!</v>
      </c>
      <c r="AG61" s="44" t="e">
        <f>$AA61*#REF!</f>
        <v>#REF!</v>
      </c>
      <c r="AH61" s="44" t="e">
        <f>$AA61*#REF!</f>
        <v>#REF!</v>
      </c>
      <c r="AI61" s="44" t="e">
        <f>$AA61*#REF!</f>
        <v>#REF!</v>
      </c>
      <c r="AJ61" s="44" t="e">
        <f>$AA61*#REF!</f>
        <v>#REF!</v>
      </c>
      <c r="AK61" s="44" t="e">
        <f>$AA61*#REF!</f>
        <v>#REF!</v>
      </c>
      <c r="AL61" s="44" t="e">
        <f>$AA61*#REF!</f>
        <v>#REF!</v>
      </c>
      <c r="AM61" s="44" t="e">
        <f>$AA61*#REF!</f>
        <v>#REF!</v>
      </c>
      <c r="AN61" s="44" t="e">
        <f>$AA61*#REF!</f>
        <v>#REF!</v>
      </c>
      <c r="AO61" s="44" t="e">
        <f>$AA61*#REF!</f>
        <v>#REF!</v>
      </c>
      <c r="AP61" s="44" t="e">
        <f>$AA61*#REF!</f>
        <v>#REF!</v>
      </c>
      <c r="AQ61" s="44" t="e">
        <f>$AA61*#REF!</f>
        <v>#REF!</v>
      </c>
    </row>
    <row r="62" spans="26:43" x14ac:dyDescent="0.3">
      <c r="Z62" s="22" t="s">
        <v>334</v>
      </c>
      <c r="AA62" s="28">
        <f t="shared" si="7"/>
        <v>1.8620214057104439E-3</v>
      </c>
      <c r="AB62" s="44" t="e">
        <f>$AA62*#REF!</f>
        <v>#REF!</v>
      </c>
      <c r="AC62" s="44" t="e">
        <f>$AA62*#REF!</f>
        <v>#REF!</v>
      </c>
      <c r="AD62" s="44" t="e">
        <f>$AA62*#REF!</f>
        <v>#REF!</v>
      </c>
      <c r="AE62" s="44" t="e">
        <f>$AA62*#REF!</f>
        <v>#REF!</v>
      </c>
      <c r="AF62" s="44" t="e">
        <f>$AA62*#REF!</f>
        <v>#REF!</v>
      </c>
      <c r="AG62" s="44" t="e">
        <f>$AA62*#REF!</f>
        <v>#REF!</v>
      </c>
      <c r="AH62" s="44" t="e">
        <f>$AA62*#REF!</f>
        <v>#REF!</v>
      </c>
      <c r="AI62" s="44" t="e">
        <f>$AA62*#REF!</f>
        <v>#REF!</v>
      </c>
      <c r="AJ62" s="44" t="e">
        <f>$AA62*#REF!</f>
        <v>#REF!</v>
      </c>
      <c r="AK62" s="44" t="e">
        <f>$AA62*#REF!</f>
        <v>#REF!</v>
      </c>
      <c r="AL62" s="44" t="e">
        <f>$AA62*#REF!</f>
        <v>#REF!</v>
      </c>
      <c r="AM62" s="44" t="e">
        <f>$AA62*#REF!</f>
        <v>#REF!</v>
      </c>
      <c r="AN62" s="44" t="e">
        <f>$AA62*#REF!</f>
        <v>#REF!</v>
      </c>
      <c r="AO62" s="44" t="e">
        <f>$AA62*#REF!</f>
        <v>#REF!</v>
      </c>
      <c r="AP62" s="44" t="e">
        <f>$AA62*#REF!</f>
        <v>#REF!</v>
      </c>
      <c r="AQ62" s="44" t="e">
        <f>$AA62*#REF!</f>
        <v>#REF!</v>
      </c>
    </row>
    <row r="63" spans="26:43" x14ac:dyDescent="0.3">
      <c r="Z63" s="23" t="s">
        <v>335</v>
      </c>
      <c r="AA63" s="28">
        <f t="shared" si="7"/>
        <v>0</v>
      </c>
      <c r="AB63" s="44" t="e">
        <f>$AA63*#REF!</f>
        <v>#REF!</v>
      </c>
      <c r="AC63" s="44" t="e">
        <f>$AA63*#REF!</f>
        <v>#REF!</v>
      </c>
      <c r="AD63" s="44" t="e">
        <f>$AA63*#REF!</f>
        <v>#REF!</v>
      </c>
      <c r="AE63" s="44" t="e">
        <f>$AA63*#REF!</f>
        <v>#REF!</v>
      </c>
      <c r="AF63" s="44" t="e">
        <f>$AA63*#REF!</f>
        <v>#REF!</v>
      </c>
      <c r="AG63" s="44" t="e">
        <f>$AA63*#REF!</f>
        <v>#REF!</v>
      </c>
      <c r="AH63" s="44" t="e">
        <f>$AA63*#REF!</f>
        <v>#REF!</v>
      </c>
      <c r="AI63" s="44" t="e">
        <f>$AA63*#REF!</f>
        <v>#REF!</v>
      </c>
      <c r="AJ63" s="44" t="e">
        <f>$AA63*#REF!</f>
        <v>#REF!</v>
      </c>
      <c r="AK63" s="44" t="e">
        <f>$AA63*#REF!</f>
        <v>#REF!</v>
      </c>
      <c r="AL63" s="44" t="e">
        <f>$AA63*#REF!</f>
        <v>#REF!</v>
      </c>
      <c r="AM63" s="44" t="e">
        <f>$AA63*#REF!</f>
        <v>#REF!</v>
      </c>
      <c r="AN63" s="44" t="e">
        <f>$AA63*#REF!</f>
        <v>#REF!</v>
      </c>
      <c r="AO63" s="44" t="e">
        <f>$AA63*#REF!</f>
        <v>#REF!</v>
      </c>
      <c r="AP63" s="44" t="e">
        <f>$AA63*#REF!</f>
        <v>#REF!</v>
      </c>
      <c r="AQ63" s="44" t="e">
        <f>$AA63*#REF!</f>
        <v>#REF!</v>
      </c>
    </row>
    <row r="64" spans="26:43" x14ac:dyDescent="0.3">
      <c r="Z64" s="23" t="s">
        <v>336</v>
      </c>
      <c r="AA64" s="28">
        <f t="shared" si="7"/>
        <v>0</v>
      </c>
      <c r="AB64" s="44" t="e">
        <f>$AA64*#REF!</f>
        <v>#REF!</v>
      </c>
      <c r="AC64" s="44" t="e">
        <f>$AA64*#REF!</f>
        <v>#REF!</v>
      </c>
      <c r="AD64" s="44" t="e">
        <f>$AA64*#REF!</f>
        <v>#REF!</v>
      </c>
      <c r="AE64" s="44" t="e">
        <f>$AA64*#REF!</f>
        <v>#REF!</v>
      </c>
      <c r="AF64" s="44" t="e">
        <f>$AA64*#REF!</f>
        <v>#REF!</v>
      </c>
      <c r="AG64" s="44" t="e">
        <f>$AA64*#REF!</f>
        <v>#REF!</v>
      </c>
      <c r="AH64" s="44" t="e">
        <f>$AA64*#REF!</f>
        <v>#REF!</v>
      </c>
      <c r="AI64" s="44" t="e">
        <f>$AA64*#REF!</f>
        <v>#REF!</v>
      </c>
      <c r="AJ64" s="44" t="e">
        <f>$AA64*#REF!</f>
        <v>#REF!</v>
      </c>
      <c r="AK64" s="44" t="e">
        <f>$AA64*#REF!</f>
        <v>#REF!</v>
      </c>
      <c r="AL64" s="44" t="e">
        <f>$AA64*#REF!</f>
        <v>#REF!</v>
      </c>
      <c r="AM64" s="44" t="e">
        <f>$AA64*#REF!</f>
        <v>#REF!</v>
      </c>
      <c r="AN64" s="44" t="e">
        <f>$AA64*#REF!</f>
        <v>#REF!</v>
      </c>
      <c r="AO64" s="44" t="e">
        <f>$AA64*#REF!</f>
        <v>#REF!</v>
      </c>
      <c r="AP64" s="44" t="e">
        <f>$AA64*#REF!</f>
        <v>#REF!</v>
      </c>
      <c r="AQ64" s="44" t="e">
        <f>$AA64*#REF!</f>
        <v>#REF!</v>
      </c>
    </row>
    <row r="65" spans="26:43" x14ac:dyDescent="0.3">
      <c r="Z65" s="23" t="s">
        <v>337</v>
      </c>
      <c r="AA65" s="28">
        <f t="shared" si="7"/>
        <v>2.763374756120773E-2</v>
      </c>
      <c r="AB65" s="44" t="e">
        <f>$AA65*#REF!</f>
        <v>#REF!</v>
      </c>
      <c r="AC65" s="44" t="e">
        <f>$AA65*#REF!</f>
        <v>#REF!</v>
      </c>
      <c r="AD65" s="44" t="e">
        <f>$AA65*#REF!</f>
        <v>#REF!</v>
      </c>
      <c r="AE65" s="44" t="e">
        <f>$AA65*#REF!</f>
        <v>#REF!</v>
      </c>
      <c r="AF65" s="44" t="e">
        <f>$AA65*#REF!</f>
        <v>#REF!</v>
      </c>
      <c r="AG65" s="44" t="e">
        <f>$AA65*#REF!</f>
        <v>#REF!</v>
      </c>
      <c r="AH65" s="44" t="e">
        <f>$AA65*#REF!</f>
        <v>#REF!</v>
      </c>
      <c r="AI65" s="44" t="e">
        <f>$AA65*#REF!</f>
        <v>#REF!</v>
      </c>
      <c r="AJ65" s="44" t="e">
        <f>$AA65*#REF!</f>
        <v>#REF!</v>
      </c>
      <c r="AK65" s="44" t="e">
        <f>$AA65*#REF!</f>
        <v>#REF!</v>
      </c>
      <c r="AL65" s="44" t="e">
        <f>$AA65*#REF!</f>
        <v>#REF!</v>
      </c>
      <c r="AM65" s="44" t="e">
        <f>$AA65*#REF!</f>
        <v>#REF!</v>
      </c>
      <c r="AN65" s="44" t="e">
        <f>$AA65*#REF!</f>
        <v>#REF!</v>
      </c>
      <c r="AO65" s="44" t="e">
        <f>$AA65*#REF!</f>
        <v>#REF!</v>
      </c>
      <c r="AP65" s="44" t="e">
        <f>$AA65*#REF!</f>
        <v>#REF!</v>
      </c>
      <c r="AQ65" s="44" t="e">
        <f>$AA65*#REF!</f>
        <v>#REF!</v>
      </c>
    </row>
    <row r="66" spans="26:43" x14ac:dyDescent="0.3">
      <c r="Z66" s="23" t="s">
        <v>338</v>
      </c>
      <c r="AA66" s="28">
        <f t="shared" si="7"/>
        <v>0</v>
      </c>
      <c r="AB66" s="44" t="e">
        <f>$AA66*#REF!</f>
        <v>#REF!</v>
      </c>
      <c r="AC66" s="44" t="e">
        <f>$AA66*#REF!</f>
        <v>#REF!</v>
      </c>
      <c r="AD66" s="44" t="e">
        <f>$AA66*#REF!</f>
        <v>#REF!</v>
      </c>
      <c r="AE66" s="44" t="e">
        <f>$AA66*#REF!</f>
        <v>#REF!</v>
      </c>
      <c r="AF66" s="44" t="e">
        <f>$AA66*#REF!</f>
        <v>#REF!</v>
      </c>
      <c r="AG66" s="44" t="e">
        <f>$AA66*#REF!</f>
        <v>#REF!</v>
      </c>
      <c r="AH66" s="44" t="e">
        <f>$AA66*#REF!</f>
        <v>#REF!</v>
      </c>
      <c r="AI66" s="44" t="e">
        <f>$AA66*#REF!</f>
        <v>#REF!</v>
      </c>
      <c r="AJ66" s="44" t="e">
        <f>$AA66*#REF!</f>
        <v>#REF!</v>
      </c>
      <c r="AK66" s="44" t="e">
        <f>$AA66*#REF!</f>
        <v>#REF!</v>
      </c>
      <c r="AL66" s="44" t="e">
        <f>$AA66*#REF!</f>
        <v>#REF!</v>
      </c>
      <c r="AM66" s="44" t="e">
        <f>$AA66*#REF!</f>
        <v>#REF!</v>
      </c>
      <c r="AN66" s="44" t="e">
        <f>$AA66*#REF!</f>
        <v>#REF!</v>
      </c>
      <c r="AO66" s="44" t="e">
        <f>$AA66*#REF!</f>
        <v>#REF!</v>
      </c>
      <c r="AP66" s="44" t="e">
        <f>$AA66*#REF!</f>
        <v>#REF!</v>
      </c>
      <c r="AQ66" s="44" t="e">
        <f>$AA66*#REF!</f>
        <v>#REF!</v>
      </c>
    </row>
    <row r="67" spans="26:43" x14ac:dyDescent="0.3">
      <c r="Z67" s="23" t="s">
        <v>339</v>
      </c>
      <c r="AA67" s="28">
        <f>X14</f>
        <v>7.0259434871968781E-3</v>
      </c>
      <c r="AB67" s="44" t="e">
        <f>$AA67*#REF!</f>
        <v>#REF!</v>
      </c>
      <c r="AC67" s="44" t="e">
        <f>$AA67*#REF!</f>
        <v>#REF!</v>
      </c>
      <c r="AD67" s="44" t="e">
        <f>$AA67*#REF!</f>
        <v>#REF!</v>
      </c>
      <c r="AE67" s="44" t="e">
        <f>$AA67*#REF!</f>
        <v>#REF!</v>
      </c>
      <c r="AF67" s="44" t="e">
        <f>$AA67*#REF!</f>
        <v>#REF!</v>
      </c>
      <c r="AG67" s="44" t="e">
        <f>$AA67*#REF!</f>
        <v>#REF!</v>
      </c>
      <c r="AH67" s="44" t="e">
        <f>$AA67*#REF!</f>
        <v>#REF!</v>
      </c>
      <c r="AI67" s="44" t="e">
        <f>$AA67*#REF!</f>
        <v>#REF!</v>
      </c>
      <c r="AJ67" s="44" t="e">
        <f>$AA67*#REF!</f>
        <v>#REF!</v>
      </c>
      <c r="AK67" s="44" t="e">
        <f>$AA67*#REF!</f>
        <v>#REF!</v>
      </c>
      <c r="AL67" s="44" t="e">
        <f>$AA67*#REF!</f>
        <v>#REF!</v>
      </c>
      <c r="AM67" s="44" t="e">
        <f>$AA67*#REF!</f>
        <v>#REF!</v>
      </c>
      <c r="AN67" s="44" t="e">
        <f>$AA67*#REF!</f>
        <v>#REF!</v>
      </c>
      <c r="AO67" s="44" t="e">
        <f>$AA67*#REF!</f>
        <v>#REF!</v>
      </c>
      <c r="AP67" s="44" t="e">
        <f>$AA67*#REF!</f>
        <v>#REF!</v>
      </c>
      <c r="AQ67" s="44" t="e">
        <f>$AA67*#REF!</f>
        <v>#REF!</v>
      </c>
    </row>
    <row r="68" spans="26:43" x14ac:dyDescent="0.3">
      <c r="Z68" s="23" t="s">
        <v>341</v>
      </c>
      <c r="AA68" s="28">
        <f>(X15+X16)/2</f>
        <v>1.7370984543092693E-3</v>
      </c>
      <c r="AB68" s="44" t="e">
        <f>$AA68*#REF!</f>
        <v>#REF!</v>
      </c>
      <c r="AC68" s="44" t="e">
        <f>$AA68*#REF!</f>
        <v>#REF!</v>
      </c>
      <c r="AD68" s="44" t="e">
        <f>$AA68*#REF!</f>
        <v>#REF!</v>
      </c>
      <c r="AE68" s="44" t="e">
        <f>$AA68*#REF!</f>
        <v>#REF!</v>
      </c>
      <c r="AF68" s="44" t="e">
        <f>$AA68*#REF!</f>
        <v>#REF!</v>
      </c>
      <c r="AG68" s="44" t="e">
        <f>$AA68*#REF!</f>
        <v>#REF!</v>
      </c>
      <c r="AH68" s="44" t="e">
        <f>$AA68*#REF!</f>
        <v>#REF!</v>
      </c>
      <c r="AI68" s="44" t="e">
        <f>$AA68*#REF!</f>
        <v>#REF!</v>
      </c>
      <c r="AJ68" s="44" t="e">
        <f>$AA68*#REF!</f>
        <v>#REF!</v>
      </c>
      <c r="AK68" s="44" t="e">
        <f>$AA68*#REF!</f>
        <v>#REF!</v>
      </c>
      <c r="AL68" s="44" t="e">
        <f>$AA68*#REF!</f>
        <v>#REF!</v>
      </c>
      <c r="AM68" s="44" t="e">
        <f>$AA68*#REF!</f>
        <v>#REF!</v>
      </c>
      <c r="AN68" s="44" t="e">
        <f>$AA68*#REF!</f>
        <v>#REF!</v>
      </c>
      <c r="AO68" s="44" t="e">
        <f>$AA68*#REF!</f>
        <v>#REF!</v>
      </c>
      <c r="AP68" s="44" t="e">
        <f>$AA68*#REF!</f>
        <v>#REF!</v>
      </c>
      <c r="AQ68" s="44" t="e">
        <f>$AA68*#REF!</f>
        <v>#REF!</v>
      </c>
    </row>
    <row r="69" spans="26:43" x14ac:dyDescent="0.3">
      <c r="Z69" s="23" t="s">
        <v>343</v>
      </c>
      <c r="AA69" s="28">
        <f>X17</f>
        <v>0</v>
      </c>
      <c r="AB69" s="44" t="e">
        <f>$AA69*#REF!</f>
        <v>#REF!</v>
      </c>
      <c r="AC69" s="44" t="e">
        <f>$AA69*#REF!</f>
        <v>#REF!</v>
      </c>
      <c r="AD69" s="44" t="e">
        <f>$AA69*#REF!</f>
        <v>#REF!</v>
      </c>
      <c r="AE69" s="44" t="e">
        <f>$AA69*#REF!</f>
        <v>#REF!</v>
      </c>
      <c r="AF69" s="44" t="e">
        <f>$AA69*#REF!</f>
        <v>#REF!</v>
      </c>
      <c r="AG69" s="44" t="e">
        <f>$AA69*#REF!</f>
        <v>#REF!</v>
      </c>
      <c r="AH69" s="44" t="e">
        <f>$AA69*#REF!</f>
        <v>#REF!</v>
      </c>
      <c r="AI69" s="44" t="e">
        <f>$AA69*#REF!</f>
        <v>#REF!</v>
      </c>
      <c r="AJ69" s="44" t="e">
        <f>$AA69*#REF!</f>
        <v>#REF!</v>
      </c>
      <c r="AK69" s="44" t="e">
        <f>$AA69*#REF!</f>
        <v>#REF!</v>
      </c>
      <c r="AL69" s="44" t="e">
        <f>$AA69*#REF!</f>
        <v>#REF!</v>
      </c>
      <c r="AM69" s="44" t="e">
        <f>$AA69*#REF!</f>
        <v>#REF!</v>
      </c>
      <c r="AN69" s="44" t="e">
        <f>$AA69*#REF!</f>
        <v>#REF!</v>
      </c>
      <c r="AO69" s="44" t="e">
        <f>$AA69*#REF!</f>
        <v>#REF!</v>
      </c>
      <c r="AP69" s="44" t="e">
        <f>$AA69*#REF!</f>
        <v>#REF!</v>
      </c>
      <c r="AQ69" s="44" t="e">
        <f>$AA69*#REF!</f>
        <v>#REF!</v>
      </c>
    </row>
    <row r="70" spans="26:43" x14ac:dyDescent="0.3">
      <c r="Z70" s="23" t="s">
        <v>344</v>
      </c>
      <c r="AA70" s="28">
        <f>AA61</f>
        <v>5.4442424021695609E-3</v>
      </c>
      <c r="AB70" s="44" t="e">
        <f>$AA70*#REF!</f>
        <v>#REF!</v>
      </c>
      <c r="AC70" s="44" t="e">
        <f>$AA70*#REF!</f>
        <v>#REF!</v>
      </c>
      <c r="AD70" s="44" t="e">
        <f>$AA70*#REF!</f>
        <v>#REF!</v>
      </c>
      <c r="AE70" s="44" t="e">
        <f>$AA70*#REF!</f>
        <v>#REF!</v>
      </c>
      <c r="AF70" s="44" t="e">
        <f>$AA70*#REF!</f>
        <v>#REF!</v>
      </c>
      <c r="AG70" s="44" t="e">
        <f>$AA70*#REF!</f>
        <v>#REF!</v>
      </c>
      <c r="AH70" s="44" t="e">
        <f>$AA70*#REF!</f>
        <v>#REF!</v>
      </c>
      <c r="AI70" s="44" t="e">
        <f>$AA70*#REF!</f>
        <v>#REF!</v>
      </c>
      <c r="AJ70" s="44" t="e">
        <f>$AA70*#REF!</f>
        <v>#REF!</v>
      </c>
      <c r="AK70" s="44" t="e">
        <f>$AA70*#REF!</f>
        <v>#REF!</v>
      </c>
      <c r="AL70" s="44" t="e">
        <f>$AA70*#REF!</f>
        <v>#REF!</v>
      </c>
      <c r="AM70" s="44" t="e">
        <f>$AA70*#REF!</f>
        <v>#REF!</v>
      </c>
      <c r="AN70" s="44" t="e">
        <f>$AA70*#REF!</f>
        <v>#REF!</v>
      </c>
      <c r="AO70" s="44" t="e">
        <f>$AA70*#REF!</f>
        <v>#REF!</v>
      </c>
      <c r="AP70" s="44" t="e">
        <f>$AA70*#REF!</f>
        <v>#REF!</v>
      </c>
      <c r="AQ70" s="44" t="e">
        <f>$AA70*#REF!</f>
        <v>#REF!</v>
      </c>
    </row>
    <row r="71" spans="26:43" x14ac:dyDescent="0.3">
      <c r="Z71" s="23" t="s">
        <v>346</v>
      </c>
      <c r="AA71" s="28">
        <f>AA61</f>
        <v>5.4442424021695609E-3</v>
      </c>
      <c r="AB71" s="44" t="e">
        <f>$AA71*#REF!</f>
        <v>#REF!</v>
      </c>
      <c r="AC71" s="44" t="e">
        <f>$AA71*#REF!</f>
        <v>#REF!</v>
      </c>
      <c r="AD71" s="44" t="e">
        <f>$AA71*#REF!</f>
        <v>#REF!</v>
      </c>
      <c r="AE71" s="44" t="e">
        <f>$AA71*#REF!</f>
        <v>#REF!</v>
      </c>
      <c r="AF71" s="44" t="e">
        <f>$AA71*#REF!</f>
        <v>#REF!</v>
      </c>
      <c r="AG71" s="44" t="e">
        <f>$AA71*#REF!</f>
        <v>#REF!</v>
      </c>
      <c r="AH71" s="44" t="e">
        <f>$AA71*#REF!</f>
        <v>#REF!</v>
      </c>
      <c r="AI71" s="44" t="e">
        <f>$AA71*#REF!</f>
        <v>#REF!</v>
      </c>
      <c r="AJ71" s="44" t="e">
        <f>$AA71*#REF!</f>
        <v>#REF!</v>
      </c>
      <c r="AK71" s="44" t="e">
        <f>$AA71*#REF!</f>
        <v>#REF!</v>
      </c>
      <c r="AL71" s="44" t="e">
        <f>$AA71*#REF!</f>
        <v>#REF!</v>
      </c>
      <c r="AM71" s="44" t="e">
        <f>$AA71*#REF!</f>
        <v>#REF!</v>
      </c>
      <c r="AN71" s="44" t="e">
        <f>$AA71*#REF!</f>
        <v>#REF!</v>
      </c>
      <c r="AO71" s="44" t="e">
        <f>$AA71*#REF!</f>
        <v>#REF!</v>
      </c>
      <c r="AP71" s="44" t="e">
        <f>$AA71*#REF!</f>
        <v>#REF!</v>
      </c>
      <c r="AQ71" s="44" t="e">
        <f>$AA71*#REF!</f>
        <v>#REF!</v>
      </c>
    </row>
    <row r="72" spans="26:43" x14ac:dyDescent="0.3">
      <c r="Z72" s="23" t="s">
        <v>345</v>
      </c>
      <c r="AA72" s="28">
        <f>X18</f>
        <v>0</v>
      </c>
      <c r="AB72" s="44" t="e">
        <f>$AA72*#REF!</f>
        <v>#REF!</v>
      </c>
      <c r="AC72" s="44" t="e">
        <f>$AA72*#REF!</f>
        <v>#REF!</v>
      </c>
      <c r="AD72" s="44" t="e">
        <f>$AA72*#REF!</f>
        <v>#REF!</v>
      </c>
      <c r="AE72" s="44" t="e">
        <f>$AA72*#REF!</f>
        <v>#REF!</v>
      </c>
      <c r="AF72" s="44" t="e">
        <f>$AA72*#REF!</f>
        <v>#REF!</v>
      </c>
      <c r="AG72" s="44" t="e">
        <f>$AA72*#REF!</f>
        <v>#REF!</v>
      </c>
      <c r="AH72" s="44" t="e">
        <f>$AA72*#REF!</f>
        <v>#REF!</v>
      </c>
      <c r="AI72" s="44" t="e">
        <f>$AA72*#REF!</f>
        <v>#REF!</v>
      </c>
      <c r="AJ72" s="44" t="e">
        <f>$AA72*#REF!</f>
        <v>#REF!</v>
      </c>
      <c r="AK72" s="44" t="e">
        <f>$AA72*#REF!</f>
        <v>#REF!</v>
      </c>
      <c r="AL72" s="44" t="e">
        <f>$AA72*#REF!</f>
        <v>#REF!</v>
      </c>
      <c r="AM72" s="44" t="e">
        <f>$AA72*#REF!</f>
        <v>#REF!</v>
      </c>
      <c r="AN72" s="44" t="e">
        <f>$AA72*#REF!</f>
        <v>#REF!</v>
      </c>
      <c r="AO72" s="44" t="e">
        <f>$AA72*#REF!</f>
        <v>#REF!</v>
      </c>
      <c r="AP72" s="44" t="e">
        <f>$AA72*#REF!</f>
        <v>#REF!</v>
      </c>
      <c r="AQ72" s="44" t="e">
        <f>$AA72*#REF!</f>
        <v>#REF!</v>
      </c>
    </row>
    <row r="73" spans="26:43" x14ac:dyDescent="0.3">
      <c r="Z73" s="23" t="s">
        <v>347</v>
      </c>
      <c r="AA73" s="28">
        <f>X19</f>
        <v>0</v>
      </c>
      <c r="AB73" s="44" t="e">
        <f>$AA73*#REF!</f>
        <v>#REF!</v>
      </c>
      <c r="AC73" s="44" t="e">
        <f>$AA73*#REF!</f>
        <v>#REF!</v>
      </c>
      <c r="AD73" s="44" t="e">
        <f>$AA73*#REF!</f>
        <v>#REF!</v>
      </c>
      <c r="AE73" s="44" t="e">
        <f>$AA73*#REF!</f>
        <v>#REF!</v>
      </c>
      <c r="AF73" s="44" t="e">
        <f>$AA73*#REF!</f>
        <v>#REF!</v>
      </c>
      <c r="AG73" s="44" t="e">
        <f>$AA73*#REF!</f>
        <v>#REF!</v>
      </c>
      <c r="AH73" s="44" t="e">
        <f>$AA73*#REF!</f>
        <v>#REF!</v>
      </c>
      <c r="AI73" s="44" t="e">
        <f>$AA73*#REF!</f>
        <v>#REF!</v>
      </c>
      <c r="AJ73" s="44" t="e">
        <f>$AA73*#REF!</f>
        <v>#REF!</v>
      </c>
      <c r="AK73" s="44" t="e">
        <f>$AA73*#REF!</f>
        <v>#REF!</v>
      </c>
      <c r="AL73" s="44" t="e">
        <f>$AA73*#REF!</f>
        <v>#REF!</v>
      </c>
      <c r="AM73" s="44" t="e">
        <f>$AA73*#REF!</f>
        <v>#REF!</v>
      </c>
      <c r="AN73" s="44" t="e">
        <f>$AA73*#REF!</f>
        <v>#REF!</v>
      </c>
      <c r="AO73" s="44" t="e">
        <f>$AA73*#REF!</f>
        <v>#REF!</v>
      </c>
      <c r="AP73" s="44" t="e">
        <f>$AA73*#REF!</f>
        <v>#REF!</v>
      </c>
      <c r="AQ73" s="44" t="e">
        <f>$AA73*#REF!</f>
        <v>#REF!</v>
      </c>
    </row>
    <row r="74" spans="26:43" x14ac:dyDescent="0.3">
      <c r="Z74" s="23" t="s">
        <v>348</v>
      </c>
      <c r="AA74" s="28">
        <f>AA73</f>
        <v>0</v>
      </c>
      <c r="AB74" s="44" t="e">
        <f>$AA74*#REF!</f>
        <v>#REF!</v>
      </c>
      <c r="AC74" s="44" t="e">
        <f>$AA74*#REF!</f>
        <v>#REF!</v>
      </c>
      <c r="AD74" s="44" t="e">
        <f>$AA74*#REF!</f>
        <v>#REF!</v>
      </c>
      <c r="AE74" s="44" t="e">
        <f>$AA74*#REF!</f>
        <v>#REF!</v>
      </c>
      <c r="AF74" s="44" t="e">
        <f>$AA74*#REF!</f>
        <v>#REF!</v>
      </c>
      <c r="AG74" s="44" t="e">
        <f>$AA74*#REF!</f>
        <v>#REF!</v>
      </c>
      <c r="AH74" s="44" t="e">
        <f>$AA74*#REF!</f>
        <v>#REF!</v>
      </c>
      <c r="AI74" s="44" t="e">
        <f>$AA74*#REF!</f>
        <v>#REF!</v>
      </c>
      <c r="AJ74" s="44" t="e">
        <f>$AA74*#REF!</f>
        <v>#REF!</v>
      </c>
      <c r="AK74" s="44" t="e">
        <f>$AA74*#REF!</f>
        <v>#REF!</v>
      </c>
      <c r="AL74" s="44" t="e">
        <f>$AA74*#REF!</f>
        <v>#REF!</v>
      </c>
      <c r="AM74" s="44" t="e">
        <f>$AA74*#REF!</f>
        <v>#REF!</v>
      </c>
      <c r="AN74" s="44" t="e">
        <f>$AA74*#REF!</f>
        <v>#REF!</v>
      </c>
      <c r="AO74" s="44" t="e">
        <f>$AA74*#REF!</f>
        <v>#REF!</v>
      </c>
      <c r="AP74" s="44" t="e">
        <f>$AA74*#REF!</f>
        <v>#REF!</v>
      </c>
      <c r="AQ74" s="44" t="e">
        <f>$AA74*#REF!</f>
        <v>#REF!</v>
      </c>
    </row>
    <row r="75" spans="26:43" x14ac:dyDescent="0.3">
      <c r="Z75" s="23" t="s">
        <v>349</v>
      </c>
      <c r="AA75" s="28">
        <f>AA67</f>
        <v>7.0259434871968781E-3</v>
      </c>
      <c r="AB75" s="44" t="e">
        <f>$AA75*#REF!</f>
        <v>#REF!</v>
      </c>
      <c r="AC75" s="44" t="e">
        <f>$AA75*#REF!</f>
        <v>#REF!</v>
      </c>
      <c r="AD75" s="44" t="e">
        <f>$AA75*#REF!</f>
        <v>#REF!</v>
      </c>
      <c r="AE75" s="44" t="e">
        <f>$AA75*#REF!</f>
        <v>#REF!</v>
      </c>
      <c r="AF75" s="44" t="e">
        <f>$AA75*#REF!</f>
        <v>#REF!</v>
      </c>
      <c r="AG75" s="44" t="e">
        <f>$AA75*#REF!</f>
        <v>#REF!</v>
      </c>
      <c r="AH75" s="44" t="e">
        <f>$AA75*#REF!</f>
        <v>#REF!</v>
      </c>
      <c r="AI75" s="44" t="e">
        <f>$AA75*#REF!</f>
        <v>#REF!</v>
      </c>
      <c r="AJ75" s="44" t="e">
        <f>$AA75*#REF!</f>
        <v>#REF!</v>
      </c>
      <c r="AK75" s="44" t="e">
        <f>$AA75*#REF!</f>
        <v>#REF!</v>
      </c>
      <c r="AL75" s="44" t="e">
        <f>$AA75*#REF!</f>
        <v>#REF!</v>
      </c>
      <c r="AM75" s="44" t="e">
        <f>$AA75*#REF!</f>
        <v>#REF!</v>
      </c>
      <c r="AN75" s="44" t="e">
        <f>$AA75*#REF!</f>
        <v>#REF!</v>
      </c>
      <c r="AO75" s="44" t="e">
        <f>$AA75*#REF!</f>
        <v>#REF!</v>
      </c>
      <c r="AP75" s="44" t="e">
        <f>$AA75*#REF!</f>
        <v>#REF!</v>
      </c>
      <c r="AQ75" s="44" t="e">
        <f>$AA75*#REF!</f>
        <v>#REF!</v>
      </c>
    </row>
    <row r="76" spans="26:43" x14ac:dyDescent="0.3">
      <c r="Z76" s="23" t="s">
        <v>350</v>
      </c>
      <c r="AA76" s="28">
        <f>AA66</f>
        <v>0</v>
      </c>
      <c r="AB76" s="44" t="e">
        <f>$AA76*#REF!</f>
        <v>#REF!</v>
      </c>
      <c r="AC76" s="44" t="e">
        <f>$AA76*#REF!</f>
        <v>#REF!</v>
      </c>
      <c r="AD76" s="44" t="e">
        <f>$AA76*#REF!</f>
        <v>#REF!</v>
      </c>
      <c r="AE76" s="44" t="e">
        <f>$AA76*#REF!</f>
        <v>#REF!</v>
      </c>
      <c r="AF76" s="44" t="e">
        <f>$AA76*#REF!</f>
        <v>#REF!</v>
      </c>
      <c r="AG76" s="44" t="e">
        <f>$AA76*#REF!</f>
        <v>#REF!</v>
      </c>
      <c r="AH76" s="44" t="e">
        <f>$AA76*#REF!</f>
        <v>#REF!</v>
      </c>
      <c r="AI76" s="44" t="e">
        <f>$AA76*#REF!</f>
        <v>#REF!</v>
      </c>
      <c r="AJ76" s="44" t="e">
        <f>$AA76*#REF!</f>
        <v>#REF!</v>
      </c>
      <c r="AK76" s="44" t="e">
        <f>$AA76*#REF!</f>
        <v>#REF!</v>
      </c>
      <c r="AL76" s="44" t="e">
        <f>$AA76*#REF!</f>
        <v>#REF!</v>
      </c>
      <c r="AM76" s="44" t="e">
        <f>$AA76*#REF!</f>
        <v>#REF!</v>
      </c>
      <c r="AN76" s="44" t="e">
        <f>$AA76*#REF!</f>
        <v>#REF!</v>
      </c>
      <c r="AO76" s="44" t="e">
        <f>$AA76*#REF!</f>
        <v>#REF!</v>
      </c>
      <c r="AP76" s="44" t="e">
        <f>$AA76*#REF!</f>
        <v>#REF!</v>
      </c>
      <c r="AQ76" s="44" t="e">
        <f>$AA76*#REF!</f>
        <v>#REF!</v>
      </c>
    </row>
    <row r="77" spans="26:43" x14ac:dyDescent="0.3">
      <c r="Z77" s="23" t="s">
        <v>351</v>
      </c>
      <c r="AB77" s="45" t="e">
        <f t="shared" ref="AB77:AQ77" si="8">SUM(AB56:AB76)</f>
        <v>#REF!</v>
      </c>
      <c r="AC77" s="45" t="e">
        <f t="shared" si="8"/>
        <v>#REF!</v>
      </c>
      <c r="AD77" s="45" t="e">
        <f t="shared" si="8"/>
        <v>#REF!</v>
      </c>
      <c r="AE77" s="45" t="e">
        <f t="shared" si="8"/>
        <v>#REF!</v>
      </c>
      <c r="AF77" s="45" t="e">
        <f t="shared" si="8"/>
        <v>#REF!</v>
      </c>
      <c r="AG77" s="45" t="e">
        <f t="shared" si="8"/>
        <v>#REF!</v>
      </c>
      <c r="AH77" s="45" t="e">
        <f t="shared" si="8"/>
        <v>#REF!</v>
      </c>
      <c r="AI77" s="45" t="e">
        <f t="shared" si="8"/>
        <v>#REF!</v>
      </c>
      <c r="AJ77" s="45" t="e">
        <f t="shared" si="8"/>
        <v>#REF!</v>
      </c>
      <c r="AK77" s="45" t="e">
        <f t="shared" si="8"/>
        <v>#REF!</v>
      </c>
      <c r="AL77" s="45" t="e">
        <f t="shared" si="8"/>
        <v>#REF!</v>
      </c>
      <c r="AM77" s="45" t="e">
        <f t="shared" si="8"/>
        <v>#REF!</v>
      </c>
      <c r="AN77" s="45" t="e">
        <f t="shared" si="8"/>
        <v>#REF!</v>
      </c>
      <c r="AO77" s="45" t="e">
        <f t="shared" si="8"/>
        <v>#REF!</v>
      </c>
      <c r="AP77" s="45" t="e">
        <f t="shared" si="8"/>
        <v>#REF!</v>
      </c>
      <c r="AQ77" s="45" t="e">
        <f t="shared" si="8"/>
        <v>#REF!</v>
      </c>
    </row>
    <row r="78" spans="26:43" x14ac:dyDescent="0.3">
      <c r="Z78" s="31" t="s">
        <v>352</v>
      </c>
      <c r="AB78" s="108" t="e">
        <f>AB77/(AB24+AB50+AB77)</f>
        <v>#REF!</v>
      </c>
      <c r="AC78" s="108" t="e">
        <f t="shared" ref="AC78:AQ78" si="9">AC77/(AC24+AC50+AC77)</f>
        <v>#REF!</v>
      </c>
      <c r="AD78" s="108" t="e">
        <f t="shared" si="9"/>
        <v>#REF!</v>
      </c>
      <c r="AE78" s="108" t="e">
        <f t="shared" si="9"/>
        <v>#REF!</v>
      </c>
      <c r="AF78" s="108" t="e">
        <f t="shared" si="9"/>
        <v>#REF!</v>
      </c>
      <c r="AG78" s="108" t="e">
        <f t="shared" si="9"/>
        <v>#REF!</v>
      </c>
      <c r="AH78" s="108" t="e">
        <f t="shared" si="9"/>
        <v>#REF!</v>
      </c>
      <c r="AI78" s="108" t="e">
        <f t="shared" si="9"/>
        <v>#REF!</v>
      </c>
      <c r="AJ78" s="108" t="e">
        <f t="shared" si="9"/>
        <v>#REF!</v>
      </c>
      <c r="AK78" s="108" t="e">
        <f t="shared" si="9"/>
        <v>#REF!</v>
      </c>
      <c r="AL78" s="108" t="e">
        <f t="shared" si="9"/>
        <v>#REF!</v>
      </c>
      <c r="AM78" s="108" t="e">
        <f t="shared" si="9"/>
        <v>#REF!</v>
      </c>
      <c r="AN78" s="108" t="e">
        <f t="shared" si="9"/>
        <v>#REF!</v>
      </c>
      <c r="AO78" s="108" t="e">
        <f t="shared" si="9"/>
        <v>#REF!</v>
      </c>
      <c r="AP78" s="108" t="e">
        <f t="shared" si="9"/>
        <v>#REF!</v>
      </c>
      <c r="AQ78" s="108" t="e">
        <f t="shared" si="9"/>
        <v>#REF!</v>
      </c>
    </row>
  </sheetData>
  <mergeCells count="5">
    <mergeCell ref="Z1:AQ1"/>
    <mergeCell ref="F1:H1"/>
    <mergeCell ref="J1:K1"/>
    <mergeCell ref="A1:A2"/>
    <mergeCell ref="B1:D1"/>
  </mergeCells>
  <phoneticPr fontId="6"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sheetPr codeName="Sheet7"/>
  <dimension ref="A1:S15"/>
  <sheetViews>
    <sheetView workbookViewId="0">
      <selection sqref="A1:S1"/>
    </sheetView>
  </sheetViews>
  <sheetFormatPr defaultRowHeight="14.4" x14ac:dyDescent="0.3"/>
  <cols>
    <col min="1" max="1" width="21.33203125" customWidth="1"/>
    <col min="2" max="2" width="26.109375" customWidth="1"/>
    <col min="19" max="19" width="24.6640625" customWidth="1"/>
  </cols>
  <sheetData>
    <row r="1" spans="1:19" ht="24" customHeight="1" x14ac:dyDescent="0.3">
      <c r="A1" s="807" t="str">
        <f>"Thermostat Setpoints - "&amp;Prototype!A2</f>
        <v>Thermostat Setpoints - RestaurantSitDown</v>
      </c>
      <c r="B1" s="807"/>
      <c r="C1" s="807"/>
      <c r="D1" s="807"/>
      <c r="E1" s="807"/>
      <c r="F1" s="807"/>
      <c r="G1" s="807"/>
      <c r="H1" s="807"/>
      <c r="I1" s="807"/>
      <c r="J1" s="807"/>
      <c r="K1" s="807"/>
      <c r="L1" s="807"/>
      <c r="M1" s="807"/>
      <c r="N1" s="807"/>
      <c r="O1" s="807"/>
      <c r="P1" s="807"/>
      <c r="Q1" s="807"/>
      <c r="R1" s="807"/>
      <c r="S1" s="807"/>
    </row>
    <row r="2" spans="1:19" ht="27.6" customHeight="1" x14ac:dyDescent="0.3">
      <c r="A2" s="178" t="s">
        <v>159</v>
      </c>
      <c r="B2" s="178" t="s">
        <v>353</v>
      </c>
      <c r="C2" s="179" t="s">
        <v>192</v>
      </c>
      <c r="D2" s="179" t="s">
        <v>193</v>
      </c>
      <c r="E2" s="179" t="s">
        <v>194</v>
      </c>
      <c r="F2" s="179" t="s">
        <v>195</v>
      </c>
      <c r="G2" s="179" t="s">
        <v>196</v>
      </c>
      <c r="H2" s="179" t="s">
        <v>197</v>
      </c>
      <c r="I2" s="179" t="s">
        <v>198</v>
      </c>
      <c r="J2" s="179" t="s">
        <v>199</v>
      </c>
      <c r="K2" s="179" t="s">
        <v>200</v>
      </c>
      <c r="L2" s="179" t="s">
        <v>201</v>
      </c>
      <c r="M2" s="179" t="s">
        <v>202</v>
      </c>
      <c r="N2" s="179" t="s">
        <v>203</v>
      </c>
      <c r="O2" s="179" t="s">
        <v>204</v>
      </c>
      <c r="P2" s="179" t="s">
        <v>205</v>
      </c>
      <c r="Q2" s="179" t="s">
        <v>206</v>
      </c>
      <c r="R2" s="179" t="s">
        <v>207</v>
      </c>
      <c r="S2" s="224" t="s">
        <v>243</v>
      </c>
    </row>
    <row r="3" spans="1:19" ht="20.399999999999999" customHeight="1" x14ac:dyDescent="0.3">
      <c r="A3" s="860" t="s">
        <v>95</v>
      </c>
      <c r="B3" s="712" t="s">
        <v>354</v>
      </c>
      <c r="C3" s="148">
        <v>70</v>
      </c>
      <c r="D3" s="148">
        <v>70</v>
      </c>
      <c r="E3" s="148">
        <v>70</v>
      </c>
      <c r="F3" s="148">
        <v>70</v>
      </c>
      <c r="G3" s="148">
        <v>70</v>
      </c>
      <c r="H3" s="148">
        <v>70</v>
      </c>
      <c r="I3" s="148">
        <v>70</v>
      </c>
      <c r="J3" s="148">
        <v>70</v>
      </c>
      <c r="K3" s="148">
        <v>70</v>
      </c>
      <c r="L3" s="148">
        <v>70</v>
      </c>
      <c r="M3" s="148">
        <v>70</v>
      </c>
      <c r="N3" s="148">
        <v>70</v>
      </c>
      <c r="O3" s="148">
        <v>70</v>
      </c>
      <c r="P3" s="148">
        <v>70</v>
      </c>
      <c r="Q3" s="148">
        <v>70</v>
      </c>
      <c r="R3" s="148">
        <v>70</v>
      </c>
      <c r="S3" s="861" t="s">
        <v>355</v>
      </c>
    </row>
    <row r="4" spans="1:19" ht="20.399999999999999" customHeight="1" x14ac:dyDescent="0.3">
      <c r="A4" s="860"/>
      <c r="B4" s="712" t="s">
        <v>356</v>
      </c>
      <c r="C4" s="148">
        <v>60</v>
      </c>
      <c r="D4" s="148">
        <v>60</v>
      </c>
      <c r="E4" s="148">
        <v>60</v>
      </c>
      <c r="F4" s="148">
        <v>60</v>
      </c>
      <c r="G4" s="148">
        <v>60</v>
      </c>
      <c r="H4" s="148">
        <v>60</v>
      </c>
      <c r="I4" s="148">
        <v>60</v>
      </c>
      <c r="J4" s="148">
        <v>60</v>
      </c>
      <c r="K4" s="148">
        <v>60</v>
      </c>
      <c r="L4" s="148">
        <v>60</v>
      </c>
      <c r="M4" s="148">
        <v>60</v>
      </c>
      <c r="N4" s="148">
        <v>60</v>
      </c>
      <c r="O4" s="148">
        <v>60</v>
      </c>
      <c r="P4" s="148">
        <v>60</v>
      </c>
      <c r="Q4" s="148">
        <v>60</v>
      </c>
      <c r="R4" s="148">
        <v>60</v>
      </c>
      <c r="S4" s="861"/>
    </row>
    <row r="5" spans="1:19" ht="20.399999999999999" customHeight="1" x14ac:dyDescent="0.3">
      <c r="A5" s="860"/>
      <c r="B5" s="712" t="s">
        <v>357</v>
      </c>
      <c r="C5" s="148">
        <v>75</v>
      </c>
      <c r="D5" s="148">
        <v>75</v>
      </c>
      <c r="E5" s="148">
        <v>75</v>
      </c>
      <c r="F5" s="148">
        <v>75</v>
      </c>
      <c r="G5" s="148">
        <v>75</v>
      </c>
      <c r="H5" s="148">
        <v>75</v>
      </c>
      <c r="I5" s="148">
        <v>75</v>
      </c>
      <c r="J5" s="148">
        <v>75</v>
      </c>
      <c r="K5" s="148">
        <v>75</v>
      </c>
      <c r="L5" s="148">
        <v>75</v>
      </c>
      <c r="M5" s="148">
        <v>75</v>
      </c>
      <c r="N5" s="148">
        <v>75</v>
      </c>
      <c r="O5" s="148">
        <v>75</v>
      </c>
      <c r="P5" s="148">
        <v>75</v>
      </c>
      <c r="Q5" s="148">
        <v>75</v>
      </c>
      <c r="R5" s="148">
        <v>75</v>
      </c>
      <c r="S5" s="861"/>
    </row>
    <row r="6" spans="1:19" ht="20.399999999999999" customHeight="1" x14ac:dyDescent="0.3">
      <c r="A6" s="860"/>
      <c r="B6" s="712" t="s">
        <v>358</v>
      </c>
      <c r="C6" s="148">
        <v>85</v>
      </c>
      <c r="D6" s="148">
        <v>85</v>
      </c>
      <c r="E6" s="148">
        <v>85</v>
      </c>
      <c r="F6" s="148">
        <v>85</v>
      </c>
      <c r="G6" s="148">
        <v>85</v>
      </c>
      <c r="H6" s="148">
        <v>85</v>
      </c>
      <c r="I6" s="148">
        <v>85</v>
      </c>
      <c r="J6" s="148">
        <v>85</v>
      </c>
      <c r="K6" s="148">
        <v>85</v>
      </c>
      <c r="L6" s="148">
        <v>85</v>
      </c>
      <c r="M6" s="148">
        <v>85</v>
      </c>
      <c r="N6" s="148">
        <v>85</v>
      </c>
      <c r="O6" s="148">
        <v>85</v>
      </c>
      <c r="P6" s="148">
        <v>85</v>
      </c>
      <c r="Q6" s="148">
        <v>85</v>
      </c>
      <c r="R6" s="148">
        <v>85</v>
      </c>
      <c r="S6" s="861"/>
    </row>
    <row r="7" spans="1:19" ht="20.399999999999999" customHeight="1" x14ac:dyDescent="0.3">
      <c r="A7" s="860" t="s">
        <v>96</v>
      </c>
      <c r="B7" s="712" t="s">
        <v>354</v>
      </c>
      <c r="C7" s="148">
        <v>66</v>
      </c>
      <c r="D7" s="148">
        <v>66</v>
      </c>
      <c r="E7" s="148">
        <v>66</v>
      </c>
      <c r="F7" s="148">
        <v>66</v>
      </c>
      <c r="G7" s="148">
        <v>66</v>
      </c>
      <c r="H7" s="148">
        <v>66</v>
      </c>
      <c r="I7" s="148">
        <v>66</v>
      </c>
      <c r="J7" s="148">
        <v>66</v>
      </c>
      <c r="K7" s="148">
        <v>66</v>
      </c>
      <c r="L7" s="148">
        <v>66</v>
      </c>
      <c r="M7" s="148">
        <v>66</v>
      </c>
      <c r="N7" s="148">
        <v>66</v>
      </c>
      <c r="O7" s="148">
        <v>66</v>
      </c>
      <c r="P7" s="148">
        <v>66</v>
      </c>
      <c r="Q7" s="148">
        <v>66</v>
      </c>
      <c r="R7" s="148">
        <v>66</v>
      </c>
      <c r="S7" s="862" t="s">
        <v>359</v>
      </c>
    </row>
    <row r="8" spans="1:19" ht="20.399999999999999" customHeight="1" x14ac:dyDescent="0.3">
      <c r="A8" s="860"/>
      <c r="B8" s="712" t="s">
        <v>356</v>
      </c>
      <c r="C8" s="148">
        <v>60</v>
      </c>
      <c r="D8" s="148">
        <v>60</v>
      </c>
      <c r="E8" s="148">
        <v>60</v>
      </c>
      <c r="F8" s="148">
        <v>60</v>
      </c>
      <c r="G8" s="148">
        <v>60</v>
      </c>
      <c r="H8" s="148">
        <v>60</v>
      </c>
      <c r="I8" s="148">
        <v>60</v>
      </c>
      <c r="J8" s="148">
        <v>60</v>
      </c>
      <c r="K8" s="148">
        <v>60</v>
      </c>
      <c r="L8" s="148">
        <v>60</v>
      </c>
      <c r="M8" s="148">
        <v>60</v>
      </c>
      <c r="N8" s="148">
        <v>60</v>
      </c>
      <c r="O8" s="148">
        <v>60</v>
      </c>
      <c r="P8" s="148">
        <v>60</v>
      </c>
      <c r="Q8" s="148">
        <v>60</v>
      </c>
      <c r="R8" s="148">
        <v>60</v>
      </c>
      <c r="S8" s="862"/>
    </row>
    <row r="9" spans="1:19" ht="20.399999999999999" customHeight="1" x14ac:dyDescent="0.3">
      <c r="A9" s="860"/>
      <c r="B9" s="712" t="s">
        <v>357</v>
      </c>
      <c r="C9" s="148">
        <v>79</v>
      </c>
      <c r="D9" s="148">
        <v>79</v>
      </c>
      <c r="E9" s="148">
        <v>79</v>
      </c>
      <c r="F9" s="148">
        <v>79</v>
      </c>
      <c r="G9" s="148">
        <v>79</v>
      </c>
      <c r="H9" s="148">
        <v>79</v>
      </c>
      <c r="I9" s="148">
        <v>79</v>
      </c>
      <c r="J9" s="148">
        <v>79</v>
      </c>
      <c r="K9" s="148">
        <v>79</v>
      </c>
      <c r="L9" s="148">
        <v>79</v>
      </c>
      <c r="M9" s="148">
        <v>79</v>
      </c>
      <c r="N9" s="148">
        <v>79</v>
      </c>
      <c r="O9" s="148">
        <v>79</v>
      </c>
      <c r="P9" s="148">
        <v>79</v>
      </c>
      <c r="Q9" s="148">
        <v>79</v>
      </c>
      <c r="R9" s="148">
        <v>79</v>
      </c>
      <c r="S9" s="862"/>
    </row>
    <row r="10" spans="1:19" ht="20.399999999999999" customHeight="1" x14ac:dyDescent="0.3">
      <c r="A10" s="860"/>
      <c r="B10" s="712" t="s">
        <v>358</v>
      </c>
      <c r="C10" s="148">
        <v>86</v>
      </c>
      <c r="D10" s="148">
        <v>86</v>
      </c>
      <c r="E10" s="148">
        <v>86</v>
      </c>
      <c r="F10" s="148">
        <v>86</v>
      </c>
      <c r="G10" s="148">
        <v>86</v>
      </c>
      <c r="H10" s="148">
        <v>86</v>
      </c>
      <c r="I10" s="148">
        <v>86</v>
      </c>
      <c r="J10" s="148">
        <v>86</v>
      </c>
      <c r="K10" s="148">
        <v>86</v>
      </c>
      <c r="L10" s="148">
        <v>86</v>
      </c>
      <c r="M10" s="148">
        <v>86</v>
      </c>
      <c r="N10" s="148">
        <v>86</v>
      </c>
      <c r="O10" s="148">
        <v>86</v>
      </c>
      <c r="P10" s="148">
        <v>86</v>
      </c>
      <c r="Q10" s="148">
        <v>86</v>
      </c>
      <c r="R10" s="148">
        <v>86</v>
      </c>
      <c r="S10" s="862"/>
    </row>
    <row r="12" spans="1:19" x14ac:dyDescent="0.3">
      <c r="A12" s="322" t="s">
        <v>360</v>
      </c>
      <c r="B12" s="322"/>
      <c r="C12" s="322"/>
      <c r="D12" s="322"/>
      <c r="E12" s="322"/>
      <c r="F12" s="322"/>
    </row>
    <row r="13" spans="1:19" x14ac:dyDescent="0.3">
      <c r="A13" s="322" t="s">
        <v>361</v>
      </c>
      <c r="B13" s="465"/>
      <c r="C13" s="322"/>
      <c r="D13" s="322"/>
      <c r="E13" s="322"/>
      <c r="F13" s="322"/>
    </row>
    <row r="15" spans="1:19" x14ac:dyDescent="0.3">
      <c r="A15" s="322" t="s">
        <v>362</v>
      </c>
    </row>
  </sheetData>
  <mergeCells count="5">
    <mergeCell ref="A3:A6"/>
    <mergeCell ref="A1:S1"/>
    <mergeCell ref="S3:S6"/>
    <mergeCell ref="A7:A10"/>
    <mergeCell ref="S7:S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197"/>
  <sheetViews>
    <sheetView zoomScale="70" zoomScaleNormal="70" workbookViewId="0">
      <selection sqref="A1:K1"/>
    </sheetView>
  </sheetViews>
  <sheetFormatPr defaultColWidth="9.33203125" defaultRowHeight="13.8" x14ac:dyDescent="0.25"/>
  <cols>
    <col min="1" max="1" width="32.44140625" style="168" customWidth="1"/>
    <col min="2" max="2" width="15.33203125" style="168" customWidth="1"/>
    <col min="3" max="3" width="19.33203125" style="168" customWidth="1"/>
    <col min="4" max="4" width="31.5546875" style="168" customWidth="1"/>
    <col min="5" max="5" width="27.33203125" style="168" customWidth="1"/>
    <col min="6" max="6" width="31.44140625" style="168" customWidth="1"/>
    <col min="7" max="7" width="16" style="168" customWidth="1"/>
    <col min="8" max="8" width="15.33203125" style="168" customWidth="1"/>
    <col min="9" max="9" width="16.88671875" style="168" customWidth="1"/>
    <col min="10" max="10" width="13.6640625" style="168" customWidth="1"/>
    <col min="11" max="11" width="30.5546875" style="168" customWidth="1"/>
    <col min="12" max="12" width="13.6640625" style="168" customWidth="1"/>
    <col min="13" max="13" width="11.6640625" style="168" customWidth="1"/>
    <col min="14" max="14" width="13.6640625" style="168" customWidth="1"/>
    <col min="15" max="15" width="12.33203125" style="168" customWidth="1"/>
    <col min="16" max="16" width="13.6640625" style="168" customWidth="1"/>
    <col min="17" max="17" width="12.33203125" style="168" customWidth="1"/>
    <col min="18" max="18" width="13.6640625" style="168" customWidth="1"/>
    <col min="19" max="19" width="11.6640625" style="168" customWidth="1"/>
    <col min="20" max="21" width="10.6640625" style="168" customWidth="1"/>
    <col min="22" max="22" width="9.33203125" style="168"/>
    <col min="23" max="27" width="11.33203125" style="168" customWidth="1"/>
    <col min="28" max="16384" width="9.33203125" style="168"/>
  </cols>
  <sheetData>
    <row r="1" spans="1:11" ht="24.6" customHeight="1" x14ac:dyDescent="0.25">
      <c r="A1" s="807" t="str">
        <f>"Outdoor Airflow Rate - "&amp;Prototype!A2</f>
        <v>Outdoor Airflow Rate - RestaurantSitDown</v>
      </c>
      <c r="B1" s="807"/>
      <c r="C1" s="807"/>
      <c r="D1" s="807"/>
      <c r="E1" s="807"/>
      <c r="F1" s="807"/>
      <c r="G1" s="807"/>
      <c r="H1" s="807"/>
      <c r="I1" s="807"/>
      <c r="J1" s="807"/>
      <c r="K1" s="807"/>
    </row>
    <row r="2" spans="1:11" ht="43.2" customHeight="1" x14ac:dyDescent="0.25">
      <c r="A2" s="242" t="s">
        <v>159</v>
      </c>
      <c r="B2" s="254" t="s">
        <v>168</v>
      </c>
      <c r="C2" s="254" t="s">
        <v>363</v>
      </c>
      <c r="D2" s="249" t="s">
        <v>364</v>
      </c>
      <c r="E2" s="249" t="s">
        <v>365</v>
      </c>
      <c r="F2" s="249" t="s">
        <v>366</v>
      </c>
      <c r="G2" s="249" t="s">
        <v>367</v>
      </c>
      <c r="H2" s="249" t="s">
        <v>368</v>
      </c>
      <c r="I2" s="249" t="s">
        <v>369</v>
      </c>
      <c r="J2" s="242" t="s">
        <v>370</v>
      </c>
      <c r="K2" s="242" t="s">
        <v>42</v>
      </c>
    </row>
    <row r="3" spans="1:11" ht="28.95" customHeight="1" x14ac:dyDescent="0.25">
      <c r="A3" s="255" t="str">
        <f>Zones!B3</f>
        <v>Dining</v>
      </c>
      <c r="B3" s="248">
        <f>Zones!K3</f>
        <v>132.04818</v>
      </c>
      <c r="C3" s="248">
        <f>Zones!H3</f>
        <v>4001.46</v>
      </c>
      <c r="D3" s="248">
        <v>15</v>
      </c>
      <c r="E3" s="708">
        <v>0.15</v>
      </c>
      <c r="F3" s="462" t="s">
        <v>371</v>
      </c>
      <c r="G3" s="251">
        <f>B3*D3</f>
        <v>1980.7227</v>
      </c>
      <c r="H3" s="251">
        <f t="shared" ref="G3:H4" si="0">C3*E3</f>
        <v>600.21899999999994</v>
      </c>
      <c r="I3" s="252">
        <f>4*50</f>
        <v>200</v>
      </c>
      <c r="J3" s="251">
        <f>MAX(G3:I3)</f>
        <v>1980.7227</v>
      </c>
      <c r="K3" s="309"/>
    </row>
    <row r="4" spans="1:11" ht="28.95" customHeight="1" x14ac:dyDescent="0.25">
      <c r="A4" s="255" t="str">
        <f>Zones!B4</f>
        <v>Kitchen</v>
      </c>
      <c r="B4" s="248">
        <f>Zones!K4</f>
        <v>4.5016499999999997</v>
      </c>
      <c r="C4" s="248">
        <f>Zones!H4</f>
        <v>1500.55</v>
      </c>
      <c r="D4" s="248">
        <v>15</v>
      </c>
      <c r="E4" s="708">
        <v>0.15</v>
      </c>
      <c r="F4" s="256" t="s">
        <v>372</v>
      </c>
      <c r="G4" s="251">
        <f t="shared" si="0"/>
        <v>67.524749999999997</v>
      </c>
      <c r="H4" s="251">
        <f t="shared" si="0"/>
        <v>225.08249999999998</v>
      </c>
      <c r="I4" s="466">
        <f>0.7*C4</f>
        <v>1050.385</v>
      </c>
      <c r="J4" s="251">
        <f t="shared" ref="J4" si="1">MAX(G4:I4)</f>
        <v>1050.385</v>
      </c>
      <c r="K4" s="309"/>
    </row>
    <row r="5" spans="1:11" ht="28.95" customHeight="1" x14ac:dyDescent="0.25">
      <c r="A5" s="255" t="str">
        <f>Zones!B5</f>
        <v>Attic</v>
      </c>
      <c r="B5" s="255"/>
      <c r="C5" s="255"/>
      <c r="D5" s="255"/>
      <c r="E5" s="255"/>
      <c r="F5" s="255"/>
      <c r="G5" s="255"/>
      <c r="H5" s="255"/>
      <c r="I5" s="255"/>
      <c r="J5" s="255"/>
      <c r="K5" s="255"/>
    </row>
    <row r="6" spans="1:11" x14ac:dyDescent="0.25">
      <c r="A6" s="122"/>
      <c r="B6" s="122"/>
      <c r="C6" s="122"/>
      <c r="D6" s="122"/>
      <c r="E6" s="122"/>
      <c r="F6" s="122"/>
      <c r="G6" s="122"/>
      <c r="H6" s="122"/>
      <c r="I6" s="122"/>
      <c r="J6" s="122"/>
      <c r="K6" s="122"/>
    </row>
    <row r="7" spans="1:11" x14ac:dyDescent="0.25">
      <c r="A7" s="192" t="s">
        <v>373</v>
      </c>
      <c r="B7" s="124"/>
      <c r="C7" s="124"/>
      <c r="D7" s="124"/>
      <c r="E7" s="124"/>
      <c r="F7" s="122"/>
      <c r="G7" s="122"/>
      <c r="H7" s="122"/>
      <c r="I7" s="122"/>
      <c r="J7" s="122"/>
      <c r="K7" s="122"/>
    </row>
    <row r="8" spans="1:11" x14ac:dyDescent="0.25">
      <c r="A8" s="124"/>
      <c r="B8" s="124"/>
      <c r="C8" s="124"/>
      <c r="D8" s="124"/>
      <c r="E8" s="124"/>
      <c r="F8" s="122"/>
      <c r="G8" s="122"/>
      <c r="H8" s="122"/>
      <c r="I8" s="122"/>
      <c r="J8" s="122"/>
      <c r="K8" s="122"/>
    </row>
    <row r="9" spans="1:11" x14ac:dyDescent="0.25">
      <c r="A9" s="122"/>
      <c r="B9" s="122"/>
      <c r="C9" s="122"/>
      <c r="D9" s="122"/>
      <c r="E9" s="122"/>
      <c r="F9" s="122"/>
      <c r="G9" s="122"/>
      <c r="H9" s="122"/>
      <c r="I9" s="122"/>
      <c r="J9" s="122"/>
      <c r="K9" s="122"/>
    </row>
    <row r="10" spans="1:11" ht="15.6" customHeight="1" x14ac:dyDescent="0.25">
      <c r="A10" s="867" t="s">
        <v>374</v>
      </c>
      <c r="B10" s="867"/>
      <c r="C10" s="867"/>
      <c r="D10" s="867"/>
      <c r="E10" s="867"/>
      <c r="F10" s="867"/>
      <c r="G10" s="302"/>
      <c r="H10" s="302"/>
      <c r="I10" s="302"/>
      <c r="J10" s="302"/>
      <c r="K10" s="122"/>
    </row>
    <row r="11" spans="1:11" ht="52.8" x14ac:dyDescent="0.25">
      <c r="A11" s="863" t="s">
        <v>375</v>
      </c>
      <c r="B11" s="864"/>
      <c r="C11" s="300" t="s">
        <v>376</v>
      </c>
      <c r="D11" s="300" t="s">
        <v>377</v>
      </c>
      <c r="E11" s="301" t="s">
        <v>378</v>
      </c>
      <c r="F11" s="301" t="s">
        <v>379</v>
      </c>
      <c r="G11" s="753"/>
      <c r="H11" s="721"/>
      <c r="I11" s="721"/>
      <c r="J11" s="721"/>
      <c r="K11" s="122"/>
    </row>
    <row r="12" spans="1:11" ht="21" customHeight="1" x14ac:dyDescent="0.25">
      <c r="A12" s="865" t="s">
        <v>380</v>
      </c>
      <c r="B12" s="866"/>
      <c r="C12" s="325">
        <v>210</v>
      </c>
      <c r="D12" s="326">
        <f>B26</f>
        <v>21.5</v>
      </c>
      <c r="E12" s="328">
        <f>D12*C12</f>
        <v>4515</v>
      </c>
      <c r="F12" s="754"/>
      <c r="G12" s="184"/>
      <c r="H12" s="184"/>
      <c r="I12" s="184"/>
      <c r="J12" s="721"/>
      <c r="K12" s="122"/>
    </row>
    <row r="13" spans="1:11" x14ac:dyDescent="0.25">
      <c r="A13" s="268"/>
      <c r="B13" s="268"/>
      <c r="C13" s="268"/>
      <c r="D13" s="324"/>
      <c r="E13" s="183"/>
      <c r="F13" s="707"/>
      <c r="G13" s="184"/>
      <c r="H13" s="184"/>
      <c r="I13" s="184"/>
      <c r="J13" s="721"/>
      <c r="K13" s="122"/>
    </row>
    <row r="14" spans="1:11" x14ac:dyDescent="0.25">
      <c r="A14" s="183" t="s">
        <v>381</v>
      </c>
      <c r="B14" s="721"/>
      <c r="C14" s="721"/>
      <c r="D14" s="721"/>
      <c r="E14" s="721"/>
      <c r="F14" s="721"/>
      <c r="G14" s="721"/>
      <c r="H14" s="721"/>
      <c r="I14" s="721"/>
      <c r="J14" s="721"/>
      <c r="K14" s="122"/>
    </row>
    <row r="15" spans="1:11" x14ac:dyDescent="0.25">
      <c r="A15" s="183"/>
      <c r="B15" s="184"/>
      <c r="C15" s="184"/>
      <c r="D15" s="721"/>
      <c r="E15" s="184"/>
      <c r="F15" s="184"/>
      <c r="G15" s="184"/>
      <c r="H15" s="184"/>
      <c r="I15" s="184"/>
      <c r="J15" s="721"/>
      <c r="K15" s="122"/>
    </row>
    <row r="16" spans="1:11" ht="19.2" customHeight="1" x14ac:dyDescent="0.25">
      <c r="A16" s="871" t="s">
        <v>382</v>
      </c>
      <c r="B16" s="871"/>
      <c r="C16" s="871"/>
      <c r="D16" s="871"/>
      <c r="E16" s="327"/>
      <c r="F16" s="184"/>
      <c r="G16" s="184"/>
      <c r="H16" s="184"/>
      <c r="I16" s="184"/>
      <c r="J16" s="721"/>
      <c r="K16" s="122"/>
    </row>
    <row r="17" spans="1:27" x14ac:dyDescent="0.25">
      <c r="A17" s="300" t="s">
        <v>383</v>
      </c>
      <c r="B17" s="300" t="s">
        <v>3</v>
      </c>
      <c r="C17" s="300" t="s">
        <v>384</v>
      </c>
      <c r="D17" s="300" t="s">
        <v>243</v>
      </c>
      <c r="E17" s="184"/>
      <c r="F17" s="184"/>
      <c r="G17" s="184"/>
      <c r="H17" s="184"/>
      <c r="I17" s="184"/>
      <c r="J17" s="721"/>
      <c r="K17" s="122"/>
      <c r="L17" s="122"/>
      <c r="M17" s="122"/>
      <c r="N17" s="122"/>
      <c r="O17" s="122"/>
      <c r="P17" s="122"/>
      <c r="Q17" s="122"/>
      <c r="R17" s="122"/>
      <c r="S17" s="122"/>
      <c r="T17" s="122"/>
      <c r="U17" s="122"/>
      <c r="V17" s="122"/>
      <c r="W17" s="122"/>
      <c r="X17" s="122"/>
      <c r="Y17" s="122"/>
      <c r="Z17" s="122"/>
      <c r="AA17" s="122"/>
    </row>
    <row r="18" spans="1:27" ht="13.95" customHeight="1" x14ac:dyDescent="0.25">
      <c r="A18" s="452" t="s">
        <v>385</v>
      </c>
      <c r="B18" s="708">
        <v>3</v>
      </c>
      <c r="C18" s="708">
        <v>3.75</v>
      </c>
      <c r="D18" s="872" t="s">
        <v>386</v>
      </c>
      <c r="E18" s="184"/>
      <c r="F18" s="184"/>
      <c r="G18" s="184"/>
      <c r="H18" s="184"/>
      <c r="I18" s="184"/>
      <c r="J18" s="721"/>
      <c r="K18" s="122"/>
      <c r="L18" s="122"/>
      <c r="M18" s="122"/>
      <c r="N18" s="122"/>
      <c r="O18" s="122"/>
      <c r="P18" s="122"/>
      <c r="Q18" s="122"/>
      <c r="R18" s="122"/>
      <c r="S18" s="122"/>
      <c r="T18" s="122"/>
      <c r="U18" s="122"/>
      <c r="V18" s="122"/>
      <c r="W18" s="122"/>
      <c r="X18" s="122"/>
      <c r="Y18" s="122"/>
      <c r="Z18" s="122"/>
      <c r="AA18" s="122"/>
    </row>
    <row r="19" spans="1:27" ht="37.950000000000003" customHeight="1" x14ac:dyDescent="0.25">
      <c r="A19" s="453" t="s">
        <v>387</v>
      </c>
      <c r="B19" s="451">
        <v>1</v>
      </c>
      <c r="C19" s="708">
        <v>1.25</v>
      </c>
      <c r="D19" s="872"/>
      <c r="E19" s="184"/>
      <c r="F19" s="184"/>
      <c r="G19" s="184"/>
      <c r="H19" s="184"/>
      <c r="I19" s="184"/>
      <c r="J19" s="122"/>
      <c r="K19" s="122"/>
      <c r="L19" s="122"/>
      <c r="M19" s="122"/>
      <c r="N19" s="122"/>
      <c r="O19" s="122"/>
      <c r="P19" s="122"/>
      <c r="Q19" s="122"/>
      <c r="R19" s="122"/>
      <c r="S19" s="122"/>
      <c r="T19" s="122"/>
      <c r="U19" s="122"/>
      <c r="V19" s="122"/>
      <c r="W19" s="122"/>
      <c r="X19" s="122"/>
      <c r="Y19" s="122"/>
      <c r="Z19" s="122"/>
      <c r="AA19" s="122"/>
    </row>
    <row r="20" spans="1:27" x14ac:dyDescent="0.25">
      <c r="A20" s="452" t="s">
        <v>388</v>
      </c>
      <c r="B20" s="708">
        <v>1</v>
      </c>
      <c r="C20" s="708">
        <v>6</v>
      </c>
      <c r="D20" s="872"/>
      <c r="E20" s="184"/>
      <c r="F20" s="184"/>
      <c r="G20" s="184"/>
      <c r="H20" s="184"/>
      <c r="I20" s="184"/>
      <c r="J20" s="122"/>
      <c r="K20" s="122"/>
      <c r="L20" s="122"/>
      <c r="M20" s="122"/>
      <c r="N20" s="122"/>
      <c r="O20" s="122"/>
      <c r="P20" s="122"/>
      <c r="Q20" s="122"/>
      <c r="R20" s="122"/>
      <c r="S20" s="122"/>
      <c r="T20" s="122"/>
      <c r="U20" s="122"/>
      <c r="V20" s="122"/>
      <c r="W20" s="122"/>
      <c r="X20" s="122"/>
      <c r="Y20" s="122"/>
      <c r="Z20" s="122"/>
      <c r="AA20" s="122"/>
    </row>
    <row r="21" spans="1:27" ht="13.95" customHeight="1" x14ac:dyDescent="0.25">
      <c r="A21" s="452" t="s">
        <v>389</v>
      </c>
      <c r="B21" s="708">
        <v>1</v>
      </c>
      <c r="C21" s="708">
        <v>1</v>
      </c>
      <c r="D21" s="872"/>
      <c r="E21" s="122"/>
      <c r="F21" s="122"/>
      <c r="G21" s="122"/>
      <c r="H21" s="122"/>
      <c r="I21" s="122"/>
      <c r="J21" s="122"/>
      <c r="K21" s="122"/>
      <c r="L21" s="122"/>
      <c r="M21" s="122"/>
      <c r="N21" s="122"/>
      <c r="O21" s="122"/>
      <c r="P21" s="122"/>
      <c r="Q21" s="122"/>
      <c r="R21" s="122"/>
      <c r="S21" s="122"/>
      <c r="T21" s="122"/>
      <c r="U21" s="122"/>
      <c r="V21" s="122"/>
      <c r="W21" s="122"/>
      <c r="X21" s="122"/>
      <c r="Y21" s="122"/>
      <c r="Z21" s="122"/>
      <c r="AA21" s="122"/>
    </row>
    <row r="22" spans="1:27" ht="13.95" customHeight="1" x14ac:dyDescent="0.25">
      <c r="A22" s="452" t="s">
        <v>390</v>
      </c>
      <c r="B22" s="708">
        <v>4</v>
      </c>
      <c r="C22" s="708">
        <v>2</v>
      </c>
      <c r="D22" s="872"/>
      <c r="E22" s="122"/>
      <c r="F22" s="122"/>
      <c r="G22" s="122"/>
      <c r="H22" s="122"/>
      <c r="I22" s="122"/>
      <c r="J22" s="122"/>
      <c r="K22" s="122"/>
      <c r="L22" s="122"/>
      <c r="M22" s="122"/>
      <c r="N22" s="122"/>
      <c r="O22" s="122"/>
      <c r="P22" s="122"/>
      <c r="Q22" s="122"/>
      <c r="R22" s="122"/>
      <c r="S22" s="122"/>
      <c r="T22" s="122"/>
      <c r="U22" s="122"/>
      <c r="V22" s="122"/>
      <c r="W22" s="122"/>
      <c r="X22" s="122"/>
      <c r="Y22" s="122"/>
      <c r="Z22" s="122"/>
      <c r="AA22" s="122"/>
    </row>
    <row r="23" spans="1:27" x14ac:dyDescent="0.25">
      <c r="A23" s="449" t="s">
        <v>391</v>
      </c>
      <c r="B23" s="708">
        <v>1</v>
      </c>
      <c r="C23" s="708">
        <v>4</v>
      </c>
      <c r="D23" s="872"/>
      <c r="E23" s="122"/>
      <c r="F23" s="122"/>
      <c r="G23" s="122"/>
      <c r="H23" s="122"/>
      <c r="I23" s="122"/>
      <c r="J23" s="122"/>
      <c r="K23" s="122"/>
      <c r="L23" s="122"/>
      <c r="M23" s="122"/>
      <c r="N23" s="122"/>
      <c r="O23" s="122"/>
      <c r="P23" s="122"/>
      <c r="Q23" s="122"/>
      <c r="R23" s="122"/>
      <c r="S23" s="122"/>
      <c r="T23" s="122"/>
      <c r="U23" s="122"/>
      <c r="V23" s="122"/>
      <c r="W23" s="122"/>
      <c r="X23" s="122"/>
      <c r="Y23" s="122"/>
      <c r="Z23" s="122"/>
      <c r="AA23" s="122"/>
    </row>
    <row r="24" spans="1:27" ht="26.4" x14ac:dyDescent="0.25">
      <c r="A24" s="755" t="s">
        <v>392</v>
      </c>
      <c r="B24" s="756">
        <v>1</v>
      </c>
      <c r="C24" s="756">
        <v>2.5</v>
      </c>
      <c r="D24" s="454" t="s">
        <v>393</v>
      </c>
      <c r="E24" s="122"/>
      <c r="F24" s="122"/>
      <c r="G24" s="122"/>
      <c r="H24" s="122"/>
      <c r="I24" s="122"/>
      <c r="J24" s="122"/>
      <c r="K24" s="122"/>
      <c r="L24" s="122"/>
      <c r="M24" s="122"/>
      <c r="N24" s="122"/>
      <c r="O24" s="122"/>
      <c r="P24" s="122"/>
      <c r="Q24" s="122"/>
      <c r="R24" s="122"/>
      <c r="S24" s="122"/>
      <c r="T24" s="122"/>
      <c r="U24" s="122"/>
      <c r="V24" s="122"/>
      <c r="W24" s="122"/>
      <c r="X24" s="122"/>
      <c r="Y24" s="122"/>
      <c r="Z24" s="122"/>
      <c r="AA24" s="122"/>
    </row>
    <row r="25" spans="1:27" ht="13.95" customHeight="1" x14ac:dyDescent="0.25">
      <c r="A25" s="450" t="s">
        <v>394</v>
      </c>
      <c r="B25" s="870">
        <f>SUM(C18:C24)</f>
        <v>20.5</v>
      </c>
      <c r="C25" s="870"/>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row>
    <row r="26" spans="1:27" x14ac:dyDescent="0.25">
      <c r="A26" s="323" t="s">
        <v>395</v>
      </c>
      <c r="B26" s="868">
        <f>B25+1</f>
        <v>21.5</v>
      </c>
      <c r="C26" s="869"/>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row>
    <row r="27" spans="1:27" ht="13.95" customHeight="1" x14ac:dyDescent="0.25">
      <c r="A27" s="124"/>
      <c r="B27" s="124"/>
      <c r="C27" s="124"/>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row>
    <row r="28" spans="1:27" x14ac:dyDescent="0.25">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row>
    <row r="29" spans="1:27" ht="15.6" customHeight="1" x14ac:dyDescent="0.25">
      <c r="A29" s="124"/>
      <c r="B29" s="711"/>
      <c r="C29" s="711"/>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row>
    <row r="31" spans="1:27" ht="22.95" customHeight="1" x14ac:dyDescent="0.25">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row>
    <row r="32" spans="1:27" x14ac:dyDescent="0.25">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row>
    <row r="33" spans="1:27" x14ac:dyDescent="0.25">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row>
    <row r="34" spans="1:27" x14ac:dyDescent="0.25">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row>
    <row r="35" spans="1:27" x14ac:dyDescent="0.25">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row>
    <row r="36" spans="1:27" x14ac:dyDescent="0.25">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row>
    <row r="37" spans="1:27" x14ac:dyDescent="0.25">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row>
    <row r="38" spans="1:27" x14ac:dyDescent="0.25">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row>
    <row r="39" spans="1:27" x14ac:dyDescent="0.25">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row>
    <row r="40" spans="1:27" x14ac:dyDescent="0.25">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row>
    <row r="41" spans="1:27" x14ac:dyDescent="0.25">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row>
    <row r="42" spans="1:27" x14ac:dyDescent="0.25">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row>
    <row r="43" spans="1:27" x14ac:dyDescent="0.25">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row>
    <row r="44" spans="1:27" x14ac:dyDescent="0.25">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row>
    <row r="45" spans="1:27" x14ac:dyDescent="0.25">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row>
    <row r="46" spans="1:27" x14ac:dyDescent="0.25">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row>
    <row r="47" spans="1:27" x14ac:dyDescent="0.25">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row>
    <row r="48" spans="1:27" x14ac:dyDescent="0.25">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row>
    <row r="49" spans="1:27" x14ac:dyDescent="0.25">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row>
    <row r="50" spans="1:27" x14ac:dyDescent="0.25">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row>
    <row r="51" spans="1:27" x14ac:dyDescent="0.25">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row>
    <row r="52" spans="1:27" x14ac:dyDescent="0.25">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row>
    <row r="53" spans="1:27" x14ac:dyDescent="0.25">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row>
    <row r="54" spans="1:27" x14ac:dyDescent="0.25">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row>
    <row r="55" spans="1:27" x14ac:dyDescent="0.25">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row>
    <row r="56" spans="1:27" x14ac:dyDescent="0.25">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row>
    <row r="57" spans="1:27" x14ac:dyDescent="0.25">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row>
    <row r="58" spans="1:27" x14ac:dyDescent="0.25">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row>
    <row r="59" spans="1:27" x14ac:dyDescent="0.25">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row>
    <row r="60" spans="1:27" x14ac:dyDescent="0.25">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row>
    <row r="61" spans="1:27" x14ac:dyDescent="0.25">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row>
    <row r="62" spans="1:27" x14ac:dyDescent="0.25">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row>
    <row r="63" spans="1:27" x14ac:dyDescent="0.25">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row>
    <row r="64" spans="1:27" x14ac:dyDescent="0.25">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row>
    <row r="65" spans="1:27" x14ac:dyDescent="0.25">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row>
    <row r="66" spans="1:27" x14ac:dyDescent="0.25">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row>
    <row r="67" spans="1:27" x14ac:dyDescent="0.25">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row>
    <row r="68" spans="1:27" x14ac:dyDescent="0.25">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row>
    <row r="69" spans="1:27" x14ac:dyDescent="0.25">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row>
    <row r="70" spans="1:27" x14ac:dyDescent="0.25">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row>
    <row r="71" spans="1:27" x14ac:dyDescent="0.25">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row>
    <row r="72" spans="1:27" x14ac:dyDescent="0.25">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row>
    <row r="73" spans="1:27" x14ac:dyDescent="0.25">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row>
    <row r="74" spans="1:27" x14ac:dyDescent="0.25">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row>
    <row r="75" spans="1:27" x14ac:dyDescent="0.2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row>
    <row r="76" spans="1:27" x14ac:dyDescent="0.25">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row>
    <row r="77" spans="1:27" x14ac:dyDescent="0.25">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row>
    <row r="78" spans="1:27" x14ac:dyDescent="0.25">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row>
    <row r="79" spans="1:27" x14ac:dyDescent="0.25">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row>
    <row r="80" spans="1:27" x14ac:dyDescent="0.25">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row>
    <row r="81" spans="1:27" x14ac:dyDescent="0.25">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row>
    <row r="82" spans="1:27" x14ac:dyDescent="0.25">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row>
    <row r="83" spans="1:27" x14ac:dyDescent="0.25">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row>
    <row r="84" spans="1:27" x14ac:dyDescent="0.25">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row>
    <row r="85" spans="1:27" x14ac:dyDescent="0.2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row>
    <row r="86" spans="1:27" x14ac:dyDescent="0.25">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row>
    <row r="87" spans="1:27" x14ac:dyDescent="0.25">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row>
    <row r="88" spans="1:27" x14ac:dyDescent="0.25">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row>
    <row r="89" spans="1:27" x14ac:dyDescent="0.25">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row>
    <row r="90" spans="1:27" x14ac:dyDescent="0.25">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row>
    <row r="91" spans="1:27" x14ac:dyDescent="0.25">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row>
    <row r="92" spans="1:27" x14ac:dyDescent="0.25">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row>
    <row r="93" spans="1:27" x14ac:dyDescent="0.25">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row>
    <row r="94" spans="1:27" x14ac:dyDescent="0.25">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row>
    <row r="95" spans="1:27" x14ac:dyDescent="0.2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row>
    <row r="96" spans="1:27" x14ac:dyDescent="0.25">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row>
    <row r="97" spans="1:27" x14ac:dyDescent="0.25">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row>
    <row r="98" spans="1:27" x14ac:dyDescent="0.25">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row>
    <row r="99" spans="1:27" x14ac:dyDescent="0.25">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row>
    <row r="100" spans="1:27" x14ac:dyDescent="0.2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row>
    <row r="101" spans="1:27" x14ac:dyDescent="0.2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row>
    <row r="102" spans="1:27" x14ac:dyDescent="0.2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row>
    <row r="103" spans="1:27" x14ac:dyDescent="0.2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row>
    <row r="104" spans="1:27" x14ac:dyDescent="0.2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row>
    <row r="105" spans="1:27" x14ac:dyDescent="0.2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row>
    <row r="106" spans="1:27" x14ac:dyDescent="0.25">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row>
    <row r="107" spans="1:27" x14ac:dyDescent="0.25">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row>
    <row r="108" spans="1:27" x14ac:dyDescent="0.2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row>
    <row r="109" spans="1:27" x14ac:dyDescent="0.25">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row>
    <row r="110" spans="1:27" x14ac:dyDescent="0.25">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row>
    <row r="111" spans="1:27" x14ac:dyDescent="0.25">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row>
    <row r="112" spans="1:27" x14ac:dyDescent="0.25">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row>
    <row r="113" spans="1:27" x14ac:dyDescent="0.25">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row>
    <row r="114" spans="1:27" x14ac:dyDescent="0.25">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row>
    <row r="115" spans="1:27" x14ac:dyDescent="0.2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row>
    <row r="116" spans="1:27" x14ac:dyDescent="0.25">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row>
    <row r="117" spans="1:27" x14ac:dyDescent="0.25">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row>
    <row r="118" spans="1:27" x14ac:dyDescent="0.25">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row>
    <row r="119" spans="1:27" x14ac:dyDescent="0.25">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row>
    <row r="120" spans="1:27" x14ac:dyDescent="0.25">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row>
    <row r="121" spans="1:27" x14ac:dyDescent="0.25">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row>
    <row r="122" spans="1:27" x14ac:dyDescent="0.25">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row>
    <row r="123" spans="1:27" x14ac:dyDescent="0.25">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row>
    <row r="124" spans="1:27" x14ac:dyDescent="0.25">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row>
    <row r="125" spans="1:27" x14ac:dyDescent="0.2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row>
    <row r="126" spans="1:27" x14ac:dyDescent="0.25">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row>
    <row r="127" spans="1:27" x14ac:dyDescent="0.25">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row>
    <row r="128" spans="1:27" x14ac:dyDescent="0.25">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row>
    <row r="129" spans="1:27" x14ac:dyDescent="0.25">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row>
    <row r="130" spans="1:27" x14ac:dyDescent="0.25">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row>
    <row r="131" spans="1:27" x14ac:dyDescent="0.25">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row>
    <row r="132" spans="1:27" x14ac:dyDescent="0.25">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row>
    <row r="133" spans="1:27" x14ac:dyDescent="0.25">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row>
    <row r="134" spans="1:27" x14ac:dyDescent="0.25">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row>
    <row r="135" spans="1:27" x14ac:dyDescent="0.2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row>
    <row r="136" spans="1:27" x14ac:dyDescent="0.25">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row>
    <row r="137" spans="1:27" x14ac:dyDescent="0.25">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row>
    <row r="138" spans="1:27" x14ac:dyDescent="0.25">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row>
    <row r="139" spans="1:27" x14ac:dyDescent="0.25">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row>
    <row r="140" spans="1:27" x14ac:dyDescent="0.25">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row>
    <row r="141" spans="1:27" x14ac:dyDescent="0.25">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row>
    <row r="142" spans="1:27" x14ac:dyDescent="0.25">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row>
    <row r="143" spans="1:27" x14ac:dyDescent="0.25">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row>
    <row r="144" spans="1:27" x14ac:dyDescent="0.25">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row>
    <row r="145" spans="1:27" x14ac:dyDescent="0.2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row>
    <row r="146" spans="1:27" x14ac:dyDescent="0.25">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row>
    <row r="147" spans="1:27" x14ac:dyDescent="0.25">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row>
    <row r="148" spans="1:27" x14ac:dyDescent="0.25">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row>
    <row r="149" spans="1:27" x14ac:dyDescent="0.25">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row>
    <row r="150" spans="1:27" x14ac:dyDescent="0.25">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row>
    <row r="151" spans="1:27" x14ac:dyDescent="0.25">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row>
    <row r="152" spans="1:27" x14ac:dyDescent="0.25">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row>
    <row r="153" spans="1:27" x14ac:dyDescent="0.25">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row>
    <row r="154" spans="1:27" x14ac:dyDescent="0.25">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row>
    <row r="155" spans="1:27" x14ac:dyDescent="0.2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row>
    <row r="156" spans="1:27" x14ac:dyDescent="0.25">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row>
    <row r="157" spans="1:27" x14ac:dyDescent="0.25">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row>
    <row r="158" spans="1:27" x14ac:dyDescent="0.25">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row>
    <row r="159" spans="1:27" x14ac:dyDescent="0.25">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row>
    <row r="160" spans="1:27" x14ac:dyDescent="0.25">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row>
    <row r="161" spans="1:27" x14ac:dyDescent="0.25">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row>
    <row r="162" spans="1:27" x14ac:dyDescent="0.25">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row>
    <row r="163" spans="1:27" x14ac:dyDescent="0.25">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row>
    <row r="164" spans="1:27" x14ac:dyDescent="0.25">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row>
    <row r="165" spans="1:27" x14ac:dyDescent="0.2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row>
    <row r="166" spans="1:27" x14ac:dyDescent="0.25">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row>
    <row r="167" spans="1:27" x14ac:dyDescent="0.25">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row>
    <row r="168" spans="1:27" x14ac:dyDescent="0.25">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row>
    <row r="169" spans="1:27" x14ac:dyDescent="0.25">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row>
    <row r="170" spans="1:27" x14ac:dyDescent="0.25">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row>
    <row r="171" spans="1:27" x14ac:dyDescent="0.25">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row>
    <row r="172" spans="1:27" x14ac:dyDescent="0.25">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row>
    <row r="173" spans="1:27" x14ac:dyDescent="0.25">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row>
    <row r="174" spans="1:27" x14ac:dyDescent="0.25">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row>
    <row r="175" spans="1:27" x14ac:dyDescent="0.2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row>
    <row r="176" spans="1:27" x14ac:dyDescent="0.25">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row>
    <row r="177" spans="1:27" x14ac:dyDescent="0.25">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row>
    <row r="178" spans="1:27" x14ac:dyDescent="0.25">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row>
    <row r="179" spans="1:27" x14ac:dyDescent="0.25">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row>
    <row r="180" spans="1:27" x14ac:dyDescent="0.25">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row>
    <row r="181" spans="1:27" x14ac:dyDescent="0.25">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row>
    <row r="182" spans="1:27" x14ac:dyDescent="0.25">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row>
    <row r="183" spans="1:27" x14ac:dyDescent="0.25">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row>
    <row r="184" spans="1:27" x14ac:dyDescent="0.25">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row>
    <row r="185" spans="1:27" x14ac:dyDescent="0.2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row>
    <row r="186" spans="1:27" x14ac:dyDescent="0.25">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row>
    <row r="187" spans="1:27" x14ac:dyDescent="0.25">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row>
    <row r="188" spans="1:27" x14ac:dyDescent="0.25">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row>
    <row r="189" spans="1:27" x14ac:dyDescent="0.25">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row>
    <row r="190" spans="1:27" x14ac:dyDescent="0.25">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row>
    <row r="191" spans="1:27" x14ac:dyDescent="0.25">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row>
    <row r="192" spans="1:27" x14ac:dyDescent="0.25">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row>
    <row r="193" spans="1:27" x14ac:dyDescent="0.25">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row>
    <row r="194" spans="1:27" x14ac:dyDescent="0.25">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row>
    <row r="195" spans="1:27" x14ac:dyDescent="0.2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row>
    <row r="196" spans="1:27" x14ac:dyDescent="0.25">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row>
    <row r="197" spans="1:27" x14ac:dyDescent="0.25">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row>
  </sheetData>
  <mergeCells count="8">
    <mergeCell ref="A1:K1"/>
    <mergeCell ref="A11:B11"/>
    <mergeCell ref="A12:B12"/>
    <mergeCell ref="A10:F10"/>
    <mergeCell ref="B26:C26"/>
    <mergeCell ref="B25:C25"/>
    <mergeCell ref="A16:D16"/>
    <mergeCell ref="D18:D23"/>
  </mergeCells>
  <phoneticPr fontId="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8"/>
  <sheetViews>
    <sheetView zoomScaleNormal="100" workbookViewId="0">
      <selection sqref="A1:G1"/>
    </sheetView>
  </sheetViews>
  <sheetFormatPr defaultColWidth="8.6640625" defaultRowHeight="13.2" x14ac:dyDescent="0.25"/>
  <cols>
    <col min="1" max="1" width="38.88671875" style="124" customWidth="1"/>
    <col min="2" max="2" width="19" style="124" customWidth="1"/>
    <col min="3" max="3" width="23.33203125" style="124" customWidth="1"/>
    <col min="4" max="4" width="23" style="124" customWidth="1"/>
    <col min="5" max="5" width="21.44140625" style="124" customWidth="1"/>
    <col min="6" max="6" width="25.5546875" style="124" customWidth="1"/>
    <col min="7" max="7" width="29.88671875" style="124" customWidth="1"/>
    <col min="8" max="8" width="19.6640625" style="124" customWidth="1"/>
    <col min="9" max="9" width="54.5546875" style="124" customWidth="1"/>
    <col min="10" max="10" width="9.6640625" style="124" customWidth="1"/>
    <col min="11" max="11" width="13.33203125" style="124" customWidth="1"/>
    <col min="12" max="12" width="24" style="124" customWidth="1"/>
    <col min="13" max="13" width="10.5546875" style="124" customWidth="1"/>
    <col min="14" max="14" width="11.44140625" style="124" customWidth="1"/>
    <col min="15" max="15" width="10.5546875" style="124" customWidth="1"/>
    <col min="16" max="16" width="13.33203125" style="124" customWidth="1"/>
    <col min="17" max="17" width="9.6640625" style="124" customWidth="1"/>
    <col min="18" max="18" width="9.44140625" style="124" customWidth="1"/>
    <col min="19" max="19" width="12.6640625" style="124" customWidth="1"/>
    <col min="20" max="20" width="14.6640625" style="124" customWidth="1"/>
    <col min="21" max="21" width="20.6640625" style="124" customWidth="1"/>
    <col min="22" max="22" width="19.6640625" style="124" customWidth="1"/>
    <col min="23" max="28" width="8.6640625" style="124"/>
    <col min="29" max="29" width="13.6640625" style="124" bestFit="1" customWidth="1"/>
    <col min="30" max="16384" width="8.6640625" style="124"/>
  </cols>
  <sheetData>
    <row r="1" spans="1:7" ht="25.95" customHeight="1" x14ac:dyDescent="0.25">
      <c r="A1" s="875" t="str">
        <f>"Interior Lighting - "&amp;Prototype!A2</f>
        <v>Interior Lighting - RestaurantSitDown</v>
      </c>
      <c r="B1" s="875"/>
      <c r="C1" s="875"/>
      <c r="D1" s="875"/>
      <c r="E1" s="875"/>
      <c r="F1" s="875"/>
      <c r="G1" s="875"/>
    </row>
    <row r="2" spans="1:7" ht="18.600000000000001" customHeight="1" x14ac:dyDescent="0.25">
      <c r="A2" s="876" t="s">
        <v>396</v>
      </c>
      <c r="B2" s="877" t="s">
        <v>397</v>
      </c>
      <c r="C2" s="877"/>
      <c r="D2" s="877"/>
      <c r="E2" s="877" t="s">
        <v>221</v>
      </c>
      <c r="F2" s="877"/>
      <c r="G2" s="877"/>
    </row>
    <row r="3" spans="1:7" ht="28.95" customHeight="1" x14ac:dyDescent="0.25">
      <c r="A3" s="876"/>
      <c r="B3" s="715" t="s">
        <v>398</v>
      </c>
      <c r="C3" s="715" t="s">
        <v>399</v>
      </c>
      <c r="D3" s="715" t="s">
        <v>243</v>
      </c>
      <c r="E3" s="715" t="s">
        <v>400</v>
      </c>
      <c r="F3" s="715" t="s">
        <v>399</v>
      </c>
      <c r="G3" s="715" t="s">
        <v>243</v>
      </c>
    </row>
    <row r="4" spans="1:7" ht="34.5" customHeight="1" x14ac:dyDescent="0.25">
      <c r="A4" s="330" t="str">
        <f>Zones!C3</f>
        <v>Dining Area (Bar/Lounge and Fine Dining)</v>
      </c>
      <c r="B4" s="714">
        <v>0.45</v>
      </c>
      <c r="C4" s="714">
        <v>0.25</v>
      </c>
      <c r="D4" s="874" t="s">
        <v>401</v>
      </c>
      <c r="E4" s="713">
        <v>1</v>
      </c>
      <c r="F4" s="332"/>
      <c r="G4" s="873" t="s">
        <v>402</v>
      </c>
    </row>
    <row r="5" spans="1:7" ht="30.75" customHeight="1" x14ac:dyDescent="0.25">
      <c r="A5" s="330" t="str">
        <f>Zones!C4</f>
        <v>Kitchen/Food Preparation Area</v>
      </c>
      <c r="B5" s="714">
        <v>0.95</v>
      </c>
      <c r="C5" s="331"/>
      <c r="D5" s="874"/>
      <c r="E5" s="714">
        <v>1.2</v>
      </c>
      <c r="F5" s="467"/>
      <c r="G5" s="873"/>
    </row>
    <row r="6" spans="1:7" ht="16.95" customHeight="1" x14ac:dyDescent="0.25">
      <c r="A6" s="330" t="str">
        <f>Zones!C5</f>
        <v>Attic</v>
      </c>
      <c r="B6" s="330"/>
      <c r="C6" s="330"/>
      <c r="D6" s="330"/>
      <c r="E6" s="330"/>
      <c r="F6" s="330"/>
      <c r="G6" s="330"/>
    </row>
    <row r="7" spans="1:7" ht="16.95" customHeight="1" x14ac:dyDescent="0.25">
      <c r="A7" s="127"/>
      <c r="B7" s="128"/>
      <c r="D7" s="127"/>
    </row>
    <row r="8" spans="1:7" ht="16.95" customHeight="1" x14ac:dyDescent="0.25">
      <c r="A8" s="127"/>
      <c r="B8" s="128"/>
      <c r="D8" s="127"/>
    </row>
  </sheetData>
  <mergeCells count="6">
    <mergeCell ref="G4:G5"/>
    <mergeCell ref="D4:D5"/>
    <mergeCell ref="A1:G1"/>
    <mergeCell ref="A2:A3"/>
    <mergeCell ref="B2:D2"/>
    <mergeCell ref="E2:G2"/>
  </mergeCells>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1F88-80D6-41E6-977E-3A2983EE645A}">
  <sheetPr codeName="Sheet3"/>
  <dimension ref="A1:K40"/>
  <sheetViews>
    <sheetView zoomScale="85" zoomScaleNormal="85" workbookViewId="0">
      <selection activeCell="D18" sqref="D18"/>
    </sheetView>
  </sheetViews>
  <sheetFormatPr defaultRowHeight="14.4" x14ac:dyDescent="0.3"/>
  <cols>
    <col min="1" max="1" width="17.33203125" customWidth="1"/>
    <col min="2" max="2" width="13.33203125" customWidth="1"/>
    <col min="3" max="3" width="36.6640625" customWidth="1"/>
    <col min="4" max="4" width="19.33203125" style="2" customWidth="1"/>
    <col min="5" max="11" width="12.44140625" customWidth="1"/>
    <col min="12" max="18" width="5.6640625" customWidth="1"/>
  </cols>
  <sheetData>
    <row r="1" spans="1:11" ht="28.8" x14ac:dyDescent="0.3">
      <c r="A1" s="3" t="s">
        <v>315</v>
      </c>
      <c r="B1" s="3" t="s">
        <v>316</v>
      </c>
      <c r="C1" s="3" t="s">
        <v>317</v>
      </c>
      <c r="D1" s="3"/>
      <c r="E1" s="4" t="s">
        <v>403</v>
      </c>
      <c r="F1" s="4" t="s">
        <v>319</v>
      </c>
      <c r="G1" s="4" t="s">
        <v>320</v>
      </c>
      <c r="H1" s="4" t="s">
        <v>321</v>
      </c>
      <c r="I1" s="4" t="s">
        <v>322</v>
      </c>
      <c r="J1" s="4" t="s">
        <v>323</v>
      </c>
      <c r="K1" s="4" t="s">
        <v>324</v>
      </c>
    </row>
    <row r="2" spans="1:11" x14ac:dyDescent="0.3">
      <c r="A2" s="5" t="s">
        <v>325</v>
      </c>
      <c r="B2" s="6" t="s">
        <v>326</v>
      </c>
      <c r="C2" s="6" t="s">
        <v>404</v>
      </c>
      <c r="E2" s="7">
        <v>2.0119266733967099E-2</v>
      </c>
      <c r="F2" s="8">
        <v>0.36728899438652901</v>
      </c>
      <c r="G2" s="8">
        <v>0.628941775932645</v>
      </c>
      <c r="H2" s="7">
        <v>3.7692296808265399E-3</v>
      </c>
      <c r="I2" s="7">
        <v>7.3895852465131221E-3</v>
      </c>
      <c r="J2" s="7">
        <v>1.2653847350123853E-2</v>
      </c>
      <c r="K2" s="7">
        <v>7.5834137330134832E-5</v>
      </c>
    </row>
    <row r="3" spans="1:11" x14ac:dyDescent="0.3">
      <c r="A3" s="9" t="s">
        <v>329</v>
      </c>
      <c r="B3" s="6" t="s">
        <v>326</v>
      </c>
      <c r="C3" s="6" t="s">
        <v>404</v>
      </c>
      <c r="D3" s="106"/>
      <c r="E3" s="7">
        <v>1.6135745053783401E-2</v>
      </c>
      <c r="F3" s="8">
        <v>0.47987336212939902</v>
      </c>
      <c r="G3" s="8">
        <v>0.50250087794662601</v>
      </c>
      <c r="H3" s="7">
        <v>1.76257599239747E-2</v>
      </c>
      <c r="I3" s="7">
        <v>7.7431142294218614E-3</v>
      </c>
      <c r="J3" s="7">
        <v>8.1082260558490871E-3</v>
      </c>
      <c r="K3" s="7">
        <v>2.8440476851244849E-4</v>
      </c>
    </row>
    <row r="4" spans="1:11" x14ac:dyDescent="0.3">
      <c r="A4" s="5" t="s">
        <v>330</v>
      </c>
      <c r="B4" s="6" t="s">
        <v>326</v>
      </c>
      <c r="C4" s="6" t="s">
        <v>404</v>
      </c>
      <c r="D4" s="106" t="s">
        <v>314</v>
      </c>
      <c r="E4" s="7">
        <v>1.47004515181944E-2</v>
      </c>
      <c r="F4" s="8">
        <v>0.175795128622309</v>
      </c>
      <c r="G4" s="8">
        <v>0.82420487137769105</v>
      </c>
      <c r="H4" s="7">
        <v>0</v>
      </c>
      <c r="I4" s="7">
        <v>2.5842677654470021E-3</v>
      </c>
      <c r="J4" s="7">
        <v>1.2116183752747398E-2</v>
      </c>
      <c r="K4" s="7">
        <v>0</v>
      </c>
    </row>
    <row r="5" spans="1:11" x14ac:dyDescent="0.3">
      <c r="A5" s="9" t="s">
        <v>331</v>
      </c>
      <c r="B5" s="6" t="s">
        <v>326</v>
      </c>
      <c r="C5" s="6" t="s">
        <v>404</v>
      </c>
      <c r="D5" s="106"/>
      <c r="E5" s="7">
        <v>2.4755044915725399E-2</v>
      </c>
      <c r="F5" s="8">
        <v>0.76947624099160306</v>
      </c>
      <c r="G5" s="8">
        <v>0.230523759008397</v>
      </c>
      <c r="H5" s="7">
        <v>0</v>
      </c>
      <c r="I5" s="7">
        <v>1.9048418907330673E-2</v>
      </c>
      <c r="J5" s="7">
        <v>5.7066260083947253E-3</v>
      </c>
      <c r="K5" s="7">
        <v>0</v>
      </c>
    </row>
    <row r="6" spans="1:11" x14ac:dyDescent="0.3">
      <c r="A6" s="9" t="s">
        <v>332</v>
      </c>
      <c r="B6" s="6" t="s">
        <v>326</v>
      </c>
      <c r="C6" s="6" t="s">
        <v>404</v>
      </c>
      <c r="D6" s="106"/>
      <c r="E6" s="7">
        <v>2.4755044915725399E-2</v>
      </c>
      <c r="F6" s="8">
        <v>0.76947624099160306</v>
      </c>
      <c r="G6" s="8">
        <v>0.230523759008397</v>
      </c>
      <c r="H6" s="7">
        <v>0</v>
      </c>
      <c r="I6" s="7">
        <v>1.9048418907330673E-2</v>
      </c>
      <c r="J6" s="7">
        <v>5.7066260083947253E-3</v>
      </c>
      <c r="K6" s="7">
        <v>0</v>
      </c>
    </row>
    <row r="7" spans="1:11" x14ac:dyDescent="0.3">
      <c r="A7" s="9" t="s">
        <v>333</v>
      </c>
      <c r="B7" s="6" t="s">
        <v>326</v>
      </c>
      <c r="C7" s="6" t="s">
        <v>404</v>
      </c>
      <c r="D7" s="106"/>
      <c r="E7" s="7">
        <v>5.00730176692325E-2</v>
      </c>
      <c r="F7" s="8">
        <v>0.58143569768308501</v>
      </c>
      <c r="G7" s="8">
        <v>0.41856430231691499</v>
      </c>
      <c r="H7" s="7">
        <v>0</v>
      </c>
      <c r="I7" s="7">
        <v>2.9114239963607642E-2</v>
      </c>
      <c r="J7" s="7">
        <v>2.0958777705624859E-2</v>
      </c>
      <c r="K7" s="7">
        <v>0</v>
      </c>
    </row>
    <row r="8" spans="1:11" x14ac:dyDescent="0.3">
      <c r="A8" s="5" t="s">
        <v>334</v>
      </c>
      <c r="B8" s="6" t="s">
        <v>326</v>
      </c>
      <c r="C8" s="6" t="s">
        <v>404</v>
      </c>
      <c r="D8" s="106" t="s">
        <v>314</v>
      </c>
      <c r="E8" s="7">
        <v>1.6879395011980901E-2</v>
      </c>
      <c r="F8" s="8">
        <v>1.7126658714501301E-2</v>
      </c>
      <c r="G8" s="8">
        <v>0.98287334128549897</v>
      </c>
      <c r="H8" s="7">
        <v>0</v>
      </c>
      <c r="I8" s="7">
        <v>2.890876376774525E-4</v>
      </c>
      <c r="J8" s="7">
        <v>1.6590307374303451E-2</v>
      </c>
      <c r="K8" s="7">
        <v>0</v>
      </c>
    </row>
    <row r="9" spans="1:11" x14ac:dyDescent="0.3">
      <c r="A9" s="5" t="s">
        <v>335</v>
      </c>
      <c r="B9" s="6" t="s">
        <v>326</v>
      </c>
      <c r="C9" s="6" t="s">
        <v>404</v>
      </c>
      <c r="D9" s="106" t="s">
        <v>314</v>
      </c>
      <c r="E9" s="7">
        <v>2.3652968169980301E-2</v>
      </c>
      <c r="F9" s="8">
        <v>0.174835163446798</v>
      </c>
      <c r="G9" s="8">
        <v>0.82516483655320205</v>
      </c>
      <c r="H9" s="7">
        <v>0</v>
      </c>
      <c r="I9" s="7">
        <v>4.1353705560004169E-3</v>
      </c>
      <c r="J9" s="7">
        <v>1.9517597613979885E-2</v>
      </c>
      <c r="K9" s="7">
        <v>0</v>
      </c>
    </row>
    <row r="10" spans="1:11" x14ac:dyDescent="0.3">
      <c r="A10" s="5" t="s">
        <v>336</v>
      </c>
      <c r="B10" s="6" t="s">
        <v>326</v>
      </c>
      <c r="C10" s="6" t="s">
        <v>404</v>
      </c>
      <c r="D10" s="106"/>
      <c r="E10" s="7">
        <v>1.61637197088648E-2</v>
      </c>
      <c r="F10" s="8">
        <v>0.232534608647573</v>
      </c>
      <c r="G10" s="8">
        <v>0.76746539135242697</v>
      </c>
      <c r="H10" s="7">
        <v>0</v>
      </c>
      <c r="I10" s="7">
        <v>3.7586242367899387E-3</v>
      </c>
      <c r="J10" s="7">
        <v>1.2405095472074862E-2</v>
      </c>
      <c r="K10" s="7">
        <v>0</v>
      </c>
    </row>
    <row r="11" spans="1:11" x14ac:dyDescent="0.3">
      <c r="A11" s="5" t="s">
        <v>337</v>
      </c>
      <c r="B11" s="6" t="s">
        <v>326</v>
      </c>
      <c r="C11" s="6" t="s">
        <v>404</v>
      </c>
      <c r="D11" s="106"/>
      <c r="E11" s="7">
        <v>2.1460625286961701E-2</v>
      </c>
      <c r="F11" s="8">
        <v>0.24364847067787099</v>
      </c>
      <c r="G11" s="8">
        <v>0.75635152932212901</v>
      </c>
      <c r="H11" s="7">
        <v>0</v>
      </c>
      <c r="I11" s="7">
        <v>5.2288485309590644E-3</v>
      </c>
      <c r="J11" s="7">
        <v>1.6231776756002635E-2</v>
      </c>
      <c r="K11" s="7">
        <v>0</v>
      </c>
    </row>
    <row r="12" spans="1:11" x14ac:dyDescent="0.3">
      <c r="A12" s="5" t="s">
        <v>338</v>
      </c>
      <c r="B12" s="6" t="s">
        <v>326</v>
      </c>
      <c r="C12" s="6" t="s">
        <v>404</v>
      </c>
      <c r="D12" s="106"/>
      <c r="E12" s="7">
        <v>1.6965580507528201E-2</v>
      </c>
      <c r="F12" s="8">
        <v>0.255758253067004</v>
      </c>
      <c r="G12" s="8">
        <v>0.74424174693299605</v>
      </c>
      <c r="H12" s="7">
        <v>0</v>
      </c>
      <c r="I12" s="7">
        <v>4.3390872328730274E-3</v>
      </c>
      <c r="J12" s="7">
        <v>1.2626493274655174E-2</v>
      </c>
      <c r="K12" s="7">
        <v>0</v>
      </c>
    </row>
    <row r="13" spans="1:11" x14ac:dyDescent="0.3">
      <c r="A13" s="9" t="s">
        <v>339</v>
      </c>
      <c r="B13" s="6" t="s">
        <v>326</v>
      </c>
      <c r="C13" s="6" t="s">
        <v>404</v>
      </c>
      <c r="D13" s="106"/>
      <c r="E13" s="7">
        <v>2.0916604283105801E-2</v>
      </c>
      <c r="F13" s="8">
        <v>0.56741362856852595</v>
      </c>
      <c r="G13" s="8">
        <v>0.43258637143147399</v>
      </c>
      <c r="H13" s="7">
        <v>0</v>
      </c>
      <c r="I13" s="7">
        <v>1.1868366333609034E-2</v>
      </c>
      <c r="J13" s="7">
        <v>9.0482379494967666E-3</v>
      </c>
      <c r="K13" s="7">
        <v>0</v>
      </c>
    </row>
    <row r="14" spans="1:11" x14ac:dyDescent="0.3">
      <c r="A14" s="5" t="s">
        <v>340</v>
      </c>
      <c r="B14" s="6" t="s">
        <v>326</v>
      </c>
      <c r="C14" s="6" t="s">
        <v>404</v>
      </c>
      <c r="D14" s="106"/>
      <c r="E14" s="7">
        <v>2.00223200444258E-2</v>
      </c>
      <c r="F14" s="8">
        <v>0.37811695085799801</v>
      </c>
      <c r="G14" s="8">
        <v>0.62188304914200199</v>
      </c>
      <c r="H14" s="7">
        <v>0</v>
      </c>
      <c r="I14" s="7">
        <v>7.5707786043012586E-3</v>
      </c>
      <c r="J14" s="7">
        <v>1.2451541440124541E-2</v>
      </c>
      <c r="K14" s="7">
        <v>0</v>
      </c>
    </row>
    <row r="15" spans="1:11" x14ac:dyDescent="0.3">
      <c r="A15" s="9" t="s">
        <v>342</v>
      </c>
      <c r="B15" s="6" t="s">
        <v>326</v>
      </c>
      <c r="C15" s="6" t="s">
        <v>404</v>
      </c>
      <c r="D15" s="106"/>
      <c r="E15" s="7">
        <v>5.53880038771271E-3</v>
      </c>
      <c r="F15" s="8">
        <v>0.75222323583728001</v>
      </c>
      <c r="G15" s="8">
        <v>0.24777676416271999</v>
      </c>
      <c r="H15" s="7">
        <v>0</v>
      </c>
      <c r="I15" s="7">
        <v>4.1664143503020359E-3</v>
      </c>
      <c r="J15" s="7">
        <v>1.3723860374106741E-3</v>
      </c>
      <c r="K15" s="7">
        <v>0</v>
      </c>
    </row>
    <row r="16" spans="1:11" x14ac:dyDescent="0.3">
      <c r="A16" s="9" t="s">
        <v>343</v>
      </c>
      <c r="B16" s="6" t="s">
        <v>326</v>
      </c>
      <c r="C16" s="6" t="s">
        <v>404</v>
      </c>
      <c r="D16" s="106"/>
      <c r="E16" s="7">
        <v>1.6186866460825799E-2</v>
      </c>
      <c r="F16" s="8">
        <v>0.48031792809513002</v>
      </c>
      <c r="G16" s="8">
        <v>0.51383014843259001</v>
      </c>
      <c r="H16" s="7">
        <v>5.8519234722807902E-3</v>
      </c>
      <c r="I16" s="7">
        <v>7.7748421608163981E-3</v>
      </c>
      <c r="J16" s="7">
        <v>8.3172999962246325E-3</v>
      </c>
      <c r="K16" s="7">
        <v>9.4724303784781167E-5</v>
      </c>
    </row>
    <row r="17" spans="1:11" x14ac:dyDescent="0.3">
      <c r="A17" s="5" t="s">
        <v>345</v>
      </c>
      <c r="B17" s="6" t="s">
        <v>326</v>
      </c>
      <c r="C17" s="6" t="s">
        <v>404</v>
      </c>
      <c r="D17" s="106" t="s">
        <v>314</v>
      </c>
      <c r="E17" s="7">
        <v>6.08039364764194E-3</v>
      </c>
      <c r="F17" s="8">
        <v>0.210872325346559</v>
      </c>
      <c r="G17" s="8">
        <v>0.78912767465344102</v>
      </c>
      <c r="H17" s="7">
        <v>0</v>
      </c>
      <c r="I17" s="7">
        <v>1.2821867475007018E-3</v>
      </c>
      <c r="J17" s="7">
        <v>4.7982069001412386E-3</v>
      </c>
      <c r="K17" s="7">
        <v>0</v>
      </c>
    </row>
    <row r="18" spans="1:11" x14ac:dyDescent="0.3">
      <c r="A18" s="5" t="s">
        <v>347</v>
      </c>
      <c r="B18" s="6" t="s">
        <v>326</v>
      </c>
      <c r="C18" s="6" t="s">
        <v>404</v>
      </c>
      <c r="D18" s="106" t="s">
        <v>314</v>
      </c>
      <c r="E18" s="7">
        <v>1.03273988958147E-2</v>
      </c>
      <c r="F18" s="8">
        <v>1.7611914496889602E-2</v>
      </c>
      <c r="G18" s="8">
        <v>0.98238808550310996</v>
      </c>
      <c r="H18" s="7">
        <v>0</v>
      </c>
      <c r="I18" s="7">
        <v>1.8188526632836058E-4</v>
      </c>
      <c r="J18" s="7">
        <v>1.0145513629486335E-2</v>
      </c>
      <c r="K18" s="7">
        <v>0</v>
      </c>
    </row>
    <row r="23" spans="1:11" ht="43.2" x14ac:dyDescent="0.3">
      <c r="A23" s="3" t="s">
        <v>405</v>
      </c>
      <c r="B23" s="3" t="s">
        <v>316</v>
      </c>
      <c r="C23" s="3" t="s">
        <v>317</v>
      </c>
      <c r="D23" s="3"/>
      <c r="E23" s="4" t="s">
        <v>406</v>
      </c>
      <c r="F23" s="4" t="s">
        <v>319</v>
      </c>
      <c r="G23" s="4" t="s">
        <v>320</v>
      </c>
      <c r="H23" s="4" t="s">
        <v>321</v>
      </c>
      <c r="I23" s="4" t="s">
        <v>322</v>
      </c>
      <c r="J23" s="4" t="s">
        <v>323</v>
      </c>
      <c r="K23" s="4" t="s">
        <v>324</v>
      </c>
    </row>
    <row r="24" spans="1:11" x14ac:dyDescent="0.3">
      <c r="A24" s="5" t="s">
        <v>325</v>
      </c>
      <c r="B24" s="6" t="s">
        <v>326</v>
      </c>
      <c r="C24" s="6" t="s">
        <v>407</v>
      </c>
      <c r="D24" s="11"/>
      <c r="E24" s="12">
        <v>4.2513247874802502E-3</v>
      </c>
      <c r="F24" s="12">
        <v>0.36728899438652901</v>
      </c>
      <c r="G24" s="12">
        <v>0.628941775932645</v>
      </c>
      <c r="H24" s="12">
        <v>3.7692296808265399E-3</v>
      </c>
      <c r="I24" s="12">
        <v>1.5614648060041452E-3</v>
      </c>
      <c r="J24" s="12">
        <v>2.6738357619043029E-3</v>
      </c>
      <c r="K24" s="12">
        <v>1.602421957180414E-5</v>
      </c>
    </row>
    <row r="25" spans="1:11" x14ac:dyDescent="0.3">
      <c r="A25" s="5" t="s">
        <v>329</v>
      </c>
      <c r="B25" s="6" t="s">
        <v>326</v>
      </c>
      <c r="C25" s="6" t="s">
        <v>407</v>
      </c>
      <c r="D25" s="11"/>
      <c r="E25" s="12">
        <v>5.5971614418428199E-3</v>
      </c>
      <c r="F25" s="12">
        <v>0.47987336212939902</v>
      </c>
      <c r="G25" s="12">
        <v>0.50250087794662601</v>
      </c>
      <c r="H25" s="12">
        <v>1.76257599239747E-2</v>
      </c>
      <c r="I25" s="12">
        <v>2.6859286794781488E-3</v>
      </c>
      <c r="J25" s="12">
        <v>2.81257853853502E-3</v>
      </c>
      <c r="K25" s="12">
        <v>9.865422382964962E-5</v>
      </c>
    </row>
    <row r="26" spans="1:11" x14ac:dyDescent="0.3">
      <c r="A26" s="5" t="s">
        <v>330</v>
      </c>
      <c r="B26" s="6" t="s">
        <v>326</v>
      </c>
      <c r="C26" s="6" t="s">
        <v>407</v>
      </c>
      <c r="D26" s="11"/>
      <c r="E26" s="12">
        <v>4.2162426806837301E-3</v>
      </c>
      <c r="F26" s="12">
        <v>0.175795128622309</v>
      </c>
      <c r="G26" s="12">
        <v>0.82420487137769105</v>
      </c>
      <c r="H26" s="12">
        <v>0</v>
      </c>
      <c r="I26" s="12">
        <v>7.4119492435366526E-4</v>
      </c>
      <c r="J26" s="12">
        <v>3.4750477563300652E-3</v>
      </c>
      <c r="K26" s="12">
        <v>0</v>
      </c>
    </row>
    <row r="27" spans="1:11" x14ac:dyDescent="0.3">
      <c r="A27" s="5" t="s">
        <v>331</v>
      </c>
      <c r="B27" s="6" t="s">
        <v>326</v>
      </c>
      <c r="C27" s="6" t="s">
        <v>407</v>
      </c>
      <c r="D27" s="11"/>
      <c r="E27" s="12">
        <v>2.9787351420623798E-3</v>
      </c>
      <c r="F27" s="12">
        <v>0.76947624099160306</v>
      </c>
      <c r="G27" s="12">
        <v>0.230523759008397</v>
      </c>
      <c r="H27" s="12">
        <v>0</v>
      </c>
      <c r="I27" s="12">
        <v>2.2920659200237488E-3</v>
      </c>
      <c r="J27" s="12">
        <v>6.8666922203863129E-4</v>
      </c>
      <c r="K27" s="12">
        <v>0</v>
      </c>
    </row>
    <row r="28" spans="1:11" x14ac:dyDescent="0.3">
      <c r="A28" s="5" t="s">
        <v>332</v>
      </c>
      <c r="B28" s="6" t="s">
        <v>326</v>
      </c>
      <c r="C28" s="6" t="s">
        <v>407</v>
      </c>
      <c r="D28" s="11"/>
      <c r="E28" s="12">
        <v>2.9787351420623798E-3</v>
      </c>
      <c r="F28" s="12">
        <v>0.76947624099160306</v>
      </c>
      <c r="G28" s="12">
        <v>0.230523759008397</v>
      </c>
      <c r="H28" s="12">
        <v>0</v>
      </c>
      <c r="I28" s="12">
        <v>2.2920659200237488E-3</v>
      </c>
      <c r="J28" s="12">
        <v>6.8666922203863129E-4</v>
      </c>
      <c r="K28" s="12">
        <v>0</v>
      </c>
    </row>
    <row r="29" spans="1:11" x14ac:dyDescent="0.3">
      <c r="A29" s="5" t="s">
        <v>333</v>
      </c>
      <c r="B29" s="6" t="s">
        <v>326</v>
      </c>
      <c r="C29" s="6" t="s">
        <v>407</v>
      </c>
      <c r="D29" s="11"/>
      <c r="E29" s="12">
        <v>5.8178622236776702E-3</v>
      </c>
      <c r="F29" s="12">
        <v>0.58143569768308501</v>
      </c>
      <c r="G29" s="12">
        <v>0.41856430231691499</v>
      </c>
      <c r="H29" s="12">
        <v>0</v>
      </c>
      <c r="I29" s="12">
        <v>3.3827127810480903E-3</v>
      </c>
      <c r="J29" s="12">
        <v>2.4351494426295799E-3</v>
      </c>
      <c r="K29" s="12">
        <v>0</v>
      </c>
    </row>
    <row r="30" spans="1:11" x14ac:dyDescent="0.3">
      <c r="A30" s="5" t="s">
        <v>334</v>
      </c>
      <c r="B30" s="6" t="s">
        <v>326</v>
      </c>
      <c r="C30" s="6" t="s">
        <v>407</v>
      </c>
      <c r="D30" s="11"/>
      <c r="E30" s="12">
        <v>3.7115530086910399E-3</v>
      </c>
      <c r="F30" s="12">
        <v>1.7126658714501301E-2</v>
      </c>
      <c r="G30" s="12">
        <v>0.98287334128549897</v>
      </c>
      <c r="H30" s="12">
        <v>0</v>
      </c>
      <c r="I30" s="12">
        <v>6.3566501680631927E-5</v>
      </c>
      <c r="J30" s="12">
        <v>3.6479865070104091E-3</v>
      </c>
      <c r="K30" s="12">
        <v>0</v>
      </c>
    </row>
    <row r="31" spans="1:11" x14ac:dyDescent="0.3">
      <c r="A31" s="5" t="s">
        <v>335</v>
      </c>
      <c r="B31" s="6" t="s">
        <v>326</v>
      </c>
      <c r="C31" s="6" t="s">
        <v>407</v>
      </c>
      <c r="D31" s="11"/>
      <c r="E31" s="12">
        <v>4.2121502396861099E-3</v>
      </c>
      <c r="F31" s="12">
        <v>0.174835163446798</v>
      </c>
      <c r="G31" s="12">
        <v>0.82516483655320205</v>
      </c>
      <c r="H31" s="12">
        <v>0</v>
      </c>
      <c r="I31" s="12">
        <v>7.3643197561799043E-4</v>
      </c>
      <c r="J31" s="12">
        <v>3.4757182640681198E-3</v>
      </c>
      <c r="K31" s="12">
        <v>0</v>
      </c>
    </row>
    <row r="32" spans="1:11" x14ac:dyDescent="0.3">
      <c r="A32" s="5" t="s">
        <v>336</v>
      </c>
      <c r="B32" s="6" t="s">
        <v>326</v>
      </c>
      <c r="C32" s="6" t="s">
        <v>407</v>
      </c>
      <c r="D32" s="11"/>
      <c r="E32" s="12">
        <v>1.9572729785411898E-3</v>
      </c>
      <c r="F32" s="12">
        <v>0.232534608647573</v>
      </c>
      <c r="G32" s="12">
        <v>0.76746539135242697</v>
      </c>
      <c r="H32" s="12">
        <v>0</v>
      </c>
      <c r="I32" s="12">
        <v>4.551337060815451E-4</v>
      </c>
      <c r="J32" s="12">
        <v>1.5021392724596447E-3</v>
      </c>
      <c r="K32" s="12">
        <v>0</v>
      </c>
    </row>
    <row r="33" spans="1:11" x14ac:dyDescent="0.3">
      <c r="A33" s="5" t="s">
        <v>337</v>
      </c>
      <c r="B33" s="6" t="s">
        <v>326</v>
      </c>
      <c r="C33" s="6" t="s">
        <v>407</v>
      </c>
      <c r="D33" s="11"/>
      <c r="E33" s="12">
        <v>2.04183990214172E-3</v>
      </c>
      <c r="F33" s="12">
        <v>0.24364847067787099</v>
      </c>
      <c r="G33" s="12">
        <v>0.75635152932212901</v>
      </c>
      <c r="H33" s="12">
        <v>0</v>
      </c>
      <c r="I33" s="12">
        <v>4.9749116952588386E-4</v>
      </c>
      <c r="J33" s="12">
        <v>1.5443487326158361E-3</v>
      </c>
      <c r="K33" s="12">
        <v>0</v>
      </c>
    </row>
    <row r="34" spans="1:11" x14ac:dyDescent="0.3">
      <c r="A34" s="5" t="s">
        <v>338</v>
      </c>
      <c r="B34" s="6" t="s">
        <v>326</v>
      </c>
      <c r="C34" s="6" t="s">
        <v>407</v>
      </c>
      <c r="D34" s="11"/>
      <c r="E34" s="12">
        <v>3.73791611675711E-3</v>
      </c>
      <c r="F34" s="12">
        <v>0.255758253067004</v>
      </c>
      <c r="G34" s="12">
        <v>0.74424174693299605</v>
      </c>
      <c r="H34" s="12">
        <v>0</v>
      </c>
      <c r="I34" s="12">
        <v>9.5600289613279781E-4</v>
      </c>
      <c r="J34" s="12">
        <v>2.7819132206243122E-3</v>
      </c>
      <c r="K34" s="12">
        <v>0</v>
      </c>
    </row>
    <row r="35" spans="1:11" x14ac:dyDescent="0.3">
      <c r="A35" s="5" t="s">
        <v>339</v>
      </c>
      <c r="B35" s="6" t="s">
        <v>326</v>
      </c>
      <c r="C35" s="6" t="s">
        <v>407</v>
      </c>
      <c r="D35" s="11"/>
      <c r="E35" s="12">
        <v>4.8031981229041103E-3</v>
      </c>
      <c r="F35" s="12">
        <v>0.56741362856852595</v>
      </c>
      <c r="G35" s="12">
        <v>0.43258637143147399</v>
      </c>
      <c r="H35" s="12">
        <v>0</v>
      </c>
      <c r="I35" s="12">
        <v>2.7254000756505537E-3</v>
      </c>
      <c r="J35" s="12">
        <v>2.0777980472535562E-3</v>
      </c>
      <c r="K35" s="12">
        <v>0</v>
      </c>
    </row>
    <row r="36" spans="1:11" x14ac:dyDescent="0.3">
      <c r="A36" s="5" t="s">
        <v>340</v>
      </c>
      <c r="B36" s="6" t="s">
        <v>326</v>
      </c>
      <c r="C36" s="6" t="s">
        <v>407</v>
      </c>
      <c r="D36" s="11"/>
      <c r="E36" s="12">
        <v>5.2311166351121496E-3</v>
      </c>
      <c r="F36" s="12">
        <v>0.37811695085799801</v>
      </c>
      <c r="G36" s="12">
        <v>0.62188304914200199</v>
      </c>
      <c r="H36" s="12">
        <v>0</v>
      </c>
      <c r="I36" s="12">
        <v>1.9779738716511567E-3</v>
      </c>
      <c r="J36" s="12">
        <v>3.2531427634609929E-3</v>
      </c>
      <c r="K36" s="12">
        <v>0</v>
      </c>
    </row>
    <row r="37" spans="1:11" x14ac:dyDescent="0.3">
      <c r="A37" s="5" t="s">
        <v>342</v>
      </c>
      <c r="B37" s="6" t="s">
        <v>326</v>
      </c>
      <c r="C37" s="6" t="s">
        <v>407</v>
      </c>
      <c r="D37" s="11"/>
      <c r="E37" s="12">
        <v>8.6101944163014801E-4</v>
      </c>
      <c r="F37" s="12">
        <v>0.75222323583728001</v>
      </c>
      <c r="G37" s="12">
        <v>0.24777676416271999</v>
      </c>
      <c r="H37" s="12">
        <v>0</v>
      </c>
      <c r="I37" s="12">
        <v>6.4767883050183793E-4</v>
      </c>
      <c r="J37" s="12">
        <v>2.1334061112831003E-4</v>
      </c>
      <c r="K37" s="12">
        <v>0</v>
      </c>
    </row>
    <row r="38" spans="1:11" x14ac:dyDescent="0.3">
      <c r="A38" s="5" t="s">
        <v>343</v>
      </c>
      <c r="B38" s="6" t="s">
        <v>326</v>
      </c>
      <c r="C38" s="6" t="s">
        <v>407</v>
      </c>
      <c r="D38" s="11"/>
      <c r="E38" s="12">
        <v>6.3769933116409501E-3</v>
      </c>
      <c r="F38" s="12">
        <v>0.48031792809513002</v>
      </c>
      <c r="G38" s="12">
        <v>0.51383014843259001</v>
      </c>
      <c r="H38" s="12">
        <v>5.8519234722807902E-3</v>
      </c>
      <c r="I38" s="12">
        <v>3.0629842149238829E-3</v>
      </c>
      <c r="J38" s="12">
        <v>3.2766914198741029E-3</v>
      </c>
      <c r="K38" s="12">
        <v>3.7317676842969281E-5</v>
      </c>
    </row>
    <row r="39" spans="1:11" x14ac:dyDescent="0.3">
      <c r="A39" s="5" t="s">
        <v>345</v>
      </c>
      <c r="B39" s="6" t="s">
        <v>326</v>
      </c>
      <c r="C39" s="6" t="s">
        <v>407</v>
      </c>
      <c r="D39" s="11"/>
      <c r="E39" s="12">
        <v>1.04669861373965E-3</v>
      </c>
      <c r="F39" s="12">
        <v>0.210872325346559</v>
      </c>
      <c r="G39" s="12">
        <v>0.78912767465344102</v>
      </c>
      <c r="H39" s="12">
        <v>0</v>
      </c>
      <c r="I39" s="12">
        <v>2.2071977061629977E-4</v>
      </c>
      <c r="J39" s="12">
        <v>8.2597884312335032E-4</v>
      </c>
      <c r="K39" s="12">
        <v>0</v>
      </c>
    </row>
    <row r="40" spans="1:11" x14ac:dyDescent="0.3">
      <c r="A40" s="5" t="s">
        <v>347</v>
      </c>
      <c r="B40" s="6" t="s">
        <v>326</v>
      </c>
      <c r="C40" s="6" t="s">
        <v>407</v>
      </c>
      <c r="D40" s="11"/>
      <c r="E40" s="12">
        <v>7.6819869422913804E-4</v>
      </c>
      <c r="F40" s="12">
        <v>1.7611914496889602E-2</v>
      </c>
      <c r="G40" s="12">
        <v>0.98238808550310996</v>
      </c>
      <c r="H40" s="12">
        <v>0</v>
      </c>
      <c r="I40" s="12">
        <v>1.3529449719385819E-5</v>
      </c>
      <c r="J40" s="12">
        <v>7.5466924450975188E-4</v>
      </c>
      <c r="K40" s="12">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E7BC-F5FC-4524-AAF2-AC61714BD837}">
  <sheetPr codeName="Sheet12"/>
  <dimension ref="A1:J18"/>
  <sheetViews>
    <sheetView workbookViewId="0">
      <selection activeCell="K28" sqref="K28"/>
    </sheetView>
  </sheetViews>
  <sheetFormatPr defaultRowHeight="14.4" x14ac:dyDescent="0.3"/>
  <cols>
    <col min="1" max="1" width="16.33203125" customWidth="1"/>
    <col min="2" max="2" width="12.6640625" customWidth="1"/>
    <col min="3" max="3" width="15.6640625" customWidth="1"/>
    <col min="4" max="4" width="14.33203125" customWidth="1"/>
    <col min="5" max="5" width="11" customWidth="1"/>
    <col min="7" max="7" width="11.33203125" customWidth="1"/>
    <col min="8" max="8" width="11.44140625" customWidth="1"/>
    <col min="9" max="9" width="10.6640625" customWidth="1"/>
    <col min="10" max="10" width="12.33203125" customWidth="1"/>
  </cols>
  <sheetData>
    <row r="1" spans="1:10" ht="28.8" x14ac:dyDescent="0.3">
      <c r="A1" s="10" t="s">
        <v>315</v>
      </c>
      <c r="B1" s="3" t="s">
        <v>316</v>
      </c>
      <c r="C1" s="3" t="s">
        <v>317</v>
      </c>
      <c r="D1" s="4" t="s">
        <v>318</v>
      </c>
      <c r="E1" s="4" t="s">
        <v>319</v>
      </c>
      <c r="F1" s="4" t="s">
        <v>320</v>
      </c>
      <c r="G1" s="4" t="s">
        <v>321</v>
      </c>
      <c r="H1" s="4" t="s">
        <v>322</v>
      </c>
      <c r="I1" s="4" t="s">
        <v>323</v>
      </c>
      <c r="J1" s="4" t="s">
        <v>324</v>
      </c>
    </row>
    <row r="2" spans="1:10" x14ac:dyDescent="0.3">
      <c r="A2" s="5" t="s">
        <v>325</v>
      </c>
      <c r="B2" s="6" t="s">
        <v>326</v>
      </c>
      <c r="C2" s="6" t="s">
        <v>408</v>
      </c>
      <c r="D2" s="12">
        <v>0.1553155410424</v>
      </c>
      <c r="E2" s="12" t="s">
        <v>409</v>
      </c>
      <c r="F2" s="12" t="s">
        <v>409</v>
      </c>
      <c r="G2" s="12" t="s">
        <v>409</v>
      </c>
      <c r="H2" s="12">
        <v>0.1553155410424</v>
      </c>
      <c r="I2" s="12">
        <v>0</v>
      </c>
      <c r="J2" s="12">
        <v>0</v>
      </c>
    </row>
    <row r="3" spans="1:10" x14ac:dyDescent="0.3">
      <c r="A3" s="5" t="s">
        <v>329</v>
      </c>
      <c r="B3" s="6" t="s">
        <v>326</v>
      </c>
      <c r="C3" s="6" t="s">
        <v>408</v>
      </c>
      <c r="D3" s="12">
        <v>0.161273857109418</v>
      </c>
      <c r="E3" s="12" t="s">
        <v>409</v>
      </c>
      <c r="F3" s="12" t="s">
        <v>409</v>
      </c>
      <c r="G3" s="12" t="s">
        <v>409</v>
      </c>
      <c r="H3" s="12">
        <v>0.161273857109418</v>
      </c>
      <c r="I3" s="12">
        <v>0</v>
      </c>
      <c r="J3" s="12">
        <v>0</v>
      </c>
    </row>
    <row r="4" spans="1:10" x14ac:dyDescent="0.3">
      <c r="A4" s="5" t="s">
        <v>330</v>
      </c>
      <c r="B4" s="6" t="s">
        <v>326</v>
      </c>
      <c r="C4" s="6" t="s">
        <v>408</v>
      </c>
      <c r="D4" s="12">
        <v>0.16046382703446699</v>
      </c>
      <c r="E4" s="12" t="s">
        <v>409</v>
      </c>
      <c r="F4" s="12" t="s">
        <v>409</v>
      </c>
      <c r="G4" s="12" t="s">
        <v>409</v>
      </c>
      <c r="H4" s="12">
        <v>0.16046382703446699</v>
      </c>
      <c r="I4" s="12">
        <v>0</v>
      </c>
      <c r="J4" s="12">
        <v>0</v>
      </c>
    </row>
    <row r="5" spans="1:10" x14ac:dyDescent="0.3">
      <c r="A5" s="5" t="s">
        <v>331</v>
      </c>
      <c r="B5" s="6" t="s">
        <v>326</v>
      </c>
      <c r="C5" s="6" t="s">
        <v>408</v>
      </c>
      <c r="D5" s="12">
        <v>0.17700837950041301</v>
      </c>
      <c r="E5" s="12" t="s">
        <v>409</v>
      </c>
      <c r="F5" s="12" t="s">
        <v>409</v>
      </c>
      <c r="G5" s="12" t="s">
        <v>409</v>
      </c>
      <c r="H5" s="12">
        <v>0.17700837950041301</v>
      </c>
      <c r="I5" s="12">
        <v>0</v>
      </c>
      <c r="J5" s="12">
        <v>0</v>
      </c>
    </row>
    <row r="6" spans="1:10" x14ac:dyDescent="0.3">
      <c r="A6" s="5" t="s">
        <v>332</v>
      </c>
      <c r="B6" s="6" t="s">
        <v>326</v>
      </c>
      <c r="C6" s="6" t="s">
        <v>408</v>
      </c>
      <c r="D6" s="12">
        <v>0.17700837950041301</v>
      </c>
      <c r="E6" s="12" t="s">
        <v>409</v>
      </c>
      <c r="F6" s="12" t="s">
        <v>409</v>
      </c>
      <c r="G6" s="12" t="s">
        <v>409</v>
      </c>
      <c r="H6" s="12">
        <v>0.17700837950041301</v>
      </c>
      <c r="I6" s="12">
        <v>0</v>
      </c>
      <c r="J6" s="12">
        <v>0</v>
      </c>
    </row>
    <row r="7" spans="1:10" x14ac:dyDescent="0.3">
      <c r="A7" s="5" t="s">
        <v>333</v>
      </c>
      <c r="B7" s="6" t="s">
        <v>326</v>
      </c>
      <c r="C7" s="6" t="s">
        <v>408</v>
      </c>
      <c r="D7" s="12">
        <v>0.11292693568274401</v>
      </c>
      <c r="E7" s="12" t="s">
        <v>409</v>
      </c>
      <c r="F7" s="12" t="s">
        <v>409</v>
      </c>
      <c r="G7" s="12" t="s">
        <v>409</v>
      </c>
      <c r="H7" s="12">
        <v>0.11292693568274401</v>
      </c>
      <c r="I7" s="12">
        <v>0</v>
      </c>
      <c r="J7" s="12">
        <v>0</v>
      </c>
    </row>
    <row r="8" spans="1:10" x14ac:dyDescent="0.3">
      <c r="A8" s="5" t="s">
        <v>334</v>
      </c>
      <c r="B8" s="6" t="s">
        <v>326</v>
      </c>
      <c r="C8" s="6" t="s">
        <v>408</v>
      </c>
      <c r="D8" s="12">
        <v>0.199487040179542</v>
      </c>
      <c r="E8" s="12" t="s">
        <v>409</v>
      </c>
      <c r="F8" s="12" t="s">
        <v>409</v>
      </c>
      <c r="G8" s="12" t="s">
        <v>409</v>
      </c>
      <c r="H8" s="12">
        <v>0.199487040179542</v>
      </c>
      <c r="I8" s="12">
        <v>0</v>
      </c>
      <c r="J8" s="12">
        <v>0</v>
      </c>
    </row>
    <row r="9" spans="1:10" x14ac:dyDescent="0.3">
      <c r="A9" s="5" t="s">
        <v>335</v>
      </c>
      <c r="B9" s="6" t="s">
        <v>326</v>
      </c>
      <c r="C9" s="6" t="s">
        <v>408</v>
      </c>
      <c r="D9" s="12">
        <v>0.116203373710192</v>
      </c>
      <c r="E9" s="12" t="s">
        <v>409</v>
      </c>
      <c r="F9" s="12" t="s">
        <v>409</v>
      </c>
      <c r="G9" s="12" t="s">
        <v>409</v>
      </c>
      <c r="H9" s="12">
        <v>0.116203373710192</v>
      </c>
      <c r="I9" s="12">
        <v>0</v>
      </c>
      <c r="J9" s="12">
        <v>0</v>
      </c>
    </row>
    <row r="10" spans="1:10" x14ac:dyDescent="0.3">
      <c r="A10" s="5" t="s">
        <v>336</v>
      </c>
      <c r="B10" s="6" t="s">
        <v>326</v>
      </c>
      <c r="C10" s="6" t="s">
        <v>408</v>
      </c>
      <c r="D10" s="12">
        <v>0.18247123569139501</v>
      </c>
      <c r="E10" s="12" t="s">
        <v>409</v>
      </c>
      <c r="F10" s="12" t="s">
        <v>409</v>
      </c>
      <c r="G10" s="12" t="s">
        <v>409</v>
      </c>
      <c r="H10" s="12">
        <v>0.18247123569139501</v>
      </c>
      <c r="I10" s="12">
        <v>0</v>
      </c>
      <c r="J10" s="12">
        <v>0</v>
      </c>
    </row>
    <row r="11" spans="1:10" x14ac:dyDescent="0.3">
      <c r="A11" s="5" t="s">
        <v>337</v>
      </c>
      <c r="B11" s="6" t="s">
        <v>326</v>
      </c>
      <c r="C11" s="6" t="s">
        <v>408</v>
      </c>
      <c r="D11" s="12">
        <v>0.26849571597838301</v>
      </c>
      <c r="E11" s="12" t="s">
        <v>409</v>
      </c>
      <c r="F11" s="12" t="s">
        <v>409</v>
      </c>
      <c r="G11" s="12" t="s">
        <v>409</v>
      </c>
      <c r="H11" s="12">
        <v>0.26849571597838301</v>
      </c>
      <c r="I11" s="12">
        <v>0</v>
      </c>
      <c r="J11" s="12">
        <v>0</v>
      </c>
    </row>
    <row r="12" spans="1:10" x14ac:dyDescent="0.3">
      <c r="A12" s="5" t="s">
        <v>338</v>
      </c>
      <c r="B12" s="6" t="s">
        <v>326</v>
      </c>
      <c r="C12" s="6" t="s">
        <v>408</v>
      </c>
      <c r="D12" s="12">
        <v>8.5403947628915303E-2</v>
      </c>
      <c r="E12" s="12" t="s">
        <v>409</v>
      </c>
      <c r="F12" s="12" t="s">
        <v>409</v>
      </c>
      <c r="G12" s="12" t="s">
        <v>409</v>
      </c>
      <c r="H12" s="12">
        <v>8.5403947628915303E-2</v>
      </c>
      <c r="I12" s="12">
        <v>0</v>
      </c>
      <c r="J12" s="12">
        <v>0</v>
      </c>
    </row>
    <row r="13" spans="1:10" x14ac:dyDescent="0.3">
      <c r="A13" s="5" t="s">
        <v>339</v>
      </c>
      <c r="B13" s="6" t="s">
        <v>326</v>
      </c>
      <c r="C13" s="6" t="s">
        <v>408</v>
      </c>
      <c r="D13" s="12">
        <v>0.175347072814862</v>
      </c>
      <c r="E13" s="12" t="s">
        <v>409</v>
      </c>
      <c r="F13" s="12" t="s">
        <v>409</v>
      </c>
      <c r="G13" s="12" t="s">
        <v>409</v>
      </c>
      <c r="H13" s="12">
        <v>0.175347072814862</v>
      </c>
      <c r="I13" s="12">
        <v>0</v>
      </c>
      <c r="J13" s="12">
        <v>0</v>
      </c>
    </row>
    <row r="14" spans="1:10" x14ac:dyDescent="0.3">
      <c r="A14" s="5" t="s">
        <v>340</v>
      </c>
      <c r="B14" s="6" t="s">
        <v>326</v>
      </c>
      <c r="C14" s="6" t="s">
        <v>408</v>
      </c>
      <c r="D14" s="12">
        <v>0.19805364112934601</v>
      </c>
      <c r="E14" s="12" t="s">
        <v>409</v>
      </c>
      <c r="F14" s="12" t="s">
        <v>409</v>
      </c>
      <c r="G14" s="12" t="s">
        <v>409</v>
      </c>
      <c r="H14" s="12">
        <v>0.19805364112934601</v>
      </c>
      <c r="I14" s="12">
        <v>0</v>
      </c>
      <c r="J14" s="12">
        <v>0</v>
      </c>
    </row>
    <row r="15" spans="1:10" x14ac:dyDescent="0.3">
      <c r="A15" s="5" t="s">
        <v>342</v>
      </c>
      <c r="B15" s="6" t="s">
        <v>326</v>
      </c>
      <c r="C15" s="6" t="s">
        <v>408</v>
      </c>
      <c r="D15" s="12">
        <v>0.15536718288441601</v>
      </c>
      <c r="E15" s="12" t="s">
        <v>409</v>
      </c>
      <c r="F15" s="12" t="s">
        <v>409</v>
      </c>
      <c r="G15" s="12" t="s">
        <v>409</v>
      </c>
      <c r="H15" s="12">
        <v>0.15536718288441601</v>
      </c>
      <c r="I15" s="12">
        <v>0</v>
      </c>
      <c r="J15" s="12">
        <v>0</v>
      </c>
    </row>
    <row r="16" spans="1:10" x14ac:dyDescent="0.3">
      <c r="A16" s="5" t="s">
        <v>343</v>
      </c>
      <c r="B16" s="6" t="s">
        <v>326</v>
      </c>
      <c r="C16" s="6" t="s">
        <v>408</v>
      </c>
      <c r="D16" s="12">
        <v>0.18422964650607099</v>
      </c>
      <c r="E16" s="12" t="s">
        <v>409</v>
      </c>
      <c r="F16" s="12" t="s">
        <v>409</v>
      </c>
      <c r="G16" s="12" t="s">
        <v>409</v>
      </c>
      <c r="H16" s="12">
        <v>0.18422964650607099</v>
      </c>
      <c r="I16" s="12">
        <v>0</v>
      </c>
      <c r="J16" s="12">
        <v>0</v>
      </c>
    </row>
    <row r="17" spans="1:10" x14ac:dyDescent="0.3">
      <c r="A17" s="5" t="s">
        <v>345</v>
      </c>
      <c r="B17" s="6" t="s">
        <v>326</v>
      </c>
      <c r="C17" s="6" t="s">
        <v>408</v>
      </c>
      <c r="D17" s="12">
        <v>0.15520541943038299</v>
      </c>
      <c r="E17" s="12" t="s">
        <v>409</v>
      </c>
      <c r="F17" s="12" t="s">
        <v>409</v>
      </c>
      <c r="G17" s="12" t="s">
        <v>409</v>
      </c>
      <c r="H17" s="12">
        <v>0.15520541943038299</v>
      </c>
      <c r="I17" s="12">
        <v>0</v>
      </c>
      <c r="J17" s="12">
        <v>0</v>
      </c>
    </row>
    <row r="18" spans="1:10" x14ac:dyDescent="0.3">
      <c r="A18" s="5" t="s">
        <v>347</v>
      </c>
      <c r="B18" s="6" t="s">
        <v>326</v>
      </c>
      <c r="C18" s="6" t="s">
        <v>408</v>
      </c>
      <c r="D18" s="12">
        <v>0.24877341410367701</v>
      </c>
      <c r="E18" s="12" t="s">
        <v>409</v>
      </c>
      <c r="F18" s="12" t="s">
        <v>409</v>
      </c>
      <c r="G18" s="12" t="s">
        <v>409</v>
      </c>
      <c r="H18" s="12">
        <v>0.24877341410367701</v>
      </c>
      <c r="I18" s="12">
        <v>0</v>
      </c>
      <c r="J18" s="12">
        <v>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193C-21E3-4213-B2A9-EB79DA823DB2}">
  <sheetPr codeName="Sheet13"/>
  <dimension ref="A1:J58"/>
  <sheetViews>
    <sheetView workbookViewId="0">
      <selection activeCell="L4" sqref="L4"/>
    </sheetView>
  </sheetViews>
  <sheetFormatPr defaultRowHeight="14.4" x14ac:dyDescent="0.3"/>
  <cols>
    <col min="1" max="2" width="15.33203125" customWidth="1"/>
    <col min="3" max="3" width="28.33203125" customWidth="1"/>
    <col min="4" max="10" width="15.33203125" customWidth="1"/>
  </cols>
  <sheetData>
    <row r="1" spans="1:10" ht="28.8" x14ac:dyDescent="0.3">
      <c r="A1" s="10" t="s">
        <v>315</v>
      </c>
      <c r="B1" s="3" t="s">
        <v>316</v>
      </c>
      <c r="C1" s="3" t="s">
        <v>317</v>
      </c>
      <c r="D1" s="4" t="s">
        <v>318</v>
      </c>
      <c r="E1" s="4" t="s">
        <v>319</v>
      </c>
      <c r="F1" s="4" t="s">
        <v>320</v>
      </c>
      <c r="G1" s="4" t="s">
        <v>321</v>
      </c>
      <c r="H1" s="4" t="s">
        <v>322</v>
      </c>
      <c r="I1" s="4" t="s">
        <v>323</v>
      </c>
      <c r="J1" s="4" t="s">
        <v>324</v>
      </c>
    </row>
    <row r="2" spans="1:10" x14ac:dyDescent="0.3">
      <c r="A2" s="5" t="s">
        <v>325</v>
      </c>
      <c r="B2" s="6" t="s">
        <v>326</v>
      </c>
      <c r="C2" s="6" t="s">
        <v>410</v>
      </c>
      <c r="D2" s="12">
        <v>0.84563059045562805</v>
      </c>
      <c r="E2" s="12" t="s">
        <v>409</v>
      </c>
      <c r="F2" s="12" t="s">
        <v>409</v>
      </c>
      <c r="G2" s="12" t="s">
        <v>409</v>
      </c>
      <c r="H2" s="12">
        <v>0.84563059045562805</v>
      </c>
      <c r="I2" s="12">
        <v>0</v>
      </c>
      <c r="J2" s="12">
        <v>0</v>
      </c>
    </row>
    <row r="3" spans="1:10" x14ac:dyDescent="0.3">
      <c r="A3" s="5" t="s">
        <v>329</v>
      </c>
      <c r="B3" s="6" t="s">
        <v>326</v>
      </c>
      <c r="C3" s="6" t="s">
        <v>410</v>
      </c>
      <c r="D3" s="12">
        <v>0.79853341257566002</v>
      </c>
      <c r="E3" s="12" t="s">
        <v>409</v>
      </c>
      <c r="F3" s="12" t="s">
        <v>409</v>
      </c>
      <c r="G3" s="12" t="s">
        <v>409</v>
      </c>
      <c r="H3" s="12">
        <v>0.79853341257566002</v>
      </c>
      <c r="I3" s="12">
        <v>0</v>
      </c>
      <c r="J3" s="12">
        <v>0</v>
      </c>
    </row>
    <row r="4" spans="1:10" x14ac:dyDescent="0.3">
      <c r="A4" s="5" t="s">
        <v>330</v>
      </c>
      <c r="B4" s="6" t="s">
        <v>326</v>
      </c>
      <c r="C4" s="6" t="s">
        <v>410</v>
      </c>
      <c r="D4" s="12">
        <v>0.86552926726510604</v>
      </c>
      <c r="E4" s="12" t="s">
        <v>409</v>
      </c>
      <c r="F4" s="12" t="s">
        <v>409</v>
      </c>
      <c r="G4" s="12" t="s">
        <v>409</v>
      </c>
      <c r="H4" s="12">
        <v>0.86552926726510604</v>
      </c>
      <c r="I4" s="12">
        <v>0</v>
      </c>
      <c r="J4" s="12">
        <v>0</v>
      </c>
    </row>
    <row r="5" spans="1:10" x14ac:dyDescent="0.3">
      <c r="A5" s="5" t="s">
        <v>331</v>
      </c>
      <c r="B5" s="6" t="s">
        <v>326</v>
      </c>
      <c r="C5" s="6" t="s">
        <v>410</v>
      </c>
      <c r="D5" s="12">
        <v>0.82761772835216796</v>
      </c>
      <c r="E5" s="12" t="s">
        <v>409</v>
      </c>
      <c r="F5" s="12" t="s">
        <v>409</v>
      </c>
      <c r="G5" s="12" t="s">
        <v>409</v>
      </c>
      <c r="H5" s="12">
        <v>0.82761772835216796</v>
      </c>
      <c r="I5" s="12">
        <v>0</v>
      </c>
      <c r="J5" s="12">
        <v>0</v>
      </c>
    </row>
    <row r="6" spans="1:10" x14ac:dyDescent="0.3">
      <c r="A6" s="5" t="s">
        <v>332</v>
      </c>
      <c r="B6" s="6" t="s">
        <v>326</v>
      </c>
      <c r="C6" s="6" t="s">
        <v>410</v>
      </c>
      <c r="D6" s="12">
        <v>0.82761772835216796</v>
      </c>
      <c r="E6" s="12" t="s">
        <v>409</v>
      </c>
      <c r="F6" s="12" t="s">
        <v>409</v>
      </c>
      <c r="G6" s="12" t="s">
        <v>409</v>
      </c>
      <c r="H6" s="12">
        <v>0.82761772835216796</v>
      </c>
      <c r="I6" s="12">
        <v>0</v>
      </c>
      <c r="J6" s="12">
        <v>0</v>
      </c>
    </row>
    <row r="7" spans="1:10" x14ac:dyDescent="0.3">
      <c r="A7" s="5" t="s">
        <v>333</v>
      </c>
      <c r="B7" s="6" t="s">
        <v>326</v>
      </c>
      <c r="C7" s="6" t="s">
        <v>410</v>
      </c>
      <c r="D7" s="12">
        <v>0.85238510783690102</v>
      </c>
      <c r="E7" s="12" t="s">
        <v>409</v>
      </c>
      <c r="F7" s="12" t="s">
        <v>409</v>
      </c>
      <c r="G7" s="12" t="s">
        <v>409</v>
      </c>
      <c r="H7" s="12">
        <v>0.85238510783690102</v>
      </c>
      <c r="I7" s="12">
        <v>0</v>
      </c>
      <c r="J7" s="12">
        <v>0</v>
      </c>
    </row>
    <row r="8" spans="1:10" x14ac:dyDescent="0.3">
      <c r="A8" s="5" t="s">
        <v>334</v>
      </c>
      <c r="B8" s="6" t="s">
        <v>326</v>
      </c>
      <c r="C8" s="6" t="s">
        <v>410</v>
      </c>
      <c r="D8" s="12">
        <v>0.83772399748774895</v>
      </c>
      <c r="E8" s="12" t="s">
        <v>409</v>
      </c>
      <c r="F8" s="12" t="s">
        <v>409</v>
      </c>
      <c r="G8" s="12" t="s">
        <v>409</v>
      </c>
      <c r="H8" s="12">
        <v>0.83772399748774895</v>
      </c>
      <c r="I8" s="12">
        <v>0</v>
      </c>
      <c r="J8" s="12">
        <v>0</v>
      </c>
    </row>
    <row r="9" spans="1:10" x14ac:dyDescent="0.3">
      <c r="A9" s="5" t="s">
        <v>335</v>
      </c>
      <c r="B9" s="6" t="s">
        <v>326</v>
      </c>
      <c r="C9" s="6" t="s">
        <v>410</v>
      </c>
      <c r="D9" s="12">
        <v>0.822993632590312</v>
      </c>
      <c r="E9" s="12" t="s">
        <v>409</v>
      </c>
      <c r="F9" s="12" t="s">
        <v>409</v>
      </c>
      <c r="G9" s="12" t="s">
        <v>409</v>
      </c>
      <c r="H9" s="12">
        <v>0.822993632590312</v>
      </c>
      <c r="I9" s="12">
        <v>0</v>
      </c>
      <c r="J9" s="12">
        <v>0</v>
      </c>
    </row>
    <row r="10" spans="1:10" x14ac:dyDescent="0.3">
      <c r="A10" s="5" t="s">
        <v>336</v>
      </c>
      <c r="B10" s="6" t="s">
        <v>326</v>
      </c>
      <c r="C10" s="6" t="s">
        <v>410</v>
      </c>
      <c r="D10" s="12">
        <v>0.88393635036396301</v>
      </c>
      <c r="E10" s="12" t="s">
        <v>409</v>
      </c>
      <c r="F10" s="12" t="s">
        <v>409</v>
      </c>
      <c r="G10" s="12" t="s">
        <v>409</v>
      </c>
      <c r="H10" s="12">
        <v>0.88393635036396301</v>
      </c>
      <c r="I10" s="12">
        <v>0</v>
      </c>
      <c r="J10" s="12">
        <v>0</v>
      </c>
    </row>
    <row r="11" spans="1:10" x14ac:dyDescent="0.3">
      <c r="A11" s="5" t="s">
        <v>337</v>
      </c>
      <c r="B11" s="6" t="s">
        <v>326</v>
      </c>
      <c r="C11" s="6" t="s">
        <v>410</v>
      </c>
      <c r="D11" s="12">
        <v>1</v>
      </c>
      <c r="E11" s="12" t="s">
        <v>409</v>
      </c>
      <c r="F11" s="12" t="s">
        <v>409</v>
      </c>
      <c r="G11" s="12" t="s">
        <v>409</v>
      </c>
      <c r="H11" s="12">
        <v>1</v>
      </c>
      <c r="I11" s="12">
        <v>0</v>
      </c>
      <c r="J11" s="12">
        <v>0</v>
      </c>
    </row>
    <row r="12" spans="1:10" x14ac:dyDescent="0.3">
      <c r="A12" s="5" t="s">
        <v>338</v>
      </c>
      <c r="B12" s="6" t="s">
        <v>326</v>
      </c>
      <c r="C12" s="6" t="s">
        <v>410</v>
      </c>
      <c r="D12" s="12">
        <v>0.81776839843446103</v>
      </c>
      <c r="E12" s="12" t="s">
        <v>409</v>
      </c>
      <c r="F12" s="12" t="s">
        <v>409</v>
      </c>
      <c r="G12" s="12" t="s">
        <v>409</v>
      </c>
      <c r="H12" s="12">
        <v>0.81776839843446103</v>
      </c>
      <c r="I12" s="12">
        <v>0</v>
      </c>
      <c r="J12" s="12">
        <v>0</v>
      </c>
    </row>
    <row r="13" spans="1:10" x14ac:dyDescent="0.3">
      <c r="A13" s="5" t="s">
        <v>339</v>
      </c>
      <c r="B13" s="6" t="s">
        <v>326</v>
      </c>
      <c r="C13" s="6" t="s">
        <v>410</v>
      </c>
      <c r="D13" s="12">
        <v>0.86099786026060598</v>
      </c>
      <c r="E13" s="12" t="s">
        <v>409</v>
      </c>
      <c r="F13" s="12" t="s">
        <v>409</v>
      </c>
      <c r="G13" s="12" t="s">
        <v>409</v>
      </c>
      <c r="H13" s="12">
        <v>0.86099786026060598</v>
      </c>
      <c r="I13" s="12">
        <v>0</v>
      </c>
      <c r="J13" s="12">
        <v>0</v>
      </c>
    </row>
    <row r="14" spans="1:10" x14ac:dyDescent="0.3">
      <c r="A14" s="5" t="s">
        <v>340</v>
      </c>
      <c r="B14" s="6" t="s">
        <v>326</v>
      </c>
      <c r="C14" s="6" t="s">
        <v>410</v>
      </c>
      <c r="D14" s="12">
        <v>0.81007305047593303</v>
      </c>
      <c r="E14" s="12" t="s">
        <v>409</v>
      </c>
      <c r="F14" s="12" t="s">
        <v>409</v>
      </c>
      <c r="G14" s="12" t="s">
        <v>409</v>
      </c>
      <c r="H14" s="12">
        <v>0.81007305047593303</v>
      </c>
      <c r="I14" s="12">
        <v>0</v>
      </c>
      <c r="J14" s="12">
        <v>0</v>
      </c>
    </row>
    <row r="15" spans="1:10" x14ac:dyDescent="0.3">
      <c r="A15" s="5" t="s">
        <v>342</v>
      </c>
      <c r="B15" s="6" t="s">
        <v>326</v>
      </c>
      <c r="C15" s="6" t="s">
        <v>410</v>
      </c>
      <c r="D15" s="12">
        <v>0.842084754871259</v>
      </c>
      <c r="E15" s="12" t="s">
        <v>409</v>
      </c>
      <c r="F15" s="12" t="s">
        <v>409</v>
      </c>
      <c r="G15" s="12" t="s">
        <v>409</v>
      </c>
      <c r="H15" s="12">
        <v>0.842084754871259</v>
      </c>
      <c r="I15" s="12">
        <v>0</v>
      </c>
      <c r="J15" s="12">
        <v>0</v>
      </c>
    </row>
    <row r="16" spans="1:10" x14ac:dyDescent="0.3">
      <c r="A16" s="5" t="s">
        <v>343</v>
      </c>
      <c r="B16" s="6" t="s">
        <v>326</v>
      </c>
      <c r="C16" s="6" t="s">
        <v>410</v>
      </c>
      <c r="D16" s="12">
        <v>0.89380105166034596</v>
      </c>
      <c r="E16" s="12" t="s">
        <v>409</v>
      </c>
      <c r="F16" s="12" t="s">
        <v>409</v>
      </c>
      <c r="G16" s="12" t="s">
        <v>409</v>
      </c>
      <c r="H16" s="12">
        <v>0.89380105166034596</v>
      </c>
      <c r="I16" s="12">
        <v>0</v>
      </c>
      <c r="J16" s="12">
        <v>0</v>
      </c>
    </row>
    <row r="17" spans="1:10" x14ac:dyDescent="0.3">
      <c r="A17" s="5" t="s">
        <v>345</v>
      </c>
      <c r="B17" s="6" t="s">
        <v>326</v>
      </c>
      <c r="C17" s="6" t="s">
        <v>410</v>
      </c>
      <c r="D17" s="12">
        <v>0.98331805782898496</v>
      </c>
      <c r="E17" s="12" t="s">
        <v>409</v>
      </c>
      <c r="F17" s="12" t="s">
        <v>409</v>
      </c>
      <c r="G17" s="12" t="s">
        <v>409</v>
      </c>
      <c r="H17" s="12">
        <v>0.98331805782898496</v>
      </c>
      <c r="I17" s="12">
        <v>0</v>
      </c>
      <c r="J17" s="12">
        <v>0</v>
      </c>
    </row>
    <row r="18" spans="1:10" x14ac:dyDescent="0.3">
      <c r="A18" s="5" t="s">
        <v>347</v>
      </c>
      <c r="B18" s="6" t="s">
        <v>326</v>
      </c>
      <c r="C18" s="6" t="s">
        <v>410</v>
      </c>
      <c r="D18" s="12">
        <v>0.94722377413625403</v>
      </c>
      <c r="E18" s="12" t="s">
        <v>409</v>
      </c>
      <c r="F18" s="12" t="s">
        <v>409</v>
      </c>
      <c r="G18" s="12" t="s">
        <v>409</v>
      </c>
      <c r="H18" s="12">
        <v>0.94722377413625403</v>
      </c>
      <c r="I18" s="12">
        <v>0</v>
      </c>
      <c r="J18" s="12">
        <v>0</v>
      </c>
    </row>
    <row r="22" spans="1:10" ht="28.8" x14ac:dyDescent="0.3">
      <c r="A22" s="10" t="s">
        <v>315</v>
      </c>
      <c r="B22" s="3" t="s">
        <v>316</v>
      </c>
      <c r="C22" s="3" t="s">
        <v>317</v>
      </c>
      <c r="D22" s="4" t="s">
        <v>318</v>
      </c>
      <c r="E22" s="4" t="s">
        <v>319</v>
      </c>
      <c r="F22" s="4" t="s">
        <v>320</v>
      </c>
      <c r="G22" s="4" t="s">
        <v>321</v>
      </c>
      <c r="H22" s="4" t="s">
        <v>322</v>
      </c>
      <c r="I22" s="4" t="s">
        <v>323</v>
      </c>
      <c r="J22" s="4" t="s">
        <v>324</v>
      </c>
    </row>
    <row r="23" spans="1:10" x14ac:dyDescent="0.3">
      <c r="A23" s="5" t="s">
        <v>325</v>
      </c>
      <c r="B23" s="6" t="s">
        <v>326</v>
      </c>
      <c r="C23" s="6" t="s">
        <v>411</v>
      </c>
      <c r="D23" s="12">
        <v>5.9735148462676302E-2</v>
      </c>
      <c r="E23" s="12" t="s">
        <v>409</v>
      </c>
      <c r="F23" s="12" t="s">
        <v>409</v>
      </c>
      <c r="G23" s="12" t="s">
        <v>409</v>
      </c>
      <c r="H23" s="12">
        <v>5.9735148462676302E-2</v>
      </c>
      <c r="I23" s="12">
        <v>0</v>
      </c>
      <c r="J23" s="12">
        <v>0</v>
      </c>
    </row>
    <row r="24" spans="1:10" x14ac:dyDescent="0.3">
      <c r="A24" s="5" t="s">
        <v>329</v>
      </c>
      <c r="B24" s="6" t="s">
        <v>326</v>
      </c>
      <c r="C24" s="6" t="s">
        <v>411</v>
      </c>
      <c r="D24" s="12">
        <v>2.6408902729295001E-2</v>
      </c>
      <c r="E24" s="12" t="s">
        <v>409</v>
      </c>
      <c r="F24" s="12" t="s">
        <v>409</v>
      </c>
      <c r="G24" s="12" t="s">
        <v>409</v>
      </c>
      <c r="H24" s="12">
        <v>2.6408902729295001E-2</v>
      </c>
      <c r="I24" s="12">
        <v>0</v>
      </c>
      <c r="J24" s="12">
        <v>0</v>
      </c>
    </row>
    <row r="25" spans="1:10" x14ac:dyDescent="0.3">
      <c r="A25" s="5" t="s">
        <v>330</v>
      </c>
      <c r="B25" s="6" t="s">
        <v>326</v>
      </c>
      <c r="C25" s="6" t="s">
        <v>411</v>
      </c>
      <c r="D25" s="12">
        <v>3.2667560068236998E-2</v>
      </c>
      <c r="E25" s="12" t="s">
        <v>409</v>
      </c>
      <c r="F25" s="12" t="s">
        <v>409</v>
      </c>
      <c r="G25" s="12" t="s">
        <v>409</v>
      </c>
      <c r="H25" s="12">
        <v>3.2667560068236998E-2</v>
      </c>
      <c r="I25" s="12">
        <v>0</v>
      </c>
      <c r="J25" s="12">
        <v>0</v>
      </c>
    </row>
    <row r="26" spans="1:10" x14ac:dyDescent="0.3">
      <c r="A26" s="5" t="s">
        <v>331</v>
      </c>
      <c r="B26" s="6" t="s">
        <v>326</v>
      </c>
      <c r="C26" s="6" t="s">
        <v>411</v>
      </c>
      <c r="D26" s="12">
        <v>9.271867508626E-2</v>
      </c>
      <c r="E26" s="12" t="s">
        <v>409</v>
      </c>
      <c r="F26" s="12" t="s">
        <v>409</v>
      </c>
      <c r="G26" s="12" t="s">
        <v>409</v>
      </c>
      <c r="H26" s="12">
        <v>9.271867508626E-2</v>
      </c>
      <c r="I26" s="12">
        <v>0</v>
      </c>
      <c r="J26" s="12">
        <v>0</v>
      </c>
    </row>
    <row r="27" spans="1:10" x14ac:dyDescent="0.3">
      <c r="A27" s="5" t="s">
        <v>332</v>
      </c>
      <c r="B27" s="6" t="s">
        <v>326</v>
      </c>
      <c r="C27" s="6" t="s">
        <v>411</v>
      </c>
      <c r="D27" s="12">
        <v>9.271867508626E-2</v>
      </c>
      <c r="E27" s="12" t="s">
        <v>409</v>
      </c>
      <c r="F27" s="12" t="s">
        <v>409</v>
      </c>
      <c r="G27" s="12" t="s">
        <v>409</v>
      </c>
      <c r="H27" s="12">
        <v>9.271867508626E-2</v>
      </c>
      <c r="I27" s="12">
        <v>0</v>
      </c>
      <c r="J27" s="12">
        <v>0</v>
      </c>
    </row>
    <row r="28" spans="1:10" x14ac:dyDescent="0.3">
      <c r="A28" s="5" t="s">
        <v>333</v>
      </c>
      <c r="B28" s="6" t="s">
        <v>326</v>
      </c>
      <c r="C28" s="6" t="s">
        <v>411</v>
      </c>
      <c r="D28" s="12">
        <v>0.127723058991211</v>
      </c>
      <c r="E28" s="12" t="s">
        <v>409</v>
      </c>
      <c r="F28" s="12" t="s">
        <v>409</v>
      </c>
      <c r="G28" s="12" t="s">
        <v>409</v>
      </c>
      <c r="H28" s="12">
        <v>0.127723058991211</v>
      </c>
      <c r="I28" s="12">
        <v>0</v>
      </c>
      <c r="J28" s="12">
        <v>0</v>
      </c>
    </row>
    <row r="29" spans="1:10" x14ac:dyDescent="0.3">
      <c r="A29" s="5" t="s">
        <v>334</v>
      </c>
      <c r="B29" s="6" t="s">
        <v>326</v>
      </c>
      <c r="C29" s="6" t="s">
        <v>411</v>
      </c>
      <c r="D29" s="12">
        <v>4.87420444037647E-2</v>
      </c>
      <c r="E29" s="12" t="s">
        <v>409</v>
      </c>
      <c r="F29" s="12" t="s">
        <v>409</v>
      </c>
      <c r="G29" s="12" t="s">
        <v>409</v>
      </c>
      <c r="H29" s="12">
        <v>4.87420444037647E-2</v>
      </c>
      <c r="I29" s="12">
        <v>0</v>
      </c>
      <c r="J29" s="12">
        <v>0</v>
      </c>
    </row>
    <row r="30" spans="1:10" x14ac:dyDescent="0.3">
      <c r="A30" s="5" t="s">
        <v>335</v>
      </c>
      <c r="B30" s="6" t="s">
        <v>326</v>
      </c>
      <c r="C30" s="6" t="s">
        <v>411</v>
      </c>
      <c r="D30" s="12">
        <v>6.8151284483621496E-2</v>
      </c>
      <c r="E30" s="12" t="s">
        <v>409</v>
      </c>
      <c r="F30" s="12" t="s">
        <v>409</v>
      </c>
      <c r="G30" s="12" t="s">
        <v>409</v>
      </c>
      <c r="H30" s="12">
        <v>6.8151284483621496E-2</v>
      </c>
      <c r="I30" s="12">
        <v>0</v>
      </c>
      <c r="J30" s="12">
        <v>0</v>
      </c>
    </row>
    <row r="31" spans="1:10" x14ac:dyDescent="0.3">
      <c r="A31" s="5" t="s">
        <v>336</v>
      </c>
      <c r="B31" s="6" t="s">
        <v>326</v>
      </c>
      <c r="C31" s="6" t="s">
        <v>411</v>
      </c>
      <c r="D31" s="12">
        <v>7.5522799977040395E-2</v>
      </c>
      <c r="E31" s="12" t="s">
        <v>409</v>
      </c>
      <c r="F31" s="12" t="s">
        <v>409</v>
      </c>
      <c r="G31" s="12" t="s">
        <v>409</v>
      </c>
      <c r="H31" s="12">
        <v>7.5522799977040395E-2</v>
      </c>
      <c r="I31" s="12">
        <v>0</v>
      </c>
      <c r="J31" s="12">
        <v>0</v>
      </c>
    </row>
    <row r="32" spans="1:10" x14ac:dyDescent="0.3">
      <c r="A32" s="5" t="s">
        <v>337</v>
      </c>
      <c r="B32" s="6" t="s">
        <v>326</v>
      </c>
      <c r="C32" s="6" t="s">
        <v>411</v>
      </c>
      <c r="D32" s="12">
        <v>0.111546545787488</v>
      </c>
      <c r="E32" s="12" t="s">
        <v>409</v>
      </c>
      <c r="F32" s="12" t="s">
        <v>409</v>
      </c>
      <c r="G32" s="12" t="s">
        <v>409</v>
      </c>
      <c r="H32" s="12">
        <v>0.111546545787488</v>
      </c>
      <c r="I32" s="12">
        <v>0</v>
      </c>
      <c r="J32" s="12">
        <v>0</v>
      </c>
    </row>
    <row r="33" spans="1:10" x14ac:dyDescent="0.3">
      <c r="A33" s="5" t="s">
        <v>338</v>
      </c>
      <c r="B33" s="6" t="s">
        <v>326</v>
      </c>
      <c r="C33" s="6" t="s">
        <v>411</v>
      </c>
      <c r="D33" s="12">
        <v>4.86346609673367E-2</v>
      </c>
      <c r="E33" s="12" t="s">
        <v>409</v>
      </c>
      <c r="F33" s="12" t="s">
        <v>409</v>
      </c>
      <c r="G33" s="12" t="s">
        <v>409</v>
      </c>
      <c r="H33" s="12">
        <v>4.86346609673367E-2</v>
      </c>
      <c r="I33" s="12">
        <v>0</v>
      </c>
      <c r="J33" s="12">
        <v>0</v>
      </c>
    </row>
    <row r="34" spans="1:10" x14ac:dyDescent="0.3">
      <c r="A34" s="5" t="s">
        <v>339</v>
      </c>
      <c r="B34" s="6" t="s">
        <v>326</v>
      </c>
      <c r="C34" s="6" t="s">
        <v>411</v>
      </c>
      <c r="D34" s="12">
        <v>4.1049525742992699E-2</v>
      </c>
      <c r="E34" s="12" t="s">
        <v>409</v>
      </c>
      <c r="F34" s="12" t="s">
        <v>409</v>
      </c>
      <c r="G34" s="12" t="s">
        <v>409</v>
      </c>
      <c r="H34" s="12">
        <v>4.1049525742992699E-2</v>
      </c>
      <c r="I34" s="12">
        <v>0</v>
      </c>
      <c r="J34" s="12">
        <v>0</v>
      </c>
    </row>
    <row r="35" spans="1:10" x14ac:dyDescent="0.3">
      <c r="A35" s="5" t="s">
        <v>340</v>
      </c>
      <c r="B35" s="6" t="s">
        <v>326</v>
      </c>
      <c r="C35" s="6" t="s">
        <v>411</v>
      </c>
      <c r="D35" s="12">
        <v>6.6648231274529707E-2</v>
      </c>
      <c r="E35" s="12" t="s">
        <v>409</v>
      </c>
      <c r="F35" s="12" t="s">
        <v>409</v>
      </c>
      <c r="G35" s="12" t="s">
        <v>409</v>
      </c>
      <c r="H35" s="12">
        <v>6.6648231274529707E-2</v>
      </c>
      <c r="I35" s="12">
        <v>0</v>
      </c>
      <c r="J35" s="12">
        <v>0</v>
      </c>
    </row>
    <row r="36" spans="1:10" x14ac:dyDescent="0.3">
      <c r="A36" s="5" t="s">
        <v>342</v>
      </c>
      <c r="B36" s="6" t="s">
        <v>326</v>
      </c>
      <c r="C36" s="6" t="s">
        <v>411</v>
      </c>
      <c r="D36" s="12">
        <v>5.96015838255117E-2</v>
      </c>
      <c r="E36" s="12" t="s">
        <v>409</v>
      </c>
      <c r="F36" s="12" t="s">
        <v>409</v>
      </c>
      <c r="G36" s="12" t="s">
        <v>409</v>
      </c>
      <c r="H36" s="12">
        <v>5.96015838255117E-2</v>
      </c>
      <c r="I36" s="12">
        <v>0</v>
      </c>
      <c r="J36" s="12">
        <v>0</v>
      </c>
    </row>
    <row r="37" spans="1:10" x14ac:dyDescent="0.3">
      <c r="A37" s="5" t="s">
        <v>343</v>
      </c>
      <c r="B37" s="6" t="s">
        <v>326</v>
      </c>
      <c r="C37" s="6" t="s">
        <v>411</v>
      </c>
      <c r="D37" s="12">
        <v>4.5894929134666397E-2</v>
      </c>
      <c r="E37" s="12" t="s">
        <v>409</v>
      </c>
      <c r="F37" s="12" t="s">
        <v>409</v>
      </c>
      <c r="G37" s="12" t="s">
        <v>409</v>
      </c>
      <c r="H37" s="12">
        <v>4.5894929134666397E-2</v>
      </c>
      <c r="I37" s="12">
        <v>0</v>
      </c>
      <c r="J37" s="12">
        <v>0</v>
      </c>
    </row>
    <row r="38" spans="1:10" x14ac:dyDescent="0.3">
      <c r="A38" s="5" t="s">
        <v>345</v>
      </c>
      <c r="B38" s="6" t="s">
        <v>326</v>
      </c>
      <c r="C38" s="6" t="s">
        <v>411</v>
      </c>
      <c r="D38" s="12">
        <v>7.9669923677834806E-2</v>
      </c>
      <c r="E38" s="12" t="s">
        <v>409</v>
      </c>
      <c r="F38" s="12" t="s">
        <v>409</v>
      </c>
      <c r="G38" s="12" t="s">
        <v>409</v>
      </c>
      <c r="H38" s="12">
        <v>7.9669923677834806E-2</v>
      </c>
      <c r="I38" s="12">
        <v>0</v>
      </c>
      <c r="J38" s="12">
        <v>0</v>
      </c>
    </row>
    <row r="39" spans="1:10" x14ac:dyDescent="0.3">
      <c r="A39" s="5" t="s">
        <v>347</v>
      </c>
      <c r="B39" s="6" t="s">
        <v>326</v>
      </c>
      <c r="C39" s="6" t="s">
        <v>411</v>
      </c>
      <c r="D39" s="12">
        <v>2.5770434803415801E-2</v>
      </c>
      <c r="E39" s="12" t="s">
        <v>409</v>
      </c>
      <c r="F39" s="12" t="s">
        <v>409</v>
      </c>
      <c r="G39" s="12" t="s">
        <v>409</v>
      </c>
      <c r="H39" s="12">
        <v>2.5770434803415801E-2</v>
      </c>
      <c r="I39" s="12">
        <v>0</v>
      </c>
      <c r="J39" s="12">
        <v>0</v>
      </c>
    </row>
    <row r="41" spans="1:10" ht="28.8" x14ac:dyDescent="0.3">
      <c r="A41" s="10" t="s">
        <v>315</v>
      </c>
      <c r="B41" s="3" t="s">
        <v>316</v>
      </c>
      <c r="C41" s="3" t="s">
        <v>317</v>
      </c>
      <c r="D41" s="4" t="s">
        <v>318</v>
      </c>
      <c r="E41" s="4" t="s">
        <v>319</v>
      </c>
      <c r="F41" s="4" t="s">
        <v>320</v>
      </c>
      <c r="G41" s="4" t="s">
        <v>321</v>
      </c>
      <c r="H41" s="4" t="s">
        <v>322</v>
      </c>
      <c r="I41" s="4" t="s">
        <v>323</v>
      </c>
      <c r="J41" s="4" t="s">
        <v>324</v>
      </c>
    </row>
    <row r="42" spans="1:10" x14ac:dyDescent="0.3">
      <c r="A42" s="5" t="s">
        <v>325</v>
      </c>
      <c r="B42" s="6" t="s">
        <v>326</v>
      </c>
      <c r="C42" s="6" t="s">
        <v>412</v>
      </c>
      <c r="D42" s="12">
        <v>3.2878384668542498E-4</v>
      </c>
      <c r="E42" s="12" t="s">
        <v>409</v>
      </c>
      <c r="F42" s="12" t="s">
        <v>409</v>
      </c>
      <c r="G42" s="12" t="s">
        <v>409</v>
      </c>
      <c r="H42" s="12">
        <v>3.2878384668542498E-4</v>
      </c>
      <c r="I42" s="12">
        <v>0</v>
      </c>
      <c r="J42" s="12">
        <v>0</v>
      </c>
    </row>
    <row r="43" spans="1:10" x14ac:dyDescent="0.3">
      <c r="A43" s="5" t="s">
        <v>329</v>
      </c>
      <c r="B43" s="6" t="s">
        <v>326</v>
      </c>
      <c r="C43" s="6" t="s">
        <v>412</v>
      </c>
      <c r="D43" s="12">
        <v>0</v>
      </c>
      <c r="E43" s="12" t="s">
        <v>409</v>
      </c>
      <c r="F43" s="12" t="s">
        <v>409</v>
      </c>
      <c r="G43" s="12" t="s">
        <v>409</v>
      </c>
      <c r="H43" s="12">
        <v>0</v>
      </c>
      <c r="I43" s="12">
        <v>0</v>
      </c>
      <c r="J43" s="12">
        <v>0</v>
      </c>
    </row>
    <row r="44" spans="1:10" x14ac:dyDescent="0.3">
      <c r="A44" s="5" t="s">
        <v>330</v>
      </c>
      <c r="B44" s="6" t="s">
        <v>326</v>
      </c>
      <c r="C44" s="6" t="s">
        <v>412</v>
      </c>
      <c r="D44" s="12">
        <v>0</v>
      </c>
      <c r="E44" s="12" t="s">
        <v>409</v>
      </c>
      <c r="F44" s="12" t="s">
        <v>409</v>
      </c>
      <c r="G44" s="12" t="s">
        <v>409</v>
      </c>
      <c r="H44" s="12">
        <v>0</v>
      </c>
      <c r="I44" s="12">
        <v>0</v>
      </c>
      <c r="J44" s="12">
        <v>0</v>
      </c>
    </row>
    <row r="45" spans="1:10" x14ac:dyDescent="0.3">
      <c r="A45" s="5" t="s">
        <v>331</v>
      </c>
      <c r="B45" s="6" t="s">
        <v>326</v>
      </c>
      <c r="C45" s="6" t="s">
        <v>412</v>
      </c>
      <c r="D45" s="12">
        <v>0</v>
      </c>
      <c r="E45" s="12" t="s">
        <v>409</v>
      </c>
      <c r="F45" s="12" t="s">
        <v>409</v>
      </c>
      <c r="G45" s="12" t="s">
        <v>409</v>
      </c>
      <c r="H45" s="12">
        <v>0</v>
      </c>
      <c r="I45" s="12">
        <v>0</v>
      </c>
      <c r="J45" s="12">
        <v>0</v>
      </c>
    </row>
    <row r="46" spans="1:10" x14ac:dyDescent="0.3">
      <c r="A46" s="5" t="s">
        <v>332</v>
      </c>
      <c r="B46" s="6" t="s">
        <v>326</v>
      </c>
      <c r="C46" s="6" t="s">
        <v>412</v>
      </c>
      <c r="D46" s="12">
        <v>0</v>
      </c>
      <c r="E46" s="12" t="s">
        <v>409</v>
      </c>
      <c r="F46" s="12" t="s">
        <v>409</v>
      </c>
      <c r="G46" s="12" t="s">
        <v>409</v>
      </c>
      <c r="H46" s="12">
        <v>0</v>
      </c>
      <c r="I46" s="12">
        <v>0</v>
      </c>
      <c r="J46" s="12">
        <v>0</v>
      </c>
    </row>
    <row r="47" spans="1:10" x14ac:dyDescent="0.3">
      <c r="A47" s="5" t="s">
        <v>333</v>
      </c>
      <c r="B47" s="6" t="s">
        <v>326</v>
      </c>
      <c r="C47" s="6" t="s">
        <v>412</v>
      </c>
      <c r="D47" s="12">
        <v>0</v>
      </c>
      <c r="E47" s="12" t="s">
        <v>409</v>
      </c>
      <c r="F47" s="12" t="s">
        <v>409</v>
      </c>
      <c r="G47" s="12" t="s">
        <v>409</v>
      </c>
      <c r="H47" s="12">
        <v>0</v>
      </c>
      <c r="I47" s="12">
        <v>0</v>
      </c>
      <c r="J47" s="12">
        <v>0</v>
      </c>
    </row>
    <row r="48" spans="1:10" x14ac:dyDescent="0.3">
      <c r="A48" s="5" t="s">
        <v>334</v>
      </c>
      <c r="B48" s="6" t="s">
        <v>326</v>
      </c>
      <c r="C48" s="6" t="s">
        <v>412</v>
      </c>
      <c r="D48" s="12">
        <v>4.9760277828106601E-3</v>
      </c>
      <c r="E48" s="12" t="s">
        <v>409</v>
      </c>
      <c r="F48" s="12" t="s">
        <v>409</v>
      </c>
      <c r="G48" s="12" t="s">
        <v>409</v>
      </c>
      <c r="H48" s="12">
        <v>4.9760277828106601E-3</v>
      </c>
      <c r="I48" s="12">
        <v>0</v>
      </c>
      <c r="J48" s="12">
        <v>0</v>
      </c>
    </row>
    <row r="49" spans="1:10" x14ac:dyDescent="0.3">
      <c r="A49" s="5" t="s">
        <v>335</v>
      </c>
      <c r="B49" s="6" t="s">
        <v>326</v>
      </c>
      <c r="C49" s="6" t="s">
        <v>412</v>
      </c>
      <c r="D49" s="12">
        <v>1.41791389890467E-4</v>
      </c>
      <c r="E49" s="12" t="s">
        <v>409</v>
      </c>
      <c r="F49" s="12" t="s">
        <v>409</v>
      </c>
      <c r="G49" s="12" t="s">
        <v>409</v>
      </c>
      <c r="H49" s="12">
        <v>1.41791389890467E-4</v>
      </c>
      <c r="I49" s="12">
        <v>0</v>
      </c>
      <c r="J49" s="12">
        <v>0</v>
      </c>
    </row>
    <row r="50" spans="1:10" x14ac:dyDescent="0.3">
      <c r="A50" s="5" t="s">
        <v>336</v>
      </c>
      <c r="B50" s="6" t="s">
        <v>326</v>
      </c>
      <c r="C50" s="6" t="s">
        <v>412</v>
      </c>
      <c r="D50" s="12">
        <v>1.1345583292417701E-3</v>
      </c>
      <c r="E50" s="12" t="s">
        <v>409</v>
      </c>
      <c r="F50" s="12" t="s">
        <v>409</v>
      </c>
      <c r="G50" s="12" t="s">
        <v>409</v>
      </c>
      <c r="H50" s="12">
        <v>1.1345583292417701E-3</v>
      </c>
      <c r="I50" s="12">
        <v>0</v>
      </c>
      <c r="J50" s="12">
        <v>0</v>
      </c>
    </row>
    <row r="51" spans="1:10" x14ac:dyDescent="0.3">
      <c r="A51" s="5" t="s">
        <v>337</v>
      </c>
      <c r="B51" s="6" t="s">
        <v>326</v>
      </c>
      <c r="C51" s="6" t="s">
        <v>412</v>
      </c>
      <c r="D51" s="12">
        <v>0</v>
      </c>
      <c r="E51" s="12" t="s">
        <v>409</v>
      </c>
      <c r="F51" s="12" t="s">
        <v>409</v>
      </c>
      <c r="G51" s="12" t="s">
        <v>409</v>
      </c>
      <c r="H51" s="12">
        <v>0</v>
      </c>
      <c r="I51" s="12">
        <v>0</v>
      </c>
      <c r="J51" s="12">
        <v>0</v>
      </c>
    </row>
    <row r="52" spans="1:10" x14ac:dyDescent="0.3">
      <c r="A52" s="5" t="s">
        <v>338</v>
      </c>
      <c r="B52" s="6" t="s">
        <v>326</v>
      </c>
      <c r="C52" s="6" t="s">
        <v>412</v>
      </c>
      <c r="D52" s="12">
        <v>0</v>
      </c>
      <c r="E52" s="12" t="s">
        <v>409</v>
      </c>
      <c r="F52" s="12" t="s">
        <v>409</v>
      </c>
      <c r="G52" s="12" t="s">
        <v>409</v>
      </c>
      <c r="H52" s="12">
        <v>0</v>
      </c>
      <c r="I52" s="12">
        <v>0</v>
      </c>
      <c r="J52" s="12">
        <v>0</v>
      </c>
    </row>
    <row r="53" spans="1:10" x14ac:dyDescent="0.3">
      <c r="A53" s="5" t="s">
        <v>339</v>
      </c>
      <c r="B53" s="6" t="s">
        <v>326</v>
      </c>
      <c r="C53" s="6" t="s">
        <v>412</v>
      </c>
      <c r="D53" s="12">
        <v>0</v>
      </c>
      <c r="E53" s="12" t="s">
        <v>409</v>
      </c>
      <c r="F53" s="12" t="s">
        <v>409</v>
      </c>
      <c r="G53" s="12" t="s">
        <v>409</v>
      </c>
      <c r="H53" s="12">
        <v>0</v>
      </c>
      <c r="I53" s="12">
        <v>0</v>
      </c>
      <c r="J53" s="12">
        <v>0</v>
      </c>
    </row>
    <row r="54" spans="1:10" x14ac:dyDescent="0.3">
      <c r="A54" s="5" t="s">
        <v>340</v>
      </c>
      <c r="B54" s="6" t="s">
        <v>326</v>
      </c>
      <c r="C54" s="6" t="s">
        <v>412</v>
      </c>
      <c r="D54" s="12">
        <v>0</v>
      </c>
      <c r="E54" s="12" t="s">
        <v>409</v>
      </c>
      <c r="F54" s="12" t="s">
        <v>409</v>
      </c>
      <c r="G54" s="12" t="s">
        <v>409</v>
      </c>
      <c r="H54" s="12">
        <v>0</v>
      </c>
      <c r="I54" s="12">
        <v>0</v>
      </c>
      <c r="J54" s="12">
        <v>0</v>
      </c>
    </row>
    <row r="55" spans="1:10" x14ac:dyDescent="0.3">
      <c r="A55" s="5" t="s">
        <v>342</v>
      </c>
      <c r="B55" s="6" t="s">
        <v>326</v>
      </c>
      <c r="C55" s="6" t="s">
        <v>412</v>
      </c>
      <c r="D55" s="12">
        <v>0</v>
      </c>
      <c r="E55" s="12" t="s">
        <v>409</v>
      </c>
      <c r="F55" s="12" t="s">
        <v>409</v>
      </c>
      <c r="G55" s="12" t="s">
        <v>409</v>
      </c>
      <c r="H55" s="12">
        <v>0</v>
      </c>
      <c r="I55" s="12">
        <v>0</v>
      </c>
      <c r="J55" s="12">
        <v>0</v>
      </c>
    </row>
    <row r="56" spans="1:10" x14ac:dyDescent="0.3">
      <c r="A56" s="5" t="s">
        <v>343</v>
      </c>
      <c r="B56" s="6" t="s">
        <v>326</v>
      </c>
      <c r="C56" s="6" t="s">
        <v>412</v>
      </c>
      <c r="D56" s="12">
        <v>0</v>
      </c>
      <c r="E56" s="12" t="s">
        <v>409</v>
      </c>
      <c r="F56" s="12" t="s">
        <v>409</v>
      </c>
      <c r="G56" s="12" t="s">
        <v>409</v>
      </c>
      <c r="H56" s="12">
        <v>0</v>
      </c>
      <c r="I56" s="12">
        <v>0</v>
      </c>
      <c r="J56" s="12">
        <v>0</v>
      </c>
    </row>
    <row r="57" spans="1:10" x14ac:dyDescent="0.3">
      <c r="A57" s="5" t="s">
        <v>345</v>
      </c>
      <c r="B57" s="6" t="s">
        <v>326</v>
      </c>
      <c r="C57" s="6" t="s">
        <v>412</v>
      </c>
      <c r="D57" s="12">
        <v>0</v>
      </c>
      <c r="E57" s="12" t="s">
        <v>409</v>
      </c>
      <c r="F57" s="12" t="s">
        <v>409</v>
      </c>
      <c r="G57" s="12" t="s">
        <v>409</v>
      </c>
      <c r="H57" s="12">
        <v>0</v>
      </c>
      <c r="I57" s="12">
        <v>0</v>
      </c>
      <c r="J57" s="12">
        <v>0</v>
      </c>
    </row>
    <row r="58" spans="1:10" x14ac:dyDescent="0.3">
      <c r="A58" s="5" t="s">
        <v>347</v>
      </c>
      <c r="B58" s="6" t="s">
        <v>326</v>
      </c>
      <c r="C58" s="6" t="s">
        <v>412</v>
      </c>
      <c r="D58" s="12">
        <v>0</v>
      </c>
      <c r="E58" s="12" t="s">
        <v>409</v>
      </c>
      <c r="F58" s="12" t="s">
        <v>409</v>
      </c>
      <c r="G58" s="12" t="s">
        <v>409</v>
      </c>
      <c r="H58" s="12">
        <v>0</v>
      </c>
      <c r="I58" s="12">
        <v>0</v>
      </c>
      <c r="J58" s="1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573C9-635E-4559-8843-1297BD643A2C}">
  <dimension ref="A1:AL153"/>
  <sheetViews>
    <sheetView zoomScaleNormal="100" workbookViewId="0">
      <selection sqref="A1:G1"/>
    </sheetView>
  </sheetViews>
  <sheetFormatPr defaultColWidth="8.6640625" defaultRowHeight="13.2" x14ac:dyDescent="0.25"/>
  <cols>
    <col min="1" max="1" width="35.88671875" style="124" customWidth="1"/>
    <col min="2" max="2" width="29.6640625" style="124" customWidth="1"/>
    <col min="3" max="3" width="23.109375" style="124" customWidth="1"/>
    <col min="4" max="4" width="33" style="124" customWidth="1"/>
    <col min="5" max="5" width="32.44140625" style="124" customWidth="1"/>
    <col min="6" max="6" width="25.5546875" style="124" customWidth="1"/>
    <col min="7" max="7" width="23" style="124" customWidth="1"/>
    <col min="8" max="8" width="27.44140625" style="124" customWidth="1"/>
    <col min="9" max="10" width="23" style="124" customWidth="1"/>
    <col min="11" max="11" width="19" style="124" customWidth="1"/>
    <col min="12" max="12" width="8.6640625" style="124" customWidth="1"/>
    <col min="13" max="13" width="12.33203125" style="124" customWidth="1"/>
    <col min="14" max="14" width="13.33203125" style="124" customWidth="1"/>
    <col min="15" max="15" width="15.33203125" style="124" customWidth="1"/>
    <col min="16" max="16" width="11" style="124" customWidth="1"/>
    <col min="17" max="20" width="15.33203125" style="124" customWidth="1"/>
    <col min="21" max="21" width="7.6640625" style="124" hidden="1" customWidth="1"/>
    <col min="22" max="22" width="12.44140625" style="124" hidden="1" customWidth="1"/>
    <col min="23" max="38" width="6.5546875" style="124" hidden="1" customWidth="1"/>
    <col min="39" max="39" width="15.33203125" style="124" customWidth="1"/>
    <col min="40" max="40" width="11.33203125" style="124" customWidth="1"/>
    <col min="41" max="41" width="6.33203125" style="124" customWidth="1"/>
    <col min="42" max="45" width="4.6640625" style="124" customWidth="1"/>
    <col min="46" max="46" width="6.33203125" style="124" customWidth="1"/>
    <col min="47" max="61" width="4.6640625" style="124" customWidth="1"/>
    <col min="62" max="16384" width="8.6640625" style="124"/>
  </cols>
  <sheetData>
    <row r="1" spans="1:10" ht="24" customHeight="1" x14ac:dyDescent="0.25">
      <c r="A1" s="879" t="str">
        <f>"Water Heater Summary - "&amp;Prototype!A2</f>
        <v>Water Heater Summary - RestaurantSitDown</v>
      </c>
      <c r="B1" s="827"/>
      <c r="C1" s="827"/>
      <c r="D1" s="827"/>
      <c r="E1" s="827"/>
      <c r="F1" s="827"/>
      <c r="G1" s="827"/>
    </row>
    <row r="2" spans="1:10" ht="22.35" customHeight="1" x14ac:dyDescent="0.25">
      <c r="A2" s="588" t="s">
        <v>190</v>
      </c>
      <c r="B2" s="588" t="s">
        <v>413</v>
      </c>
      <c r="C2" s="588" t="s">
        <v>414</v>
      </c>
      <c r="D2" s="757" t="s">
        <v>415</v>
      </c>
      <c r="E2" s="618" t="s">
        <v>416</v>
      </c>
      <c r="F2" s="618" t="s">
        <v>417</v>
      </c>
      <c r="G2" s="618" t="s">
        <v>243</v>
      </c>
    </row>
    <row r="3" spans="1:10" ht="61.5" customHeight="1" x14ac:dyDescent="0.25">
      <c r="A3" s="135" t="s">
        <v>257</v>
      </c>
      <c r="B3" s="135" t="s">
        <v>314</v>
      </c>
      <c r="C3" s="619">
        <v>0.8</v>
      </c>
      <c r="D3" s="665">
        <v>1</v>
      </c>
      <c r="E3" s="687" t="s">
        <v>418</v>
      </c>
      <c r="F3" s="688" t="s">
        <v>419</v>
      </c>
      <c r="G3" s="752" t="s">
        <v>420</v>
      </c>
      <c r="H3" s="620"/>
    </row>
    <row r="4" spans="1:10" ht="63.75" customHeight="1" x14ac:dyDescent="0.25">
      <c r="A4" s="135" t="s">
        <v>264</v>
      </c>
      <c r="B4" s="135" t="s">
        <v>314</v>
      </c>
      <c r="C4" s="619">
        <v>0.8</v>
      </c>
      <c r="D4" s="665">
        <v>1</v>
      </c>
      <c r="E4" s="687" t="str">
        <f>E3</f>
        <v>See table below for CZ-specific values: Climate Zone Water Heater Sizing and Loss Coefficients, Storage Volume column (col F)</v>
      </c>
      <c r="F4" s="687" t="str">
        <f>F3</f>
        <v>See table below: Climate Zone Water Heater Sizing and Loss Coefficients, Standby Loss column (col G)</v>
      </c>
      <c r="G4" s="752" t="str">
        <f>G3</f>
        <v>See table below for sources: Climate Zone Water Heater Sizing and Loss Coefficients</v>
      </c>
      <c r="H4" s="620"/>
    </row>
    <row r="5" spans="1:10" ht="14.7" customHeight="1" x14ac:dyDescent="0.25">
      <c r="A5" s="128"/>
      <c r="B5" s="128"/>
      <c r="C5" s="128"/>
      <c r="D5" s="128"/>
      <c r="E5" s="128"/>
    </row>
    <row r="6" spans="1:10" ht="14.7" customHeight="1" x14ac:dyDescent="0.25"/>
    <row r="7" spans="1:10" ht="23.25" customHeight="1" x14ac:dyDescent="0.25">
      <c r="A7" s="807" t="s">
        <v>421</v>
      </c>
      <c r="B7" s="807"/>
      <c r="C7" s="807"/>
      <c r="D7" s="807"/>
      <c r="E7" s="807"/>
      <c r="F7" s="807"/>
      <c r="G7" s="807"/>
      <c r="H7" s="807"/>
    </row>
    <row r="8" spans="1:10" ht="65.400000000000006" customHeight="1" x14ac:dyDescent="0.25">
      <c r="A8" s="250" t="s">
        <v>422</v>
      </c>
      <c r="B8" s="250" t="s">
        <v>423</v>
      </c>
      <c r="C8" s="250" t="s">
        <v>424</v>
      </c>
      <c r="D8" s="250" t="s">
        <v>168</v>
      </c>
      <c r="E8" s="250" t="s">
        <v>425</v>
      </c>
      <c r="F8" s="250" t="s">
        <v>426</v>
      </c>
      <c r="G8" s="250" t="s">
        <v>427</v>
      </c>
      <c r="H8" s="178" t="s">
        <v>379</v>
      </c>
      <c r="I8" s="592"/>
    </row>
    <row r="9" spans="1:10" ht="18" customHeight="1" x14ac:dyDescent="0.25">
      <c r="A9" s="251" t="str">
        <f>Zones!B3</f>
        <v>Dining</v>
      </c>
      <c r="B9" s="710" t="s">
        <v>314</v>
      </c>
      <c r="C9" s="252">
        <f>Zones!H3</f>
        <v>4001.46</v>
      </c>
      <c r="D9" s="191">
        <f>Zones!K3</f>
        <v>132.04818</v>
      </c>
      <c r="E9" s="253">
        <f>0.578*0.2</f>
        <v>0.11559999999999999</v>
      </c>
      <c r="F9" s="602">
        <f>D9*E9</f>
        <v>15.264769608</v>
      </c>
      <c r="G9" s="632">
        <f>F9/60</f>
        <v>0.25441282679999999</v>
      </c>
      <c r="H9" s="886" t="s">
        <v>428</v>
      </c>
      <c r="I9" s="329"/>
    </row>
    <row r="10" spans="1:10" ht="18" customHeight="1" x14ac:dyDescent="0.25">
      <c r="A10" s="251" t="str">
        <f>Zones!B4</f>
        <v>Kitchen</v>
      </c>
      <c r="B10" s="710" t="s">
        <v>314</v>
      </c>
      <c r="C10" s="252">
        <f>Zones!H4</f>
        <v>1500.55</v>
      </c>
      <c r="D10" s="191">
        <f>Zones!K4</f>
        <v>4.5016499999999997</v>
      </c>
      <c r="E10" s="253">
        <v>0.57999999999999996</v>
      </c>
      <c r="F10" s="603">
        <v>162</v>
      </c>
      <c r="G10" s="632">
        <f>F10/60</f>
        <v>2.7</v>
      </c>
      <c r="H10" s="887"/>
      <c r="I10" s="329"/>
    </row>
    <row r="11" spans="1:10" ht="20.25" customHeight="1" x14ac:dyDescent="0.25">
      <c r="A11" s="621" t="s">
        <v>85</v>
      </c>
      <c r="B11" s="888" t="s">
        <v>429</v>
      </c>
      <c r="C11" s="889"/>
      <c r="D11" s="889"/>
      <c r="E11" s="890"/>
      <c r="F11" s="689" cm="1">
        <f t="array" ref="F11">_xlfn.LET(
  _xlpm.g,SUMIF($B$9:$B$10,"Gas*",$F$9:$F$10),
  _xlpm.e,SUMIF($B$9:$B$10,"Electric*",$F$9:$F$10),
  IF(AND(_xlpm.g&gt;0,_xlpm.e&gt;0),_xlpm.g,IF(_xlpm.g&gt;0,MAX(75,_xlpm.g),0)))</f>
        <v>177.26476960799999</v>
      </c>
      <c r="G11" s="622"/>
      <c r="H11" s="891" t="s">
        <v>430</v>
      </c>
    </row>
    <row r="12" spans="1:10" ht="19.5" customHeight="1" x14ac:dyDescent="0.25">
      <c r="A12" s="621" t="s">
        <v>431</v>
      </c>
      <c r="B12" s="888" t="s">
        <v>432</v>
      </c>
      <c r="C12" s="889"/>
      <c r="D12" s="889"/>
      <c r="E12" s="890"/>
      <c r="F12" s="689">
        <f>_xlfn.LET(
  _xlpm.g,SUMIF($B$9:$B$10,"Gas*",$F$9:$F$10),
  _xlpm.e,SUMIF($B$9:$B$10,"Electric*",$F$9:$F$10),
  IF(AND(_xlpm.g&gt;0,_xlpm.e&gt;0),_xlpm.e,IF(_xlpm.e&gt;0,MAX(75,_xlpm.e),0)))</f>
        <v>0</v>
      </c>
      <c r="G12" s="622"/>
      <c r="H12" s="892"/>
    </row>
    <row r="13" spans="1:10" s="623" customFormat="1" ht="14.4" x14ac:dyDescent="0.3">
      <c r="A13"/>
      <c r="B13"/>
      <c r="C13"/>
      <c r="D13"/>
      <c r="E13"/>
      <c r="F13"/>
      <c r="G13"/>
      <c r="H13"/>
      <c r="I13"/>
      <c r="J13"/>
    </row>
    <row r="14" spans="1:10" s="623" customFormat="1" ht="14.4" x14ac:dyDescent="0.3">
      <c r="A14"/>
      <c r="B14"/>
      <c r="C14"/>
      <c r="D14"/>
      <c r="E14"/>
      <c r="F14"/>
      <c r="G14"/>
      <c r="H14"/>
      <c r="I14"/>
      <c r="J14"/>
    </row>
    <row r="15" spans="1:10" s="623" customFormat="1" ht="14.4" x14ac:dyDescent="0.3">
      <c r="A15"/>
      <c r="B15"/>
      <c r="C15"/>
      <c r="D15"/>
      <c r="E15"/>
      <c r="F15"/>
      <c r="G15"/>
      <c r="H15"/>
      <c r="I15"/>
      <c r="J15"/>
    </row>
    <row r="16" spans="1:10" s="623" customFormat="1" ht="15" customHeight="1" x14ac:dyDescent="0.3">
      <c r="A16" s="758" t="s">
        <v>433</v>
      </c>
      <c r="B16" s="759">
        <v>135</v>
      </c>
      <c r="C16" s="760" t="s">
        <v>434</v>
      </c>
      <c r="D16" s="624"/>
      <c r="E16" s="624"/>
      <c r="F16"/>
      <c r="G16"/>
      <c r="H16"/>
      <c r="I16"/>
      <c r="J16"/>
    </row>
    <row r="17" spans="1:12" s="623" customFormat="1" ht="15" customHeight="1" x14ac:dyDescent="0.3">
      <c r="A17" s="624" t="s">
        <v>435</v>
      </c>
      <c r="B17" s="761">
        <v>0.6</v>
      </c>
      <c r="C17" s="760" t="s">
        <v>436</v>
      </c>
      <c r="D17" s="625"/>
      <c r="E17" s="625"/>
      <c r="F17"/>
      <c r="G17"/>
      <c r="H17"/>
      <c r="I17"/>
      <c r="J17"/>
    </row>
    <row r="18" spans="1:12" s="623" customFormat="1" ht="14.4" x14ac:dyDescent="0.3">
      <c r="A18" s="762" t="s">
        <v>437</v>
      </c>
      <c r="B18" s="763">
        <v>8.2876999999999992</v>
      </c>
      <c r="C18" s="760" t="s">
        <v>436</v>
      </c>
      <c r="D18" s="760"/>
      <c r="E18" s="760"/>
      <c r="F18"/>
      <c r="G18"/>
      <c r="H18"/>
      <c r="I18"/>
      <c r="J18"/>
    </row>
    <row r="19" spans="1:12" s="623" customFormat="1" ht="14.4" x14ac:dyDescent="0.3">
      <c r="A19" s="623" t="s">
        <v>438</v>
      </c>
      <c r="B19" s="626">
        <v>0.4</v>
      </c>
      <c r="C19" s="627" t="s">
        <v>439</v>
      </c>
      <c r="D19" s="627"/>
      <c r="F19" s="627"/>
      <c r="G19" s="627"/>
    </row>
    <row r="20" spans="1:12" s="623" customFormat="1" ht="26.1" customHeight="1" x14ac:dyDescent="0.25">
      <c r="A20" s="880" t="s">
        <v>440</v>
      </c>
      <c r="B20" s="881"/>
      <c r="C20" s="881"/>
      <c r="D20" s="881"/>
      <c r="E20" s="881"/>
      <c r="F20" s="881"/>
      <c r="G20" s="881"/>
      <c r="H20" s="881"/>
      <c r="I20" s="881"/>
      <c r="J20" s="881"/>
      <c r="K20" s="881"/>
    </row>
    <row r="21" spans="1:12" s="623" customFormat="1" ht="48.75" customHeight="1" x14ac:dyDescent="0.3">
      <c r="A21" s="764" t="s">
        <v>441</v>
      </c>
      <c r="B21" s="764" t="s">
        <v>442</v>
      </c>
      <c r="C21" s="764" t="s">
        <v>443</v>
      </c>
      <c r="D21" s="764" t="s">
        <v>444</v>
      </c>
      <c r="E21" s="764" t="s">
        <v>445</v>
      </c>
      <c r="F21" s="764" t="s">
        <v>446</v>
      </c>
      <c r="G21" s="882" t="s">
        <v>447</v>
      </c>
      <c r="H21" s="882"/>
      <c r="I21" s="882" t="s">
        <v>448</v>
      </c>
      <c r="J21" s="882"/>
      <c r="K21" s="765" t="s">
        <v>449</v>
      </c>
      <c r="L21"/>
    </row>
    <row r="22" spans="1:12" s="623" customFormat="1" ht="18.75" customHeight="1" x14ac:dyDescent="0.25">
      <c r="A22" s="690" t="s">
        <v>450</v>
      </c>
      <c r="B22" s="691">
        <v>47.9</v>
      </c>
      <c r="C22" s="643">
        <f>$F$11*($B$16-B22)*$B$18</f>
        <v>127960.11082708726</v>
      </c>
      <c r="D22" s="643">
        <f t="shared" ref="D22:D37" si="0">C22*$B$17</f>
        <v>76776.066496252359</v>
      </c>
      <c r="E22" s="643">
        <f>_xlfn.LET(_xlpm.x,_xlfn.XLOOKUP(D22/$C$3,$A$43:$A$73,$A$43:$A$73,"",1),IF(_xlpm.x="",ROUNDUP(D22/$C$3,0),_xlpm.x))</f>
        <v>99900</v>
      </c>
      <c r="F22" s="643">
        <f>_xlfn.LET(_xlpm.v,MAX(30,$F$11*$B$19),_xlpm.x,_xlfn.XLOOKUP(_xlpm.v,$E$43:$E$61,$E$43:$E$61,"",1),IF(_xlpm.x="",ROUNDUP(_xlpm.v,0),_xlpm.x))</f>
        <v>72</v>
      </c>
      <c r="G22" s="643">
        <f>(E22/800)+110*SQRT(F22)</f>
        <v>1058.2559511662425</v>
      </c>
      <c r="H22" s="643" t="s">
        <v>451</v>
      </c>
      <c r="I22" s="646">
        <f>G22/70</f>
        <v>15.117942159517751</v>
      </c>
      <c r="J22" s="692" t="s">
        <v>452</v>
      </c>
      <c r="K22" s="883" t="s">
        <v>453</v>
      </c>
    </row>
    <row r="23" spans="1:12" s="623" customFormat="1" ht="18.75" customHeight="1" x14ac:dyDescent="0.25">
      <c r="A23" s="690" t="s">
        <v>454</v>
      </c>
      <c r="B23" s="691">
        <v>50.8</v>
      </c>
      <c r="C23" s="643">
        <f t="shared" ref="C23:C37" si="1">$F$11*($B$16-B23)*$B$18</f>
        <v>123699.67085695465</v>
      </c>
      <c r="D23" s="643">
        <f t="shared" si="0"/>
        <v>74219.802514172785</v>
      </c>
      <c r="E23" s="643">
        <f t="shared" ref="E23:E37" si="2">_xlfn.LET(_xlpm.x,_xlfn.XLOOKUP(D23/$C$3,$A$43:$A$73,$A$43:$A$73,"",1),IF(_xlpm.x="",ROUNDUP(D23/$C$3,0),_xlpm.x))</f>
        <v>99900</v>
      </c>
      <c r="F23" s="643">
        <f t="shared" ref="F23:F37" si="3">_xlfn.LET(_xlpm.v,MAX(30,$F$11*$B$19),_xlpm.x,_xlfn.XLOOKUP(_xlpm.v,$E$43:$E$61,$E$43:$E$61,"",1),IF(_xlpm.x="",ROUNDUP(_xlpm.v,0),_xlpm.x))</f>
        <v>72</v>
      </c>
      <c r="G23" s="643">
        <f t="shared" ref="G23:G37" si="4">(E23/800)+110*SQRT(F23)</f>
        <v>1058.2559511662425</v>
      </c>
      <c r="H23" s="643" t="s">
        <v>451</v>
      </c>
      <c r="I23" s="646">
        <f t="shared" ref="I23:I37" si="5">G23/70</f>
        <v>15.117942159517751</v>
      </c>
      <c r="J23" s="692" t="s">
        <v>452</v>
      </c>
      <c r="K23" s="884"/>
    </row>
    <row r="24" spans="1:12" s="623" customFormat="1" ht="18.75" customHeight="1" x14ac:dyDescent="0.25">
      <c r="A24" s="690" t="s">
        <v>455</v>
      </c>
      <c r="B24" s="691">
        <v>52.2</v>
      </c>
      <c r="C24" s="643">
        <f t="shared" si="1"/>
        <v>121642.90673344233</v>
      </c>
      <c r="D24" s="643">
        <f t="shared" si="0"/>
        <v>72985.744040065401</v>
      </c>
      <c r="E24" s="643">
        <f t="shared" si="2"/>
        <v>99900</v>
      </c>
      <c r="F24" s="643">
        <f t="shared" si="3"/>
        <v>72</v>
      </c>
      <c r="G24" s="643">
        <f t="shared" si="4"/>
        <v>1058.2559511662425</v>
      </c>
      <c r="H24" s="643" t="s">
        <v>451</v>
      </c>
      <c r="I24" s="646">
        <f t="shared" si="5"/>
        <v>15.117942159517751</v>
      </c>
      <c r="J24" s="692" t="s">
        <v>452</v>
      </c>
      <c r="K24" s="884"/>
    </row>
    <row r="25" spans="1:12" s="623" customFormat="1" ht="18.75" customHeight="1" x14ac:dyDescent="0.25">
      <c r="A25" s="690" t="s">
        <v>456</v>
      </c>
      <c r="B25" s="691">
        <v>52.7</v>
      </c>
      <c r="C25" s="643">
        <f t="shared" si="1"/>
        <v>120908.34811790221</v>
      </c>
      <c r="D25" s="643">
        <f t="shared" si="0"/>
        <v>72545.008870741323</v>
      </c>
      <c r="E25" s="643">
        <f t="shared" si="2"/>
        <v>99900</v>
      </c>
      <c r="F25" s="643">
        <f t="shared" si="3"/>
        <v>72</v>
      </c>
      <c r="G25" s="643">
        <f t="shared" si="4"/>
        <v>1058.2559511662425</v>
      </c>
      <c r="H25" s="643" t="s">
        <v>451</v>
      </c>
      <c r="I25" s="646">
        <f t="shared" si="5"/>
        <v>15.117942159517751</v>
      </c>
      <c r="J25" s="692" t="s">
        <v>452</v>
      </c>
      <c r="K25" s="884"/>
    </row>
    <row r="26" spans="1:12" s="623" customFormat="1" ht="18.75" customHeight="1" x14ac:dyDescent="0.25">
      <c r="A26" s="690" t="s">
        <v>457</v>
      </c>
      <c r="B26" s="691">
        <v>51.6</v>
      </c>
      <c r="C26" s="643">
        <f t="shared" si="1"/>
        <v>122524.37707209049</v>
      </c>
      <c r="D26" s="643">
        <f t="shared" si="0"/>
        <v>73514.626243254286</v>
      </c>
      <c r="E26" s="643">
        <f t="shared" si="2"/>
        <v>99900</v>
      </c>
      <c r="F26" s="643">
        <f t="shared" si="3"/>
        <v>72</v>
      </c>
      <c r="G26" s="643">
        <f t="shared" si="4"/>
        <v>1058.2559511662425</v>
      </c>
      <c r="H26" s="643" t="s">
        <v>451</v>
      </c>
      <c r="I26" s="646">
        <f t="shared" si="5"/>
        <v>15.117942159517751</v>
      </c>
      <c r="J26" s="692" t="s">
        <v>452</v>
      </c>
      <c r="K26" s="884"/>
    </row>
    <row r="27" spans="1:12" s="623" customFormat="1" ht="18.75" customHeight="1" x14ac:dyDescent="0.25">
      <c r="A27" s="690" t="s">
        <v>458</v>
      </c>
      <c r="B27" s="691">
        <v>56.8</v>
      </c>
      <c r="C27" s="643">
        <f t="shared" si="1"/>
        <v>114884.96747047332</v>
      </c>
      <c r="D27" s="643">
        <f t="shared" si="0"/>
        <v>68930.980482283994</v>
      </c>
      <c r="E27" s="643">
        <f t="shared" si="2"/>
        <v>99900</v>
      </c>
      <c r="F27" s="643">
        <f t="shared" si="3"/>
        <v>72</v>
      </c>
      <c r="G27" s="643">
        <f t="shared" si="4"/>
        <v>1058.2559511662425</v>
      </c>
      <c r="H27" s="643" t="s">
        <v>451</v>
      </c>
      <c r="I27" s="646">
        <f t="shared" si="5"/>
        <v>15.117942159517751</v>
      </c>
      <c r="J27" s="692" t="s">
        <v>452</v>
      </c>
      <c r="K27" s="884"/>
    </row>
    <row r="28" spans="1:12" s="623" customFormat="1" ht="18.75" customHeight="1" x14ac:dyDescent="0.25">
      <c r="A28" s="690" t="s">
        <v>459</v>
      </c>
      <c r="B28" s="691">
        <v>58.4</v>
      </c>
      <c r="C28" s="643">
        <f t="shared" si="1"/>
        <v>112534.37990074494</v>
      </c>
      <c r="D28" s="643">
        <f t="shared" si="0"/>
        <v>67520.627940446968</v>
      </c>
      <c r="E28" s="643">
        <f t="shared" si="2"/>
        <v>99900</v>
      </c>
      <c r="F28" s="643">
        <f t="shared" si="3"/>
        <v>72</v>
      </c>
      <c r="G28" s="643">
        <f t="shared" si="4"/>
        <v>1058.2559511662425</v>
      </c>
      <c r="H28" s="643" t="s">
        <v>451</v>
      </c>
      <c r="I28" s="646">
        <f t="shared" si="5"/>
        <v>15.117942159517751</v>
      </c>
      <c r="J28" s="692" t="s">
        <v>452</v>
      </c>
      <c r="K28" s="884"/>
    </row>
    <row r="29" spans="1:12" s="623" customFormat="1" ht="18.75" customHeight="1" x14ac:dyDescent="0.25">
      <c r="A29" s="690" t="s">
        <v>460</v>
      </c>
      <c r="B29" s="691">
        <v>58.4</v>
      </c>
      <c r="C29" s="643">
        <f t="shared" si="1"/>
        <v>112534.37990074494</v>
      </c>
      <c r="D29" s="643">
        <f t="shared" si="0"/>
        <v>67520.627940446968</v>
      </c>
      <c r="E29" s="643">
        <f t="shared" si="2"/>
        <v>99900</v>
      </c>
      <c r="F29" s="643">
        <f t="shared" si="3"/>
        <v>72</v>
      </c>
      <c r="G29" s="643">
        <f t="shared" si="4"/>
        <v>1058.2559511662425</v>
      </c>
      <c r="H29" s="643" t="s">
        <v>451</v>
      </c>
      <c r="I29" s="646">
        <f t="shared" si="5"/>
        <v>15.117942159517751</v>
      </c>
      <c r="J29" s="692" t="s">
        <v>452</v>
      </c>
      <c r="K29" s="884"/>
    </row>
    <row r="30" spans="1:12" s="623" customFormat="1" ht="18.75" customHeight="1" x14ac:dyDescent="0.25">
      <c r="A30" s="690" t="s">
        <v>461</v>
      </c>
      <c r="B30" s="691">
        <v>57.6</v>
      </c>
      <c r="C30" s="643">
        <f t="shared" si="1"/>
        <v>113709.67368560914</v>
      </c>
      <c r="D30" s="643">
        <f t="shared" si="0"/>
        <v>68225.804211365481</v>
      </c>
      <c r="E30" s="643">
        <f t="shared" si="2"/>
        <v>99900</v>
      </c>
      <c r="F30" s="643">
        <f t="shared" si="3"/>
        <v>72</v>
      </c>
      <c r="G30" s="643">
        <f t="shared" si="4"/>
        <v>1058.2559511662425</v>
      </c>
      <c r="H30" s="643" t="s">
        <v>451</v>
      </c>
      <c r="I30" s="646">
        <f t="shared" si="5"/>
        <v>15.117942159517751</v>
      </c>
      <c r="J30" s="692" t="s">
        <v>452</v>
      </c>
      <c r="K30" s="884"/>
    </row>
    <row r="31" spans="1:12" s="623" customFormat="1" ht="18.75" customHeight="1" x14ac:dyDescent="0.25">
      <c r="A31" s="690" t="s">
        <v>201</v>
      </c>
      <c r="B31" s="691">
        <v>57.1</v>
      </c>
      <c r="C31" s="643">
        <f t="shared" si="1"/>
        <v>114444.23230114926</v>
      </c>
      <c r="D31" s="643">
        <f t="shared" si="0"/>
        <v>68666.539380689544</v>
      </c>
      <c r="E31" s="643">
        <f t="shared" si="2"/>
        <v>99900</v>
      </c>
      <c r="F31" s="643">
        <f t="shared" si="3"/>
        <v>72</v>
      </c>
      <c r="G31" s="643">
        <f t="shared" si="4"/>
        <v>1058.2559511662425</v>
      </c>
      <c r="H31" s="643" t="s">
        <v>451</v>
      </c>
      <c r="I31" s="646">
        <f t="shared" si="5"/>
        <v>15.117942159517751</v>
      </c>
      <c r="J31" s="692" t="s">
        <v>452</v>
      </c>
      <c r="K31" s="884"/>
    </row>
    <row r="32" spans="1:12" s="623" customFormat="1" ht="18.75" customHeight="1" x14ac:dyDescent="0.25">
      <c r="A32" s="690" t="s">
        <v>202</v>
      </c>
      <c r="B32" s="691">
        <v>50.5</v>
      </c>
      <c r="C32" s="643">
        <f t="shared" si="1"/>
        <v>124140.40602627871</v>
      </c>
      <c r="D32" s="643">
        <f t="shared" si="0"/>
        <v>74484.24361576722</v>
      </c>
      <c r="E32" s="643">
        <f t="shared" si="2"/>
        <v>99900</v>
      </c>
      <c r="F32" s="643">
        <f t="shared" si="3"/>
        <v>72</v>
      </c>
      <c r="G32" s="643">
        <f t="shared" si="4"/>
        <v>1058.2559511662425</v>
      </c>
      <c r="H32" s="643" t="s">
        <v>451</v>
      </c>
      <c r="I32" s="646">
        <f t="shared" si="5"/>
        <v>15.117942159517751</v>
      </c>
      <c r="J32" s="692" t="s">
        <v>452</v>
      </c>
      <c r="K32" s="884"/>
    </row>
    <row r="33" spans="1:11" s="623" customFormat="1" ht="18.75" customHeight="1" x14ac:dyDescent="0.25">
      <c r="A33" s="690" t="s">
        <v>203</v>
      </c>
      <c r="B33" s="691">
        <v>51.4</v>
      </c>
      <c r="C33" s="643">
        <f t="shared" si="1"/>
        <v>122818.20051830649</v>
      </c>
      <c r="D33" s="643">
        <f t="shared" si="0"/>
        <v>73690.920310983885</v>
      </c>
      <c r="E33" s="643">
        <f t="shared" si="2"/>
        <v>99900</v>
      </c>
      <c r="F33" s="643">
        <f t="shared" si="3"/>
        <v>72</v>
      </c>
      <c r="G33" s="643">
        <f t="shared" si="4"/>
        <v>1058.2559511662425</v>
      </c>
      <c r="H33" s="643" t="s">
        <v>451</v>
      </c>
      <c r="I33" s="646">
        <f t="shared" si="5"/>
        <v>15.117942159517751</v>
      </c>
      <c r="J33" s="692" t="s">
        <v>452</v>
      </c>
      <c r="K33" s="884"/>
    </row>
    <row r="34" spans="1:11" s="623" customFormat="1" ht="18.75" customHeight="1" x14ac:dyDescent="0.25">
      <c r="A34" s="690" t="s">
        <v>204</v>
      </c>
      <c r="B34" s="691">
        <v>51.7</v>
      </c>
      <c r="C34" s="643">
        <f t="shared" si="1"/>
        <v>122377.46534898244</v>
      </c>
      <c r="D34" s="643">
        <f t="shared" si="0"/>
        <v>73426.479209389465</v>
      </c>
      <c r="E34" s="643">
        <f t="shared" si="2"/>
        <v>99900</v>
      </c>
      <c r="F34" s="643">
        <f t="shared" si="3"/>
        <v>72</v>
      </c>
      <c r="G34" s="643">
        <f t="shared" si="4"/>
        <v>1058.2559511662425</v>
      </c>
      <c r="H34" s="643" t="s">
        <v>451</v>
      </c>
      <c r="I34" s="646">
        <f t="shared" si="5"/>
        <v>15.117942159517751</v>
      </c>
      <c r="J34" s="692" t="s">
        <v>452</v>
      </c>
      <c r="K34" s="884"/>
    </row>
    <row r="35" spans="1:11" s="623" customFormat="1" ht="18.75" customHeight="1" x14ac:dyDescent="0.25">
      <c r="A35" s="690" t="s">
        <v>205</v>
      </c>
      <c r="B35" s="691">
        <v>50.1</v>
      </c>
      <c r="C35" s="643">
        <f t="shared" si="1"/>
        <v>124728.0529187108</v>
      </c>
      <c r="D35" s="643">
        <f t="shared" si="0"/>
        <v>74836.831751226477</v>
      </c>
      <c r="E35" s="643">
        <f t="shared" si="2"/>
        <v>99900</v>
      </c>
      <c r="F35" s="643">
        <f t="shared" si="3"/>
        <v>72</v>
      </c>
      <c r="G35" s="643">
        <f t="shared" si="4"/>
        <v>1058.2559511662425</v>
      </c>
      <c r="H35" s="643" t="s">
        <v>451</v>
      </c>
      <c r="I35" s="646">
        <f t="shared" si="5"/>
        <v>15.117942159517751</v>
      </c>
      <c r="J35" s="692" t="s">
        <v>452</v>
      </c>
      <c r="K35" s="884"/>
    </row>
    <row r="36" spans="1:11" s="623" customFormat="1" ht="18.75" customHeight="1" x14ac:dyDescent="0.25">
      <c r="A36" s="690" t="s">
        <v>206</v>
      </c>
      <c r="B36" s="691">
        <v>63.2</v>
      </c>
      <c r="C36" s="643">
        <f t="shared" si="1"/>
        <v>105482.6171915599</v>
      </c>
      <c r="D36" s="643">
        <f t="shared" si="0"/>
        <v>63289.570314935932</v>
      </c>
      <c r="E36" s="643">
        <f t="shared" si="2"/>
        <v>80000</v>
      </c>
      <c r="F36" s="643">
        <f t="shared" si="3"/>
        <v>72</v>
      </c>
      <c r="G36" s="643">
        <f t="shared" si="4"/>
        <v>1033.3809511662425</v>
      </c>
      <c r="H36" s="643" t="s">
        <v>451</v>
      </c>
      <c r="I36" s="646">
        <f t="shared" si="5"/>
        <v>14.762585016660609</v>
      </c>
      <c r="J36" s="692" t="s">
        <v>452</v>
      </c>
      <c r="K36" s="884"/>
    </row>
    <row r="37" spans="1:11" s="623" customFormat="1" ht="18.75" customHeight="1" x14ac:dyDescent="0.25">
      <c r="A37" s="690" t="s">
        <v>207</v>
      </c>
      <c r="B37" s="691">
        <v>41.4</v>
      </c>
      <c r="C37" s="643">
        <f t="shared" si="1"/>
        <v>137509.3728291087</v>
      </c>
      <c r="D37" s="643">
        <f t="shared" si="0"/>
        <v>82505.623697465213</v>
      </c>
      <c r="E37" s="643">
        <f t="shared" si="2"/>
        <v>120000</v>
      </c>
      <c r="F37" s="643">
        <f t="shared" si="3"/>
        <v>72</v>
      </c>
      <c r="G37" s="643">
        <f t="shared" si="4"/>
        <v>1083.3809511662425</v>
      </c>
      <c r="H37" s="643" t="s">
        <v>451</v>
      </c>
      <c r="I37" s="646">
        <f t="shared" si="5"/>
        <v>15.476870730946322</v>
      </c>
      <c r="J37" s="692" t="s">
        <v>452</v>
      </c>
      <c r="K37" s="885"/>
    </row>
    <row r="38" spans="1:11" s="623" customFormat="1" ht="14.4" x14ac:dyDescent="0.3">
      <c r="C38" s="627"/>
      <c r="D38" s="627"/>
      <c r="F38" s="627"/>
      <c r="G38" s="627"/>
    </row>
    <row r="39" spans="1:11" s="623" customFormat="1" ht="14.4" x14ac:dyDescent="0.3">
      <c r="C39" s="627"/>
      <c r="D39" s="627"/>
      <c r="F39" s="627"/>
      <c r="G39" s="627"/>
    </row>
    <row r="40" spans="1:11" s="623" customFormat="1" ht="14.4" x14ac:dyDescent="0.3">
      <c r="C40" s="627"/>
      <c r="D40" s="627"/>
      <c r="F40" s="627"/>
      <c r="G40" s="627"/>
    </row>
    <row r="41" spans="1:11" s="623" customFormat="1" ht="24" customHeight="1" x14ac:dyDescent="0.25">
      <c r="A41" s="878" t="s">
        <v>462</v>
      </c>
      <c r="B41" s="807"/>
      <c r="C41" s="807"/>
      <c r="D41" s="807"/>
      <c r="E41" s="807"/>
      <c r="F41" s="807"/>
      <c r="G41" s="807"/>
      <c r="H41" s="807"/>
    </row>
    <row r="42" spans="1:11" s="629" customFormat="1" ht="27.6" x14ac:dyDescent="0.25">
      <c r="A42" s="766" t="s">
        <v>463</v>
      </c>
      <c r="B42" s="767" t="s">
        <v>464</v>
      </c>
      <c r="C42" s="768" t="s">
        <v>465</v>
      </c>
      <c r="D42" s="769" t="s">
        <v>466</v>
      </c>
      <c r="E42" s="770" t="s">
        <v>467</v>
      </c>
      <c r="F42" s="769" t="s">
        <v>468</v>
      </c>
      <c r="G42" s="771" t="s">
        <v>469</v>
      </c>
      <c r="H42" s="772" t="s">
        <v>470</v>
      </c>
      <c r="I42" s="628" t="str">
        <f>HYPERLINK("#'Note'!A1","Sources and links → Note tab")</f>
        <v>Sources and links → Note tab</v>
      </c>
    </row>
    <row r="43" spans="1:11" s="623" customFormat="1" ht="13.8" x14ac:dyDescent="0.25">
      <c r="A43" s="702">
        <v>60000</v>
      </c>
      <c r="B43" s="773" t="s">
        <v>471</v>
      </c>
      <c r="C43" s="694">
        <v>1.5</v>
      </c>
      <c r="D43" s="695">
        <v>5118</v>
      </c>
      <c r="E43" s="695">
        <v>34</v>
      </c>
      <c r="F43" s="695" t="s">
        <v>472</v>
      </c>
      <c r="G43" s="695">
        <v>6</v>
      </c>
      <c r="H43" s="696" t="s">
        <v>471</v>
      </c>
    </row>
    <row r="44" spans="1:11" s="623" customFormat="1" ht="13.8" x14ac:dyDescent="0.25">
      <c r="A44" s="703">
        <v>75100</v>
      </c>
      <c r="B44" s="774" t="s">
        <v>471</v>
      </c>
      <c r="C44" s="697">
        <v>2</v>
      </c>
      <c r="D44" s="693">
        <v>6824</v>
      </c>
      <c r="E44" s="693">
        <v>35</v>
      </c>
      <c r="F44" s="693" t="s">
        <v>471</v>
      </c>
      <c r="G44" s="693">
        <v>10</v>
      </c>
      <c r="H44" s="698" t="s">
        <v>471</v>
      </c>
    </row>
    <row r="45" spans="1:11" s="623" customFormat="1" ht="13.8" x14ac:dyDescent="0.25">
      <c r="A45" s="703">
        <v>76000</v>
      </c>
      <c r="B45" s="774" t="s">
        <v>473</v>
      </c>
      <c r="C45" s="697">
        <v>3</v>
      </c>
      <c r="D45" s="693">
        <v>10236</v>
      </c>
      <c r="E45" s="693">
        <v>48</v>
      </c>
      <c r="F45" s="693" t="s">
        <v>471</v>
      </c>
      <c r="G45" s="693">
        <v>15</v>
      </c>
      <c r="H45" s="698" t="s">
        <v>471</v>
      </c>
    </row>
    <row r="46" spans="1:11" s="623" customFormat="1" ht="13.8" x14ac:dyDescent="0.25">
      <c r="A46" s="703">
        <v>80000</v>
      </c>
      <c r="B46" s="775" t="s">
        <v>471</v>
      </c>
      <c r="C46" s="697">
        <v>4.5</v>
      </c>
      <c r="D46" s="693">
        <v>15355</v>
      </c>
      <c r="E46" s="693">
        <v>50</v>
      </c>
      <c r="F46" s="693" t="s">
        <v>473</v>
      </c>
      <c r="G46" s="693">
        <v>20</v>
      </c>
      <c r="H46" s="698" t="s">
        <v>471</v>
      </c>
    </row>
    <row r="47" spans="1:11" s="623" customFormat="1" ht="13.8" x14ac:dyDescent="0.25">
      <c r="A47" s="703">
        <v>99900</v>
      </c>
      <c r="B47" s="774" t="s">
        <v>472</v>
      </c>
      <c r="C47" s="697">
        <v>6</v>
      </c>
      <c r="D47" s="693">
        <v>20473</v>
      </c>
      <c r="E47" s="693">
        <v>55</v>
      </c>
      <c r="F47" s="693" t="s">
        <v>472</v>
      </c>
      <c r="G47" s="693">
        <v>28</v>
      </c>
      <c r="H47" s="698" t="s">
        <v>471</v>
      </c>
    </row>
    <row r="48" spans="1:11" s="623" customFormat="1" ht="13.8" x14ac:dyDescent="0.25">
      <c r="A48" s="703">
        <v>100000</v>
      </c>
      <c r="B48" s="774" t="s">
        <v>473</v>
      </c>
      <c r="C48" s="697">
        <v>8</v>
      </c>
      <c r="D48" s="693">
        <v>27297</v>
      </c>
      <c r="E48" s="693">
        <v>60</v>
      </c>
      <c r="F48" s="693" t="s">
        <v>472</v>
      </c>
      <c r="G48" s="693">
        <v>30</v>
      </c>
      <c r="H48" s="698" t="s">
        <v>471</v>
      </c>
    </row>
    <row r="49" spans="1:8" s="623" customFormat="1" ht="13.8" x14ac:dyDescent="0.25">
      <c r="A49" s="703">
        <v>120000</v>
      </c>
      <c r="B49" s="774" t="s">
        <v>472</v>
      </c>
      <c r="C49" s="697">
        <v>9</v>
      </c>
      <c r="D49" s="693">
        <v>30709</v>
      </c>
      <c r="E49" s="693">
        <v>65</v>
      </c>
      <c r="F49" s="693" t="s">
        <v>473</v>
      </c>
      <c r="G49" s="693">
        <v>36</v>
      </c>
      <c r="H49" s="698" t="s">
        <v>471</v>
      </c>
    </row>
    <row r="50" spans="1:8" s="623" customFormat="1" ht="13.8" x14ac:dyDescent="0.25">
      <c r="A50" s="703">
        <v>125000</v>
      </c>
      <c r="B50" s="774" t="s">
        <v>473</v>
      </c>
      <c r="C50" s="697">
        <v>10</v>
      </c>
      <c r="D50" s="693">
        <v>34121</v>
      </c>
      <c r="E50" s="693">
        <v>72</v>
      </c>
      <c r="F50" s="693" t="s">
        <v>471</v>
      </c>
      <c r="G50" s="693">
        <v>40</v>
      </c>
      <c r="H50" s="698" t="s">
        <v>471</v>
      </c>
    </row>
    <row r="51" spans="1:8" s="623" customFormat="1" ht="13.8" x14ac:dyDescent="0.25">
      <c r="A51" s="703">
        <v>130000</v>
      </c>
      <c r="B51" s="774" t="s">
        <v>473</v>
      </c>
      <c r="C51" s="697">
        <v>12</v>
      </c>
      <c r="D51" s="693">
        <v>40946</v>
      </c>
      <c r="E51" s="693">
        <v>75</v>
      </c>
      <c r="F51" s="693" t="s">
        <v>473</v>
      </c>
      <c r="G51" s="693">
        <v>47</v>
      </c>
      <c r="H51" s="698"/>
    </row>
    <row r="52" spans="1:8" s="623" customFormat="1" ht="13.8" x14ac:dyDescent="0.25">
      <c r="A52" s="703">
        <v>145000</v>
      </c>
      <c r="B52" s="774" t="s">
        <v>472</v>
      </c>
      <c r="C52" s="697">
        <v>12.1</v>
      </c>
      <c r="D52" s="693">
        <v>41287</v>
      </c>
      <c r="E52" s="693">
        <v>76</v>
      </c>
      <c r="F52" s="693" t="s">
        <v>471</v>
      </c>
      <c r="G52" s="693">
        <v>50</v>
      </c>
      <c r="H52" s="698"/>
    </row>
    <row r="53" spans="1:8" s="623" customFormat="1" ht="13.8" x14ac:dyDescent="0.25">
      <c r="A53" s="703">
        <v>150000</v>
      </c>
      <c r="B53" s="774" t="s">
        <v>472</v>
      </c>
      <c r="C53" s="697">
        <v>18</v>
      </c>
      <c r="D53" s="693">
        <v>61419</v>
      </c>
      <c r="E53" s="693">
        <v>80</v>
      </c>
      <c r="F53" s="693" t="s">
        <v>473</v>
      </c>
      <c r="G53" s="693">
        <v>65</v>
      </c>
      <c r="H53" s="698"/>
    </row>
    <row r="54" spans="1:8" s="623" customFormat="1" x14ac:dyDescent="0.25">
      <c r="A54" s="703">
        <v>156000</v>
      </c>
      <c r="B54" s="641" t="s">
        <v>471</v>
      </c>
      <c r="C54" s="697">
        <v>24</v>
      </c>
      <c r="D54" s="693">
        <v>81891</v>
      </c>
      <c r="E54" s="693">
        <v>82</v>
      </c>
      <c r="F54" s="693" t="s">
        <v>471</v>
      </c>
      <c r="G54" s="693">
        <v>80</v>
      </c>
      <c r="H54" s="698"/>
    </row>
    <row r="55" spans="1:8" s="623" customFormat="1" x14ac:dyDescent="0.25">
      <c r="A55" s="703">
        <v>160000</v>
      </c>
      <c r="B55" s="641" t="s">
        <v>473</v>
      </c>
      <c r="C55" s="697">
        <v>27</v>
      </c>
      <c r="D55" s="693">
        <v>92128</v>
      </c>
      <c r="E55" s="693">
        <v>85</v>
      </c>
      <c r="F55" s="693" t="s">
        <v>471</v>
      </c>
      <c r="G55" s="693">
        <v>85</v>
      </c>
      <c r="H55" s="698"/>
    </row>
    <row r="56" spans="1:8" s="623" customFormat="1" x14ac:dyDescent="0.25">
      <c r="A56" s="703">
        <v>175000</v>
      </c>
      <c r="B56" s="641" t="s">
        <v>472</v>
      </c>
      <c r="C56" s="697">
        <v>36</v>
      </c>
      <c r="D56" s="693">
        <v>122837</v>
      </c>
      <c r="E56" s="693">
        <v>90</v>
      </c>
      <c r="F56" s="693" t="s">
        <v>473</v>
      </c>
      <c r="G56" s="693">
        <v>105</v>
      </c>
      <c r="H56" s="698"/>
    </row>
    <row r="57" spans="1:8" s="623" customFormat="1" x14ac:dyDescent="0.25">
      <c r="A57" s="703">
        <v>180000</v>
      </c>
      <c r="B57" s="641" t="s">
        <v>471</v>
      </c>
      <c r="C57" s="697">
        <v>54</v>
      </c>
      <c r="D57" s="693">
        <v>184256</v>
      </c>
      <c r="E57" s="693">
        <v>91</v>
      </c>
      <c r="F57" s="693" t="s">
        <v>471</v>
      </c>
      <c r="G57" s="693">
        <v>120</v>
      </c>
      <c r="H57" s="698"/>
    </row>
    <row r="58" spans="1:8" s="623" customFormat="1" x14ac:dyDescent="0.25">
      <c r="A58" s="703">
        <v>199000</v>
      </c>
      <c r="B58" s="641" t="s">
        <v>472</v>
      </c>
      <c r="C58" s="697"/>
      <c r="D58" s="693"/>
      <c r="E58" s="693">
        <v>100</v>
      </c>
      <c r="F58" s="693" t="s">
        <v>473</v>
      </c>
      <c r="G58" s="693"/>
      <c r="H58" s="698"/>
    </row>
    <row r="59" spans="1:8" s="623" customFormat="1" x14ac:dyDescent="0.25">
      <c r="A59" s="703">
        <v>199900</v>
      </c>
      <c r="B59" s="641" t="s">
        <v>473</v>
      </c>
      <c r="C59" s="697"/>
      <c r="D59" s="693"/>
      <c r="E59" s="693">
        <v>110</v>
      </c>
      <c r="F59" s="693" t="s">
        <v>472</v>
      </c>
      <c r="G59" s="693"/>
      <c r="H59" s="698"/>
    </row>
    <row r="60" spans="1:8" s="623" customFormat="1" x14ac:dyDescent="0.25">
      <c r="A60" s="703">
        <v>200000</v>
      </c>
      <c r="B60" s="641" t="s">
        <v>472</v>
      </c>
      <c r="C60" s="697"/>
      <c r="D60" s="693"/>
      <c r="E60" s="693">
        <v>119</v>
      </c>
      <c r="F60" s="693" t="s">
        <v>473</v>
      </c>
      <c r="G60" s="693"/>
      <c r="H60" s="698"/>
    </row>
    <row r="61" spans="1:8" s="623" customFormat="1" x14ac:dyDescent="0.25">
      <c r="A61" s="703">
        <v>250000</v>
      </c>
      <c r="B61" s="641" t="s">
        <v>473</v>
      </c>
      <c r="C61" s="699"/>
      <c r="D61" s="700"/>
      <c r="E61" s="700">
        <v>125</v>
      </c>
      <c r="F61" s="700" t="s">
        <v>472</v>
      </c>
      <c r="G61" s="700"/>
      <c r="H61" s="701"/>
    </row>
    <row r="62" spans="1:8" s="623" customFormat="1" ht="14.4" x14ac:dyDescent="0.3">
      <c r="A62" s="703">
        <v>251000</v>
      </c>
      <c r="B62" s="642" t="s">
        <v>472</v>
      </c>
      <c r="C62"/>
      <c r="D62"/>
      <c r="E62" s="631"/>
      <c r="F62" s="630"/>
      <c r="G62" s="630"/>
    </row>
    <row r="63" spans="1:8" s="623" customFormat="1" ht="14.4" x14ac:dyDescent="0.3">
      <c r="A63" s="703">
        <v>270000</v>
      </c>
      <c r="B63" s="642" t="s">
        <v>471</v>
      </c>
      <c r="C63"/>
      <c r="D63"/>
      <c r="E63" s="631"/>
      <c r="F63" s="630"/>
      <c r="G63" s="630"/>
    </row>
    <row r="64" spans="1:8" s="623" customFormat="1" ht="14.4" x14ac:dyDescent="0.3">
      <c r="A64" s="703">
        <v>285000</v>
      </c>
      <c r="B64" s="642" t="s">
        <v>472</v>
      </c>
      <c r="C64"/>
      <c r="D64"/>
      <c r="E64" s="631"/>
      <c r="F64" s="630"/>
      <c r="G64" s="630"/>
    </row>
    <row r="65" spans="1:7" s="623" customFormat="1" ht="14.4" x14ac:dyDescent="0.3">
      <c r="A65" s="703">
        <v>300000</v>
      </c>
      <c r="B65" s="642" t="s">
        <v>473</v>
      </c>
      <c r="C65"/>
      <c r="D65"/>
      <c r="E65" s="631"/>
      <c r="F65" s="630"/>
      <c r="G65" s="630"/>
    </row>
    <row r="66" spans="1:7" s="623" customFormat="1" ht="14.4" x14ac:dyDescent="0.3">
      <c r="A66" s="703">
        <v>320000</v>
      </c>
      <c r="B66" s="642" t="s">
        <v>472</v>
      </c>
      <c r="C66"/>
      <c r="D66"/>
      <c r="E66" s="631"/>
      <c r="F66" s="630"/>
      <c r="G66" s="630"/>
    </row>
    <row r="67" spans="1:7" s="623" customFormat="1" ht="14.4" x14ac:dyDescent="0.3">
      <c r="A67" s="703">
        <v>360000</v>
      </c>
      <c r="B67" s="642" t="s">
        <v>471</v>
      </c>
      <c r="C67"/>
      <c r="D67"/>
      <c r="E67" s="631"/>
      <c r="F67" s="630"/>
      <c r="G67" s="630"/>
    </row>
    <row r="68" spans="1:7" s="623" customFormat="1" ht="14.4" x14ac:dyDescent="0.3">
      <c r="A68" s="703">
        <v>398000</v>
      </c>
      <c r="B68" s="642" t="s">
        <v>472</v>
      </c>
      <c r="C68"/>
      <c r="D68"/>
      <c r="E68" s="631"/>
      <c r="F68" s="630"/>
      <c r="G68" s="630"/>
    </row>
    <row r="69" spans="1:7" s="623" customFormat="1" ht="14.4" x14ac:dyDescent="0.3">
      <c r="A69" s="703">
        <v>399000</v>
      </c>
      <c r="B69" s="642" t="s">
        <v>472</v>
      </c>
      <c r="C69"/>
      <c r="D69"/>
      <c r="E69" s="631"/>
      <c r="F69" s="630"/>
      <c r="G69" s="630"/>
    </row>
    <row r="70" spans="1:7" s="623" customFormat="1" ht="14.4" x14ac:dyDescent="0.3">
      <c r="A70" s="703">
        <v>399900</v>
      </c>
      <c r="B70" s="642" t="s">
        <v>473</v>
      </c>
      <c r="C70"/>
      <c r="D70"/>
      <c r="E70" s="631"/>
      <c r="F70" s="630"/>
      <c r="G70" s="630"/>
    </row>
    <row r="71" spans="1:7" s="623" customFormat="1" ht="14.4" x14ac:dyDescent="0.3">
      <c r="A71" s="703">
        <v>499900</v>
      </c>
      <c r="B71" s="642" t="s">
        <v>471</v>
      </c>
      <c r="C71"/>
      <c r="D71"/>
      <c r="E71" s="631"/>
      <c r="F71" s="630"/>
      <c r="G71" s="630"/>
    </row>
    <row r="72" spans="1:7" s="623" customFormat="1" ht="14.4" x14ac:dyDescent="0.3">
      <c r="A72" s="703">
        <v>550000</v>
      </c>
      <c r="B72" s="642" t="s">
        <v>471</v>
      </c>
      <c r="C72"/>
      <c r="D72"/>
      <c r="E72" s="631"/>
      <c r="F72" s="630"/>
      <c r="G72" s="630"/>
    </row>
    <row r="73" spans="1:7" s="623" customFormat="1" ht="14.4" x14ac:dyDescent="0.25">
      <c r="A73" s="704">
        <v>715000</v>
      </c>
      <c r="B73" s="644" t="s">
        <v>471</v>
      </c>
      <c r="C73" s="630"/>
      <c r="D73" s="630"/>
      <c r="E73" s="631"/>
      <c r="F73" s="630"/>
      <c r="G73" s="630"/>
    </row>
    <row r="74" spans="1:7" customFormat="1" ht="14.4" x14ac:dyDescent="0.3"/>
    <row r="75" spans="1:7" customFormat="1" ht="14.4" x14ac:dyDescent="0.3"/>
    <row r="76" spans="1:7" customFormat="1" ht="14.4" x14ac:dyDescent="0.3"/>
    <row r="77" spans="1:7" customFormat="1" ht="14.4" x14ac:dyDescent="0.3"/>
    <row r="78" spans="1:7" customFormat="1" ht="14.4" x14ac:dyDescent="0.3"/>
    <row r="79" spans="1:7" customFormat="1" ht="14.4" x14ac:dyDescent="0.3"/>
    <row r="80" spans="1:7"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8" hidden="1" customHeight="1" x14ac:dyDescent="0.3"/>
    <row r="88" customFormat="1" ht="14.4" hidden="1" x14ac:dyDescent="0.3"/>
    <row r="89" customFormat="1" ht="14.4" hidden="1" x14ac:dyDescent="0.3"/>
    <row r="90" customFormat="1" ht="14.4" hidden="1" x14ac:dyDescent="0.3"/>
    <row r="91" customFormat="1" ht="14.4" hidden="1" x14ac:dyDescent="0.3"/>
    <row r="92" customFormat="1" ht="14.4" hidden="1" x14ac:dyDescent="0.3"/>
    <row r="93" customFormat="1" ht="14.4" hidden="1" x14ac:dyDescent="0.3"/>
    <row r="94" customFormat="1" ht="14.4" hidden="1" x14ac:dyDescent="0.3"/>
    <row r="95" customFormat="1" ht="14.4" hidden="1" x14ac:dyDescent="0.3"/>
    <row r="96" customFormat="1" ht="14.4" hidden="1" x14ac:dyDescent="0.3"/>
    <row r="97" customFormat="1" ht="14.4" hidden="1" x14ac:dyDescent="0.3"/>
    <row r="98" customFormat="1" ht="14.4" hidden="1" x14ac:dyDescent="0.3"/>
    <row r="99" customFormat="1" ht="14.4" hidden="1" x14ac:dyDescent="0.3"/>
    <row r="100" customFormat="1" ht="14.4" hidden="1" x14ac:dyDescent="0.3"/>
    <row r="101" customFormat="1" ht="14.4" hidden="1" x14ac:dyDescent="0.3"/>
    <row r="102" customFormat="1" ht="14.4" hidden="1" x14ac:dyDescent="0.3"/>
    <row r="103" customFormat="1" ht="14.4" hidden="1" x14ac:dyDescent="0.3"/>
    <row r="104" customFormat="1" ht="14.4" hidden="1" x14ac:dyDescent="0.3"/>
    <row r="105" customFormat="1" ht="14.4" hidden="1" x14ac:dyDescent="0.3"/>
    <row r="106" customFormat="1" ht="14.4" hidden="1" x14ac:dyDescent="0.3"/>
    <row r="107" customFormat="1" ht="14.4" hidden="1" x14ac:dyDescent="0.3"/>
    <row r="108" customFormat="1" ht="14.4" hidden="1" x14ac:dyDescent="0.3"/>
    <row r="109" customFormat="1" ht="14.4" hidden="1" x14ac:dyDescent="0.3"/>
    <row r="110" customFormat="1" ht="14.4" hidden="1" x14ac:dyDescent="0.3"/>
    <row r="111" customFormat="1" ht="14.4" hidden="1" x14ac:dyDescent="0.3"/>
    <row r="112" customFormat="1" ht="14.4" hidden="1" x14ac:dyDescent="0.3"/>
    <row r="113" customFormat="1" ht="14.4" hidden="1" x14ac:dyDescent="0.3"/>
    <row r="114" customFormat="1" ht="14.4" hidden="1" x14ac:dyDescent="0.3"/>
    <row r="115" customFormat="1" ht="14.4" hidden="1" x14ac:dyDescent="0.3"/>
    <row r="116" customFormat="1" ht="14.4" hidden="1" x14ac:dyDescent="0.3"/>
    <row r="117" customFormat="1" ht="14.4" hidden="1" x14ac:dyDescent="0.3"/>
    <row r="118" customFormat="1" ht="14.4" hidden="1" x14ac:dyDescent="0.3"/>
    <row r="119" customFormat="1" ht="14.4" hidden="1" x14ac:dyDescent="0.3"/>
    <row r="120" customFormat="1" ht="14.4" hidden="1" x14ac:dyDescent="0.3"/>
    <row r="121" customFormat="1" ht="14.4" hidden="1" x14ac:dyDescent="0.3"/>
    <row r="122" customFormat="1" ht="14.4" hidden="1" x14ac:dyDescent="0.3"/>
    <row r="123" customFormat="1" ht="14.4" hidden="1" x14ac:dyDescent="0.3"/>
    <row r="124" customFormat="1" ht="14.4" hidden="1" x14ac:dyDescent="0.3"/>
    <row r="125" customFormat="1" ht="14.4" hidden="1" x14ac:dyDescent="0.3"/>
    <row r="126" customFormat="1" ht="14.4" hidden="1" x14ac:dyDescent="0.3"/>
    <row r="127" customFormat="1" ht="14.4" hidden="1" x14ac:dyDescent="0.3"/>
    <row r="128" customFormat="1" ht="14.4" hidden="1" x14ac:dyDescent="0.3"/>
    <row r="129" customFormat="1" ht="14.4" hidden="1" x14ac:dyDescent="0.3"/>
    <row r="130" customFormat="1" ht="14.4" hidden="1" x14ac:dyDescent="0.3"/>
    <row r="131" customFormat="1" ht="14.4" hidden="1" x14ac:dyDescent="0.3"/>
    <row r="132" customFormat="1" ht="14.4" hidden="1" x14ac:dyDescent="0.3"/>
    <row r="133" customFormat="1" ht="14.4" hidden="1" x14ac:dyDescent="0.3"/>
    <row r="134" customFormat="1" ht="14.4" hidden="1" x14ac:dyDescent="0.3"/>
    <row r="135" customFormat="1" ht="14.4" hidden="1" x14ac:dyDescent="0.3"/>
    <row r="136" customFormat="1" ht="14.4" hidden="1" x14ac:dyDescent="0.3"/>
    <row r="137" customFormat="1" ht="14.4" hidden="1" x14ac:dyDescent="0.3"/>
    <row r="138" customFormat="1" ht="14.4" hidden="1" x14ac:dyDescent="0.3"/>
    <row r="139" customFormat="1" ht="14.4" hidden="1" x14ac:dyDescent="0.3"/>
    <row r="140" customFormat="1" ht="14.4" hidden="1" x14ac:dyDescent="0.3"/>
    <row r="141" customFormat="1" ht="14.4" hidden="1" x14ac:dyDescent="0.3"/>
    <row r="142" customFormat="1" ht="14.4" hidden="1" x14ac:dyDescent="0.3"/>
    <row r="143" customFormat="1" ht="14.4" hidden="1" x14ac:dyDescent="0.3"/>
    <row r="144" customFormat="1" ht="14.4" hidden="1" x14ac:dyDescent="0.3"/>
    <row r="145" customFormat="1" ht="14.4" hidden="1" x14ac:dyDescent="0.3"/>
    <row r="146" customFormat="1" ht="14.4" hidden="1" x14ac:dyDescent="0.3"/>
    <row r="147" customFormat="1" ht="14.4" hidden="1" x14ac:dyDescent="0.3"/>
    <row r="148" customFormat="1" ht="14.4" hidden="1" x14ac:dyDescent="0.3"/>
    <row r="149" customFormat="1" ht="14.4" hidden="1" x14ac:dyDescent="0.3"/>
    <row r="150" customFormat="1" ht="14.4" hidden="1" x14ac:dyDescent="0.3"/>
    <row r="151" customFormat="1" ht="14.4" x14ac:dyDescent="0.3"/>
    <row r="152" customFormat="1" ht="14.4" x14ac:dyDescent="0.3"/>
    <row r="153" customFormat="1" ht="14.4" x14ac:dyDescent="0.3"/>
  </sheetData>
  <mergeCells count="11">
    <mergeCell ref="A41:H41"/>
    <mergeCell ref="A1:G1"/>
    <mergeCell ref="A20:K20"/>
    <mergeCell ref="G21:H21"/>
    <mergeCell ref="I21:J21"/>
    <mergeCell ref="K22:K37"/>
    <mergeCell ref="A7:H7"/>
    <mergeCell ref="H9:H10"/>
    <mergeCell ref="B11:E11"/>
    <mergeCell ref="H11:H12"/>
    <mergeCell ref="B12:E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H12"/>
  <sheetViews>
    <sheetView zoomScaleNormal="100" workbookViewId="0">
      <selection activeCell="A13" sqref="A13:XFD39"/>
    </sheetView>
  </sheetViews>
  <sheetFormatPr defaultColWidth="8.6640625" defaultRowHeight="13.2" x14ac:dyDescent="0.25"/>
  <cols>
    <col min="1" max="1" width="35.33203125" style="124" customWidth="1"/>
    <col min="2" max="2" width="35.6640625" style="124" customWidth="1"/>
    <col min="3" max="3" width="39.5546875" style="124" customWidth="1"/>
    <col min="4" max="4" width="37.44140625" style="124" customWidth="1"/>
    <col min="5" max="5" width="30.6640625" style="124" customWidth="1"/>
    <col min="6" max="6" width="53.6640625" style="124" customWidth="1"/>
    <col min="7" max="7" width="35.33203125" style="124" customWidth="1"/>
    <col min="8" max="8" width="18.6640625" style="124" customWidth="1"/>
    <col min="9" max="9" width="14.33203125" style="124" customWidth="1"/>
    <col min="10" max="10" width="8.6640625" style="124"/>
    <col min="11" max="11" width="10.5546875" style="124" bestFit="1" customWidth="1"/>
    <col min="12" max="12" width="16.33203125" style="124" customWidth="1"/>
    <col min="13" max="13" width="10.6640625" style="124" bestFit="1" customWidth="1"/>
    <col min="14" max="14" width="10.5546875" style="124" bestFit="1" customWidth="1"/>
    <col min="15" max="16384" width="8.6640625" style="124"/>
  </cols>
  <sheetData>
    <row r="1" spans="1:8" ht="23.4" customHeight="1" x14ac:dyDescent="0.25">
      <c r="A1" s="893" t="str">
        <f>"Equipment - "&amp;Prototype!A2</f>
        <v>Equipment - RestaurantSitDown</v>
      </c>
      <c r="B1" s="894"/>
      <c r="C1" s="894"/>
      <c r="D1" s="894"/>
      <c r="E1" s="894"/>
      <c r="F1" s="894"/>
    </row>
    <row r="2" spans="1:8" ht="29.4" customHeight="1" x14ac:dyDescent="0.25">
      <c r="A2" s="242" t="s">
        <v>396</v>
      </c>
      <c r="B2" s="242" t="s">
        <v>474</v>
      </c>
      <c r="C2" s="336" t="s">
        <v>475</v>
      </c>
      <c r="D2" s="242" t="s">
        <v>476</v>
      </c>
      <c r="E2" s="242" t="s">
        <v>477</v>
      </c>
      <c r="F2" s="242" t="s">
        <v>243</v>
      </c>
      <c r="G2" s="126"/>
    </row>
    <row r="3" spans="1:8" ht="26.4" x14ac:dyDescent="0.25">
      <c r="A3" s="708" t="str">
        <f>Zones!C3</f>
        <v>Dining Area (Bar/Lounge and Fine Dining)</v>
      </c>
      <c r="B3" s="335">
        <v>0.5</v>
      </c>
      <c r="C3" s="333"/>
      <c r="D3" s="126">
        <v>0.25</v>
      </c>
      <c r="E3" s="710"/>
      <c r="F3" s="334" t="s">
        <v>478</v>
      </c>
      <c r="G3" s="127"/>
    </row>
    <row r="4" spans="1:8" ht="81" customHeight="1" x14ac:dyDescent="0.25">
      <c r="A4" s="708" t="str">
        <f>Zones!C4</f>
        <v>Kitchen/Food Preparation Area</v>
      </c>
      <c r="B4" s="710">
        <v>1.5</v>
      </c>
      <c r="C4" s="469">
        <v>590</v>
      </c>
      <c r="D4" s="708">
        <v>1.1200000000000001</v>
      </c>
      <c r="E4" s="607">
        <f>17.54*5500/1200</f>
        <v>80.391666666666666</v>
      </c>
      <c r="F4" s="295" t="s">
        <v>479</v>
      </c>
      <c r="G4" s="127"/>
      <c r="H4" s="167"/>
    </row>
    <row r="5" spans="1:8" ht="22.2" customHeight="1" x14ac:dyDescent="0.25">
      <c r="A5" s="708" t="str">
        <f>Zones!C5</f>
        <v>Attic</v>
      </c>
      <c r="B5" s="708"/>
      <c r="C5" s="708"/>
      <c r="D5" s="708"/>
      <c r="E5" s="708"/>
      <c r="F5" s="708"/>
      <c r="G5" s="127"/>
      <c r="H5" s="167"/>
    </row>
    <row r="6" spans="1:8" ht="18" customHeight="1" x14ac:dyDescent="0.25">
      <c r="A6" s="321" t="s">
        <v>480</v>
      </c>
      <c r="B6" s="465"/>
      <c r="C6" s="192"/>
      <c r="D6" s="126"/>
      <c r="F6" s="126"/>
      <c r="G6" s="127"/>
      <c r="H6" s="139"/>
    </row>
    <row r="7" spans="1:8" x14ac:dyDescent="0.25">
      <c r="A7" s="337" t="s">
        <v>481</v>
      </c>
      <c r="B7" s="192"/>
      <c r="C7" s="192"/>
    </row>
    <row r="8" spans="1:8" x14ac:dyDescent="0.25">
      <c r="A8" s="192" t="s">
        <v>482</v>
      </c>
      <c r="B8" s="192"/>
      <c r="C8" s="192"/>
    </row>
    <row r="9" spans="1:8" x14ac:dyDescent="0.25">
      <c r="A9" s="470"/>
      <c r="B9" s="192"/>
      <c r="C9" s="192"/>
      <c r="F9" s="181"/>
      <c r="G9" s="181">
        <f>F9/Schedules!AG59/1200</f>
        <v>0</v>
      </c>
      <c r="H9" s="329"/>
    </row>
    <row r="10" spans="1:8" x14ac:dyDescent="0.25">
      <c r="A10" s="125"/>
      <c r="G10" s="604"/>
    </row>
    <row r="11" spans="1:8" x14ac:dyDescent="0.25">
      <c r="A11" s="125"/>
      <c r="F11" s="329"/>
    </row>
    <row r="12" spans="1:8" ht="15" customHeight="1" x14ac:dyDescent="0.25">
      <c r="A12" s="125"/>
    </row>
  </sheetData>
  <mergeCells count="1">
    <mergeCell ref="A1:F1"/>
  </mergeCells>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66"/>
  <sheetViews>
    <sheetView zoomScale="85" zoomScaleNormal="85" workbookViewId="0">
      <selection sqref="A1:D1"/>
    </sheetView>
  </sheetViews>
  <sheetFormatPr defaultColWidth="8.6640625" defaultRowHeight="13.2" x14ac:dyDescent="0.25"/>
  <cols>
    <col min="1" max="1" width="34" style="124" customWidth="1"/>
    <col min="2" max="2" width="37.88671875" style="124" customWidth="1"/>
    <col min="3" max="3" width="12.44140625" style="124" customWidth="1"/>
    <col min="4" max="4" width="20.33203125" style="124" customWidth="1"/>
    <col min="5" max="5" width="33.109375" style="124" customWidth="1"/>
    <col min="6" max="6" width="12.5546875" style="124" customWidth="1"/>
    <col min="7" max="7" width="17.5546875" style="124" customWidth="1"/>
    <col min="8" max="8" width="15.5546875" style="124" customWidth="1"/>
    <col min="9" max="9" width="13.33203125" style="124" customWidth="1"/>
    <col min="10" max="16384" width="8.6640625" style="124"/>
  </cols>
  <sheetData>
    <row r="1" spans="1:7" ht="25.2" customHeight="1" x14ac:dyDescent="0.25">
      <c r="A1" s="896" t="str">
        <f>"Exterior Lighting - "&amp;Prototype!A2</f>
        <v>Exterior Lighting - RestaurantSitDown</v>
      </c>
      <c r="B1" s="896"/>
      <c r="C1" s="896"/>
      <c r="D1" s="896"/>
    </row>
    <row r="2" spans="1:7" ht="37.200000000000003" customHeight="1" x14ac:dyDescent="0.25">
      <c r="A2" s="245" t="s">
        <v>483</v>
      </c>
      <c r="B2" s="245" t="s">
        <v>484</v>
      </c>
      <c r="C2" s="245" t="s">
        <v>485</v>
      </c>
      <c r="D2" s="245" t="s">
        <v>243</v>
      </c>
    </row>
    <row r="3" spans="1:7" ht="22.2" customHeight="1" x14ac:dyDescent="0.25">
      <c r="A3" s="248">
        <f>G18</f>
        <v>760.85557399999993</v>
      </c>
      <c r="B3" s="248">
        <f>G19</f>
        <v>136.86346699999999</v>
      </c>
      <c r="C3" s="248">
        <f>B3+A3</f>
        <v>897.71904099999995</v>
      </c>
      <c r="D3" s="708" t="s">
        <v>486</v>
      </c>
    </row>
    <row r="8" spans="1:7" ht="22.2" customHeight="1" x14ac:dyDescent="0.25">
      <c r="A8" s="802" t="s">
        <v>487</v>
      </c>
      <c r="B8" s="802"/>
      <c r="C8" s="802"/>
      <c r="D8" s="802"/>
      <c r="E8" s="802"/>
      <c r="F8" s="802"/>
      <c r="G8" s="225"/>
    </row>
    <row r="9" spans="1:7" ht="57.6" customHeight="1" x14ac:dyDescent="0.25">
      <c r="A9" s="244" t="s">
        <v>488</v>
      </c>
      <c r="B9" s="897" t="s">
        <v>489</v>
      </c>
      <c r="C9" s="898"/>
      <c r="D9" s="245" t="s">
        <v>490</v>
      </c>
      <c r="E9" s="245" t="s">
        <v>491</v>
      </c>
      <c r="F9" s="245" t="s">
        <v>490</v>
      </c>
      <c r="G9" s="245" t="s">
        <v>492</v>
      </c>
    </row>
    <row r="10" spans="1:7" ht="19.2" customHeight="1" x14ac:dyDescent="0.25">
      <c r="A10" s="246" t="s">
        <v>493</v>
      </c>
      <c r="B10" s="272"/>
      <c r="C10" s="305"/>
      <c r="D10" s="710"/>
      <c r="E10" s="710">
        <v>200</v>
      </c>
      <c r="F10" s="710" t="s">
        <v>494</v>
      </c>
      <c r="G10" s="306">
        <f>$E10</f>
        <v>200</v>
      </c>
    </row>
    <row r="11" spans="1:7" ht="39.6" x14ac:dyDescent="0.25">
      <c r="A11" s="243" t="s">
        <v>495</v>
      </c>
      <c r="B11" s="295" t="s">
        <v>496</v>
      </c>
      <c r="C11" s="307">
        <f>B25/250*400</f>
        <v>8803.2160000000003</v>
      </c>
      <c r="D11" s="710" t="s">
        <v>497</v>
      </c>
      <c r="E11" s="710">
        <v>1.9E-2</v>
      </c>
      <c r="F11" s="710" t="s">
        <v>498</v>
      </c>
      <c r="G11" s="306">
        <f>$E11*C11</f>
        <v>167.26110399999999</v>
      </c>
    </row>
    <row r="12" spans="1:7" ht="24" customHeight="1" x14ac:dyDescent="0.25">
      <c r="A12" s="246" t="s">
        <v>499</v>
      </c>
      <c r="B12" s="295" t="s">
        <v>500</v>
      </c>
      <c r="C12" s="305">
        <v>1</v>
      </c>
      <c r="D12" s="710" t="s">
        <v>501</v>
      </c>
      <c r="E12" s="710">
        <v>15</v>
      </c>
      <c r="F12" s="710" t="s">
        <v>502</v>
      </c>
      <c r="G12" s="306">
        <f>E12*C12</f>
        <v>15</v>
      </c>
    </row>
    <row r="13" spans="1:7" ht="26.4" x14ac:dyDescent="0.25">
      <c r="A13" s="246" t="s">
        <v>503</v>
      </c>
      <c r="B13" s="295" t="s">
        <v>504</v>
      </c>
      <c r="C13" s="304">
        <f>B25*0.1</f>
        <v>550.20100000000002</v>
      </c>
      <c r="D13" s="710" t="s">
        <v>497</v>
      </c>
      <c r="E13" s="710">
        <v>7.0000000000000001E-3</v>
      </c>
      <c r="F13" s="710" t="s">
        <v>498</v>
      </c>
      <c r="G13" s="306">
        <f>E13*C13</f>
        <v>3.851407</v>
      </c>
    </row>
    <row r="14" spans="1:7" ht="96" customHeight="1" x14ac:dyDescent="0.25">
      <c r="A14" s="246" t="s">
        <v>505</v>
      </c>
      <c r="B14" s="295" t="s">
        <v>506</v>
      </c>
      <c r="C14" s="304">
        <f>B24*0.5*B27</f>
        <v>1000</v>
      </c>
      <c r="D14" s="710" t="s">
        <v>497</v>
      </c>
      <c r="E14" s="710">
        <v>0.1</v>
      </c>
      <c r="F14" s="710" t="s">
        <v>498</v>
      </c>
      <c r="G14" s="306">
        <f>E14*C14</f>
        <v>100</v>
      </c>
    </row>
    <row r="15" spans="1:7" ht="17.399999999999999" customHeight="1" x14ac:dyDescent="0.3">
      <c r="A15" s="447" t="s">
        <v>507</v>
      </c>
      <c r="B15" s="295" t="s">
        <v>508</v>
      </c>
      <c r="C15" s="304">
        <f>ROUND(B25/1500,0)</f>
        <v>4</v>
      </c>
      <c r="D15" s="710" t="s">
        <v>501</v>
      </c>
      <c r="E15" s="710">
        <v>30</v>
      </c>
      <c r="F15" s="710" t="s">
        <v>502</v>
      </c>
      <c r="G15" s="306">
        <f t="shared" ref="G15:G17" si="0">E15*C15</f>
        <v>120</v>
      </c>
    </row>
    <row r="16" spans="1:7" ht="17.399999999999999" customHeight="1" x14ac:dyDescent="0.3">
      <c r="A16" s="447" t="s">
        <v>509</v>
      </c>
      <c r="B16" s="295" t="s">
        <v>510</v>
      </c>
      <c r="C16" s="304">
        <f>1/5*B25</f>
        <v>1100.402</v>
      </c>
      <c r="D16" s="710" t="s">
        <v>497</v>
      </c>
      <c r="E16" s="710">
        <v>0.03</v>
      </c>
      <c r="F16" s="710" t="s">
        <v>498</v>
      </c>
      <c r="G16" s="306">
        <f t="shared" si="0"/>
        <v>33.012059999999998</v>
      </c>
    </row>
    <row r="17" spans="1:8" s="184" customFormat="1" ht="17.399999999999999" customHeight="1" x14ac:dyDescent="0.25">
      <c r="A17" s="468" t="s">
        <v>511</v>
      </c>
      <c r="B17" s="295" t="s">
        <v>512</v>
      </c>
      <c r="C17" s="304">
        <f>0.1*B25</f>
        <v>550.20100000000002</v>
      </c>
      <c r="D17" s="710" t="s">
        <v>497</v>
      </c>
      <c r="E17" s="710">
        <v>0.47</v>
      </c>
      <c r="F17" s="710" t="s">
        <v>498</v>
      </c>
      <c r="G17" s="306">
        <f t="shared" si="0"/>
        <v>258.59447</v>
      </c>
      <c r="H17" s="192" t="s">
        <v>513</v>
      </c>
    </row>
    <row r="18" spans="1:8" ht="13.8" x14ac:dyDescent="0.25">
      <c r="A18" s="895" t="s">
        <v>514</v>
      </c>
      <c r="B18" s="895"/>
      <c r="C18" s="895"/>
      <c r="D18" s="895"/>
      <c r="E18" s="895"/>
      <c r="F18" s="895"/>
      <c r="G18" s="247">
        <f>G11+G10+G12+G15+G17</f>
        <v>760.85557399999993</v>
      </c>
    </row>
    <row r="19" spans="1:8" ht="13.8" x14ac:dyDescent="0.25">
      <c r="A19" s="895" t="s">
        <v>515</v>
      </c>
      <c r="B19" s="895"/>
      <c r="C19" s="895"/>
      <c r="D19" s="895"/>
      <c r="E19" s="895"/>
      <c r="F19" s="895"/>
      <c r="G19" s="247">
        <f>G13+G14+G16</f>
        <v>136.86346699999999</v>
      </c>
    </row>
    <row r="20" spans="1:8" ht="13.8" x14ac:dyDescent="0.25">
      <c r="A20" s="895" t="s">
        <v>516</v>
      </c>
      <c r="B20" s="895"/>
      <c r="C20" s="895"/>
      <c r="D20" s="895"/>
      <c r="E20" s="895"/>
      <c r="F20" s="895"/>
      <c r="G20" s="247">
        <f t="shared" ref="G20" si="1">G18+G19</f>
        <v>897.71904099999995</v>
      </c>
    </row>
    <row r="21" spans="1:8" ht="13.8" x14ac:dyDescent="0.25">
      <c r="A21" s="705"/>
      <c r="B21" s="705"/>
      <c r="C21" s="705"/>
      <c r="D21" s="705"/>
      <c r="E21" s="705"/>
      <c r="F21" s="705"/>
      <c r="G21" s="235"/>
    </row>
    <row r="22" spans="1:8" x14ac:dyDescent="0.25">
      <c r="C22" s="711"/>
      <c r="F22" s="237"/>
    </row>
    <row r="23" spans="1:8" x14ac:dyDescent="0.25">
      <c r="B23" s="184"/>
      <c r="C23" s="711"/>
      <c r="F23" s="237"/>
    </row>
    <row r="24" spans="1:8" x14ac:dyDescent="0.25">
      <c r="A24" s="124" t="s">
        <v>517</v>
      </c>
      <c r="B24" s="303">
        <f>(50+50)*2</f>
        <v>200</v>
      </c>
      <c r="C24" s="711"/>
      <c r="F24" s="237"/>
    </row>
    <row r="25" spans="1:8" x14ac:dyDescent="0.25">
      <c r="A25" s="124" t="s">
        <v>518</v>
      </c>
      <c r="B25" s="308">
        <f>Zones!H6</f>
        <v>5502.01</v>
      </c>
      <c r="F25" s="237"/>
    </row>
    <row r="26" spans="1:8" x14ac:dyDescent="0.25">
      <c r="A26" s="124" t="s">
        <v>519</v>
      </c>
      <c r="B26" s="303">
        <v>1</v>
      </c>
      <c r="F26" s="237"/>
    </row>
    <row r="27" spans="1:8" x14ac:dyDescent="0.25">
      <c r="A27" s="124" t="s">
        <v>86</v>
      </c>
      <c r="B27" s="231">
        <v>10</v>
      </c>
    </row>
    <row r="28" spans="1:8" x14ac:dyDescent="0.25">
      <c r="B28" s="231"/>
    </row>
    <row r="29" spans="1:8" x14ac:dyDescent="0.25">
      <c r="B29" s="231"/>
    </row>
    <row r="30" spans="1:8" x14ac:dyDescent="0.25">
      <c r="B30" s="231"/>
    </row>
    <row r="32" spans="1:8" s="141" customFormat="1" ht="13.2" hidden="1" customHeight="1" x14ac:dyDescent="0.25">
      <c r="A32" s="141" t="s">
        <v>520</v>
      </c>
      <c r="E32" s="142"/>
      <c r="F32" s="143"/>
      <c r="G32" s="144"/>
    </row>
    <row r="33" spans="1:1" hidden="1" x14ac:dyDescent="0.25"/>
    <row r="34" spans="1:1" ht="15" hidden="1" x14ac:dyDescent="0.25">
      <c r="A34" s="236"/>
    </row>
    <row r="35" spans="1:1" hidden="1" x14ac:dyDescent="0.25">
      <c r="A35" s="125" t="s">
        <v>521</v>
      </c>
    </row>
    <row r="36" spans="1:1" hidden="1" x14ac:dyDescent="0.25"/>
    <row r="37" spans="1:1" hidden="1" x14ac:dyDescent="0.25"/>
    <row r="38" spans="1:1" hidden="1" x14ac:dyDescent="0.25"/>
    <row r="39" spans="1:1" hidden="1" x14ac:dyDescent="0.25"/>
    <row r="40" spans="1:1" hidden="1" x14ac:dyDescent="0.25"/>
    <row r="41" spans="1:1" hidden="1" x14ac:dyDescent="0.25"/>
    <row r="42" spans="1:1" hidden="1" x14ac:dyDescent="0.25"/>
    <row r="43" spans="1:1" hidden="1" x14ac:dyDescent="0.25"/>
    <row r="44" spans="1:1" hidden="1" x14ac:dyDescent="0.25"/>
    <row r="45" spans="1:1" hidden="1" x14ac:dyDescent="0.25"/>
    <row r="46" spans="1:1" hidden="1" x14ac:dyDescent="0.25"/>
    <row r="47" spans="1:1" hidden="1" x14ac:dyDescent="0.25"/>
    <row r="48" spans="1:1" hidden="1" x14ac:dyDescent="0.25"/>
    <row r="49" spans="1:1" hidden="1" x14ac:dyDescent="0.25"/>
    <row r="50" spans="1:1" hidden="1" x14ac:dyDescent="0.25"/>
    <row r="51" spans="1:1" hidden="1" x14ac:dyDescent="0.25"/>
    <row r="52" spans="1:1" hidden="1" x14ac:dyDescent="0.25"/>
    <row r="53" spans="1:1" hidden="1" x14ac:dyDescent="0.25"/>
    <row r="54" spans="1:1" hidden="1" x14ac:dyDescent="0.25"/>
    <row r="55" spans="1:1" hidden="1" x14ac:dyDescent="0.25"/>
    <row r="60" spans="1:1" hidden="1" x14ac:dyDescent="0.25">
      <c r="A60" s="125" t="s">
        <v>522</v>
      </c>
    </row>
    <row r="61" spans="1:1" hidden="1" x14ac:dyDescent="0.25"/>
    <row r="62" spans="1:1" hidden="1" x14ac:dyDescent="0.25"/>
    <row r="63" spans="1:1" hidden="1" x14ac:dyDescent="0.25"/>
    <row r="64" spans="1:1" hidden="1" x14ac:dyDescent="0.25"/>
    <row r="65" hidden="1" x14ac:dyDescent="0.25"/>
    <row r="66" hidden="1" x14ac:dyDescent="0.25"/>
  </sheetData>
  <mergeCells count="6">
    <mergeCell ref="A18:F18"/>
    <mergeCell ref="A19:F19"/>
    <mergeCell ref="A20:F20"/>
    <mergeCell ref="A1:D1"/>
    <mergeCell ref="B9:C9"/>
    <mergeCell ref="A8:F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O10204"/>
  <sheetViews>
    <sheetView zoomScale="70" zoomScaleNormal="70" workbookViewId="0">
      <pane xSplit="5" ySplit="3" topLeftCell="F4" activePane="bottomRight" state="frozen"/>
      <selection pane="topRight" activeCell="E1" sqref="E1"/>
      <selection pane="bottomLeft" activeCell="A4" sqref="A4"/>
      <selection pane="bottomRight" sqref="A1:AC1"/>
    </sheetView>
  </sheetViews>
  <sheetFormatPr defaultColWidth="9.33203125" defaultRowHeight="11.4" x14ac:dyDescent="0.3"/>
  <cols>
    <col min="1" max="1" width="9.33203125" style="154"/>
    <col min="2" max="2" width="19.33203125" style="154" customWidth="1"/>
    <col min="3" max="3" width="28.6640625" style="154" customWidth="1"/>
    <col min="4" max="4" width="27.6640625" style="154" customWidth="1"/>
    <col min="5" max="5" width="9.33203125" style="154"/>
    <col min="6" max="29" width="5.6640625" style="154" customWidth="1"/>
    <col min="30" max="16384" width="9.33203125" style="154"/>
  </cols>
  <sheetData>
    <row r="1" spans="1:39" ht="24" customHeight="1" x14ac:dyDescent="0.3">
      <c r="A1" s="827" t="str">
        <f>"Schedules - "&amp;Prototype!A2</f>
        <v>Schedules - RestaurantSitDown</v>
      </c>
      <c r="B1" s="827"/>
      <c r="C1" s="827"/>
      <c r="D1" s="827"/>
      <c r="E1" s="827"/>
      <c r="F1" s="827"/>
      <c r="G1" s="827"/>
      <c r="H1" s="827"/>
      <c r="I1" s="827"/>
      <c r="J1" s="827"/>
      <c r="K1" s="827"/>
      <c r="L1" s="827"/>
      <c r="M1" s="827"/>
      <c r="N1" s="827"/>
      <c r="O1" s="827"/>
      <c r="P1" s="827"/>
      <c r="Q1" s="827"/>
      <c r="R1" s="827"/>
      <c r="S1" s="827"/>
      <c r="T1" s="827"/>
      <c r="U1" s="827"/>
      <c r="V1" s="827"/>
      <c r="W1" s="827"/>
      <c r="X1" s="827"/>
      <c r="Y1" s="827"/>
      <c r="Z1" s="827"/>
      <c r="AA1" s="827"/>
      <c r="AB1" s="827"/>
      <c r="AC1" s="982"/>
      <c r="AD1" s="155"/>
      <c r="AE1" s="155"/>
      <c r="AF1" s="155"/>
      <c r="AG1" s="155"/>
      <c r="AH1" s="155"/>
      <c r="AI1" s="156"/>
      <c r="AJ1" s="156"/>
      <c r="AK1" s="156"/>
    </row>
    <row r="2" spans="1:39" ht="24" customHeight="1" x14ac:dyDescent="0.3">
      <c r="A2" s="980" t="s">
        <v>523</v>
      </c>
      <c r="B2" s="980" t="s">
        <v>162</v>
      </c>
      <c r="C2" s="980" t="s">
        <v>524</v>
      </c>
      <c r="D2" s="980" t="s">
        <v>243</v>
      </c>
      <c r="E2" s="980" t="s">
        <v>525</v>
      </c>
      <c r="F2" s="991" t="s">
        <v>526</v>
      </c>
      <c r="G2" s="991"/>
      <c r="H2" s="991"/>
      <c r="I2" s="991"/>
      <c r="J2" s="991"/>
      <c r="K2" s="991"/>
      <c r="L2" s="991"/>
      <c r="M2" s="991"/>
      <c r="N2" s="991"/>
      <c r="O2" s="991"/>
      <c r="P2" s="991"/>
      <c r="Q2" s="991"/>
      <c r="R2" s="991"/>
      <c r="S2" s="991"/>
      <c r="T2" s="991"/>
      <c r="U2" s="991"/>
      <c r="V2" s="991"/>
      <c r="W2" s="991"/>
      <c r="X2" s="991"/>
      <c r="Y2" s="991"/>
      <c r="Z2" s="991"/>
      <c r="AA2" s="991"/>
      <c r="AB2" s="991"/>
      <c r="AC2" s="991"/>
      <c r="AD2" s="155"/>
      <c r="AE2" s="155"/>
      <c r="AF2" s="155"/>
      <c r="AG2" s="155"/>
      <c r="AH2" s="155"/>
      <c r="AI2" s="156"/>
      <c r="AJ2" s="156"/>
      <c r="AK2" s="156"/>
    </row>
    <row r="3" spans="1:39" ht="25.2" customHeight="1" thickBot="1" x14ac:dyDescent="0.35">
      <c r="A3" s="981"/>
      <c r="B3" s="981"/>
      <c r="C3" s="981"/>
      <c r="D3" s="981"/>
      <c r="E3" s="981"/>
      <c r="F3" s="716">
        <v>1</v>
      </c>
      <c r="G3" s="716">
        <v>2</v>
      </c>
      <c r="H3" s="716">
        <v>3</v>
      </c>
      <c r="I3" s="716">
        <v>4</v>
      </c>
      <c r="J3" s="716">
        <v>5</v>
      </c>
      <c r="K3" s="716">
        <v>6</v>
      </c>
      <c r="L3" s="716">
        <v>7</v>
      </c>
      <c r="M3" s="716">
        <v>8</v>
      </c>
      <c r="N3" s="716">
        <v>9</v>
      </c>
      <c r="O3" s="716">
        <v>10</v>
      </c>
      <c r="P3" s="716">
        <v>11</v>
      </c>
      <c r="Q3" s="716">
        <v>12</v>
      </c>
      <c r="R3" s="716">
        <v>13</v>
      </c>
      <c r="S3" s="716">
        <v>14</v>
      </c>
      <c r="T3" s="716">
        <v>15</v>
      </c>
      <c r="U3" s="716">
        <v>16</v>
      </c>
      <c r="V3" s="716">
        <v>17</v>
      </c>
      <c r="W3" s="716">
        <v>18</v>
      </c>
      <c r="X3" s="716">
        <v>19</v>
      </c>
      <c r="Y3" s="716">
        <v>20</v>
      </c>
      <c r="Z3" s="716">
        <v>21</v>
      </c>
      <c r="AA3" s="716">
        <v>22</v>
      </c>
      <c r="AB3" s="716">
        <v>23</v>
      </c>
      <c r="AC3" s="716">
        <v>24</v>
      </c>
      <c r="AD3" s="156"/>
      <c r="AE3" s="156"/>
      <c r="AF3" s="156"/>
      <c r="AG3" s="156"/>
      <c r="AH3" s="156"/>
      <c r="AI3" s="156"/>
      <c r="AJ3" s="156"/>
      <c r="AK3" s="156"/>
    </row>
    <row r="4" spans="1:39" ht="34.950000000000003" customHeight="1" x14ac:dyDescent="0.3">
      <c r="A4" s="971" t="s">
        <v>95</v>
      </c>
      <c r="B4" s="922" t="s">
        <v>173</v>
      </c>
      <c r="C4" s="922" t="s">
        <v>527</v>
      </c>
      <c r="D4" s="925" t="s">
        <v>528</v>
      </c>
      <c r="E4" s="516" t="s">
        <v>529</v>
      </c>
      <c r="F4" s="339">
        <v>0.05</v>
      </c>
      <c r="G4" s="339">
        <v>0</v>
      </c>
      <c r="H4" s="339">
        <v>0</v>
      </c>
      <c r="I4" s="339">
        <v>0</v>
      </c>
      <c r="J4" s="339">
        <v>0</v>
      </c>
      <c r="K4" s="339">
        <v>0.05</v>
      </c>
      <c r="L4" s="339">
        <v>0.1</v>
      </c>
      <c r="M4" s="339">
        <v>0.4</v>
      </c>
      <c r="N4" s="339">
        <v>0.4</v>
      </c>
      <c r="O4" s="339">
        <v>0.4</v>
      </c>
      <c r="P4" s="339">
        <v>0.2</v>
      </c>
      <c r="Q4" s="339">
        <v>0.5</v>
      </c>
      <c r="R4" s="339">
        <v>0.8</v>
      </c>
      <c r="S4" s="339">
        <v>0.7</v>
      </c>
      <c r="T4" s="339">
        <v>0.4</v>
      </c>
      <c r="U4" s="339">
        <v>0.2</v>
      </c>
      <c r="V4" s="339">
        <v>0.25</v>
      </c>
      <c r="W4" s="339">
        <v>0.5</v>
      </c>
      <c r="X4" s="339">
        <v>0.8</v>
      </c>
      <c r="Y4" s="339">
        <v>0.8</v>
      </c>
      <c r="Z4" s="339">
        <v>0.8</v>
      </c>
      <c r="AA4" s="339">
        <v>0.5</v>
      </c>
      <c r="AB4" s="339">
        <v>0.35</v>
      </c>
      <c r="AC4" s="340">
        <v>0.2</v>
      </c>
      <c r="AD4" s="156"/>
      <c r="AE4" s="156"/>
      <c r="AF4" s="156"/>
      <c r="AG4" s="156"/>
      <c r="AH4" s="156"/>
      <c r="AI4" s="156"/>
      <c r="AJ4" s="156"/>
      <c r="AK4" s="156"/>
    </row>
    <row r="5" spans="1:39" ht="34.950000000000003" customHeight="1" x14ac:dyDescent="0.3">
      <c r="A5" s="972"/>
      <c r="B5" s="923"/>
      <c r="C5" s="923"/>
      <c r="D5" s="926"/>
      <c r="E5" s="517" t="s">
        <v>530</v>
      </c>
      <c r="F5" s="197">
        <v>0.05</v>
      </c>
      <c r="G5" s="197">
        <v>0</v>
      </c>
      <c r="H5" s="197">
        <v>0</v>
      </c>
      <c r="I5" s="197">
        <v>0</v>
      </c>
      <c r="J5" s="197">
        <v>0</v>
      </c>
      <c r="K5" s="197">
        <v>0</v>
      </c>
      <c r="L5" s="197">
        <v>0.05</v>
      </c>
      <c r="M5" s="197">
        <v>0.5</v>
      </c>
      <c r="N5" s="197">
        <v>0.5</v>
      </c>
      <c r="O5" s="197">
        <v>0.4</v>
      </c>
      <c r="P5" s="197">
        <v>0.2</v>
      </c>
      <c r="Q5" s="197">
        <v>0.45</v>
      </c>
      <c r="R5" s="197">
        <v>0.5</v>
      </c>
      <c r="S5" s="197">
        <v>0.5</v>
      </c>
      <c r="T5" s="197">
        <v>0.35</v>
      </c>
      <c r="U5" s="197">
        <v>0.3</v>
      </c>
      <c r="V5" s="197">
        <v>0.3</v>
      </c>
      <c r="W5" s="197">
        <v>0.3</v>
      </c>
      <c r="X5" s="197">
        <v>0.7</v>
      </c>
      <c r="Y5" s="197">
        <v>0.9</v>
      </c>
      <c r="Z5" s="197">
        <v>0.7</v>
      </c>
      <c r="AA5" s="197">
        <v>0.65</v>
      </c>
      <c r="AB5" s="197">
        <v>0.55000000000000004</v>
      </c>
      <c r="AC5" s="342">
        <v>0.35</v>
      </c>
      <c r="AD5" s="156"/>
      <c r="AE5" s="156"/>
      <c r="AF5" s="156"/>
      <c r="AG5" s="156"/>
      <c r="AH5" s="156"/>
      <c r="AI5" s="156"/>
      <c r="AJ5" s="156"/>
      <c r="AK5" s="156"/>
    </row>
    <row r="6" spans="1:39" ht="34.950000000000003" customHeight="1" thickBot="1" x14ac:dyDescent="0.35">
      <c r="A6" s="973"/>
      <c r="B6" s="924"/>
      <c r="C6" s="924"/>
      <c r="D6" s="927"/>
      <c r="E6" s="518" t="s">
        <v>531</v>
      </c>
      <c r="F6" s="344">
        <v>0.05</v>
      </c>
      <c r="G6" s="344">
        <v>0</v>
      </c>
      <c r="H6" s="344">
        <v>0</v>
      </c>
      <c r="I6" s="344">
        <v>0</v>
      </c>
      <c r="J6" s="344">
        <v>0</v>
      </c>
      <c r="K6" s="344">
        <v>0</v>
      </c>
      <c r="L6" s="344">
        <v>0.05</v>
      </c>
      <c r="M6" s="344">
        <v>0.5</v>
      </c>
      <c r="N6" s="344">
        <v>0.5</v>
      </c>
      <c r="O6" s="344">
        <v>0.2</v>
      </c>
      <c r="P6" s="344">
        <v>0.2</v>
      </c>
      <c r="Q6" s="344">
        <v>0.3</v>
      </c>
      <c r="R6" s="344">
        <v>0.5</v>
      </c>
      <c r="S6" s="344">
        <v>0.5</v>
      </c>
      <c r="T6" s="344">
        <v>0.3</v>
      </c>
      <c r="U6" s="344">
        <v>0.2</v>
      </c>
      <c r="V6" s="344">
        <v>0.25</v>
      </c>
      <c r="W6" s="344">
        <v>0.35</v>
      </c>
      <c r="X6" s="344">
        <v>0.55000000000000004</v>
      </c>
      <c r="Y6" s="344">
        <v>0.65</v>
      </c>
      <c r="Z6" s="344">
        <v>0.7</v>
      </c>
      <c r="AA6" s="344">
        <v>0.35</v>
      </c>
      <c r="AB6" s="344">
        <v>0.2</v>
      </c>
      <c r="AC6" s="345">
        <v>0.2</v>
      </c>
      <c r="AD6" s="156"/>
      <c r="AE6" s="156"/>
      <c r="AF6" s="156"/>
      <c r="AG6" s="156"/>
      <c r="AH6" s="156"/>
      <c r="AI6" s="156"/>
      <c r="AJ6" s="156"/>
      <c r="AK6" s="156"/>
    </row>
    <row r="7" spans="1:39" ht="37.950000000000003" customHeight="1" x14ac:dyDescent="0.3">
      <c r="A7" s="971" t="str">
        <f>A4</f>
        <v>Dining</v>
      </c>
      <c r="B7" s="922" t="s">
        <v>173</v>
      </c>
      <c r="C7" s="922" t="s">
        <v>532</v>
      </c>
      <c r="D7" s="925" t="s">
        <v>533</v>
      </c>
      <c r="E7" s="205" t="s">
        <v>529</v>
      </c>
      <c r="F7" s="206">
        <v>0.15</v>
      </c>
      <c r="G7" s="206">
        <v>0.15</v>
      </c>
      <c r="H7" s="206">
        <v>0.15</v>
      </c>
      <c r="I7" s="206">
        <v>0.15</v>
      </c>
      <c r="J7" s="206">
        <v>0.15</v>
      </c>
      <c r="K7" s="206">
        <v>0.2</v>
      </c>
      <c r="L7" s="417">
        <v>0.3</v>
      </c>
      <c r="M7" s="417">
        <f t="shared" ref="M7:AA9" si="0">M10-5%</f>
        <v>0.66999999999999993</v>
      </c>
      <c r="N7" s="417">
        <f t="shared" si="0"/>
        <v>0.73</v>
      </c>
      <c r="O7" s="417">
        <f t="shared" si="0"/>
        <v>0.75</v>
      </c>
      <c r="P7" s="417">
        <f t="shared" si="0"/>
        <v>0.85</v>
      </c>
      <c r="Q7" s="417">
        <f t="shared" si="0"/>
        <v>0.85</v>
      </c>
      <c r="R7" s="417">
        <f t="shared" si="0"/>
        <v>0.85</v>
      </c>
      <c r="S7" s="417">
        <f t="shared" si="0"/>
        <v>0.83</v>
      </c>
      <c r="T7" s="417">
        <f t="shared" si="0"/>
        <v>0.72</v>
      </c>
      <c r="U7" s="417">
        <f t="shared" si="0"/>
        <v>0.64999999999999991</v>
      </c>
      <c r="V7" s="417">
        <f t="shared" si="0"/>
        <v>0.66999999999999993</v>
      </c>
      <c r="W7" s="417">
        <f t="shared" si="0"/>
        <v>0.75</v>
      </c>
      <c r="X7" s="417">
        <f t="shared" si="0"/>
        <v>0.85</v>
      </c>
      <c r="Y7" s="417">
        <f t="shared" si="0"/>
        <v>0.85</v>
      </c>
      <c r="Z7" s="417">
        <f t="shared" si="0"/>
        <v>0.85</v>
      </c>
      <c r="AA7" s="417">
        <f t="shared" si="0"/>
        <v>0.75</v>
      </c>
      <c r="AB7" s="417">
        <f>AB10-5%</f>
        <v>0.56999999999999995</v>
      </c>
      <c r="AC7" s="207">
        <v>0.3</v>
      </c>
      <c r="AD7" s="156"/>
      <c r="AE7" s="156"/>
      <c r="AF7" s="156"/>
      <c r="AG7" s="156"/>
      <c r="AH7" s="156"/>
      <c r="AI7" s="156"/>
      <c r="AJ7" s="156"/>
      <c r="AK7" s="156"/>
    </row>
    <row r="8" spans="1:39" ht="37.950000000000003" customHeight="1" x14ac:dyDescent="0.3">
      <c r="A8" s="972"/>
      <c r="B8" s="923"/>
      <c r="C8" s="923"/>
      <c r="D8" s="926"/>
      <c r="E8" s="196" t="s">
        <v>530</v>
      </c>
      <c r="F8" s="418">
        <f>F11</f>
        <v>0.15</v>
      </c>
      <c r="G8" s="197">
        <v>0.15</v>
      </c>
      <c r="H8" s="197">
        <v>0.15</v>
      </c>
      <c r="I8" s="197">
        <v>0.15</v>
      </c>
      <c r="J8" s="197">
        <v>0.15</v>
      </c>
      <c r="K8" s="418">
        <f>K11</f>
        <v>0.2</v>
      </c>
      <c r="L8" s="197">
        <v>0.3</v>
      </c>
      <c r="M8" s="418">
        <f t="shared" si="0"/>
        <v>0.66999999999999993</v>
      </c>
      <c r="N8" s="418">
        <f t="shared" si="0"/>
        <v>0.73</v>
      </c>
      <c r="O8" s="418">
        <f t="shared" si="0"/>
        <v>0.75</v>
      </c>
      <c r="P8" s="418">
        <f t="shared" si="0"/>
        <v>0.85</v>
      </c>
      <c r="Q8" s="418">
        <f t="shared" si="0"/>
        <v>0.85</v>
      </c>
      <c r="R8" s="418">
        <f t="shared" si="0"/>
        <v>0.85</v>
      </c>
      <c r="S8" s="418">
        <f t="shared" si="0"/>
        <v>0.83</v>
      </c>
      <c r="T8" s="418">
        <f t="shared" si="0"/>
        <v>0.72</v>
      </c>
      <c r="U8" s="418">
        <f t="shared" si="0"/>
        <v>0.64999999999999991</v>
      </c>
      <c r="V8" s="418">
        <f t="shared" si="0"/>
        <v>0.66999999999999993</v>
      </c>
      <c r="W8" s="418">
        <f t="shared" si="0"/>
        <v>0.75</v>
      </c>
      <c r="X8" s="418">
        <f t="shared" si="0"/>
        <v>0.85</v>
      </c>
      <c r="Y8" s="418">
        <f t="shared" si="0"/>
        <v>0.85</v>
      </c>
      <c r="Z8" s="418">
        <f t="shared" si="0"/>
        <v>0.85</v>
      </c>
      <c r="AA8" s="418">
        <f t="shared" si="0"/>
        <v>0.75</v>
      </c>
      <c r="AB8" s="418">
        <f>AB11-5%</f>
        <v>0.56999999999999995</v>
      </c>
      <c r="AC8" s="198">
        <v>0.3</v>
      </c>
      <c r="AD8" s="156"/>
      <c r="AE8" s="156"/>
      <c r="AF8" s="156"/>
      <c r="AG8" s="156"/>
      <c r="AH8" s="156"/>
      <c r="AI8" s="156"/>
      <c r="AJ8" s="156"/>
      <c r="AK8" s="156"/>
    </row>
    <row r="9" spans="1:39" ht="37.950000000000003" customHeight="1" thickBot="1" x14ac:dyDescent="0.35">
      <c r="A9" s="973"/>
      <c r="B9" s="924"/>
      <c r="C9" s="924"/>
      <c r="D9" s="927"/>
      <c r="E9" s="199" t="s">
        <v>531</v>
      </c>
      <c r="F9" s="200">
        <v>0.2</v>
      </c>
      <c r="G9" s="200">
        <v>0.15</v>
      </c>
      <c r="H9" s="200">
        <v>0.15</v>
      </c>
      <c r="I9" s="200">
        <v>0.15</v>
      </c>
      <c r="J9" s="200">
        <v>0.15</v>
      </c>
      <c r="K9" s="200">
        <v>0.15</v>
      </c>
      <c r="L9" s="200">
        <v>0.3</v>
      </c>
      <c r="M9" s="419">
        <f t="shared" si="0"/>
        <v>0.66999999999999993</v>
      </c>
      <c r="N9" s="419">
        <f t="shared" si="0"/>
        <v>0.73</v>
      </c>
      <c r="O9" s="419">
        <f t="shared" si="0"/>
        <v>0.75</v>
      </c>
      <c r="P9" s="419">
        <f t="shared" si="0"/>
        <v>0.85</v>
      </c>
      <c r="Q9" s="419">
        <f t="shared" si="0"/>
        <v>0.85</v>
      </c>
      <c r="R9" s="419">
        <f t="shared" si="0"/>
        <v>0.85</v>
      </c>
      <c r="S9" s="419">
        <f t="shared" si="0"/>
        <v>0.83</v>
      </c>
      <c r="T9" s="419">
        <f t="shared" si="0"/>
        <v>0.72</v>
      </c>
      <c r="U9" s="419">
        <f t="shared" si="0"/>
        <v>0.64999999999999991</v>
      </c>
      <c r="V9" s="419">
        <f t="shared" si="0"/>
        <v>0.66999999999999993</v>
      </c>
      <c r="W9" s="419">
        <f t="shared" si="0"/>
        <v>0.75</v>
      </c>
      <c r="X9" s="419">
        <f t="shared" si="0"/>
        <v>0.85</v>
      </c>
      <c r="Y9" s="419">
        <f t="shared" si="0"/>
        <v>0.85</v>
      </c>
      <c r="Z9" s="419">
        <f t="shared" si="0"/>
        <v>0.85</v>
      </c>
      <c r="AA9" s="419">
        <f t="shared" si="0"/>
        <v>0.75</v>
      </c>
      <c r="AB9" s="419">
        <f>AB12-5%</f>
        <v>0.56999999999999995</v>
      </c>
      <c r="AC9" s="201">
        <v>0.3</v>
      </c>
      <c r="AD9" s="156"/>
      <c r="AE9" s="156"/>
      <c r="AF9" s="156"/>
      <c r="AG9" s="156"/>
      <c r="AH9" s="156"/>
      <c r="AI9" s="156"/>
      <c r="AJ9" s="156"/>
      <c r="AK9" s="156"/>
    </row>
    <row r="10" spans="1:39" ht="38.700000000000003" customHeight="1" x14ac:dyDescent="0.3">
      <c r="A10" s="971" t="str">
        <f>A4</f>
        <v>Dining</v>
      </c>
      <c r="B10" s="922" t="s">
        <v>173</v>
      </c>
      <c r="C10" s="922" t="s">
        <v>534</v>
      </c>
      <c r="D10" s="958" t="s">
        <v>535</v>
      </c>
      <c r="E10" s="338" t="s">
        <v>529</v>
      </c>
      <c r="F10" s="339">
        <v>0.15</v>
      </c>
      <c r="G10" s="339">
        <v>0.15</v>
      </c>
      <c r="H10" s="339">
        <v>0.15</v>
      </c>
      <c r="I10" s="339">
        <v>0.15</v>
      </c>
      <c r="J10" s="339">
        <v>0.15</v>
      </c>
      <c r="K10" s="339">
        <v>0.2</v>
      </c>
      <c r="L10" s="351">
        <v>0.3</v>
      </c>
      <c r="M10" s="351">
        <v>0.72</v>
      </c>
      <c r="N10" s="351">
        <v>0.78</v>
      </c>
      <c r="O10" s="351">
        <v>0.8</v>
      </c>
      <c r="P10" s="339">
        <v>0.9</v>
      </c>
      <c r="Q10" s="339">
        <v>0.9</v>
      </c>
      <c r="R10" s="339">
        <v>0.9</v>
      </c>
      <c r="S10" s="351">
        <v>0.88</v>
      </c>
      <c r="T10" s="351">
        <v>0.77</v>
      </c>
      <c r="U10" s="351">
        <v>0.7</v>
      </c>
      <c r="V10" s="351">
        <v>0.72</v>
      </c>
      <c r="W10" s="351">
        <v>0.8</v>
      </c>
      <c r="X10" s="339">
        <v>0.9</v>
      </c>
      <c r="Y10" s="339">
        <v>0.9</v>
      </c>
      <c r="Z10" s="339">
        <v>0.9</v>
      </c>
      <c r="AA10" s="351">
        <v>0.8</v>
      </c>
      <c r="AB10" s="351">
        <v>0.62</v>
      </c>
      <c r="AC10" s="340">
        <v>0.3</v>
      </c>
      <c r="AD10" s="156"/>
      <c r="AE10" s="156"/>
      <c r="AF10" s="156"/>
      <c r="AG10" s="156"/>
      <c r="AH10" s="156"/>
      <c r="AI10" s="156"/>
      <c r="AJ10" s="156"/>
      <c r="AK10" s="156"/>
      <c r="AM10" s="165"/>
    </row>
    <row r="11" spans="1:39" ht="38.700000000000003" customHeight="1" x14ac:dyDescent="0.3">
      <c r="A11" s="972"/>
      <c r="B11" s="923"/>
      <c r="C11" s="923"/>
      <c r="D11" s="956"/>
      <c r="E11" s="341" t="s">
        <v>530</v>
      </c>
      <c r="F11" s="349">
        <v>0.15</v>
      </c>
      <c r="G11" s="197">
        <v>0.15</v>
      </c>
      <c r="H11" s="197">
        <v>0.15</v>
      </c>
      <c r="I11" s="197">
        <v>0.15</v>
      </c>
      <c r="J11" s="197">
        <v>0.15</v>
      </c>
      <c r="K11" s="349">
        <v>0.2</v>
      </c>
      <c r="L11" s="197">
        <v>0.3</v>
      </c>
      <c r="M11" s="349">
        <v>0.72</v>
      </c>
      <c r="N11" s="349">
        <v>0.78</v>
      </c>
      <c r="O11" s="349">
        <v>0.8</v>
      </c>
      <c r="P11" s="349">
        <v>0.9</v>
      </c>
      <c r="Q11" s="349">
        <v>0.9</v>
      </c>
      <c r="R11" s="349">
        <v>0.9</v>
      </c>
      <c r="S11" s="349">
        <v>0.88</v>
      </c>
      <c r="T11" s="349">
        <v>0.77</v>
      </c>
      <c r="U11" s="349">
        <v>0.7</v>
      </c>
      <c r="V11" s="349">
        <v>0.72</v>
      </c>
      <c r="W11" s="349">
        <v>0.8</v>
      </c>
      <c r="X11" s="197">
        <v>0.9</v>
      </c>
      <c r="Y11" s="197">
        <v>0.9</v>
      </c>
      <c r="Z11" s="197">
        <v>0.9</v>
      </c>
      <c r="AA11" s="349">
        <v>0.8</v>
      </c>
      <c r="AB11" s="349">
        <v>0.62</v>
      </c>
      <c r="AC11" s="342">
        <v>0.3</v>
      </c>
      <c r="AD11" s="156"/>
      <c r="AE11" s="156"/>
      <c r="AF11" s="156"/>
      <c r="AG11" s="156"/>
      <c r="AH11" s="156"/>
      <c r="AI11" s="156"/>
      <c r="AJ11" s="156"/>
      <c r="AK11" s="156"/>
      <c r="AM11" s="165"/>
    </row>
    <row r="12" spans="1:39" ht="38.700000000000003" customHeight="1" thickBot="1" x14ac:dyDescent="0.35">
      <c r="A12" s="973"/>
      <c r="B12" s="924"/>
      <c r="C12" s="924"/>
      <c r="D12" s="957"/>
      <c r="E12" s="343" t="s">
        <v>531</v>
      </c>
      <c r="F12" s="350">
        <v>0.2</v>
      </c>
      <c r="G12" s="344">
        <v>0.15</v>
      </c>
      <c r="H12" s="344">
        <v>0.15</v>
      </c>
      <c r="I12" s="344">
        <v>0.15</v>
      </c>
      <c r="J12" s="344">
        <v>0.15</v>
      </c>
      <c r="K12" s="350">
        <v>0.15</v>
      </c>
      <c r="L12" s="344">
        <v>0.3</v>
      </c>
      <c r="M12" s="350">
        <v>0.72</v>
      </c>
      <c r="N12" s="350">
        <v>0.78</v>
      </c>
      <c r="O12" s="350">
        <v>0.8</v>
      </c>
      <c r="P12" s="350">
        <v>0.9</v>
      </c>
      <c r="Q12" s="350">
        <v>0.9</v>
      </c>
      <c r="R12" s="350">
        <v>0.9</v>
      </c>
      <c r="S12" s="350">
        <v>0.88</v>
      </c>
      <c r="T12" s="350">
        <v>0.77</v>
      </c>
      <c r="U12" s="350">
        <v>0.7</v>
      </c>
      <c r="V12" s="350">
        <v>0.72</v>
      </c>
      <c r="W12" s="350">
        <v>0.8</v>
      </c>
      <c r="X12" s="350">
        <v>0.9</v>
      </c>
      <c r="Y12" s="350">
        <v>0.9</v>
      </c>
      <c r="Z12" s="350">
        <v>0.9</v>
      </c>
      <c r="AA12" s="350">
        <v>0.8</v>
      </c>
      <c r="AB12" s="350">
        <v>0.62</v>
      </c>
      <c r="AC12" s="345">
        <v>0.3</v>
      </c>
      <c r="AD12" s="156"/>
      <c r="AE12" s="156"/>
      <c r="AF12" s="156"/>
      <c r="AG12" s="156"/>
      <c r="AH12" s="156"/>
      <c r="AI12" s="156"/>
      <c r="AJ12" s="156"/>
      <c r="AK12" s="156"/>
      <c r="AM12" s="165"/>
    </row>
    <row r="13" spans="1:39" ht="38.4" customHeight="1" x14ac:dyDescent="0.3">
      <c r="A13" s="971" t="str">
        <f>A4</f>
        <v>Dining</v>
      </c>
      <c r="B13" s="922" t="s">
        <v>173</v>
      </c>
      <c r="C13" s="928" t="s">
        <v>536</v>
      </c>
      <c r="D13" s="931" t="s">
        <v>537</v>
      </c>
      <c r="E13" s="338" t="s">
        <v>529</v>
      </c>
      <c r="F13" s="339">
        <v>1</v>
      </c>
      <c r="G13" s="413">
        <v>0</v>
      </c>
      <c r="H13" s="413">
        <v>0</v>
      </c>
      <c r="I13" s="339">
        <v>0</v>
      </c>
      <c r="J13" s="413">
        <v>1</v>
      </c>
      <c r="K13" s="413">
        <v>1</v>
      </c>
      <c r="L13" s="339">
        <v>1</v>
      </c>
      <c r="M13" s="339">
        <v>1</v>
      </c>
      <c r="N13" s="339">
        <v>1</v>
      </c>
      <c r="O13" s="339">
        <v>1</v>
      </c>
      <c r="P13" s="339">
        <v>1</v>
      </c>
      <c r="Q13" s="339">
        <v>1</v>
      </c>
      <c r="R13" s="339">
        <v>1</v>
      </c>
      <c r="S13" s="339">
        <v>1</v>
      </c>
      <c r="T13" s="339">
        <v>1</v>
      </c>
      <c r="U13" s="339">
        <v>1</v>
      </c>
      <c r="V13" s="339">
        <v>1</v>
      </c>
      <c r="W13" s="339">
        <v>1</v>
      </c>
      <c r="X13" s="339">
        <v>1</v>
      </c>
      <c r="Y13" s="339">
        <v>1</v>
      </c>
      <c r="Z13" s="339">
        <v>1</v>
      </c>
      <c r="AA13" s="339">
        <v>1</v>
      </c>
      <c r="AB13" s="339">
        <v>1</v>
      </c>
      <c r="AC13" s="340">
        <v>1</v>
      </c>
      <c r="AD13" s="156"/>
      <c r="AE13" s="156"/>
      <c r="AF13" s="156"/>
      <c r="AG13" s="156"/>
      <c r="AH13" s="156"/>
      <c r="AI13" s="156"/>
      <c r="AJ13" s="156"/>
      <c r="AK13" s="156"/>
      <c r="AM13" s="165"/>
    </row>
    <row r="14" spans="1:39" ht="38.700000000000003" customHeight="1" x14ac:dyDescent="0.3">
      <c r="A14" s="972"/>
      <c r="B14" s="923"/>
      <c r="C14" s="929"/>
      <c r="D14" s="932"/>
      <c r="E14" s="341" t="s">
        <v>530</v>
      </c>
      <c r="F14" s="197">
        <v>1</v>
      </c>
      <c r="G14" s="417">
        <v>0</v>
      </c>
      <c r="H14" s="417">
        <v>0</v>
      </c>
      <c r="I14" s="197">
        <v>0</v>
      </c>
      <c r="J14" s="197">
        <v>0</v>
      </c>
      <c r="K14" s="418">
        <v>1</v>
      </c>
      <c r="L14" s="418">
        <v>1</v>
      </c>
      <c r="M14" s="418">
        <v>1</v>
      </c>
      <c r="N14" s="197">
        <v>1</v>
      </c>
      <c r="O14" s="197">
        <v>1</v>
      </c>
      <c r="P14" s="197">
        <v>1</v>
      </c>
      <c r="Q14" s="197">
        <v>1</v>
      </c>
      <c r="R14" s="197">
        <v>1</v>
      </c>
      <c r="S14" s="197">
        <v>1</v>
      </c>
      <c r="T14" s="197">
        <v>1</v>
      </c>
      <c r="U14" s="197">
        <v>1</v>
      </c>
      <c r="V14" s="197">
        <v>1</v>
      </c>
      <c r="W14" s="197">
        <v>1</v>
      </c>
      <c r="X14" s="197">
        <v>1</v>
      </c>
      <c r="Y14" s="197">
        <v>1</v>
      </c>
      <c r="Z14" s="197">
        <v>1</v>
      </c>
      <c r="AA14" s="197">
        <v>1</v>
      </c>
      <c r="AB14" s="197">
        <v>1</v>
      </c>
      <c r="AC14" s="342">
        <v>1</v>
      </c>
      <c r="AD14" s="156"/>
      <c r="AE14" s="156"/>
      <c r="AF14" s="156"/>
      <c r="AG14" s="156"/>
      <c r="AH14" s="156"/>
      <c r="AI14" s="156"/>
      <c r="AJ14" s="156"/>
      <c r="AK14" s="156"/>
      <c r="AM14" s="165"/>
    </row>
    <row r="15" spans="1:39" ht="38.4" customHeight="1" thickBot="1" x14ac:dyDescent="0.35">
      <c r="A15" s="973"/>
      <c r="B15" s="924"/>
      <c r="C15" s="930"/>
      <c r="D15" s="933"/>
      <c r="E15" s="343" t="s">
        <v>531</v>
      </c>
      <c r="F15" s="344">
        <v>1</v>
      </c>
      <c r="G15" s="420">
        <v>0</v>
      </c>
      <c r="H15" s="420">
        <v>0</v>
      </c>
      <c r="I15" s="344">
        <v>0</v>
      </c>
      <c r="J15" s="344">
        <v>0</v>
      </c>
      <c r="K15" s="421">
        <v>1</v>
      </c>
      <c r="L15" s="421">
        <v>1</v>
      </c>
      <c r="M15" s="421">
        <v>1</v>
      </c>
      <c r="N15" s="421">
        <v>1</v>
      </c>
      <c r="O15" s="344">
        <v>1</v>
      </c>
      <c r="P15" s="344">
        <v>1</v>
      </c>
      <c r="Q15" s="344">
        <v>1</v>
      </c>
      <c r="R15" s="344">
        <v>1</v>
      </c>
      <c r="S15" s="344">
        <v>1</v>
      </c>
      <c r="T15" s="344">
        <v>1</v>
      </c>
      <c r="U15" s="344">
        <v>1</v>
      </c>
      <c r="V15" s="344">
        <v>1</v>
      </c>
      <c r="W15" s="344">
        <v>1</v>
      </c>
      <c r="X15" s="344">
        <v>1</v>
      </c>
      <c r="Y15" s="344">
        <v>1</v>
      </c>
      <c r="Z15" s="344">
        <v>1</v>
      </c>
      <c r="AA15" s="344">
        <v>1</v>
      </c>
      <c r="AB15" s="344">
        <v>1</v>
      </c>
      <c r="AC15" s="345">
        <v>1</v>
      </c>
      <c r="AD15" s="156"/>
      <c r="AE15" s="156"/>
      <c r="AF15" s="156"/>
      <c r="AG15" s="156"/>
      <c r="AH15" s="156"/>
      <c r="AI15" s="156"/>
      <c r="AJ15" s="156"/>
      <c r="AK15" s="156"/>
      <c r="AM15" s="165"/>
    </row>
    <row r="16" spans="1:39" ht="38.700000000000003" customHeight="1" x14ac:dyDescent="0.3">
      <c r="A16" s="971" t="str">
        <f>A7</f>
        <v>Dining</v>
      </c>
      <c r="B16" s="922" t="s">
        <v>173</v>
      </c>
      <c r="C16" s="928" t="s">
        <v>538</v>
      </c>
      <c r="D16" s="925" t="s">
        <v>539</v>
      </c>
      <c r="E16" s="205" t="s">
        <v>529</v>
      </c>
      <c r="F16" s="206">
        <v>0.2</v>
      </c>
      <c r="G16" s="417">
        <v>0</v>
      </c>
      <c r="H16" s="417">
        <v>0</v>
      </c>
      <c r="I16" s="206">
        <v>0</v>
      </c>
      <c r="J16" s="206">
        <v>0</v>
      </c>
      <c r="K16" s="417">
        <v>0.3</v>
      </c>
      <c r="L16" s="417">
        <v>0.3</v>
      </c>
      <c r="M16" s="206">
        <v>0.6</v>
      </c>
      <c r="N16" s="206">
        <v>0.55000000000000004</v>
      </c>
      <c r="O16" s="206">
        <v>0.45</v>
      </c>
      <c r="P16" s="206">
        <v>0.4</v>
      </c>
      <c r="Q16" s="206">
        <v>0.45</v>
      </c>
      <c r="R16" s="206">
        <v>0.4</v>
      </c>
      <c r="S16" s="206">
        <v>0.35</v>
      </c>
      <c r="T16" s="206">
        <v>0.3</v>
      </c>
      <c r="U16" s="206">
        <v>0.3</v>
      </c>
      <c r="V16" s="206">
        <v>0.3</v>
      </c>
      <c r="W16" s="206">
        <v>0.4</v>
      </c>
      <c r="X16" s="206">
        <v>0.55000000000000004</v>
      </c>
      <c r="Y16" s="206">
        <v>0.6</v>
      </c>
      <c r="Z16" s="206">
        <v>0.5</v>
      </c>
      <c r="AA16" s="206">
        <v>0.55000000000000004</v>
      </c>
      <c r="AB16" s="206">
        <v>0.45</v>
      </c>
      <c r="AC16" s="207">
        <v>0.25</v>
      </c>
      <c r="AD16" s="156"/>
      <c r="AE16" s="156"/>
      <c r="AF16" s="156"/>
      <c r="AG16" s="156"/>
      <c r="AH16" s="156"/>
      <c r="AI16" s="156"/>
      <c r="AJ16" s="156"/>
      <c r="AK16" s="156"/>
      <c r="AM16" s="165"/>
    </row>
    <row r="17" spans="1:39" ht="38.700000000000003" customHeight="1" x14ac:dyDescent="0.3">
      <c r="A17" s="972"/>
      <c r="B17" s="923"/>
      <c r="C17" s="929"/>
      <c r="D17" s="926"/>
      <c r="E17" s="196" t="s">
        <v>530</v>
      </c>
      <c r="F17" s="197">
        <v>0.2</v>
      </c>
      <c r="G17" s="418">
        <v>0</v>
      </c>
      <c r="H17" s="418">
        <v>0</v>
      </c>
      <c r="I17" s="197">
        <v>0</v>
      </c>
      <c r="J17" s="197">
        <v>0</v>
      </c>
      <c r="K17" s="197">
        <v>0</v>
      </c>
      <c r="L17" s="418">
        <v>0.3</v>
      </c>
      <c r="M17" s="418">
        <v>0.3</v>
      </c>
      <c r="N17" s="418">
        <v>0.3</v>
      </c>
      <c r="O17" s="197">
        <v>0.5</v>
      </c>
      <c r="P17" s="197">
        <v>0.45</v>
      </c>
      <c r="Q17" s="197">
        <v>0.5</v>
      </c>
      <c r="R17" s="197">
        <v>0.5</v>
      </c>
      <c r="S17" s="197">
        <v>0.45</v>
      </c>
      <c r="T17" s="197">
        <v>0.4</v>
      </c>
      <c r="U17" s="197">
        <v>0.4</v>
      </c>
      <c r="V17" s="197">
        <v>0.35</v>
      </c>
      <c r="W17" s="197">
        <v>0.4</v>
      </c>
      <c r="X17" s="197">
        <v>0.55000000000000004</v>
      </c>
      <c r="Y17" s="197">
        <v>0.55000000000000004</v>
      </c>
      <c r="Z17" s="197">
        <v>0.5</v>
      </c>
      <c r="AA17" s="197">
        <v>0.55000000000000004</v>
      </c>
      <c r="AB17" s="197">
        <v>0.4</v>
      </c>
      <c r="AC17" s="198">
        <v>0.3</v>
      </c>
      <c r="AD17" s="156"/>
      <c r="AE17" s="156"/>
      <c r="AF17" s="156"/>
      <c r="AG17" s="156"/>
      <c r="AH17" s="156"/>
      <c r="AI17" s="156"/>
      <c r="AJ17" s="156"/>
      <c r="AK17" s="156"/>
      <c r="AM17" s="165"/>
    </row>
    <row r="18" spans="1:39" ht="38.700000000000003" customHeight="1" thickBot="1" x14ac:dyDescent="0.35">
      <c r="A18" s="973"/>
      <c r="B18" s="924"/>
      <c r="C18" s="930"/>
      <c r="D18" s="927"/>
      <c r="E18" s="199" t="s">
        <v>531</v>
      </c>
      <c r="F18" s="200">
        <v>0.25</v>
      </c>
      <c r="G18" s="419">
        <v>0</v>
      </c>
      <c r="H18" s="419">
        <v>0</v>
      </c>
      <c r="I18" s="200">
        <v>0</v>
      </c>
      <c r="J18" s="200">
        <v>0</v>
      </c>
      <c r="K18" s="200">
        <v>0</v>
      </c>
      <c r="L18" s="418">
        <v>0.3</v>
      </c>
      <c r="M18" s="418">
        <v>0.3</v>
      </c>
      <c r="N18" s="418">
        <v>0.3</v>
      </c>
      <c r="O18" s="419">
        <v>0.5</v>
      </c>
      <c r="P18" s="200">
        <v>0.5</v>
      </c>
      <c r="Q18" s="200">
        <v>0.5</v>
      </c>
      <c r="R18" s="200">
        <v>0.4</v>
      </c>
      <c r="S18" s="200">
        <v>0.4</v>
      </c>
      <c r="T18" s="200">
        <v>0.3</v>
      </c>
      <c r="U18" s="200">
        <v>0.3</v>
      </c>
      <c r="V18" s="200">
        <v>0.3</v>
      </c>
      <c r="W18" s="200">
        <v>0.4</v>
      </c>
      <c r="X18" s="200">
        <v>0.5</v>
      </c>
      <c r="Y18" s="200">
        <v>0.5</v>
      </c>
      <c r="Z18" s="200">
        <v>0.4</v>
      </c>
      <c r="AA18" s="200">
        <v>0.5</v>
      </c>
      <c r="AB18" s="200">
        <v>0.4</v>
      </c>
      <c r="AC18" s="201">
        <v>0.2</v>
      </c>
      <c r="AD18" s="156"/>
      <c r="AE18" s="156"/>
      <c r="AF18" s="156"/>
      <c r="AG18" s="156"/>
      <c r="AH18" s="156"/>
      <c r="AI18" s="156"/>
      <c r="AJ18" s="156"/>
      <c r="AK18" s="156"/>
      <c r="AM18" s="165"/>
    </row>
    <row r="19" spans="1:39" ht="38.700000000000003" customHeight="1" x14ac:dyDescent="0.3">
      <c r="A19" s="971" t="str">
        <f>A4</f>
        <v>Dining</v>
      </c>
      <c r="B19" s="922" t="s">
        <v>173</v>
      </c>
      <c r="C19" s="928" t="s">
        <v>241</v>
      </c>
      <c r="D19" s="931" t="s">
        <v>540</v>
      </c>
      <c r="E19" s="338" t="s">
        <v>529</v>
      </c>
      <c r="F19" s="413">
        <v>0.25</v>
      </c>
      <c r="G19" s="413">
        <v>0</v>
      </c>
      <c r="H19" s="413">
        <v>0</v>
      </c>
      <c r="I19" s="339">
        <v>1</v>
      </c>
      <c r="J19" s="413">
        <v>0.25</v>
      </c>
      <c r="K19" s="422">
        <v>0.25</v>
      </c>
      <c r="L19" s="412">
        <v>0.25</v>
      </c>
      <c r="M19" s="412">
        <v>0.25</v>
      </c>
      <c r="N19" s="412">
        <v>0.25</v>
      </c>
      <c r="O19" s="339">
        <v>0.25</v>
      </c>
      <c r="P19" s="339">
        <v>0.25</v>
      </c>
      <c r="Q19" s="339">
        <v>0.25</v>
      </c>
      <c r="R19" s="339">
        <v>0.25</v>
      </c>
      <c r="S19" s="339">
        <v>0.25</v>
      </c>
      <c r="T19" s="339">
        <v>0.25</v>
      </c>
      <c r="U19" s="339">
        <v>0.25</v>
      </c>
      <c r="V19" s="413">
        <v>0.25</v>
      </c>
      <c r="W19" s="339">
        <v>0.25</v>
      </c>
      <c r="X19" s="339">
        <v>0.25</v>
      </c>
      <c r="Y19" s="339">
        <v>0.25</v>
      </c>
      <c r="Z19" s="339">
        <v>0.25</v>
      </c>
      <c r="AA19" s="339">
        <v>0.25</v>
      </c>
      <c r="AB19" s="339">
        <v>0.25</v>
      </c>
      <c r="AC19" s="340">
        <v>0.25</v>
      </c>
      <c r="AD19" s="156"/>
      <c r="AE19" s="156"/>
      <c r="AF19" s="156"/>
      <c r="AG19" s="156"/>
      <c r="AH19" s="156"/>
      <c r="AI19" s="156"/>
      <c r="AJ19" s="156"/>
      <c r="AK19" s="156"/>
      <c r="AM19" s="165"/>
    </row>
    <row r="20" spans="1:39" ht="38.700000000000003" customHeight="1" x14ac:dyDescent="0.3">
      <c r="A20" s="972"/>
      <c r="B20" s="923"/>
      <c r="C20" s="929"/>
      <c r="D20" s="932"/>
      <c r="E20" s="341" t="s">
        <v>530</v>
      </c>
      <c r="F20" s="418">
        <v>0.25</v>
      </c>
      <c r="G20" s="418">
        <v>0</v>
      </c>
      <c r="H20" s="197">
        <v>0</v>
      </c>
      <c r="I20" s="197">
        <v>1</v>
      </c>
      <c r="J20" s="197">
        <v>1</v>
      </c>
      <c r="K20" s="418">
        <v>0.25</v>
      </c>
      <c r="L20" s="418">
        <v>0.25</v>
      </c>
      <c r="M20" s="418">
        <v>0.25</v>
      </c>
      <c r="N20" s="197">
        <v>0.25</v>
      </c>
      <c r="O20" s="197">
        <v>0.25</v>
      </c>
      <c r="P20" s="197">
        <v>0.25</v>
      </c>
      <c r="Q20" s="197">
        <v>0.25</v>
      </c>
      <c r="R20" s="197">
        <v>0.25</v>
      </c>
      <c r="S20" s="197">
        <v>0.25</v>
      </c>
      <c r="T20" s="197">
        <v>0.25</v>
      </c>
      <c r="U20" s="197">
        <v>0.25</v>
      </c>
      <c r="V20" s="197">
        <v>0.25</v>
      </c>
      <c r="W20" s="197">
        <v>0.25</v>
      </c>
      <c r="X20" s="197">
        <v>0.25</v>
      </c>
      <c r="Y20" s="197">
        <v>0.25</v>
      </c>
      <c r="Z20" s="197">
        <v>0.25</v>
      </c>
      <c r="AA20" s="197">
        <v>0.25</v>
      </c>
      <c r="AB20" s="197">
        <v>0.25</v>
      </c>
      <c r="AC20" s="342">
        <v>0.25</v>
      </c>
      <c r="AD20" s="156"/>
      <c r="AE20" s="156"/>
      <c r="AF20" s="156"/>
      <c r="AG20" s="156"/>
      <c r="AH20" s="156"/>
      <c r="AI20" s="156"/>
      <c r="AJ20" s="156"/>
      <c r="AK20" s="156"/>
      <c r="AM20" s="165"/>
    </row>
    <row r="21" spans="1:39" ht="38.700000000000003" customHeight="1" thickBot="1" x14ac:dyDescent="0.35">
      <c r="A21" s="973"/>
      <c r="B21" s="924"/>
      <c r="C21" s="930"/>
      <c r="D21" s="933"/>
      <c r="E21" s="343" t="s">
        <v>531</v>
      </c>
      <c r="F21" s="421">
        <v>0.25</v>
      </c>
      <c r="G21" s="421">
        <v>0</v>
      </c>
      <c r="H21" s="421">
        <v>0</v>
      </c>
      <c r="I21" s="344">
        <v>1</v>
      </c>
      <c r="J21" s="344">
        <v>1</v>
      </c>
      <c r="K21" s="420">
        <v>0.25</v>
      </c>
      <c r="L21" s="420">
        <v>0.25</v>
      </c>
      <c r="M21" s="420">
        <v>0.25</v>
      </c>
      <c r="N21" s="420">
        <v>0.25</v>
      </c>
      <c r="O21" s="344">
        <v>0.25</v>
      </c>
      <c r="P21" s="344">
        <v>0.25</v>
      </c>
      <c r="Q21" s="344">
        <v>0.25</v>
      </c>
      <c r="R21" s="344">
        <v>0.25</v>
      </c>
      <c r="S21" s="344">
        <v>0.25</v>
      </c>
      <c r="T21" s="344">
        <v>0.25</v>
      </c>
      <c r="U21" s="344">
        <v>0.25</v>
      </c>
      <c r="V21" s="344">
        <v>0.25</v>
      </c>
      <c r="W21" s="344">
        <v>0.25</v>
      </c>
      <c r="X21" s="344">
        <v>0.25</v>
      </c>
      <c r="Y21" s="344">
        <v>0.25</v>
      </c>
      <c r="Z21" s="344">
        <v>0.25</v>
      </c>
      <c r="AA21" s="344">
        <v>0.25</v>
      </c>
      <c r="AB21" s="344">
        <v>0.25</v>
      </c>
      <c r="AC21" s="345">
        <v>0.25</v>
      </c>
      <c r="AD21" s="156"/>
      <c r="AE21" s="156"/>
      <c r="AF21" s="156"/>
      <c r="AG21" s="156"/>
      <c r="AH21" s="156"/>
      <c r="AI21" s="156"/>
      <c r="AJ21" s="156"/>
      <c r="AK21" s="156"/>
      <c r="AM21" s="165"/>
    </row>
    <row r="22" spans="1:39" ht="38.700000000000003" customHeight="1" x14ac:dyDescent="0.3">
      <c r="A22" s="959" t="s">
        <v>96</v>
      </c>
      <c r="B22" s="922" t="s">
        <v>173</v>
      </c>
      <c r="C22" s="944" t="s">
        <v>541</v>
      </c>
      <c r="D22" s="925" t="s">
        <v>542</v>
      </c>
      <c r="E22" s="208" t="s">
        <v>529</v>
      </c>
      <c r="F22" s="209">
        <v>0.9</v>
      </c>
      <c r="G22" s="209">
        <v>0.9</v>
      </c>
      <c r="H22" s="209">
        <v>0.9</v>
      </c>
      <c r="I22" s="209">
        <v>0.9</v>
      </c>
      <c r="J22" s="209">
        <v>0.9</v>
      </c>
      <c r="K22" s="209">
        <v>0.9</v>
      </c>
      <c r="L22" s="209">
        <v>0.9</v>
      </c>
      <c r="M22" s="209">
        <v>0.9</v>
      </c>
      <c r="N22" s="209">
        <v>0.9</v>
      </c>
      <c r="O22" s="209">
        <v>0.9</v>
      </c>
      <c r="P22" s="209">
        <v>0.9</v>
      </c>
      <c r="Q22" s="209">
        <v>0.9</v>
      </c>
      <c r="R22" s="209">
        <v>0.9</v>
      </c>
      <c r="S22" s="209">
        <v>0.9</v>
      </c>
      <c r="T22" s="209">
        <v>0.9</v>
      </c>
      <c r="U22" s="209">
        <v>0.9</v>
      </c>
      <c r="V22" s="209">
        <v>0.9</v>
      </c>
      <c r="W22" s="209">
        <v>0.9</v>
      </c>
      <c r="X22" s="209">
        <v>0.9</v>
      </c>
      <c r="Y22" s="209">
        <v>0.9</v>
      </c>
      <c r="Z22" s="209">
        <v>0.9</v>
      </c>
      <c r="AA22" s="209">
        <v>0.9</v>
      </c>
      <c r="AB22" s="209">
        <v>0.9</v>
      </c>
      <c r="AC22" s="210">
        <v>0.9</v>
      </c>
      <c r="AD22" s="156"/>
      <c r="AE22" s="156"/>
      <c r="AF22" s="156"/>
      <c r="AG22" s="156"/>
      <c r="AH22" s="156"/>
      <c r="AI22" s="156"/>
      <c r="AJ22" s="156"/>
      <c r="AK22" s="156"/>
      <c r="AM22" s="165"/>
    </row>
    <row r="23" spans="1:39" ht="38.700000000000003" customHeight="1" x14ac:dyDescent="0.3">
      <c r="A23" s="948"/>
      <c r="B23" s="923"/>
      <c r="C23" s="945"/>
      <c r="D23" s="926"/>
      <c r="E23" s="211" t="s">
        <v>530</v>
      </c>
      <c r="F23" s="212">
        <v>0.9</v>
      </c>
      <c r="G23" s="212">
        <v>0.9</v>
      </c>
      <c r="H23" s="212">
        <v>0.9</v>
      </c>
      <c r="I23" s="212">
        <v>0.9</v>
      </c>
      <c r="J23" s="212">
        <v>0.9</v>
      </c>
      <c r="K23" s="212">
        <v>0.9</v>
      </c>
      <c r="L23" s="212">
        <v>0.9</v>
      </c>
      <c r="M23" s="212">
        <v>0.9</v>
      </c>
      <c r="N23" s="212">
        <v>0.9</v>
      </c>
      <c r="O23" s="212">
        <v>0.9</v>
      </c>
      <c r="P23" s="212">
        <v>0.9</v>
      </c>
      <c r="Q23" s="212">
        <v>0.9</v>
      </c>
      <c r="R23" s="212">
        <v>0.9</v>
      </c>
      <c r="S23" s="212">
        <v>0.9</v>
      </c>
      <c r="T23" s="212">
        <v>0.9</v>
      </c>
      <c r="U23" s="212">
        <v>0.9</v>
      </c>
      <c r="V23" s="212">
        <v>0.9</v>
      </c>
      <c r="W23" s="212">
        <v>0.9</v>
      </c>
      <c r="X23" s="212">
        <v>0.9</v>
      </c>
      <c r="Y23" s="212">
        <v>0.9</v>
      </c>
      <c r="Z23" s="212">
        <v>0.9</v>
      </c>
      <c r="AA23" s="212">
        <v>0.9</v>
      </c>
      <c r="AB23" s="212">
        <v>0.9</v>
      </c>
      <c r="AC23" s="213">
        <v>0.9</v>
      </c>
      <c r="AD23" s="156"/>
      <c r="AE23" s="156"/>
      <c r="AF23" s="156"/>
      <c r="AG23" s="156"/>
      <c r="AH23" s="156"/>
      <c r="AI23" s="156"/>
      <c r="AJ23" s="156"/>
      <c r="AK23" s="156"/>
      <c r="AM23" s="165"/>
    </row>
    <row r="24" spans="1:39" ht="38.700000000000003" customHeight="1" thickBot="1" x14ac:dyDescent="0.35">
      <c r="A24" s="949"/>
      <c r="B24" s="924"/>
      <c r="C24" s="951"/>
      <c r="D24" s="927"/>
      <c r="E24" s="217" t="s">
        <v>531</v>
      </c>
      <c r="F24" s="218">
        <v>0.9</v>
      </c>
      <c r="G24" s="218">
        <v>0.9</v>
      </c>
      <c r="H24" s="218">
        <v>0.9</v>
      </c>
      <c r="I24" s="218">
        <v>0.9</v>
      </c>
      <c r="J24" s="218">
        <v>0.9</v>
      </c>
      <c r="K24" s="218">
        <v>0.9</v>
      </c>
      <c r="L24" s="218">
        <v>0.9</v>
      </c>
      <c r="M24" s="218">
        <v>0.9</v>
      </c>
      <c r="N24" s="218">
        <v>0.9</v>
      </c>
      <c r="O24" s="218">
        <v>0.9</v>
      </c>
      <c r="P24" s="218">
        <v>0.9</v>
      </c>
      <c r="Q24" s="218">
        <v>0.9</v>
      </c>
      <c r="R24" s="218">
        <v>0.9</v>
      </c>
      <c r="S24" s="218">
        <v>0.9</v>
      </c>
      <c r="T24" s="218">
        <v>0.9</v>
      </c>
      <c r="U24" s="218">
        <v>0.9</v>
      </c>
      <c r="V24" s="218">
        <v>0.9</v>
      </c>
      <c r="W24" s="218">
        <v>0.9</v>
      </c>
      <c r="X24" s="218">
        <v>0.9</v>
      </c>
      <c r="Y24" s="218">
        <v>0.9</v>
      </c>
      <c r="Z24" s="218">
        <v>0.9</v>
      </c>
      <c r="AA24" s="218">
        <v>0.9</v>
      </c>
      <c r="AB24" s="218">
        <v>0.9</v>
      </c>
      <c r="AC24" s="219">
        <v>0.9</v>
      </c>
      <c r="AD24" s="156"/>
      <c r="AE24" s="156"/>
      <c r="AF24" s="156"/>
      <c r="AG24" s="156"/>
      <c r="AH24" s="156"/>
      <c r="AI24" s="156"/>
      <c r="AJ24" s="156"/>
      <c r="AK24" s="156"/>
      <c r="AM24" s="165"/>
    </row>
    <row r="25" spans="1:39" ht="38.700000000000003" customHeight="1" x14ac:dyDescent="0.3">
      <c r="A25" s="983" t="str">
        <f>A4</f>
        <v>Dining</v>
      </c>
      <c r="B25" s="986" t="str">
        <f>B16</f>
        <v>Restaurant</v>
      </c>
      <c r="C25" s="987" t="s">
        <v>543</v>
      </c>
      <c r="D25" s="988" t="s">
        <v>542</v>
      </c>
      <c r="E25" s="520" t="s">
        <v>529</v>
      </c>
      <c r="F25" s="521">
        <f>IF(F13=1,Thermostat!$C$3,Thermostat!$C$4)</f>
        <v>70</v>
      </c>
      <c r="G25" s="521">
        <f>IF(G13=1,Thermostat!$C$3,Thermostat!$C$4)</f>
        <v>60</v>
      </c>
      <c r="H25" s="521">
        <f>IF(H13=1,Thermostat!$C$3,Thermostat!$C$4)</f>
        <v>60</v>
      </c>
      <c r="I25" s="521">
        <f>IF(I13=1,Thermostat!$C$3,Thermostat!$C$4)</f>
        <v>60</v>
      </c>
      <c r="J25" s="521">
        <f>IF(J13=1,Thermostat!$C$3,Thermostat!$C$4)</f>
        <v>70</v>
      </c>
      <c r="K25" s="521">
        <f>IF(K13=1,Thermostat!$C$3,Thermostat!$C$4)</f>
        <v>70</v>
      </c>
      <c r="L25" s="521">
        <f>IF(L13=1,Thermostat!$C$3,Thermostat!$C$4)</f>
        <v>70</v>
      </c>
      <c r="M25" s="521">
        <f>IF(M13=1,Thermostat!$C$3,Thermostat!$C$4)</f>
        <v>70</v>
      </c>
      <c r="N25" s="521">
        <f>IF(N13=1,Thermostat!$C$3,Thermostat!$C$4)</f>
        <v>70</v>
      </c>
      <c r="O25" s="521">
        <f>IF(O13=1,Thermostat!$C$3,Thermostat!$C$4)</f>
        <v>70</v>
      </c>
      <c r="P25" s="521">
        <f>IF(P13=1,Thermostat!$C$3,Thermostat!$C$4)</f>
        <v>70</v>
      </c>
      <c r="Q25" s="521">
        <f>IF(Q13=1,Thermostat!$C$3,Thermostat!$C$4)</f>
        <v>70</v>
      </c>
      <c r="R25" s="521">
        <f>IF(R13=1,Thermostat!$C$3,Thermostat!$C$4)</f>
        <v>70</v>
      </c>
      <c r="S25" s="521">
        <f>IF(S13=1,Thermostat!$C$3,Thermostat!$C$4)</f>
        <v>70</v>
      </c>
      <c r="T25" s="521">
        <f>IF(T13=1,Thermostat!$C$3,Thermostat!$C$4)</f>
        <v>70</v>
      </c>
      <c r="U25" s="521">
        <f>IF(U13=1,Thermostat!$C$3,Thermostat!$C$4)</f>
        <v>70</v>
      </c>
      <c r="V25" s="521">
        <f>IF(V13=1,Thermostat!$C$3,Thermostat!$C$4)</f>
        <v>70</v>
      </c>
      <c r="W25" s="521">
        <f>IF(W13=1,Thermostat!$C$3,Thermostat!$C$4)</f>
        <v>70</v>
      </c>
      <c r="X25" s="521">
        <f>IF(X13=1,Thermostat!$C$3,Thermostat!$C$4)</f>
        <v>70</v>
      </c>
      <c r="Y25" s="521">
        <f>IF(Y13=1,Thermostat!$C$3,Thermostat!$C$4)</f>
        <v>70</v>
      </c>
      <c r="Z25" s="521">
        <f>IF(Z13=1,Thermostat!$C$3,Thermostat!$C$4)</f>
        <v>70</v>
      </c>
      <c r="AA25" s="521">
        <f>IF(AA13=1,Thermostat!$C$3,Thermostat!$C$4)</f>
        <v>70</v>
      </c>
      <c r="AB25" s="521">
        <f>IF(AB13=1,Thermostat!$C$3,Thermostat!$C$4)</f>
        <v>70</v>
      </c>
      <c r="AC25" s="522">
        <f>IF(AC13=1,Thermostat!$C$3,Thermostat!$C$4)</f>
        <v>70</v>
      </c>
      <c r="AD25" s="156"/>
      <c r="AE25" s="156"/>
      <c r="AF25" s="156"/>
      <c r="AG25" s="156"/>
      <c r="AH25" s="156"/>
      <c r="AI25" s="156"/>
      <c r="AJ25" s="156"/>
      <c r="AK25" s="156"/>
      <c r="AM25" s="165"/>
    </row>
    <row r="26" spans="1:39" ht="38.700000000000003" customHeight="1" x14ac:dyDescent="0.3">
      <c r="A26" s="984"/>
      <c r="B26" s="966"/>
      <c r="C26" s="969"/>
      <c r="D26" s="989"/>
      <c r="E26" s="523" t="s">
        <v>530</v>
      </c>
      <c r="F26" s="524">
        <f>IF(F14=1,Thermostat!$C$3,Thermostat!$C$4)</f>
        <v>70</v>
      </c>
      <c r="G26" s="524">
        <f>IF(G14=1,Thermostat!$C$3,Thermostat!$C$4)</f>
        <v>60</v>
      </c>
      <c r="H26" s="524">
        <f>IF(H14=1,Thermostat!$C$3,Thermostat!$C$4)</f>
        <v>60</v>
      </c>
      <c r="I26" s="524">
        <f>IF(I14=1,Thermostat!$C$3,Thermostat!$C$4)</f>
        <v>60</v>
      </c>
      <c r="J26" s="524">
        <f>IF(J14=1,Thermostat!$C$3,Thermostat!$C$4)</f>
        <v>60</v>
      </c>
      <c r="K26" s="524">
        <f>IF(K14=1,Thermostat!$C$3,Thermostat!$C$4)</f>
        <v>70</v>
      </c>
      <c r="L26" s="524">
        <f>IF(L14=1,Thermostat!$C$3,Thermostat!$C$4)</f>
        <v>70</v>
      </c>
      <c r="M26" s="524">
        <f>IF(M14=1,Thermostat!$C$3,Thermostat!$C$4)</f>
        <v>70</v>
      </c>
      <c r="N26" s="524">
        <f>IF(N14=1,Thermostat!$C$3,Thermostat!$C$4)</f>
        <v>70</v>
      </c>
      <c r="O26" s="524">
        <f>IF(O14=1,Thermostat!$C$3,Thermostat!$C$4)</f>
        <v>70</v>
      </c>
      <c r="P26" s="524">
        <f>IF(P14=1,Thermostat!$C$3,Thermostat!$C$4)</f>
        <v>70</v>
      </c>
      <c r="Q26" s="524">
        <f>IF(Q14=1,Thermostat!$C$3,Thermostat!$C$4)</f>
        <v>70</v>
      </c>
      <c r="R26" s="524">
        <f>IF(R14=1,Thermostat!$C$3,Thermostat!$C$4)</f>
        <v>70</v>
      </c>
      <c r="S26" s="524">
        <f>IF(S14=1,Thermostat!$C$3,Thermostat!$C$4)</f>
        <v>70</v>
      </c>
      <c r="T26" s="524">
        <f>IF(T14=1,Thermostat!$C$3,Thermostat!$C$4)</f>
        <v>70</v>
      </c>
      <c r="U26" s="524">
        <f>IF(U14=1,Thermostat!$C$3,Thermostat!$C$4)</f>
        <v>70</v>
      </c>
      <c r="V26" s="524">
        <f>IF(V14=1,Thermostat!$C$3,Thermostat!$C$4)</f>
        <v>70</v>
      </c>
      <c r="W26" s="524">
        <f>IF(W14=1,Thermostat!$C$3,Thermostat!$C$4)</f>
        <v>70</v>
      </c>
      <c r="X26" s="524">
        <f>IF(X14=1,Thermostat!$C$3,Thermostat!$C$4)</f>
        <v>70</v>
      </c>
      <c r="Y26" s="524">
        <f>IF(Y14=1,Thermostat!$C$3,Thermostat!$C$4)</f>
        <v>70</v>
      </c>
      <c r="Z26" s="524">
        <f>IF(Z14=1,Thermostat!$C$3,Thermostat!$C$4)</f>
        <v>70</v>
      </c>
      <c r="AA26" s="524">
        <f>IF(AA14=1,Thermostat!$C$3,Thermostat!$C$4)</f>
        <v>70</v>
      </c>
      <c r="AB26" s="524">
        <f>IF(AB14=1,Thermostat!$C$3,Thermostat!$C$4)</f>
        <v>70</v>
      </c>
      <c r="AC26" s="525">
        <f>IF(AC14=1,Thermostat!$C$3,Thermostat!$C$4)</f>
        <v>70</v>
      </c>
      <c r="AD26" s="156"/>
      <c r="AE26" s="156"/>
      <c r="AF26" s="156"/>
      <c r="AG26" s="156"/>
      <c r="AH26" s="156"/>
      <c r="AI26" s="156"/>
      <c r="AJ26" s="156"/>
      <c r="AK26" s="156"/>
      <c r="AM26" s="165"/>
    </row>
    <row r="27" spans="1:39" ht="38.700000000000003" customHeight="1" thickBot="1" x14ac:dyDescent="0.35">
      <c r="A27" s="985"/>
      <c r="B27" s="976"/>
      <c r="C27" s="977"/>
      <c r="D27" s="990"/>
      <c r="E27" s="526" t="s">
        <v>531</v>
      </c>
      <c r="F27" s="524">
        <f>IF(F15=1,Thermostat!$C$3,Thermostat!$C$4)</f>
        <v>70</v>
      </c>
      <c r="G27" s="524">
        <f>IF(G15=1,Thermostat!$C$3,Thermostat!$C$4)</f>
        <v>60</v>
      </c>
      <c r="H27" s="524">
        <f>IF(H15=1,Thermostat!$C$3,Thermostat!$C$4)</f>
        <v>60</v>
      </c>
      <c r="I27" s="524">
        <f>IF(I15=1,Thermostat!$C$3,Thermostat!$C$4)</f>
        <v>60</v>
      </c>
      <c r="J27" s="524">
        <f>IF(J15=1,Thermostat!$C$3,Thermostat!$C$4)</f>
        <v>60</v>
      </c>
      <c r="K27" s="524">
        <f>IF(K15=1,Thermostat!$C$3,Thermostat!$C$4)</f>
        <v>70</v>
      </c>
      <c r="L27" s="524">
        <f>IF(L15=1,Thermostat!$C$3,Thermostat!$C$4)</f>
        <v>70</v>
      </c>
      <c r="M27" s="524">
        <f>IF(M15=1,Thermostat!$C$3,Thermostat!$C$4)</f>
        <v>70</v>
      </c>
      <c r="N27" s="524">
        <f>IF(N15=1,Thermostat!$C$3,Thermostat!$C$4)</f>
        <v>70</v>
      </c>
      <c r="O27" s="524">
        <f>IF(O15=1,Thermostat!$C$3,Thermostat!$C$4)</f>
        <v>70</v>
      </c>
      <c r="P27" s="524">
        <f>IF(P15=1,Thermostat!$C$3,Thermostat!$C$4)</f>
        <v>70</v>
      </c>
      <c r="Q27" s="524">
        <f>IF(Q15=1,Thermostat!$C$3,Thermostat!$C$4)</f>
        <v>70</v>
      </c>
      <c r="R27" s="524">
        <f>IF(R15=1,Thermostat!$C$3,Thermostat!$C$4)</f>
        <v>70</v>
      </c>
      <c r="S27" s="524">
        <f>IF(S15=1,Thermostat!$C$3,Thermostat!$C$4)</f>
        <v>70</v>
      </c>
      <c r="T27" s="524">
        <f>IF(T15=1,Thermostat!$C$3,Thermostat!$C$4)</f>
        <v>70</v>
      </c>
      <c r="U27" s="524">
        <f>IF(U15=1,Thermostat!$C$3,Thermostat!$C$4)</f>
        <v>70</v>
      </c>
      <c r="V27" s="524">
        <f>IF(V15=1,Thermostat!$C$3,Thermostat!$C$4)</f>
        <v>70</v>
      </c>
      <c r="W27" s="524">
        <f>IF(W15=1,Thermostat!$C$3,Thermostat!$C$4)</f>
        <v>70</v>
      </c>
      <c r="X27" s="524">
        <f>IF(X15=1,Thermostat!$C$3,Thermostat!$C$4)</f>
        <v>70</v>
      </c>
      <c r="Y27" s="524">
        <f>IF(Y15=1,Thermostat!$C$3,Thermostat!$C$4)</f>
        <v>70</v>
      </c>
      <c r="Z27" s="524">
        <f>IF(Z15=1,Thermostat!$C$3,Thermostat!$C$4)</f>
        <v>70</v>
      </c>
      <c r="AA27" s="524">
        <f>IF(AA15=1,Thermostat!$C$3,Thermostat!$C$4)</f>
        <v>70</v>
      </c>
      <c r="AB27" s="524">
        <f>IF(AB15=1,Thermostat!$C$3,Thermostat!$C$4)</f>
        <v>70</v>
      </c>
      <c r="AC27" s="525">
        <f>IF(AC15=1,Thermostat!$C$3,Thermostat!$C$4)</f>
        <v>70</v>
      </c>
      <c r="AD27" s="156"/>
      <c r="AE27" s="156"/>
      <c r="AF27" s="156"/>
      <c r="AG27" s="156"/>
      <c r="AH27" s="156"/>
      <c r="AI27" s="156"/>
      <c r="AJ27" s="156"/>
      <c r="AK27" s="156"/>
      <c r="AM27" s="165"/>
    </row>
    <row r="28" spans="1:39" ht="38.700000000000003" customHeight="1" x14ac:dyDescent="0.3">
      <c r="A28" s="962" t="str">
        <f>A4</f>
        <v>Dining</v>
      </c>
      <c r="B28" s="965" t="str">
        <f>B19</f>
        <v>Restaurant</v>
      </c>
      <c r="C28" s="968" t="s">
        <v>544</v>
      </c>
      <c r="D28" s="935" t="s">
        <v>542</v>
      </c>
      <c r="E28" s="527" t="s">
        <v>529</v>
      </c>
      <c r="F28" s="528">
        <f>IF(F13=1,Thermostat!$C$5,Thermostat!$C$6)</f>
        <v>75</v>
      </c>
      <c r="G28" s="528">
        <f>IF(G13=1,Thermostat!$C$5,Thermostat!$C$6)</f>
        <v>85</v>
      </c>
      <c r="H28" s="528">
        <f>IF(H13=1,Thermostat!$C$5,Thermostat!$C$6)</f>
        <v>85</v>
      </c>
      <c r="I28" s="528">
        <f>IF(I13=1,Thermostat!$C$5,Thermostat!$C$6)</f>
        <v>85</v>
      </c>
      <c r="J28" s="528">
        <f>IF(J13=1,Thermostat!$C$5,Thermostat!$C$6)</f>
        <v>75</v>
      </c>
      <c r="K28" s="528">
        <f>IF(K13=1,Thermostat!$C$5,Thermostat!$C$6)</f>
        <v>75</v>
      </c>
      <c r="L28" s="528">
        <f>IF(L13=1,Thermostat!$C$5,Thermostat!$C$6)</f>
        <v>75</v>
      </c>
      <c r="M28" s="528">
        <f>IF(M13=1,Thermostat!$C$5,Thermostat!$C$6)</f>
        <v>75</v>
      </c>
      <c r="N28" s="528">
        <f>IF(N13=1,Thermostat!$C$5,Thermostat!$C$6)</f>
        <v>75</v>
      </c>
      <c r="O28" s="528">
        <f>IF(O13=1,Thermostat!$C$5,Thermostat!$C$6)</f>
        <v>75</v>
      </c>
      <c r="P28" s="528">
        <f>IF(P13=1,Thermostat!$C$5,Thermostat!$C$6)</f>
        <v>75</v>
      </c>
      <c r="Q28" s="528">
        <f>IF(Q13=1,Thermostat!$C$5,Thermostat!$C$6)</f>
        <v>75</v>
      </c>
      <c r="R28" s="528">
        <f>IF(R13=1,Thermostat!$C$5,Thermostat!$C$6)</f>
        <v>75</v>
      </c>
      <c r="S28" s="528">
        <f>IF(S13=1,Thermostat!$C$5,Thermostat!$C$6)</f>
        <v>75</v>
      </c>
      <c r="T28" s="528">
        <f>IF(T13=1,Thermostat!$C$5,Thermostat!$C$6)</f>
        <v>75</v>
      </c>
      <c r="U28" s="528">
        <f>IF(U13=1,Thermostat!$C$5,Thermostat!$C$6)</f>
        <v>75</v>
      </c>
      <c r="V28" s="528">
        <f>IF(V13=1,Thermostat!$C$5,Thermostat!$C$6)</f>
        <v>75</v>
      </c>
      <c r="W28" s="528">
        <f>IF(W13=1,Thermostat!$C$5,Thermostat!$C$6)</f>
        <v>75</v>
      </c>
      <c r="X28" s="528">
        <f>IF(X13=1,Thermostat!$C$5,Thermostat!$C$6)</f>
        <v>75</v>
      </c>
      <c r="Y28" s="528">
        <f>IF(Y13=1,Thermostat!$C$5,Thermostat!$C$6)</f>
        <v>75</v>
      </c>
      <c r="Z28" s="528">
        <f>IF(Z13=1,Thermostat!$C$5,Thermostat!$C$6)</f>
        <v>75</v>
      </c>
      <c r="AA28" s="528">
        <f>IF(AA13=1,Thermostat!$C$5,Thermostat!$C$6)</f>
        <v>75</v>
      </c>
      <c r="AB28" s="528">
        <f>IF(AB13=1,Thermostat!$C$5,Thermostat!$C$6)</f>
        <v>75</v>
      </c>
      <c r="AC28" s="529">
        <f>IF(AC13=1,Thermostat!$C$5,Thermostat!$C$6)</f>
        <v>75</v>
      </c>
      <c r="AD28" s="156"/>
      <c r="AE28" s="156"/>
      <c r="AF28" s="156"/>
      <c r="AG28" s="156"/>
      <c r="AH28" s="156"/>
      <c r="AI28" s="156"/>
      <c r="AJ28" s="156"/>
      <c r="AK28" s="156"/>
      <c r="AM28" s="165"/>
    </row>
    <row r="29" spans="1:39" ht="38.700000000000003" customHeight="1" x14ac:dyDescent="0.3">
      <c r="A29" s="963"/>
      <c r="B29" s="966"/>
      <c r="C29" s="969"/>
      <c r="D29" s="936"/>
      <c r="E29" s="530" t="s">
        <v>530</v>
      </c>
      <c r="F29" s="531">
        <f>IF(F14=1,Thermostat!$C$5,Thermostat!$C$6)</f>
        <v>75</v>
      </c>
      <c r="G29" s="531">
        <f>IF(G14=1,Thermostat!$C$5,Thermostat!$C$6)</f>
        <v>85</v>
      </c>
      <c r="H29" s="531">
        <f>IF(H14=1,Thermostat!$C$5,Thermostat!$C$6)</f>
        <v>85</v>
      </c>
      <c r="I29" s="531">
        <f>IF(I14=1,Thermostat!$C$5,Thermostat!$C$6)</f>
        <v>85</v>
      </c>
      <c r="J29" s="531">
        <f>IF(J14=1,Thermostat!$C$5,Thermostat!$C$6)</f>
        <v>85</v>
      </c>
      <c r="K29" s="531">
        <f>IF(K14=1,Thermostat!$C$5,Thermostat!$C$6)</f>
        <v>75</v>
      </c>
      <c r="L29" s="531">
        <f>IF(L14=1,Thermostat!$C$5,Thermostat!$C$6)</f>
        <v>75</v>
      </c>
      <c r="M29" s="531">
        <f>IF(M14=1,Thermostat!$C$5,Thermostat!$C$6)</f>
        <v>75</v>
      </c>
      <c r="N29" s="531">
        <f>IF(N14=1,Thermostat!$C$5,Thermostat!$C$6)</f>
        <v>75</v>
      </c>
      <c r="O29" s="531">
        <f>IF(O14=1,Thermostat!$C$5,Thermostat!$C$6)</f>
        <v>75</v>
      </c>
      <c r="P29" s="531">
        <f>IF(P14=1,Thermostat!$C$5,Thermostat!$C$6)</f>
        <v>75</v>
      </c>
      <c r="Q29" s="531">
        <f>IF(Q14=1,Thermostat!$C$5,Thermostat!$C$6)</f>
        <v>75</v>
      </c>
      <c r="R29" s="531">
        <f>IF(R14=1,Thermostat!$C$5,Thermostat!$C$6)</f>
        <v>75</v>
      </c>
      <c r="S29" s="531">
        <f>IF(S14=1,Thermostat!$C$5,Thermostat!$C$6)</f>
        <v>75</v>
      </c>
      <c r="T29" s="531">
        <f>IF(T14=1,Thermostat!$C$5,Thermostat!$C$6)</f>
        <v>75</v>
      </c>
      <c r="U29" s="531">
        <f>IF(U14=1,Thermostat!$C$5,Thermostat!$C$6)</f>
        <v>75</v>
      </c>
      <c r="V29" s="531">
        <f>IF(V14=1,Thermostat!$C$5,Thermostat!$C$6)</f>
        <v>75</v>
      </c>
      <c r="W29" s="531">
        <f>IF(W14=1,Thermostat!$C$5,Thermostat!$C$6)</f>
        <v>75</v>
      </c>
      <c r="X29" s="531">
        <f>IF(X14=1,Thermostat!$C$5,Thermostat!$C$6)</f>
        <v>75</v>
      </c>
      <c r="Y29" s="531">
        <f>IF(Y14=1,Thermostat!$C$5,Thermostat!$C$6)</f>
        <v>75</v>
      </c>
      <c r="Z29" s="531">
        <f>IF(Z14=1,Thermostat!$C$5,Thermostat!$C$6)</f>
        <v>75</v>
      </c>
      <c r="AA29" s="531">
        <f>IF(AA14=1,Thermostat!$C$5,Thermostat!$C$6)</f>
        <v>75</v>
      </c>
      <c r="AB29" s="531">
        <f>IF(AB14=1,Thermostat!$C$5,Thermostat!$C$6)</f>
        <v>75</v>
      </c>
      <c r="AC29" s="532">
        <f>IF(AC14=1,Thermostat!$C$5,Thermostat!$C$6)</f>
        <v>75</v>
      </c>
      <c r="AD29" s="156"/>
      <c r="AE29" s="156"/>
      <c r="AF29" s="156"/>
      <c r="AG29" s="156"/>
      <c r="AH29" s="156"/>
      <c r="AI29" s="156"/>
      <c r="AJ29" s="156"/>
      <c r="AK29" s="156"/>
      <c r="AM29" s="165"/>
    </row>
    <row r="30" spans="1:39" ht="38.700000000000003" customHeight="1" thickBot="1" x14ac:dyDescent="0.35">
      <c r="A30" s="964"/>
      <c r="B30" s="967"/>
      <c r="C30" s="970"/>
      <c r="D30" s="937"/>
      <c r="E30" s="533" t="s">
        <v>531</v>
      </c>
      <c r="F30" s="534">
        <f>IF(F15=1,Thermostat!$C$5,Thermostat!$C$6)</f>
        <v>75</v>
      </c>
      <c r="G30" s="534">
        <f>IF(G15=1,Thermostat!$C$5,Thermostat!$C$6)</f>
        <v>85</v>
      </c>
      <c r="H30" s="534">
        <f>IF(H15=1,Thermostat!$C$5,Thermostat!$C$6)</f>
        <v>85</v>
      </c>
      <c r="I30" s="534">
        <f>IF(I15=1,Thermostat!$C$5,Thermostat!$C$6)</f>
        <v>85</v>
      </c>
      <c r="J30" s="534">
        <f>IF(J15=1,Thermostat!$C$5,Thermostat!$C$6)</f>
        <v>85</v>
      </c>
      <c r="K30" s="534">
        <f>IF(K15=1,Thermostat!$C$5,Thermostat!$C$6)</f>
        <v>75</v>
      </c>
      <c r="L30" s="534">
        <f>IF(L15=1,Thermostat!$C$5,Thermostat!$C$6)</f>
        <v>75</v>
      </c>
      <c r="M30" s="534">
        <f>IF(M15=1,Thermostat!$C$5,Thermostat!$C$6)</f>
        <v>75</v>
      </c>
      <c r="N30" s="534">
        <f>IF(N15=1,Thermostat!$C$5,Thermostat!$C$6)</f>
        <v>75</v>
      </c>
      <c r="O30" s="534">
        <f>IF(O15=1,Thermostat!$C$5,Thermostat!$C$6)</f>
        <v>75</v>
      </c>
      <c r="P30" s="534">
        <f>IF(P15=1,Thermostat!$C$5,Thermostat!$C$6)</f>
        <v>75</v>
      </c>
      <c r="Q30" s="534">
        <f>IF(Q15=1,Thermostat!$C$5,Thermostat!$C$6)</f>
        <v>75</v>
      </c>
      <c r="R30" s="534">
        <f>IF(R15=1,Thermostat!$C$5,Thermostat!$C$6)</f>
        <v>75</v>
      </c>
      <c r="S30" s="534">
        <f>IF(S15=1,Thermostat!$C$5,Thermostat!$C$6)</f>
        <v>75</v>
      </c>
      <c r="T30" s="534">
        <f>IF(T15=1,Thermostat!$C$5,Thermostat!$C$6)</f>
        <v>75</v>
      </c>
      <c r="U30" s="534">
        <f>IF(U15=1,Thermostat!$C$5,Thermostat!$C$6)</f>
        <v>75</v>
      </c>
      <c r="V30" s="534">
        <f>IF(V15=1,Thermostat!$C$5,Thermostat!$C$6)</f>
        <v>75</v>
      </c>
      <c r="W30" s="534">
        <f>IF(W15=1,Thermostat!$C$5,Thermostat!$C$6)</f>
        <v>75</v>
      </c>
      <c r="X30" s="534">
        <f>IF(X15=1,Thermostat!$C$5,Thermostat!$C$6)</f>
        <v>75</v>
      </c>
      <c r="Y30" s="534">
        <f>IF(Y15=1,Thermostat!$C$5,Thermostat!$C$6)</f>
        <v>75</v>
      </c>
      <c r="Z30" s="534">
        <f>IF(Z15=1,Thermostat!$C$5,Thermostat!$C$6)</f>
        <v>75</v>
      </c>
      <c r="AA30" s="534">
        <f>IF(AA15=1,Thermostat!$C$5,Thermostat!$C$6)</f>
        <v>75</v>
      </c>
      <c r="AB30" s="534">
        <f>IF(AB15=1,Thermostat!$C$5,Thermostat!$C$6)</f>
        <v>75</v>
      </c>
      <c r="AC30" s="535">
        <f>IF(AC15=1,Thermostat!$C$5,Thermostat!$C$6)</f>
        <v>75</v>
      </c>
      <c r="AD30" s="156"/>
      <c r="AE30" s="156"/>
      <c r="AF30" s="156"/>
      <c r="AG30" s="156"/>
      <c r="AH30" s="156"/>
      <c r="AI30" s="156"/>
      <c r="AJ30" s="156"/>
      <c r="AK30" s="156"/>
      <c r="AM30" s="165"/>
    </row>
    <row r="31" spans="1:39" ht="29.4" customHeight="1" thickBot="1" x14ac:dyDescent="0.35">
      <c r="A31" s="934" t="s">
        <v>96</v>
      </c>
      <c r="B31" s="934"/>
      <c r="C31" s="934"/>
      <c r="D31" s="934"/>
      <c r="E31" s="934"/>
      <c r="F31" s="934"/>
      <c r="G31" s="934"/>
      <c r="H31" s="934"/>
      <c r="I31" s="934"/>
      <c r="J31" s="934"/>
      <c r="K31" s="934"/>
      <c r="L31" s="934"/>
      <c r="M31" s="934"/>
      <c r="N31" s="934"/>
      <c r="O31" s="934"/>
      <c r="P31" s="934"/>
      <c r="Q31" s="934"/>
      <c r="R31" s="934"/>
      <c r="S31" s="934"/>
      <c r="T31" s="934"/>
      <c r="U31" s="934"/>
      <c r="V31" s="934"/>
      <c r="W31" s="934"/>
      <c r="X31" s="934"/>
      <c r="Y31" s="934"/>
      <c r="Z31" s="934"/>
      <c r="AA31" s="934"/>
      <c r="AB31" s="934"/>
      <c r="AC31" s="934"/>
      <c r="AD31" s="157"/>
      <c r="AE31" s="156"/>
      <c r="AF31" s="156"/>
      <c r="AG31" s="156"/>
      <c r="AH31" s="156"/>
      <c r="AI31" s="156"/>
      <c r="AJ31" s="156"/>
      <c r="AK31" s="156"/>
    </row>
    <row r="32" spans="1:39" ht="33.6" customHeight="1" x14ac:dyDescent="0.3">
      <c r="A32" s="971" t="s">
        <v>96</v>
      </c>
      <c r="B32" s="922" t="s">
        <v>96</v>
      </c>
      <c r="C32" s="922" t="s">
        <v>545</v>
      </c>
      <c r="D32" s="928" t="s">
        <v>528</v>
      </c>
      <c r="E32" s="516" t="s">
        <v>529</v>
      </c>
      <c r="F32" s="339">
        <v>0.05</v>
      </c>
      <c r="G32" s="339">
        <v>0</v>
      </c>
      <c r="H32" s="339">
        <v>0</v>
      </c>
      <c r="I32" s="339">
        <v>0</v>
      </c>
      <c r="J32" s="339">
        <v>0</v>
      </c>
      <c r="K32" s="339">
        <v>0.05</v>
      </c>
      <c r="L32" s="339">
        <v>0.1</v>
      </c>
      <c r="M32" s="339">
        <v>0.4</v>
      </c>
      <c r="N32" s="339">
        <v>0.4</v>
      </c>
      <c r="O32" s="339">
        <v>0.4</v>
      </c>
      <c r="P32" s="339">
        <v>0.2</v>
      </c>
      <c r="Q32" s="339">
        <v>0.5</v>
      </c>
      <c r="R32" s="339">
        <v>0.8</v>
      </c>
      <c r="S32" s="339">
        <v>0.7</v>
      </c>
      <c r="T32" s="339">
        <v>0.4</v>
      </c>
      <c r="U32" s="339">
        <v>0.2</v>
      </c>
      <c r="V32" s="339">
        <v>0.25</v>
      </c>
      <c r="W32" s="339">
        <v>0.5</v>
      </c>
      <c r="X32" s="339">
        <v>0.8</v>
      </c>
      <c r="Y32" s="339">
        <v>0.8</v>
      </c>
      <c r="Z32" s="339">
        <v>0.8</v>
      </c>
      <c r="AA32" s="339">
        <v>0.5</v>
      </c>
      <c r="AB32" s="339">
        <v>0.35</v>
      </c>
      <c r="AC32" s="340">
        <v>0.2</v>
      </c>
      <c r="AD32" s="156"/>
      <c r="AE32" s="156"/>
      <c r="AF32" s="156"/>
      <c r="AG32" s="156"/>
      <c r="AH32" s="156"/>
      <c r="AI32" s="156"/>
      <c r="AJ32" s="156"/>
      <c r="AK32" s="156"/>
    </row>
    <row r="33" spans="1:39" ht="33.6" customHeight="1" x14ac:dyDescent="0.3">
      <c r="A33" s="972"/>
      <c r="B33" s="923"/>
      <c r="C33" s="923"/>
      <c r="D33" s="929"/>
      <c r="E33" s="517" t="s">
        <v>530</v>
      </c>
      <c r="F33" s="197">
        <v>0.05</v>
      </c>
      <c r="G33" s="197">
        <v>0</v>
      </c>
      <c r="H33" s="197">
        <v>0</v>
      </c>
      <c r="I33" s="197">
        <v>0</v>
      </c>
      <c r="J33" s="197">
        <v>0</v>
      </c>
      <c r="K33" s="197">
        <v>0</v>
      </c>
      <c r="L33" s="197">
        <v>0.05</v>
      </c>
      <c r="M33" s="197">
        <v>0.5</v>
      </c>
      <c r="N33" s="197">
        <v>0.5</v>
      </c>
      <c r="O33" s="197">
        <v>0.4</v>
      </c>
      <c r="P33" s="197">
        <v>0.2</v>
      </c>
      <c r="Q33" s="197">
        <v>0.45</v>
      </c>
      <c r="R33" s="197">
        <v>0.5</v>
      </c>
      <c r="S33" s="197">
        <v>0.5</v>
      </c>
      <c r="T33" s="197">
        <v>0.35</v>
      </c>
      <c r="U33" s="197">
        <v>0.3</v>
      </c>
      <c r="V33" s="197">
        <v>0.3</v>
      </c>
      <c r="W33" s="197">
        <v>0.3</v>
      </c>
      <c r="X33" s="197">
        <v>0.7</v>
      </c>
      <c r="Y33" s="197">
        <v>0.9</v>
      </c>
      <c r="Z33" s="197">
        <v>0.7</v>
      </c>
      <c r="AA33" s="197">
        <v>0.65</v>
      </c>
      <c r="AB33" s="197">
        <v>0.55000000000000004</v>
      </c>
      <c r="AC33" s="342">
        <v>0.35</v>
      </c>
      <c r="AD33" s="156"/>
      <c r="AE33" s="156"/>
      <c r="AF33" s="156"/>
      <c r="AG33" s="156"/>
      <c r="AH33" s="156"/>
      <c r="AI33" s="156"/>
      <c r="AJ33" s="156"/>
      <c r="AK33" s="156"/>
    </row>
    <row r="34" spans="1:39" ht="33.6" customHeight="1" thickBot="1" x14ac:dyDescent="0.35">
      <c r="A34" s="973"/>
      <c r="B34" s="924"/>
      <c r="C34" s="924"/>
      <c r="D34" s="930"/>
      <c r="E34" s="518" t="s">
        <v>531</v>
      </c>
      <c r="F34" s="344">
        <v>0.05</v>
      </c>
      <c r="G34" s="344">
        <v>0</v>
      </c>
      <c r="H34" s="344">
        <v>0</v>
      </c>
      <c r="I34" s="344">
        <v>0</v>
      </c>
      <c r="J34" s="344">
        <v>0</v>
      </c>
      <c r="K34" s="344">
        <v>0</v>
      </c>
      <c r="L34" s="344">
        <v>0.05</v>
      </c>
      <c r="M34" s="344">
        <v>0.5</v>
      </c>
      <c r="N34" s="344">
        <v>0.5</v>
      </c>
      <c r="O34" s="344">
        <v>0.2</v>
      </c>
      <c r="P34" s="344">
        <v>0.2</v>
      </c>
      <c r="Q34" s="344">
        <v>0.3</v>
      </c>
      <c r="R34" s="344">
        <v>0.5</v>
      </c>
      <c r="S34" s="344">
        <v>0.5</v>
      </c>
      <c r="T34" s="344">
        <v>0.3</v>
      </c>
      <c r="U34" s="344">
        <v>0.2</v>
      </c>
      <c r="V34" s="344">
        <v>0.25</v>
      </c>
      <c r="W34" s="344">
        <v>0.35</v>
      </c>
      <c r="X34" s="344">
        <v>0.55000000000000004</v>
      </c>
      <c r="Y34" s="344">
        <v>0.65</v>
      </c>
      <c r="Z34" s="344">
        <v>0.7</v>
      </c>
      <c r="AA34" s="344">
        <v>0.35</v>
      </c>
      <c r="AB34" s="344">
        <v>0.2</v>
      </c>
      <c r="AC34" s="345">
        <v>0.2</v>
      </c>
      <c r="AD34" s="156"/>
      <c r="AE34" s="156"/>
      <c r="AF34" s="156"/>
      <c r="AG34" s="156"/>
      <c r="AH34" s="156"/>
      <c r="AI34" s="156"/>
      <c r="AJ34" s="156"/>
      <c r="AK34" s="156"/>
    </row>
    <row r="35" spans="1:39" ht="33" customHeight="1" x14ac:dyDescent="0.3">
      <c r="A35" s="971" t="s">
        <v>96</v>
      </c>
      <c r="B35" s="922" t="s">
        <v>96</v>
      </c>
      <c r="C35" s="922" t="s">
        <v>532</v>
      </c>
      <c r="D35" s="925" t="s">
        <v>533</v>
      </c>
      <c r="E35" s="205" t="s">
        <v>529</v>
      </c>
      <c r="F35" s="206">
        <v>0.15</v>
      </c>
      <c r="G35" s="206">
        <v>0.15</v>
      </c>
      <c r="H35" s="206">
        <v>0.15</v>
      </c>
      <c r="I35" s="206">
        <v>0.15</v>
      </c>
      <c r="J35" s="206">
        <v>0.15</v>
      </c>
      <c r="K35" s="206">
        <v>0.2</v>
      </c>
      <c r="L35" s="417">
        <v>0.3</v>
      </c>
      <c r="M35" s="417">
        <f t="shared" ref="M35:AA37" si="1">M38-5%</f>
        <v>0.66999999999999993</v>
      </c>
      <c r="N35" s="417">
        <f t="shared" si="1"/>
        <v>0.73</v>
      </c>
      <c r="O35" s="417">
        <f t="shared" si="1"/>
        <v>0.75</v>
      </c>
      <c r="P35" s="417">
        <f t="shared" si="1"/>
        <v>0.85</v>
      </c>
      <c r="Q35" s="417">
        <f t="shared" si="1"/>
        <v>0.85</v>
      </c>
      <c r="R35" s="417">
        <f t="shared" si="1"/>
        <v>0.85</v>
      </c>
      <c r="S35" s="417">
        <f t="shared" si="1"/>
        <v>0.83</v>
      </c>
      <c r="T35" s="417">
        <f t="shared" si="1"/>
        <v>0.72</v>
      </c>
      <c r="U35" s="417">
        <f t="shared" si="1"/>
        <v>0.64999999999999991</v>
      </c>
      <c r="V35" s="417">
        <f t="shared" si="1"/>
        <v>0.66999999999999993</v>
      </c>
      <c r="W35" s="417">
        <f t="shared" si="1"/>
        <v>0.75</v>
      </c>
      <c r="X35" s="417">
        <f t="shared" si="1"/>
        <v>0.85</v>
      </c>
      <c r="Y35" s="417">
        <f t="shared" si="1"/>
        <v>0.85</v>
      </c>
      <c r="Z35" s="417">
        <f t="shared" si="1"/>
        <v>0.85</v>
      </c>
      <c r="AA35" s="417">
        <f t="shared" si="1"/>
        <v>0.75</v>
      </c>
      <c r="AB35" s="417">
        <f>AB38-5%</f>
        <v>0.56999999999999995</v>
      </c>
      <c r="AC35" s="207">
        <v>0.3</v>
      </c>
      <c r="AD35" s="156"/>
      <c r="AE35" s="156"/>
      <c r="AF35" s="156"/>
      <c r="AG35" s="156"/>
      <c r="AH35" s="156"/>
      <c r="AI35" s="156"/>
      <c r="AJ35" s="156"/>
      <c r="AK35" s="156"/>
    </row>
    <row r="36" spans="1:39" ht="33" customHeight="1" x14ac:dyDescent="0.3">
      <c r="A36" s="972"/>
      <c r="B36" s="923"/>
      <c r="C36" s="923"/>
      <c r="D36" s="926"/>
      <c r="E36" s="196" t="s">
        <v>530</v>
      </c>
      <c r="F36" s="418">
        <f>F39</f>
        <v>0.15</v>
      </c>
      <c r="G36" s="197">
        <v>0.15</v>
      </c>
      <c r="H36" s="197">
        <v>0.15</v>
      </c>
      <c r="I36" s="197">
        <v>0.15</v>
      </c>
      <c r="J36" s="197">
        <v>0.15</v>
      </c>
      <c r="K36" s="418">
        <f>K39</f>
        <v>0.2</v>
      </c>
      <c r="L36" s="197">
        <v>0.3</v>
      </c>
      <c r="M36" s="418">
        <f t="shared" si="1"/>
        <v>0.66999999999999993</v>
      </c>
      <c r="N36" s="418">
        <f t="shared" si="1"/>
        <v>0.73</v>
      </c>
      <c r="O36" s="418">
        <f t="shared" si="1"/>
        <v>0.75</v>
      </c>
      <c r="P36" s="418">
        <f t="shared" si="1"/>
        <v>0.85</v>
      </c>
      <c r="Q36" s="418">
        <f t="shared" si="1"/>
        <v>0.85</v>
      </c>
      <c r="R36" s="418">
        <f t="shared" si="1"/>
        <v>0.85</v>
      </c>
      <c r="S36" s="418">
        <f t="shared" si="1"/>
        <v>0.83</v>
      </c>
      <c r="T36" s="418">
        <f t="shared" si="1"/>
        <v>0.72</v>
      </c>
      <c r="U36" s="418">
        <f t="shared" si="1"/>
        <v>0.64999999999999991</v>
      </c>
      <c r="V36" s="418">
        <f t="shared" si="1"/>
        <v>0.66999999999999993</v>
      </c>
      <c r="W36" s="418">
        <f t="shared" si="1"/>
        <v>0.75</v>
      </c>
      <c r="X36" s="418">
        <f t="shared" si="1"/>
        <v>0.85</v>
      </c>
      <c r="Y36" s="418">
        <f t="shared" si="1"/>
        <v>0.85</v>
      </c>
      <c r="Z36" s="418">
        <f t="shared" si="1"/>
        <v>0.85</v>
      </c>
      <c r="AA36" s="418">
        <f t="shared" si="1"/>
        <v>0.75</v>
      </c>
      <c r="AB36" s="418">
        <f>AB39-5%</f>
        <v>0.56999999999999995</v>
      </c>
      <c r="AC36" s="198">
        <v>0.3</v>
      </c>
      <c r="AD36" s="156"/>
      <c r="AE36" s="156"/>
      <c r="AF36" s="156"/>
      <c r="AG36" s="156"/>
      <c r="AH36" s="156"/>
      <c r="AI36" s="156"/>
      <c r="AJ36" s="156"/>
      <c r="AK36" s="156"/>
    </row>
    <row r="37" spans="1:39" ht="33" customHeight="1" thickBot="1" x14ac:dyDescent="0.35">
      <c r="A37" s="973"/>
      <c r="B37" s="924"/>
      <c r="C37" s="924"/>
      <c r="D37" s="927"/>
      <c r="E37" s="199" t="s">
        <v>531</v>
      </c>
      <c r="F37" s="200">
        <v>0.2</v>
      </c>
      <c r="G37" s="200">
        <v>0.15</v>
      </c>
      <c r="H37" s="200">
        <v>0.15</v>
      </c>
      <c r="I37" s="200">
        <v>0.15</v>
      </c>
      <c r="J37" s="200">
        <v>0.15</v>
      </c>
      <c r="K37" s="200">
        <v>0.15</v>
      </c>
      <c r="L37" s="200">
        <v>0.3</v>
      </c>
      <c r="M37" s="419">
        <f t="shared" si="1"/>
        <v>0.66999999999999993</v>
      </c>
      <c r="N37" s="419">
        <f t="shared" si="1"/>
        <v>0.73</v>
      </c>
      <c r="O37" s="419">
        <f t="shared" si="1"/>
        <v>0.75</v>
      </c>
      <c r="P37" s="419">
        <f t="shared" si="1"/>
        <v>0.85</v>
      </c>
      <c r="Q37" s="419">
        <f t="shared" si="1"/>
        <v>0.85</v>
      </c>
      <c r="R37" s="419">
        <f t="shared" si="1"/>
        <v>0.85</v>
      </c>
      <c r="S37" s="419">
        <f t="shared" si="1"/>
        <v>0.83</v>
      </c>
      <c r="T37" s="419">
        <f t="shared" si="1"/>
        <v>0.72</v>
      </c>
      <c r="U37" s="419">
        <f t="shared" si="1"/>
        <v>0.64999999999999991</v>
      </c>
      <c r="V37" s="419">
        <f t="shared" si="1"/>
        <v>0.66999999999999993</v>
      </c>
      <c r="W37" s="419">
        <f t="shared" si="1"/>
        <v>0.75</v>
      </c>
      <c r="X37" s="419">
        <f t="shared" si="1"/>
        <v>0.85</v>
      </c>
      <c r="Y37" s="419">
        <f t="shared" si="1"/>
        <v>0.85</v>
      </c>
      <c r="Z37" s="419">
        <f t="shared" si="1"/>
        <v>0.85</v>
      </c>
      <c r="AA37" s="419">
        <f t="shared" si="1"/>
        <v>0.75</v>
      </c>
      <c r="AB37" s="419">
        <f>AB40-5%</f>
        <v>0.56999999999999995</v>
      </c>
      <c r="AC37" s="201">
        <v>0.3</v>
      </c>
      <c r="AD37" s="156"/>
      <c r="AE37" s="156"/>
      <c r="AF37" s="156"/>
      <c r="AG37" s="156"/>
      <c r="AH37" s="156"/>
      <c r="AI37" s="156"/>
      <c r="AJ37" s="156"/>
      <c r="AK37" s="156"/>
    </row>
    <row r="38" spans="1:39" ht="34.950000000000003" customHeight="1" x14ac:dyDescent="0.3">
      <c r="A38" s="947" t="s">
        <v>96</v>
      </c>
      <c r="B38" s="952" t="s">
        <v>96</v>
      </c>
      <c r="C38" s="953" t="s">
        <v>534</v>
      </c>
      <c r="D38" s="956" t="s">
        <v>535</v>
      </c>
      <c r="E38" s="338" t="s">
        <v>529</v>
      </c>
      <c r="F38" s="339">
        <v>0.15</v>
      </c>
      <c r="G38" s="339">
        <v>0.15</v>
      </c>
      <c r="H38" s="339">
        <v>0.15</v>
      </c>
      <c r="I38" s="339">
        <v>0.15</v>
      </c>
      <c r="J38" s="339">
        <v>0.15</v>
      </c>
      <c r="K38" s="339">
        <v>0.2</v>
      </c>
      <c r="L38" s="351">
        <v>0.3</v>
      </c>
      <c r="M38" s="351">
        <v>0.72</v>
      </c>
      <c r="N38" s="351">
        <v>0.78</v>
      </c>
      <c r="O38" s="351">
        <v>0.8</v>
      </c>
      <c r="P38" s="339">
        <v>0.9</v>
      </c>
      <c r="Q38" s="339">
        <v>0.9</v>
      </c>
      <c r="R38" s="339">
        <v>0.9</v>
      </c>
      <c r="S38" s="351">
        <v>0.88</v>
      </c>
      <c r="T38" s="351">
        <v>0.77</v>
      </c>
      <c r="U38" s="351">
        <v>0.7</v>
      </c>
      <c r="V38" s="351">
        <v>0.72</v>
      </c>
      <c r="W38" s="351">
        <v>0.8</v>
      </c>
      <c r="X38" s="339">
        <v>0.9</v>
      </c>
      <c r="Y38" s="339">
        <v>0.9</v>
      </c>
      <c r="Z38" s="339">
        <v>0.9</v>
      </c>
      <c r="AA38" s="351">
        <v>0.8</v>
      </c>
      <c r="AB38" s="351">
        <v>0.62</v>
      </c>
      <c r="AC38" s="340">
        <v>0.3</v>
      </c>
      <c r="AD38" s="278"/>
      <c r="AE38" s="156"/>
      <c r="AF38" s="156"/>
      <c r="AG38" s="156"/>
      <c r="AH38" s="156"/>
      <c r="AI38" s="156"/>
      <c r="AJ38" s="156"/>
      <c r="AK38" s="156"/>
      <c r="AM38" s="165">
        <f>(SUM(F38:AC38)*5+SUM(F39:AC40))*52</f>
        <v>5292.56</v>
      </c>
    </row>
    <row r="39" spans="1:39" ht="36" customHeight="1" x14ac:dyDescent="0.3">
      <c r="A39" s="948"/>
      <c r="B39" s="939"/>
      <c r="C39" s="954"/>
      <c r="D39" s="956"/>
      <c r="E39" s="341" t="s">
        <v>530</v>
      </c>
      <c r="F39" s="349">
        <v>0.15</v>
      </c>
      <c r="G39" s="197">
        <v>0.15</v>
      </c>
      <c r="H39" s="197">
        <v>0.15</v>
      </c>
      <c r="I39" s="197">
        <v>0.15</v>
      </c>
      <c r="J39" s="197">
        <v>0.15</v>
      </c>
      <c r="K39" s="349">
        <v>0.2</v>
      </c>
      <c r="L39" s="197">
        <v>0.3</v>
      </c>
      <c r="M39" s="349">
        <v>0.72</v>
      </c>
      <c r="N39" s="349">
        <v>0.78</v>
      </c>
      <c r="O39" s="349">
        <v>0.8</v>
      </c>
      <c r="P39" s="349">
        <v>0.9</v>
      </c>
      <c r="Q39" s="349">
        <v>0.9</v>
      </c>
      <c r="R39" s="349">
        <v>0.9</v>
      </c>
      <c r="S39" s="349">
        <v>0.88</v>
      </c>
      <c r="T39" s="349">
        <v>0.77</v>
      </c>
      <c r="U39" s="349">
        <v>0.7</v>
      </c>
      <c r="V39" s="349">
        <v>0.72</v>
      </c>
      <c r="W39" s="349">
        <v>0.8</v>
      </c>
      <c r="X39" s="197">
        <v>0.9</v>
      </c>
      <c r="Y39" s="197">
        <v>0.9</v>
      </c>
      <c r="Z39" s="197">
        <v>0.9</v>
      </c>
      <c r="AA39" s="349">
        <v>0.8</v>
      </c>
      <c r="AB39" s="349">
        <v>0.62</v>
      </c>
      <c r="AC39" s="342">
        <v>0.3</v>
      </c>
      <c r="AD39" s="278"/>
      <c r="AE39" s="156"/>
      <c r="AF39" s="156"/>
      <c r="AG39" s="156"/>
      <c r="AH39" s="156"/>
      <c r="AI39" s="156"/>
      <c r="AJ39" s="156"/>
      <c r="AK39" s="156"/>
    </row>
    <row r="40" spans="1:39" ht="32.4" customHeight="1" thickBot="1" x14ac:dyDescent="0.35">
      <c r="A40" s="949"/>
      <c r="B40" s="940"/>
      <c r="C40" s="955"/>
      <c r="D40" s="957"/>
      <c r="E40" s="343" t="s">
        <v>531</v>
      </c>
      <c r="F40" s="350">
        <v>0.2</v>
      </c>
      <c r="G40" s="344">
        <v>0.15</v>
      </c>
      <c r="H40" s="344">
        <v>0.15</v>
      </c>
      <c r="I40" s="344">
        <v>0.15</v>
      </c>
      <c r="J40" s="344">
        <v>0.15</v>
      </c>
      <c r="K40" s="350">
        <v>0.15</v>
      </c>
      <c r="L40" s="344">
        <v>0.3</v>
      </c>
      <c r="M40" s="350">
        <v>0.72</v>
      </c>
      <c r="N40" s="350">
        <v>0.78</v>
      </c>
      <c r="O40" s="350">
        <v>0.8</v>
      </c>
      <c r="P40" s="350">
        <v>0.9</v>
      </c>
      <c r="Q40" s="350">
        <v>0.9</v>
      </c>
      <c r="R40" s="350">
        <v>0.9</v>
      </c>
      <c r="S40" s="350">
        <v>0.88</v>
      </c>
      <c r="T40" s="350">
        <v>0.77</v>
      </c>
      <c r="U40" s="350">
        <v>0.7</v>
      </c>
      <c r="V40" s="350">
        <v>0.72</v>
      </c>
      <c r="W40" s="350">
        <v>0.8</v>
      </c>
      <c r="X40" s="350">
        <v>0.9</v>
      </c>
      <c r="Y40" s="350">
        <v>0.9</v>
      </c>
      <c r="Z40" s="350">
        <v>0.9</v>
      </c>
      <c r="AA40" s="350">
        <v>0.8</v>
      </c>
      <c r="AB40" s="350">
        <v>0.62</v>
      </c>
      <c r="AC40" s="345">
        <v>0.3</v>
      </c>
      <c r="AD40" s="278"/>
      <c r="AE40" s="156"/>
      <c r="AF40" s="156"/>
      <c r="AG40" s="156"/>
      <c r="AH40" s="156"/>
      <c r="AI40" s="156"/>
      <c r="AJ40" s="156"/>
      <c r="AK40" s="156"/>
      <c r="AM40" s="165"/>
    </row>
    <row r="41" spans="1:39" ht="38.700000000000003" customHeight="1" x14ac:dyDescent="0.3">
      <c r="A41" s="959" t="s">
        <v>96</v>
      </c>
      <c r="B41" s="938" t="s">
        <v>96</v>
      </c>
      <c r="C41" s="941" t="s">
        <v>536</v>
      </c>
      <c r="D41" s="931" t="s">
        <v>537</v>
      </c>
      <c r="E41" s="338" t="s">
        <v>529</v>
      </c>
      <c r="F41" s="339">
        <v>1</v>
      </c>
      <c r="G41" s="413">
        <v>0</v>
      </c>
      <c r="H41" s="413">
        <v>0</v>
      </c>
      <c r="I41" s="339">
        <v>0</v>
      </c>
      <c r="J41" s="413">
        <v>1</v>
      </c>
      <c r="K41" s="413">
        <v>1</v>
      </c>
      <c r="L41" s="339">
        <v>1</v>
      </c>
      <c r="M41" s="339">
        <v>1</v>
      </c>
      <c r="N41" s="339">
        <v>1</v>
      </c>
      <c r="O41" s="339">
        <v>1</v>
      </c>
      <c r="P41" s="339">
        <v>1</v>
      </c>
      <c r="Q41" s="339">
        <v>1</v>
      </c>
      <c r="R41" s="339">
        <v>1</v>
      </c>
      <c r="S41" s="339">
        <v>1</v>
      </c>
      <c r="T41" s="339">
        <v>1</v>
      </c>
      <c r="U41" s="339">
        <v>1</v>
      </c>
      <c r="V41" s="339">
        <v>1</v>
      </c>
      <c r="W41" s="339">
        <v>1</v>
      </c>
      <c r="X41" s="339">
        <v>1</v>
      </c>
      <c r="Y41" s="339">
        <v>1</v>
      </c>
      <c r="Z41" s="339">
        <v>1</v>
      </c>
      <c r="AA41" s="339">
        <v>1</v>
      </c>
      <c r="AB41" s="339">
        <v>1</v>
      </c>
      <c r="AC41" s="340">
        <v>1</v>
      </c>
      <c r="AD41" s="156"/>
      <c r="AE41" s="156"/>
      <c r="AF41" s="156"/>
      <c r="AG41" s="156"/>
      <c r="AH41" s="156"/>
      <c r="AI41" s="156"/>
      <c r="AJ41" s="156"/>
      <c r="AK41" s="156"/>
      <c r="AM41" s="165"/>
    </row>
    <row r="42" spans="1:39" ht="33" customHeight="1" x14ac:dyDescent="0.3">
      <c r="A42" s="948"/>
      <c r="B42" s="939"/>
      <c r="C42" s="942"/>
      <c r="D42" s="932"/>
      <c r="E42" s="341" t="s">
        <v>530</v>
      </c>
      <c r="F42" s="197">
        <v>1</v>
      </c>
      <c r="G42" s="417">
        <v>0</v>
      </c>
      <c r="H42" s="417">
        <v>0</v>
      </c>
      <c r="I42" s="197">
        <v>0</v>
      </c>
      <c r="J42" s="197">
        <v>0</v>
      </c>
      <c r="K42" s="418">
        <v>1</v>
      </c>
      <c r="L42" s="418">
        <v>1</v>
      </c>
      <c r="M42" s="418">
        <v>1</v>
      </c>
      <c r="N42" s="197">
        <v>1</v>
      </c>
      <c r="O42" s="197">
        <v>1</v>
      </c>
      <c r="P42" s="197">
        <v>1</v>
      </c>
      <c r="Q42" s="197">
        <v>1</v>
      </c>
      <c r="R42" s="197">
        <v>1</v>
      </c>
      <c r="S42" s="197">
        <v>1</v>
      </c>
      <c r="T42" s="197">
        <v>1</v>
      </c>
      <c r="U42" s="197">
        <v>1</v>
      </c>
      <c r="V42" s="197">
        <v>1</v>
      </c>
      <c r="W42" s="197">
        <v>1</v>
      </c>
      <c r="X42" s="197">
        <v>1</v>
      </c>
      <c r="Y42" s="197">
        <v>1</v>
      </c>
      <c r="Z42" s="197">
        <v>1</v>
      </c>
      <c r="AA42" s="197">
        <v>1</v>
      </c>
      <c r="AB42" s="197">
        <v>1</v>
      </c>
      <c r="AC42" s="342">
        <v>1</v>
      </c>
      <c r="AD42" s="156"/>
      <c r="AE42" s="156"/>
      <c r="AF42" s="156"/>
      <c r="AG42" s="156"/>
      <c r="AH42" s="156"/>
      <c r="AI42" s="156"/>
      <c r="AJ42" s="156"/>
      <c r="AK42" s="156"/>
      <c r="AM42" s="165"/>
    </row>
    <row r="43" spans="1:39" ht="38.700000000000003" customHeight="1" thickBot="1" x14ac:dyDescent="0.35">
      <c r="A43" s="949"/>
      <c r="B43" s="940"/>
      <c r="C43" s="943"/>
      <c r="D43" s="933"/>
      <c r="E43" s="343" t="s">
        <v>531</v>
      </c>
      <c r="F43" s="344">
        <v>1</v>
      </c>
      <c r="G43" s="420">
        <v>0</v>
      </c>
      <c r="H43" s="420">
        <v>0</v>
      </c>
      <c r="I43" s="344">
        <v>0</v>
      </c>
      <c r="J43" s="344">
        <v>0</v>
      </c>
      <c r="K43" s="421">
        <v>1</v>
      </c>
      <c r="L43" s="421">
        <v>1</v>
      </c>
      <c r="M43" s="421">
        <v>1</v>
      </c>
      <c r="N43" s="421">
        <v>1</v>
      </c>
      <c r="O43" s="344">
        <v>1</v>
      </c>
      <c r="P43" s="344">
        <v>1</v>
      </c>
      <c r="Q43" s="344">
        <v>1</v>
      </c>
      <c r="R43" s="344">
        <v>1</v>
      </c>
      <c r="S43" s="344">
        <v>1</v>
      </c>
      <c r="T43" s="344">
        <v>1</v>
      </c>
      <c r="U43" s="344">
        <v>1</v>
      </c>
      <c r="V43" s="344">
        <v>1</v>
      </c>
      <c r="W43" s="344">
        <v>1</v>
      </c>
      <c r="X43" s="344">
        <v>1</v>
      </c>
      <c r="Y43" s="344">
        <v>1</v>
      </c>
      <c r="Z43" s="344">
        <v>1</v>
      </c>
      <c r="AA43" s="344">
        <v>1</v>
      </c>
      <c r="AB43" s="344">
        <v>1</v>
      </c>
      <c r="AC43" s="345">
        <v>1</v>
      </c>
      <c r="AD43" s="156"/>
      <c r="AE43" s="156"/>
      <c r="AF43" s="156"/>
      <c r="AG43" s="156"/>
      <c r="AH43" s="156"/>
      <c r="AI43" s="156"/>
      <c r="AJ43" s="156"/>
      <c r="AK43" s="156"/>
      <c r="AM43" s="165"/>
    </row>
    <row r="44" spans="1:39" ht="38.700000000000003" customHeight="1" x14ac:dyDescent="0.3">
      <c r="A44" s="971" t="s">
        <v>96</v>
      </c>
      <c r="B44" s="922" t="s">
        <v>96</v>
      </c>
      <c r="C44" s="928" t="s">
        <v>538</v>
      </c>
      <c r="D44" s="925" t="s">
        <v>539</v>
      </c>
      <c r="E44" s="205" t="s">
        <v>529</v>
      </c>
      <c r="F44" s="206">
        <v>0.2</v>
      </c>
      <c r="G44" s="417">
        <v>0</v>
      </c>
      <c r="H44" s="417">
        <v>0</v>
      </c>
      <c r="I44" s="206">
        <v>0</v>
      </c>
      <c r="J44" s="206">
        <v>0</v>
      </c>
      <c r="K44" s="417">
        <v>0.2</v>
      </c>
      <c r="L44" s="417">
        <v>0.2</v>
      </c>
      <c r="M44" s="417">
        <v>0.3</v>
      </c>
      <c r="N44" s="417">
        <v>0.3</v>
      </c>
      <c r="O44" s="206">
        <v>0.3</v>
      </c>
      <c r="P44" s="206">
        <v>0.4</v>
      </c>
      <c r="Q44" s="206">
        <v>0.45</v>
      </c>
      <c r="R44" s="206">
        <v>0.4</v>
      </c>
      <c r="S44" s="206">
        <v>0.35</v>
      </c>
      <c r="T44" s="206">
        <v>0.3</v>
      </c>
      <c r="U44" s="206">
        <v>0.3</v>
      </c>
      <c r="V44" s="206">
        <v>0.3</v>
      </c>
      <c r="W44" s="206">
        <v>0.4</v>
      </c>
      <c r="X44" s="206">
        <v>0.55000000000000004</v>
      </c>
      <c r="Y44" s="206">
        <v>0.6</v>
      </c>
      <c r="Z44" s="206">
        <v>0.5</v>
      </c>
      <c r="AA44" s="206">
        <v>0.55000000000000004</v>
      </c>
      <c r="AB44" s="206">
        <v>0.45</v>
      </c>
      <c r="AC44" s="605">
        <v>0.2</v>
      </c>
      <c r="AD44" s="156"/>
      <c r="AE44" s="156"/>
      <c r="AF44" s="156"/>
      <c r="AG44" s="156"/>
      <c r="AH44" s="156"/>
      <c r="AI44" s="156"/>
      <c r="AJ44" s="156"/>
      <c r="AK44" s="156"/>
      <c r="AM44" s="165"/>
    </row>
    <row r="45" spans="1:39" ht="38.700000000000003" customHeight="1" x14ac:dyDescent="0.3">
      <c r="A45" s="972"/>
      <c r="B45" s="923"/>
      <c r="C45" s="929"/>
      <c r="D45" s="926"/>
      <c r="E45" s="196" t="s">
        <v>530</v>
      </c>
      <c r="F45" s="197">
        <v>0.2</v>
      </c>
      <c r="G45" s="418">
        <v>0</v>
      </c>
      <c r="H45" s="418">
        <v>0</v>
      </c>
      <c r="I45" s="197">
        <v>0</v>
      </c>
      <c r="J45" s="197">
        <v>0</v>
      </c>
      <c r="K45" s="197">
        <v>0</v>
      </c>
      <c r="L45" s="418">
        <v>0.2</v>
      </c>
      <c r="M45" s="418">
        <v>0.2</v>
      </c>
      <c r="N45" s="418">
        <v>0.3</v>
      </c>
      <c r="O45" s="418">
        <v>0.3</v>
      </c>
      <c r="P45" s="197">
        <v>0.45</v>
      </c>
      <c r="Q45" s="197">
        <v>0.5</v>
      </c>
      <c r="R45" s="197">
        <v>0.5</v>
      </c>
      <c r="S45" s="197">
        <v>0.45</v>
      </c>
      <c r="T45" s="197">
        <v>0.4</v>
      </c>
      <c r="U45" s="197">
        <v>0.4</v>
      </c>
      <c r="V45" s="197">
        <v>0.35</v>
      </c>
      <c r="W45" s="197">
        <v>0.4</v>
      </c>
      <c r="X45" s="197">
        <v>0.55000000000000004</v>
      </c>
      <c r="Y45" s="197">
        <v>0.55000000000000004</v>
      </c>
      <c r="Z45" s="197">
        <v>0.5</v>
      </c>
      <c r="AA45" s="197">
        <v>0.55000000000000004</v>
      </c>
      <c r="AB45" s="197">
        <v>0.4</v>
      </c>
      <c r="AC45" s="606">
        <v>0.2</v>
      </c>
      <c r="AD45" s="156"/>
      <c r="AE45" s="156"/>
      <c r="AF45" s="156"/>
      <c r="AG45" s="156"/>
      <c r="AH45" s="156"/>
      <c r="AI45" s="156"/>
      <c r="AJ45" s="156"/>
      <c r="AK45" s="156"/>
      <c r="AM45" s="165"/>
    </row>
    <row r="46" spans="1:39" ht="38.700000000000003" customHeight="1" thickBot="1" x14ac:dyDescent="0.35">
      <c r="A46" s="973"/>
      <c r="B46" s="924"/>
      <c r="C46" s="930"/>
      <c r="D46" s="927"/>
      <c r="E46" s="199" t="s">
        <v>531</v>
      </c>
      <c r="F46" s="200">
        <v>0.25</v>
      </c>
      <c r="G46" s="419">
        <v>0</v>
      </c>
      <c r="H46" s="419">
        <v>0</v>
      </c>
      <c r="I46" s="200">
        <v>0</v>
      </c>
      <c r="J46" s="200">
        <v>0</v>
      </c>
      <c r="K46" s="200">
        <v>0</v>
      </c>
      <c r="L46" s="419">
        <v>0.2</v>
      </c>
      <c r="M46" s="419">
        <v>0.2</v>
      </c>
      <c r="N46" s="419">
        <v>0.3</v>
      </c>
      <c r="O46" s="419">
        <v>0.3</v>
      </c>
      <c r="P46" s="419">
        <v>0.3</v>
      </c>
      <c r="Q46" s="200">
        <v>0.5</v>
      </c>
      <c r="R46" s="200">
        <v>0.4</v>
      </c>
      <c r="S46" s="200">
        <v>0.4</v>
      </c>
      <c r="T46" s="200">
        <v>0.3</v>
      </c>
      <c r="U46" s="200">
        <v>0.3</v>
      </c>
      <c r="V46" s="200">
        <v>0.3</v>
      </c>
      <c r="W46" s="200">
        <v>0.4</v>
      </c>
      <c r="X46" s="200">
        <v>0.5</v>
      </c>
      <c r="Y46" s="200">
        <v>0.5</v>
      </c>
      <c r="Z46" s="200">
        <v>0.4</v>
      </c>
      <c r="AA46" s="200">
        <v>0.5</v>
      </c>
      <c r="AB46" s="200">
        <v>0.4</v>
      </c>
      <c r="AC46" s="201">
        <v>0.2</v>
      </c>
      <c r="AD46" s="156"/>
      <c r="AE46" s="156"/>
      <c r="AF46" s="156"/>
      <c r="AG46" s="156"/>
      <c r="AH46" s="156"/>
      <c r="AI46" s="156"/>
      <c r="AJ46" s="156"/>
      <c r="AK46" s="156"/>
      <c r="AM46" s="165"/>
    </row>
    <row r="47" spans="1:39" ht="38.700000000000003" customHeight="1" x14ac:dyDescent="0.3">
      <c r="A47" s="959" t="s">
        <v>96</v>
      </c>
      <c r="B47" s="938" t="s">
        <v>96</v>
      </c>
      <c r="C47" s="974" t="s">
        <v>241</v>
      </c>
      <c r="D47" s="925" t="s">
        <v>540</v>
      </c>
      <c r="E47" s="536" t="s">
        <v>529</v>
      </c>
      <c r="F47" s="413">
        <v>0.25</v>
      </c>
      <c r="G47" s="413">
        <v>0</v>
      </c>
      <c r="H47" s="413">
        <v>0</v>
      </c>
      <c r="I47" s="339">
        <v>1</v>
      </c>
      <c r="J47" s="413">
        <v>0.25</v>
      </c>
      <c r="K47" s="422">
        <v>0.25</v>
      </c>
      <c r="L47" s="412">
        <v>0.25</v>
      </c>
      <c r="M47" s="412">
        <v>0.25</v>
      </c>
      <c r="N47" s="412">
        <v>0.25</v>
      </c>
      <c r="O47" s="339">
        <v>0.25</v>
      </c>
      <c r="P47" s="339">
        <v>0.25</v>
      </c>
      <c r="Q47" s="339">
        <v>0.25</v>
      </c>
      <c r="R47" s="339">
        <v>0.25</v>
      </c>
      <c r="S47" s="339">
        <v>0.25</v>
      </c>
      <c r="T47" s="339">
        <v>0.25</v>
      </c>
      <c r="U47" s="339">
        <v>0.25</v>
      </c>
      <c r="V47" s="413">
        <v>0.25</v>
      </c>
      <c r="W47" s="339">
        <v>0.25</v>
      </c>
      <c r="X47" s="339">
        <v>0.25</v>
      </c>
      <c r="Y47" s="339">
        <v>0.25</v>
      </c>
      <c r="Z47" s="339">
        <v>0.25</v>
      </c>
      <c r="AA47" s="339">
        <v>0.25</v>
      </c>
      <c r="AB47" s="339">
        <v>0.25</v>
      </c>
      <c r="AC47" s="340">
        <v>0.25</v>
      </c>
      <c r="AD47" s="156"/>
      <c r="AE47" s="156"/>
      <c r="AF47" s="156"/>
      <c r="AG47" s="156"/>
      <c r="AH47" s="156"/>
      <c r="AI47" s="156"/>
      <c r="AJ47" s="156"/>
      <c r="AK47" s="156"/>
      <c r="AM47" s="165"/>
    </row>
    <row r="48" spans="1:39" ht="38.700000000000003" customHeight="1" x14ac:dyDescent="0.3">
      <c r="A48" s="948"/>
      <c r="B48" s="939"/>
      <c r="C48" s="942"/>
      <c r="D48" s="926"/>
      <c r="E48" s="196" t="s">
        <v>530</v>
      </c>
      <c r="F48" s="418">
        <v>0.25</v>
      </c>
      <c r="G48" s="418">
        <v>0</v>
      </c>
      <c r="H48" s="197">
        <v>0</v>
      </c>
      <c r="I48" s="197">
        <v>1</v>
      </c>
      <c r="J48" s="197">
        <v>1</v>
      </c>
      <c r="K48" s="418">
        <v>0.25</v>
      </c>
      <c r="L48" s="418">
        <v>0.25</v>
      </c>
      <c r="M48" s="418">
        <v>0.25</v>
      </c>
      <c r="N48" s="197">
        <v>0.25</v>
      </c>
      <c r="O48" s="197">
        <v>0.25</v>
      </c>
      <c r="P48" s="197">
        <v>0.25</v>
      </c>
      <c r="Q48" s="197">
        <v>0.25</v>
      </c>
      <c r="R48" s="197">
        <v>0.25</v>
      </c>
      <c r="S48" s="197">
        <v>0.25</v>
      </c>
      <c r="T48" s="197">
        <v>0.25</v>
      </c>
      <c r="U48" s="197">
        <v>0.25</v>
      </c>
      <c r="V48" s="197">
        <v>0.25</v>
      </c>
      <c r="W48" s="197">
        <v>0.25</v>
      </c>
      <c r="X48" s="197">
        <v>0.25</v>
      </c>
      <c r="Y48" s="197">
        <v>0.25</v>
      </c>
      <c r="Z48" s="197">
        <v>0.25</v>
      </c>
      <c r="AA48" s="197">
        <v>0.25</v>
      </c>
      <c r="AB48" s="197">
        <v>0.25</v>
      </c>
      <c r="AC48" s="342">
        <v>0.25</v>
      </c>
      <c r="AD48" s="156"/>
      <c r="AE48" s="156"/>
      <c r="AF48" s="156"/>
      <c r="AG48" s="156"/>
      <c r="AH48" s="156"/>
      <c r="AI48" s="156"/>
      <c r="AJ48" s="156"/>
      <c r="AK48" s="156"/>
      <c r="AM48" s="165"/>
    </row>
    <row r="49" spans="1:41" ht="38.700000000000003" customHeight="1" thickBot="1" x14ac:dyDescent="0.35">
      <c r="A49" s="949"/>
      <c r="B49" s="940"/>
      <c r="C49" s="943"/>
      <c r="D49" s="927"/>
      <c r="E49" s="537" t="s">
        <v>531</v>
      </c>
      <c r="F49" s="421">
        <v>0.25</v>
      </c>
      <c r="G49" s="421">
        <v>0</v>
      </c>
      <c r="H49" s="421">
        <v>0</v>
      </c>
      <c r="I49" s="344">
        <v>1</v>
      </c>
      <c r="J49" s="344">
        <v>1</v>
      </c>
      <c r="K49" s="420">
        <v>0.25</v>
      </c>
      <c r="L49" s="420">
        <v>0.25</v>
      </c>
      <c r="M49" s="420">
        <v>0.25</v>
      </c>
      <c r="N49" s="420">
        <v>0.25</v>
      </c>
      <c r="O49" s="344">
        <v>0.25</v>
      </c>
      <c r="P49" s="344">
        <v>0.25</v>
      </c>
      <c r="Q49" s="344">
        <v>0.25</v>
      </c>
      <c r="R49" s="344">
        <v>0.25</v>
      </c>
      <c r="S49" s="344">
        <v>0.25</v>
      </c>
      <c r="T49" s="344">
        <v>0.25</v>
      </c>
      <c r="U49" s="344">
        <v>0.25</v>
      </c>
      <c r="V49" s="344">
        <v>0.25</v>
      </c>
      <c r="W49" s="344">
        <v>0.25</v>
      </c>
      <c r="X49" s="344">
        <v>0.25</v>
      </c>
      <c r="Y49" s="344">
        <v>0.25</v>
      </c>
      <c r="Z49" s="344">
        <v>0.25</v>
      </c>
      <c r="AA49" s="344">
        <v>0.25</v>
      </c>
      <c r="AB49" s="344">
        <v>0.25</v>
      </c>
      <c r="AC49" s="345">
        <v>0.25</v>
      </c>
      <c r="AD49" s="156"/>
      <c r="AE49" s="156"/>
      <c r="AF49" s="156"/>
      <c r="AG49" s="156"/>
      <c r="AH49" s="156"/>
      <c r="AI49" s="156"/>
      <c r="AJ49" s="156"/>
      <c r="AK49" s="156"/>
      <c r="AM49" s="165"/>
      <c r="AO49" s="223"/>
    </row>
    <row r="50" spans="1:41" ht="38.700000000000003" customHeight="1" x14ac:dyDescent="0.3">
      <c r="A50" s="959" t="s">
        <v>96</v>
      </c>
      <c r="B50" s="938" t="s">
        <v>96</v>
      </c>
      <c r="C50" s="944" t="s">
        <v>546</v>
      </c>
      <c r="D50" s="925" t="s">
        <v>539</v>
      </c>
      <c r="E50" s="208" t="s">
        <v>529</v>
      </c>
      <c r="F50" s="209">
        <v>0</v>
      </c>
      <c r="G50" s="209">
        <v>0</v>
      </c>
      <c r="H50" s="209">
        <v>0</v>
      </c>
      <c r="I50" s="209">
        <v>0</v>
      </c>
      <c r="J50" s="209">
        <v>0</v>
      </c>
      <c r="K50" s="423">
        <v>1</v>
      </c>
      <c r="L50" s="209">
        <v>1</v>
      </c>
      <c r="M50" s="209">
        <v>1</v>
      </c>
      <c r="N50" s="209">
        <v>1</v>
      </c>
      <c r="O50" s="209">
        <v>1</v>
      </c>
      <c r="P50" s="209">
        <v>1</v>
      </c>
      <c r="Q50" s="209">
        <v>1</v>
      </c>
      <c r="R50" s="209">
        <v>1</v>
      </c>
      <c r="S50" s="209">
        <v>1</v>
      </c>
      <c r="T50" s="209">
        <v>1</v>
      </c>
      <c r="U50" s="209">
        <v>1</v>
      </c>
      <c r="V50" s="209">
        <v>1</v>
      </c>
      <c r="W50" s="209">
        <v>1</v>
      </c>
      <c r="X50" s="209">
        <v>1</v>
      </c>
      <c r="Y50" s="209">
        <v>0</v>
      </c>
      <c r="Z50" s="209">
        <v>0</v>
      </c>
      <c r="AA50" s="209">
        <v>0</v>
      </c>
      <c r="AB50" s="209">
        <v>0</v>
      </c>
      <c r="AC50" s="210">
        <v>0</v>
      </c>
      <c r="AD50" s="156"/>
      <c r="AE50" s="156"/>
      <c r="AF50" s="156"/>
      <c r="AG50" s="156"/>
      <c r="AH50" s="156"/>
      <c r="AI50" s="156"/>
      <c r="AJ50" s="156"/>
      <c r="AK50" s="156"/>
      <c r="AM50" s="165"/>
    </row>
    <row r="51" spans="1:41" ht="38.700000000000003" customHeight="1" x14ac:dyDescent="0.3">
      <c r="A51" s="948"/>
      <c r="B51" s="939"/>
      <c r="C51" s="945"/>
      <c r="D51" s="926"/>
      <c r="E51" s="211" t="s">
        <v>530</v>
      </c>
      <c r="F51" s="212">
        <v>0</v>
      </c>
      <c r="G51" s="212">
        <v>0</v>
      </c>
      <c r="H51" s="212">
        <v>0</v>
      </c>
      <c r="I51" s="212">
        <v>0</v>
      </c>
      <c r="J51" s="212">
        <v>0</v>
      </c>
      <c r="K51" s="212">
        <v>0</v>
      </c>
      <c r="L51" s="424">
        <v>1</v>
      </c>
      <c r="M51" s="424">
        <v>1</v>
      </c>
      <c r="N51" s="212">
        <v>1</v>
      </c>
      <c r="O51" s="212">
        <v>1</v>
      </c>
      <c r="P51" s="212">
        <v>1</v>
      </c>
      <c r="Q51" s="212">
        <v>1</v>
      </c>
      <c r="R51" s="212">
        <v>1</v>
      </c>
      <c r="S51" s="212">
        <v>1</v>
      </c>
      <c r="T51" s="212">
        <v>1</v>
      </c>
      <c r="U51" s="212">
        <v>1</v>
      </c>
      <c r="V51" s="212">
        <v>1</v>
      </c>
      <c r="W51" s="212">
        <v>1</v>
      </c>
      <c r="X51" s="212">
        <v>1</v>
      </c>
      <c r="Y51" s="212">
        <v>0</v>
      </c>
      <c r="Z51" s="212">
        <v>0</v>
      </c>
      <c r="AA51" s="212">
        <v>0</v>
      </c>
      <c r="AB51" s="212">
        <v>0</v>
      </c>
      <c r="AC51" s="213">
        <v>0</v>
      </c>
      <c r="AD51" s="156"/>
      <c r="AE51" s="156"/>
      <c r="AF51" s="156"/>
      <c r="AG51" s="156"/>
      <c r="AH51" s="156"/>
      <c r="AI51" s="156"/>
      <c r="AJ51" s="156"/>
      <c r="AK51" s="156"/>
      <c r="AM51" s="165"/>
    </row>
    <row r="52" spans="1:41" ht="38.700000000000003" customHeight="1" thickBot="1" x14ac:dyDescent="0.35">
      <c r="A52" s="949"/>
      <c r="B52" s="940"/>
      <c r="C52" s="946"/>
      <c r="D52" s="927"/>
      <c r="E52" s="214" t="s">
        <v>531</v>
      </c>
      <c r="F52" s="215">
        <v>0</v>
      </c>
      <c r="G52" s="215">
        <v>0</v>
      </c>
      <c r="H52" s="215">
        <v>0</v>
      </c>
      <c r="I52" s="215">
        <v>0</v>
      </c>
      <c r="J52" s="215">
        <v>0</v>
      </c>
      <c r="K52" s="215">
        <v>0</v>
      </c>
      <c r="L52" s="425">
        <v>1</v>
      </c>
      <c r="M52" s="425">
        <v>1</v>
      </c>
      <c r="N52" s="425">
        <v>1</v>
      </c>
      <c r="O52" s="215">
        <v>1</v>
      </c>
      <c r="P52" s="215">
        <v>1</v>
      </c>
      <c r="Q52" s="215">
        <v>1</v>
      </c>
      <c r="R52" s="215">
        <v>1</v>
      </c>
      <c r="S52" s="215">
        <v>1</v>
      </c>
      <c r="T52" s="215">
        <v>1</v>
      </c>
      <c r="U52" s="215">
        <v>1</v>
      </c>
      <c r="V52" s="215">
        <v>1</v>
      </c>
      <c r="W52" s="215">
        <v>1</v>
      </c>
      <c r="X52" s="215">
        <v>1</v>
      </c>
      <c r="Y52" s="215">
        <v>0</v>
      </c>
      <c r="Z52" s="215">
        <v>0</v>
      </c>
      <c r="AA52" s="215">
        <v>0</v>
      </c>
      <c r="AB52" s="215">
        <v>0</v>
      </c>
      <c r="AC52" s="216">
        <v>0</v>
      </c>
      <c r="AD52" s="156"/>
      <c r="AE52" s="156"/>
      <c r="AF52" s="156"/>
      <c r="AG52" s="156"/>
      <c r="AH52" s="156"/>
      <c r="AI52" s="156"/>
      <c r="AJ52" s="156"/>
      <c r="AK52" s="156"/>
      <c r="AM52" s="165"/>
      <c r="AO52" s="223"/>
    </row>
    <row r="53" spans="1:41" ht="38.700000000000003" customHeight="1" x14ac:dyDescent="0.3">
      <c r="A53" s="959" t="s">
        <v>96</v>
      </c>
      <c r="B53" s="938" t="s">
        <v>96</v>
      </c>
      <c r="C53" s="974" t="s">
        <v>547</v>
      </c>
      <c r="D53" s="925" t="s">
        <v>548</v>
      </c>
      <c r="E53" s="193" t="s">
        <v>529</v>
      </c>
      <c r="F53" s="273">
        <v>0</v>
      </c>
      <c r="G53" s="273">
        <v>0</v>
      </c>
      <c r="H53" s="273">
        <v>0</v>
      </c>
      <c r="I53" s="273">
        <v>0</v>
      </c>
      <c r="J53" s="273">
        <v>0</v>
      </c>
      <c r="K53" s="234">
        <v>1</v>
      </c>
      <c r="L53" s="273">
        <v>0.5</v>
      </c>
      <c r="M53" s="273">
        <v>1</v>
      </c>
      <c r="N53" s="273">
        <v>0.5</v>
      </c>
      <c r="O53" s="273">
        <v>1</v>
      </c>
      <c r="P53" s="273">
        <v>0.5</v>
      </c>
      <c r="Q53" s="273">
        <v>1</v>
      </c>
      <c r="R53" s="273">
        <v>0.5</v>
      </c>
      <c r="S53" s="273">
        <v>1</v>
      </c>
      <c r="T53" s="273">
        <v>0.5</v>
      </c>
      <c r="U53" s="273">
        <v>1</v>
      </c>
      <c r="V53" s="273">
        <v>0.5</v>
      </c>
      <c r="W53" s="273">
        <v>1</v>
      </c>
      <c r="X53" s="273">
        <v>0.5</v>
      </c>
      <c r="Y53" s="273">
        <v>0</v>
      </c>
      <c r="Z53" s="273">
        <v>0</v>
      </c>
      <c r="AA53" s="273">
        <v>0</v>
      </c>
      <c r="AB53" s="273">
        <v>0</v>
      </c>
      <c r="AC53" s="274">
        <v>0</v>
      </c>
      <c r="AD53" s="156"/>
      <c r="AE53" s="156"/>
      <c r="AF53" s="156"/>
      <c r="AG53" s="156"/>
      <c r="AH53" s="156"/>
      <c r="AI53" s="156"/>
      <c r="AJ53" s="156"/>
      <c r="AK53" s="156"/>
      <c r="AM53" s="165"/>
      <c r="AO53" s="223"/>
    </row>
    <row r="54" spans="1:41" ht="38.700000000000003" customHeight="1" x14ac:dyDescent="0.3">
      <c r="A54" s="948"/>
      <c r="B54" s="939"/>
      <c r="C54" s="942"/>
      <c r="D54" s="926"/>
      <c r="E54" s="196" t="s">
        <v>530</v>
      </c>
      <c r="F54" s="275">
        <v>0</v>
      </c>
      <c r="G54" s="275">
        <v>0</v>
      </c>
      <c r="H54" s="275">
        <v>0</v>
      </c>
      <c r="I54" s="275">
        <v>0</v>
      </c>
      <c r="J54" s="275">
        <v>0</v>
      </c>
      <c r="K54" s="275">
        <v>0</v>
      </c>
      <c r="L54" s="417">
        <v>0.5</v>
      </c>
      <c r="M54" s="418">
        <v>1</v>
      </c>
      <c r="N54" s="418">
        <v>0.5</v>
      </c>
      <c r="O54" s="275">
        <v>1</v>
      </c>
      <c r="P54" s="275">
        <v>0.5</v>
      </c>
      <c r="Q54" s="275">
        <v>1</v>
      </c>
      <c r="R54" s="275">
        <v>0.5</v>
      </c>
      <c r="S54" s="275">
        <v>1</v>
      </c>
      <c r="T54" s="275">
        <v>0.5</v>
      </c>
      <c r="U54" s="275">
        <v>1</v>
      </c>
      <c r="V54" s="275">
        <v>0.5</v>
      </c>
      <c r="W54" s="275">
        <v>1</v>
      </c>
      <c r="X54" s="275">
        <v>0.5</v>
      </c>
      <c r="Y54" s="275">
        <v>0</v>
      </c>
      <c r="Z54" s="275">
        <v>0</v>
      </c>
      <c r="AA54" s="275">
        <v>0</v>
      </c>
      <c r="AB54" s="275">
        <v>0</v>
      </c>
      <c r="AC54" s="276">
        <v>0</v>
      </c>
      <c r="AD54" s="156"/>
      <c r="AE54" s="156"/>
      <c r="AF54" s="156"/>
      <c r="AG54" s="156"/>
      <c r="AH54" s="156"/>
      <c r="AI54" s="156"/>
      <c r="AJ54" s="156"/>
      <c r="AK54" s="156"/>
      <c r="AM54" s="165"/>
      <c r="AO54" s="223"/>
    </row>
    <row r="55" spans="1:41" ht="38.700000000000003" customHeight="1" thickBot="1" x14ac:dyDescent="0.35">
      <c r="A55" s="949"/>
      <c r="B55" s="940"/>
      <c r="C55" s="943"/>
      <c r="D55" s="927"/>
      <c r="E55" s="202" t="s">
        <v>531</v>
      </c>
      <c r="F55" s="279">
        <v>0</v>
      </c>
      <c r="G55" s="279">
        <v>0</v>
      </c>
      <c r="H55" s="279">
        <v>0</v>
      </c>
      <c r="I55" s="279">
        <v>0</v>
      </c>
      <c r="J55" s="279">
        <v>0</v>
      </c>
      <c r="K55" s="279">
        <v>0</v>
      </c>
      <c r="L55" s="426">
        <v>0.5</v>
      </c>
      <c r="M55" s="426">
        <v>1</v>
      </c>
      <c r="N55" s="426">
        <v>0.5</v>
      </c>
      <c r="O55" s="279">
        <v>1</v>
      </c>
      <c r="P55" s="279">
        <v>0.5</v>
      </c>
      <c r="Q55" s="279">
        <v>1</v>
      </c>
      <c r="R55" s="279">
        <v>0.5</v>
      </c>
      <c r="S55" s="279">
        <v>1</v>
      </c>
      <c r="T55" s="279">
        <v>0.5</v>
      </c>
      <c r="U55" s="279">
        <v>1</v>
      </c>
      <c r="V55" s="279">
        <v>0.5</v>
      </c>
      <c r="W55" s="279">
        <v>1</v>
      </c>
      <c r="X55" s="279">
        <v>0.5</v>
      </c>
      <c r="Y55" s="279">
        <v>0</v>
      </c>
      <c r="Z55" s="279">
        <v>0</v>
      </c>
      <c r="AA55" s="279">
        <v>0</v>
      </c>
      <c r="AB55" s="279">
        <v>0</v>
      </c>
      <c r="AC55" s="280">
        <v>0</v>
      </c>
      <c r="AD55" s="156"/>
      <c r="AE55" s="156"/>
      <c r="AF55" s="156"/>
      <c r="AG55" s="156"/>
      <c r="AH55" s="156"/>
      <c r="AI55" s="156"/>
      <c r="AJ55" s="156"/>
      <c r="AK55" s="156"/>
      <c r="AM55" s="165"/>
      <c r="AO55" s="223"/>
    </row>
    <row r="56" spans="1:41" ht="38.700000000000003" customHeight="1" x14ac:dyDescent="0.3">
      <c r="A56" s="959" t="s">
        <v>96</v>
      </c>
      <c r="B56" s="938" t="s">
        <v>96</v>
      </c>
      <c r="C56" s="944" t="s">
        <v>541</v>
      </c>
      <c r="D56" s="925" t="s">
        <v>542</v>
      </c>
      <c r="E56" s="208" t="s">
        <v>529</v>
      </c>
      <c r="F56" s="209">
        <v>0.9</v>
      </c>
      <c r="G56" s="209">
        <v>0.9</v>
      </c>
      <c r="H56" s="209">
        <v>0.9</v>
      </c>
      <c r="I56" s="209">
        <v>0.9</v>
      </c>
      <c r="J56" s="209">
        <v>0.9</v>
      </c>
      <c r="K56" s="209">
        <v>0.9</v>
      </c>
      <c r="L56" s="209">
        <v>0.9</v>
      </c>
      <c r="M56" s="209">
        <v>0.9</v>
      </c>
      <c r="N56" s="209">
        <v>0.9</v>
      </c>
      <c r="O56" s="209">
        <v>0.9</v>
      </c>
      <c r="P56" s="209">
        <v>0.9</v>
      </c>
      <c r="Q56" s="209">
        <v>0.9</v>
      </c>
      <c r="R56" s="209">
        <v>0.9</v>
      </c>
      <c r="S56" s="209">
        <v>0.9</v>
      </c>
      <c r="T56" s="209">
        <v>0.9</v>
      </c>
      <c r="U56" s="209">
        <v>0.9</v>
      </c>
      <c r="V56" s="209">
        <v>0.9</v>
      </c>
      <c r="W56" s="209">
        <v>0.9</v>
      </c>
      <c r="X56" s="209">
        <v>0.9</v>
      </c>
      <c r="Y56" s="209">
        <v>0.9</v>
      </c>
      <c r="Z56" s="209">
        <v>0.9</v>
      </c>
      <c r="AA56" s="209">
        <v>0.9</v>
      </c>
      <c r="AB56" s="209">
        <v>0.9</v>
      </c>
      <c r="AC56" s="210">
        <v>0.9</v>
      </c>
      <c r="AD56" s="156"/>
      <c r="AE56" s="156"/>
      <c r="AF56" s="156"/>
      <c r="AG56" s="156"/>
      <c r="AH56" s="156"/>
      <c r="AI56" s="156"/>
      <c r="AJ56" s="156"/>
      <c r="AK56" s="156"/>
      <c r="AM56" s="165"/>
      <c r="AO56" s="223"/>
    </row>
    <row r="57" spans="1:41" ht="38.700000000000003" customHeight="1" x14ac:dyDescent="0.3">
      <c r="A57" s="948"/>
      <c r="B57" s="939"/>
      <c r="C57" s="945"/>
      <c r="D57" s="926"/>
      <c r="E57" s="211" t="s">
        <v>530</v>
      </c>
      <c r="F57" s="212">
        <v>0.9</v>
      </c>
      <c r="G57" s="212">
        <v>0.9</v>
      </c>
      <c r="H57" s="212">
        <v>0.9</v>
      </c>
      <c r="I57" s="212">
        <v>0.9</v>
      </c>
      <c r="J57" s="212">
        <v>0.9</v>
      </c>
      <c r="K57" s="212">
        <v>0.9</v>
      </c>
      <c r="L57" s="212">
        <v>0.9</v>
      </c>
      <c r="M57" s="212">
        <v>0.9</v>
      </c>
      <c r="N57" s="212">
        <v>0.9</v>
      </c>
      <c r="O57" s="212">
        <v>0.9</v>
      </c>
      <c r="P57" s="212">
        <v>0.9</v>
      </c>
      <c r="Q57" s="212">
        <v>0.9</v>
      </c>
      <c r="R57" s="212">
        <v>0.9</v>
      </c>
      <c r="S57" s="212">
        <v>0.9</v>
      </c>
      <c r="T57" s="212">
        <v>0.9</v>
      </c>
      <c r="U57" s="212">
        <v>0.9</v>
      </c>
      <c r="V57" s="212">
        <v>0.9</v>
      </c>
      <c r="W57" s="212">
        <v>0.9</v>
      </c>
      <c r="X57" s="212">
        <v>0.9</v>
      </c>
      <c r="Y57" s="212">
        <v>0.9</v>
      </c>
      <c r="Z57" s="212">
        <v>0.9</v>
      </c>
      <c r="AA57" s="212">
        <v>0.9</v>
      </c>
      <c r="AB57" s="212">
        <v>0.9</v>
      </c>
      <c r="AC57" s="213">
        <v>0.9</v>
      </c>
      <c r="AD57" s="156"/>
      <c r="AE57" s="156"/>
      <c r="AF57" s="156"/>
      <c r="AG57" s="156"/>
      <c r="AH57" s="156"/>
      <c r="AI57" s="156"/>
      <c r="AJ57" s="156"/>
      <c r="AK57" s="156"/>
      <c r="AM57" s="165"/>
      <c r="AO57" s="223"/>
    </row>
    <row r="58" spans="1:41" ht="38.700000000000003" customHeight="1" thickBot="1" x14ac:dyDescent="0.35">
      <c r="A58" s="949"/>
      <c r="B58" s="940"/>
      <c r="C58" s="951"/>
      <c r="D58" s="927"/>
      <c r="E58" s="217" t="s">
        <v>531</v>
      </c>
      <c r="F58" s="218">
        <v>0.9</v>
      </c>
      <c r="G58" s="218">
        <v>0.9</v>
      </c>
      <c r="H58" s="218">
        <v>0.9</v>
      </c>
      <c r="I58" s="218">
        <v>0.9</v>
      </c>
      <c r="J58" s="218">
        <v>0.9</v>
      </c>
      <c r="K58" s="218">
        <v>0.9</v>
      </c>
      <c r="L58" s="218">
        <v>0.9</v>
      </c>
      <c r="M58" s="218">
        <v>0.9</v>
      </c>
      <c r="N58" s="218">
        <v>0.9</v>
      </c>
      <c r="O58" s="218">
        <v>0.9</v>
      </c>
      <c r="P58" s="218">
        <v>0.9</v>
      </c>
      <c r="Q58" s="218">
        <v>0.9</v>
      </c>
      <c r="R58" s="218">
        <v>0.9</v>
      </c>
      <c r="S58" s="218">
        <v>0.9</v>
      </c>
      <c r="T58" s="218">
        <v>0.9</v>
      </c>
      <c r="U58" s="218">
        <v>0.9</v>
      </c>
      <c r="V58" s="218">
        <v>0.9</v>
      </c>
      <c r="W58" s="218">
        <v>0.9</v>
      </c>
      <c r="X58" s="218">
        <v>0.9</v>
      </c>
      <c r="Y58" s="218">
        <v>0.9</v>
      </c>
      <c r="Z58" s="218">
        <v>0.9</v>
      </c>
      <c r="AA58" s="218">
        <v>0.9</v>
      </c>
      <c r="AB58" s="218">
        <v>0.9</v>
      </c>
      <c r="AC58" s="219">
        <v>0.9</v>
      </c>
      <c r="AD58" s="156"/>
      <c r="AE58" s="156"/>
      <c r="AF58" s="156"/>
      <c r="AG58" s="156"/>
      <c r="AH58" s="156"/>
      <c r="AI58" s="156"/>
      <c r="AJ58" s="156"/>
      <c r="AK58" s="156"/>
      <c r="AM58" s="165"/>
      <c r="AO58" s="223"/>
    </row>
    <row r="59" spans="1:41" ht="38.700000000000003" customHeight="1" x14ac:dyDescent="0.3">
      <c r="A59" s="959" t="s">
        <v>96</v>
      </c>
      <c r="B59" s="938" t="s">
        <v>96</v>
      </c>
      <c r="C59" s="950" t="s">
        <v>549</v>
      </c>
      <c r="D59" s="925" t="s">
        <v>550</v>
      </c>
      <c r="E59" s="220" t="s">
        <v>529</v>
      </c>
      <c r="F59" s="609">
        <v>0</v>
      </c>
      <c r="G59" s="609">
        <v>0</v>
      </c>
      <c r="H59" s="609">
        <v>0</v>
      </c>
      <c r="I59" s="609">
        <v>0</v>
      </c>
      <c r="J59" s="609">
        <v>0</v>
      </c>
      <c r="K59" s="609">
        <v>0</v>
      </c>
      <c r="L59" s="609">
        <v>0.3</v>
      </c>
      <c r="M59" s="609">
        <v>0.5</v>
      </c>
      <c r="N59" s="609">
        <v>0.5</v>
      </c>
      <c r="O59" s="609">
        <v>0.5</v>
      </c>
      <c r="P59" s="609">
        <v>0.8</v>
      </c>
      <c r="Q59" s="609">
        <v>0.8</v>
      </c>
      <c r="R59" s="609">
        <v>0.9</v>
      </c>
      <c r="S59" s="609">
        <v>0.9</v>
      </c>
      <c r="T59" s="609">
        <v>0.5</v>
      </c>
      <c r="U59" s="609">
        <v>0.5</v>
      </c>
      <c r="V59" s="609">
        <v>0.5</v>
      </c>
      <c r="W59" s="609">
        <v>0.9</v>
      </c>
      <c r="X59" s="609">
        <v>0.9</v>
      </c>
      <c r="Y59" s="609">
        <v>0.9</v>
      </c>
      <c r="Z59" s="609">
        <v>0.8</v>
      </c>
      <c r="AA59" s="609">
        <v>0.4</v>
      </c>
      <c r="AB59" s="609">
        <v>0.2</v>
      </c>
      <c r="AC59" s="610">
        <v>0.2</v>
      </c>
      <c r="AD59" s="156"/>
      <c r="AE59" s="156"/>
      <c r="AF59" s="156">
        <f>SUM(F59:AC59)*5+SUM(F60:AC61)</f>
        <v>77</v>
      </c>
      <c r="AG59" s="156">
        <f>AF59*52</f>
        <v>4004</v>
      </c>
      <c r="AH59" s="156"/>
      <c r="AI59" s="156"/>
      <c r="AJ59" s="156"/>
      <c r="AK59" s="156"/>
      <c r="AM59" s="165"/>
      <c r="AO59" s="223"/>
    </row>
    <row r="60" spans="1:41" ht="38.700000000000003" customHeight="1" x14ac:dyDescent="0.3">
      <c r="A60" s="948"/>
      <c r="B60" s="939"/>
      <c r="C60" s="945"/>
      <c r="D60" s="926"/>
      <c r="E60" s="211" t="s">
        <v>530</v>
      </c>
      <c r="F60" s="609">
        <v>0</v>
      </c>
      <c r="G60" s="611">
        <v>0</v>
      </c>
      <c r="H60" s="611">
        <v>0</v>
      </c>
      <c r="I60" s="611">
        <v>0</v>
      </c>
      <c r="J60" s="611">
        <v>0</v>
      </c>
      <c r="K60" s="611">
        <v>0</v>
      </c>
      <c r="L60" s="609">
        <v>0.3</v>
      </c>
      <c r="M60" s="611">
        <v>0.5</v>
      </c>
      <c r="N60" s="611">
        <v>0.5</v>
      </c>
      <c r="O60" s="611">
        <v>0.5</v>
      </c>
      <c r="P60" s="609">
        <v>0.8</v>
      </c>
      <c r="Q60" s="609">
        <v>0.8</v>
      </c>
      <c r="R60" s="611">
        <v>0.9</v>
      </c>
      <c r="S60" s="611">
        <v>0.9</v>
      </c>
      <c r="T60" s="609">
        <v>0.5</v>
      </c>
      <c r="U60" s="609">
        <v>0.5</v>
      </c>
      <c r="V60" s="609">
        <v>0.5</v>
      </c>
      <c r="W60" s="609">
        <v>0.9</v>
      </c>
      <c r="X60" s="609">
        <v>0.9</v>
      </c>
      <c r="Y60" s="609">
        <v>0.9</v>
      </c>
      <c r="Z60" s="609">
        <v>0.8</v>
      </c>
      <c r="AA60" s="609">
        <v>0.4</v>
      </c>
      <c r="AB60" s="609">
        <v>0.2</v>
      </c>
      <c r="AC60" s="610">
        <v>0.2</v>
      </c>
      <c r="AD60" s="156"/>
      <c r="AE60" s="156"/>
      <c r="AG60" s="165">
        <f>(SUM(F38:AC38)*5+SUM(F39:AC40))*52</f>
        <v>5292.56</v>
      </c>
      <c r="AH60" s="156"/>
      <c r="AI60" s="156"/>
      <c r="AJ60" s="156"/>
      <c r="AK60" s="156"/>
      <c r="AM60" s="165"/>
      <c r="AO60" s="223"/>
    </row>
    <row r="61" spans="1:41" ht="38.700000000000003" customHeight="1" thickBot="1" x14ac:dyDescent="0.35">
      <c r="A61" s="949"/>
      <c r="B61" s="940"/>
      <c r="C61" s="951"/>
      <c r="D61" s="927"/>
      <c r="E61" s="217" t="s">
        <v>531</v>
      </c>
      <c r="F61" s="609">
        <v>0</v>
      </c>
      <c r="G61" s="612">
        <v>0</v>
      </c>
      <c r="H61" s="612">
        <v>0</v>
      </c>
      <c r="I61" s="612">
        <v>0</v>
      </c>
      <c r="J61" s="612">
        <v>0</v>
      </c>
      <c r="K61" s="612">
        <v>0</v>
      </c>
      <c r="L61" s="609">
        <v>0.3</v>
      </c>
      <c r="M61" s="612">
        <v>0.5</v>
      </c>
      <c r="N61" s="612">
        <v>0.5</v>
      </c>
      <c r="O61" s="612">
        <v>0.5</v>
      </c>
      <c r="P61" s="609">
        <v>0.8</v>
      </c>
      <c r="Q61" s="609">
        <v>0.8</v>
      </c>
      <c r="R61" s="612">
        <v>0.9</v>
      </c>
      <c r="S61" s="612">
        <v>0.9</v>
      </c>
      <c r="T61" s="609">
        <v>0.5</v>
      </c>
      <c r="U61" s="609">
        <v>0.5</v>
      </c>
      <c r="V61" s="609">
        <v>0.5</v>
      </c>
      <c r="W61" s="609">
        <v>0.9</v>
      </c>
      <c r="X61" s="609">
        <v>0.9</v>
      </c>
      <c r="Y61" s="609">
        <v>0.9</v>
      </c>
      <c r="Z61" s="609">
        <v>0.8</v>
      </c>
      <c r="AA61" s="609">
        <v>0.4</v>
      </c>
      <c r="AB61" s="609">
        <v>0.2</v>
      </c>
      <c r="AC61" s="610">
        <v>0.2</v>
      </c>
      <c r="AD61" s="156"/>
      <c r="AE61" s="156"/>
      <c r="AF61" s="156"/>
      <c r="AG61" s="156"/>
      <c r="AH61" s="156"/>
      <c r="AI61" s="156"/>
      <c r="AJ61" s="156"/>
      <c r="AK61" s="156"/>
      <c r="AM61" s="165"/>
      <c r="AO61" s="223"/>
    </row>
    <row r="62" spans="1:41" ht="38.700000000000003" customHeight="1" x14ac:dyDescent="0.3">
      <c r="A62" s="962" t="str">
        <f>A56</f>
        <v>Kitchen</v>
      </c>
      <c r="B62" s="965" t="str">
        <f>B56</f>
        <v>Kitchen</v>
      </c>
      <c r="C62" s="968" t="s">
        <v>543</v>
      </c>
      <c r="D62" s="992" t="s">
        <v>551</v>
      </c>
      <c r="E62" s="538" t="s">
        <v>529</v>
      </c>
      <c r="F62" s="539">
        <f>IF(F41=1,Thermostat!$C$7,Thermostat!$C$8)</f>
        <v>66</v>
      </c>
      <c r="G62" s="539">
        <f>IF(G41=1,Thermostat!$C$7,Thermostat!$C$8)</f>
        <v>60</v>
      </c>
      <c r="H62" s="539">
        <f>IF(H41=1,Thermostat!$C$7,Thermostat!$C$8)</f>
        <v>60</v>
      </c>
      <c r="I62" s="539">
        <f>IF(I41=1,Thermostat!$C$7,Thermostat!$C$8)</f>
        <v>60</v>
      </c>
      <c r="J62" s="539">
        <f>IF(J41=1,Thermostat!$C$7,Thermostat!$C$8)</f>
        <v>66</v>
      </c>
      <c r="K62" s="539">
        <f>IF(K41=1,Thermostat!$C$7,Thermostat!$C$8)</f>
        <v>66</v>
      </c>
      <c r="L62" s="539">
        <f>IF(L41=1,Thermostat!$C$7,Thermostat!$C$8)</f>
        <v>66</v>
      </c>
      <c r="M62" s="539">
        <f>IF(M41=1,Thermostat!$C$7,Thermostat!$C$8)</f>
        <v>66</v>
      </c>
      <c r="N62" s="539">
        <f>IF(N41=1,Thermostat!$C$7,Thermostat!$C$8)</f>
        <v>66</v>
      </c>
      <c r="O62" s="539">
        <f>IF(O41=1,Thermostat!$C$7,Thermostat!$C$8)</f>
        <v>66</v>
      </c>
      <c r="P62" s="539">
        <f>IF(P41=1,Thermostat!$C$7,Thermostat!$C$8)</f>
        <v>66</v>
      </c>
      <c r="Q62" s="539">
        <f>IF(Q41=1,Thermostat!$C$7,Thermostat!$C$8)</f>
        <v>66</v>
      </c>
      <c r="R62" s="539">
        <f>IF(R41=1,Thermostat!$C$7,Thermostat!$C$8)</f>
        <v>66</v>
      </c>
      <c r="S62" s="539">
        <f>IF(S41=1,Thermostat!$C$7,Thermostat!$C$8)</f>
        <v>66</v>
      </c>
      <c r="T62" s="539">
        <f>IF(T41=1,Thermostat!$C$7,Thermostat!$C$8)</f>
        <v>66</v>
      </c>
      <c r="U62" s="539">
        <f>IF(U41=1,Thermostat!$C$7,Thermostat!$C$8)</f>
        <v>66</v>
      </c>
      <c r="V62" s="539">
        <f>IF(V41=1,Thermostat!$C$7,Thermostat!$C$8)</f>
        <v>66</v>
      </c>
      <c r="W62" s="539">
        <f>IF(W41=1,Thermostat!$C$7,Thermostat!$C$8)</f>
        <v>66</v>
      </c>
      <c r="X62" s="539">
        <f>IF(X41=1,Thermostat!$C$7,Thermostat!$C$8)</f>
        <v>66</v>
      </c>
      <c r="Y62" s="539">
        <f>IF(Y41=1,Thermostat!$C$7,Thermostat!$C$8)</f>
        <v>66</v>
      </c>
      <c r="Z62" s="539">
        <f>IF(Z41=1,Thermostat!$C$7,Thermostat!$C$8)</f>
        <v>66</v>
      </c>
      <c r="AA62" s="539">
        <f>IF(AA41=1,Thermostat!$C$7,Thermostat!$C$8)</f>
        <v>66</v>
      </c>
      <c r="AB62" s="539">
        <f>IF(AB41=1,Thermostat!$C$7,Thermostat!$C$8)</f>
        <v>66</v>
      </c>
      <c r="AC62" s="540">
        <f>IF(AC41=1,Thermostat!$C$7,Thermostat!$C$8)</f>
        <v>66</v>
      </c>
      <c r="AD62" s="156"/>
      <c r="AE62" s="156"/>
      <c r="AF62" s="156"/>
      <c r="AG62" s="156"/>
      <c r="AH62" s="156"/>
      <c r="AI62" s="156"/>
      <c r="AJ62" s="156"/>
      <c r="AK62" s="156"/>
      <c r="AM62" s="165"/>
      <c r="AO62" s="223"/>
    </row>
    <row r="63" spans="1:41" ht="38.700000000000003" customHeight="1" x14ac:dyDescent="0.3">
      <c r="A63" s="963"/>
      <c r="B63" s="966"/>
      <c r="C63" s="969"/>
      <c r="D63" s="993"/>
      <c r="E63" s="541" t="s">
        <v>530</v>
      </c>
      <c r="F63" s="524">
        <f>IF(F42=1,Thermostat!$C$7,Thermostat!$C$8)</f>
        <v>66</v>
      </c>
      <c r="G63" s="524">
        <f>IF(G42=1,Thermostat!$C$7,Thermostat!$C$8)</f>
        <v>60</v>
      </c>
      <c r="H63" s="524">
        <f>IF(H42=1,Thermostat!$C$7,Thermostat!$C$8)</f>
        <v>60</v>
      </c>
      <c r="I63" s="524">
        <f>IF(I42=1,Thermostat!$C$7,Thermostat!$C$8)</f>
        <v>60</v>
      </c>
      <c r="J63" s="524">
        <f>IF(J42=1,Thermostat!$C$7,Thermostat!$C$8)</f>
        <v>60</v>
      </c>
      <c r="K63" s="524">
        <f>IF(K42=1,Thermostat!$C$7,Thermostat!$C$8)</f>
        <v>66</v>
      </c>
      <c r="L63" s="524">
        <f>IF(L42=1,Thermostat!$C$7,Thermostat!$C$8)</f>
        <v>66</v>
      </c>
      <c r="M63" s="524">
        <f>IF(M42=1,Thermostat!$C$7,Thermostat!$C$8)</f>
        <v>66</v>
      </c>
      <c r="N63" s="524">
        <f>IF(N42=1,Thermostat!$C$7,Thermostat!$C$8)</f>
        <v>66</v>
      </c>
      <c r="O63" s="524">
        <f>IF(O42=1,Thermostat!$C$7,Thermostat!$C$8)</f>
        <v>66</v>
      </c>
      <c r="P63" s="524">
        <f>IF(P42=1,Thermostat!$C$7,Thermostat!$C$8)</f>
        <v>66</v>
      </c>
      <c r="Q63" s="524">
        <f>IF(Q42=1,Thermostat!$C$7,Thermostat!$C$8)</f>
        <v>66</v>
      </c>
      <c r="R63" s="524">
        <f>IF(R42=1,Thermostat!$C$7,Thermostat!$C$8)</f>
        <v>66</v>
      </c>
      <c r="S63" s="524">
        <f>IF(S42=1,Thermostat!$C$7,Thermostat!$C$8)</f>
        <v>66</v>
      </c>
      <c r="T63" s="524">
        <f>IF(T42=1,Thermostat!$C$7,Thermostat!$C$8)</f>
        <v>66</v>
      </c>
      <c r="U63" s="524">
        <f>IF(U42=1,Thermostat!$C$7,Thermostat!$C$8)</f>
        <v>66</v>
      </c>
      <c r="V63" s="524">
        <f>IF(V42=1,Thermostat!$C$7,Thermostat!$C$8)</f>
        <v>66</v>
      </c>
      <c r="W63" s="524">
        <f>IF(W42=1,Thermostat!$C$7,Thermostat!$C$8)</f>
        <v>66</v>
      </c>
      <c r="X63" s="524">
        <f>IF(X42=1,Thermostat!$C$7,Thermostat!$C$8)</f>
        <v>66</v>
      </c>
      <c r="Y63" s="524">
        <f>IF(Y42=1,Thermostat!$C$7,Thermostat!$C$8)</f>
        <v>66</v>
      </c>
      <c r="Z63" s="524">
        <f>IF(Z42=1,Thermostat!$C$7,Thermostat!$C$8)</f>
        <v>66</v>
      </c>
      <c r="AA63" s="524">
        <f>IF(AA42=1,Thermostat!$C$7,Thermostat!$C$8)</f>
        <v>66</v>
      </c>
      <c r="AB63" s="524">
        <f>IF(AB42=1,Thermostat!$C$7,Thermostat!$C$8)</f>
        <v>66</v>
      </c>
      <c r="AC63" s="542">
        <f>IF(AC42=1,Thermostat!$C$7,Thermostat!$C$8)</f>
        <v>66</v>
      </c>
      <c r="AD63" s="156"/>
      <c r="AE63" s="156"/>
      <c r="AF63" s="156"/>
      <c r="AG63" s="156"/>
      <c r="AH63" s="156"/>
      <c r="AI63" s="156"/>
      <c r="AJ63" s="156"/>
      <c r="AK63" s="156"/>
      <c r="AM63" s="165"/>
      <c r="AO63" s="223"/>
    </row>
    <row r="64" spans="1:41" ht="38.700000000000003" customHeight="1" thickBot="1" x14ac:dyDescent="0.35">
      <c r="A64" s="997"/>
      <c r="B64" s="976"/>
      <c r="C64" s="977"/>
      <c r="D64" s="994"/>
      <c r="E64" s="543" t="s">
        <v>531</v>
      </c>
      <c r="F64" s="524">
        <f>IF(F43=1,Thermostat!$C$7,Thermostat!$C$8)</f>
        <v>66</v>
      </c>
      <c r="G64" s="524">
        <f>IF(G43=1,Thermostat!$C$7,Thermostat!$C$8)</f>
        <v>60</v>
      </c>
      <c r="H64" s="524">
        <f>IF(H43=1,Thermostat!$C$7,Thermostat!$C$8)</f>
        <v>60</v>
      </c>
      <c r="I64" s="524">
        <f>IF(I43=1,Thermostat!$C$7,Thermostat!$C$8)</f>
        <v>60</v>
      </c>
      <c r="J64" s="524">
        <f>IF(J43=1,Thermostat!$C$7,Thermostat!$C$8)</f>
        <v>60</v>
      </c>
      <c r="K64" s="524">
        <f>IF(K43=1,Thermostat!$C$7,Thermostat!$C$8)</f>
        <v>66</v>
      </c>
      <c r="L64" s="524">
        <f>IF(L43=1,Thermostat!$C$7,Thermostat!$C$8)</f>
        <v>66</v>
      </c>
      <c r="M64" s="524">
        <f>IF(M43=1,Thermostat!$C$7,Thermostat!$C$8)</f>
        <v>66</v>
      </c>
      <c r="N64" s="524">
        <f>IF(N43=1,Thermostat!$C$7,Thermostat!$C$8)</f>
        <v>66</v>
      </c>
      <c r="O64" s="524">
        <f>IF(O43=1,Thermostat!$C$7,Thermostat!$C$8)</f>
        <v>66</v>
      </c>
      <c r="P64" s="524">
        <f>IF(P43=1,Thermostat!$C$7,Thermostat!$C$8)</f>
        <v>66</v>
      </c>
      <c r="Q64" s="524">
        <f>IF(Q43=1,Thermostat!$C$7,Thermostat!$C$8)</f>
        <v>66</v>
      </c>
      <c r="R64" s="524">
        <f>IF(R43=1,Thermostat!$C$7,Thermostat!$C$8)</f>
        <v>66</v>
      </c>
      <c r="S64" s="524">
        <f>IF(S43=1,Thermostat!$C$7,Thermostat!$C$8)</f>
        <v>66</v>
      </c>
      <c r="T64" s="524">
        <f>IF(T43=1,Thermostat!$C$7,Thermostat!$C$8)</f>
        <v>66</v>
      </c>
      <c r="U64" s="524">
        <f>IF(U43=1,Thermostat!$C$7,Thermostat!$C$8)</f>
        <v>66</v>
      </c>
      <c r="V64" s="524">
        <f>IF(V43=1,Thermostat!$C$7,Thermostat!$C$8)</f>
        <v>66</v>
      </c>
      <c r="W64" s="524">
        <f>IF(W43=1,Thermostat!$C$7,Thermostat!$C$8)</f>
        <v>66</v>
      </c>
      <c r="X64" s="524">
        <f>IF(X43=1,Thermostat!$C$7,Thermostat!$C$8)</f>
        <v>66</v>
      </c>
      <c r="Y64" s="524">
        <f>IF(Y43=1,Thermostat!$C$7,Thermostat!$C$8)</f>
        <v>66</v>
      </c>
      <c r="Z64" s="524">
        <f>IF(Z43=1,Thermostat!$C$7,Thermostat!$C$8)</f>
        <v>66</v>
      </c>
      <c r="AA64" s="524">
        <f>IF(AA43=1,Thermostat!$C$7,Thermostat!$C$8)</f>
        <v>66</v>
      </c>
      <c r="AB64" s="524">
        <f>IF(AB43=1,Thermostat!$C$7,Thermostat!$C$8)</f>
        <v>66</v>
      </c>
      <c r="AC64" s="542">
        <f>IF(AC43=1,Thermostat!$C$7,Thermostat!$C$8)</f>
        <v>66</v>
      </c>
      <c r="AD64" s="156"/>
      <c r="AE64" s="156"/>
      <c r="AF64" s="156"/>
      <c r="AG64" s="156"/>
      <c r="AH64" s="156"/>
      <c r="AI64" s="156"/>
      <c r="AJ64" s="156"/>
      <c r="AK64" s="156"/>
      <c r="AM64" s="165"/>
      <c r="AO64" s="223"/>
    </row>
    <row r="65" spans="1:41" ht="38.700000000000003" customHeight="1" x14ac:dyDescent="0.3">
      <c r="A65" s="962" t="str">
        <f>A59</f>
        <v>Kitchen</v>
      </c>
      <c r="B65" s="965" t="str">
        <f>B59</f>
        <v>Kitchen</v>
      </c>
      <c r="C65" s="968" t="s">
        <v>544</v>
      </c>
      <c r="D65" s="995" t="s">
        <v>551</v>
      </c>
      <c r="E65" s="544" t="s">
        <v>529</v>
      </c>
      <c r="F65" s="528">
        <f>IF(F41=1,Thermostat!$C$9,Thermostat!$C$10)</f>
        <v>79</v>
      </c>
      <c r="G65" s="528">
        <f>IF(G41=1,Thermostat!$C$9,Thermostat!$C$10)</f>
        <v>86</v>
      </c>
      <c r="H65" s="528">
        <f>IF(H41=1,Thermostat!$C$9,Thermostat!$C$10)</f>
        <v>86</v>
      </c>
      <c r="I65" s="528">
        <f>IF(I41=1,Thermostat!$C$9,Thermostat!$C$10)</f>
        <v>86</v>
      </c>
      <c r="J65" s="528">
        <f>IF(J41=1,Thermostat!$C$9,Thermostat!$C$10)</f>
        <v>79</v>
      </c>
      <c r="K65" s="528">
        <f>IF(K41=1,Thermostat!$C$9,Thermostat!$C$10)</f>
        <v>79</v>
      </c>
      <c r="L65" s="528">
        <f>IF(L41=1,Thermostat!$C$9,Thermostat!$C$10)</f>
        <v>79</v>
      </c>
      <c r="M65" s="528">
        <f>IF(M41=1,Thermostat!$C$9,Thermostat!$C$10)</f>
        <v>79</v>
      </c>
      <c r="N65" s="528">
        <f>IF(N41=1,Thermostat!$C$9,Thermostat!$C$10)</f>
        <v>79</v>
      </c>
      <c r="O65" s="528">
        <f>IF(O41=1,Thermostat!$C$9,Thermostat!$C$10)</f>
        <v>79</v>
      </c>
      <c r="P65" s="528">
        <f>IF(P41=1,Thermostat!$C$9,Thermostat!$C$10)</f>
        <v>79</v>
      </c>
      <c r="Q65" s="528">
        <f>IF(Q41=1,Thermostat!$C$9,Thermostat!$C$10)</f>
        <v>79</v>
      </c>
      <c r="R65" s="528">
        <f>IF(R41=1,Thermostat!$C$9,Thermostat!$C$10)</f>
        <v>79</v>
      </c>
      <c r="S65" s="528">
        <f>IF(S41=1,Thermostat!$C$9,Thermostat!$C$10)</f>
        <v>79</v>
      </c>
      <c r="T65" s="528">
        <f>IF(T41=1,Thermostat!$C$9,Thermostat!$C$10)</f>
        <v>79</v>
      </c>
      <c r="U65" s="528">
        <f>IF(U41=1,Thermostat!$C$9,Thermostat!$C$10)</f>
        <v>79</v>
      </c>
      <c r="V65" s="528">
        <f>IF(V41=1,Thermostat!$C$9,Thermostat!$C$10)</f>
        <v>79</v>
      </c>
      <c r="W65" s="528">
        <f>IF(W41=1,Thermostat!$C$9,Thermostat!$C$10)</f>
        <v>79</v>
      </c>
      <c r="X65" s="528">
        <f>IF(X41=1,Thermostat!$C$9,Thermostat!$C$10)</f>
        <v>79</v>
      </c>
      <c r="Y65" s="528">
        <f>IF(Y41=1,Thermostat!$C$9,Thermostat!$C$10)</f>
        <v>79</v>
      </c>
      <c r="Z65" s="528">
        <f>IF(Z41=1,Thermostat!$C$9,Thermostat!$C$10)</f>
        <v>79</v>
      </c>
      <c r="AA65" s="528">
        <f>IF(AA41=1,Thermostat!$C$9,Thermostat!$C$10)</f>
        <v>79</v>
      </c>
      <c r="AB65" s="528">
        <f>IF(AB41=1,Thermostat!$C$9,Thermostat!$C$10)</f>
        <v>79</v>
      </c>
      <c r="AC65" s="545">
        <f>IF(AC41=1,Thermostat!$C$9,Thermostat!$C$10)</f>
        <v>79</v>
      </c>
      <c r="AD65" s="156"/>
      <c r="AE65" s="156"/>
      <c r="AF65" s="156"/>
      <c r="AG65" s="156"/>
      <c r="AH65" s="156"/>
      <c r="AI65" s="156"/>
      <c r="AJ65" s="156"/>
      <c r="AK65" s="156"/>
      <c r="AM65" s="165"/>
      <c r="AO65" s="223"/>
    </row>
    <row r="66" spans="1:41" ht="38.700000000000003" customHeight="1" x14ac:dyDescent="0.3">
      <c r="A66" s="963"/>
      <c r="B66" s="966"/>
      <c r="C66" s="969"/>
      <c r="D66" s="993"/>
      <c r="E66" s="546" t="s">
        <v>530</v>
      </c>
      <c r="F66" s="531">
        <f>IF(F42=1,Thermostat!$C$9,Thermostat!$C$10)</f>
        <v>79</v>
      </c>
      <c r="G66" s="531">
        <f>IF(G42=1,Thermostat!$C$9,Thermostat!$C$10)</f>
        <v>86</v>
      </c>
      <c r="H66" s="531">
        <f>IF(H42=1,Thermostat!$C$9,Thermostat!$C$10)</f>
        <v>86</v>
      </c>
      <c r="I66" s="531">
        <f>IF(I42=1,Thermostat!$C$9,Thermostat!$C$10)</f>
        <v>86</v>
      </c>
      <c r="J66" s="531">
        <f>IF(J42=1,Thermostat!$C$9,Thermostat!$C$10)</f>
        <v>86</v>
      </c>
      <c r="K66" s="531">
        <f>IF(K42=1,Thermostat!$C$9,Thermostat!$C$10)</f>
        <v>79</v>
      </c>
      <c r="L66" s="531">
        <f>IF(L42=1,Thermostat!$C$9,Thermostat!$C$10)</f>
        <v>79</v>
      </c>
      <c r="M66" s="531">
        <f>IF(M42=1,Thermostat!$C$9,Thermostat!$C$10)</f>
        <v>79</v>
      </c>
      <c r="N66" s="531">
        <f>IF(N42=1,Thermostat!$C$9,Thermostat!$C$10)</f>
        <v>79</v>
      </c>
      <c r="O66" s="531">
        <f>IF(O42=1,Thermostat!$C$9,Thermostat!$C$10)</f>
        <v>79</v>
      </c>
      <c r="P66" s="531">
        <f>IF(P42=1,Thermostat!$C$9,Thermostat!$C$10)</f>
        <v>79</v>
      </c>
      <c r="Q66" s="531">
        <f>IF(Q42=1,Thermostat!$C$9,Thermostat!$C$10)</f>
        <v>79</v>
      </c>
      <c r="R66" s="531">
        <f>IF(R42=1,Thermostat!$C$9,Thermostat!$C$10)</f>
        <v>79</v>
      </c>
      <c r="S66" s="531">
        <f>IF(S42=1,Thermostat!$C$9,Thermostat!$C$10)</f>
        <v>79</v>
      </c>
      <c r="T66" s="531">
        <f>IF(T42=1,Thermostat!$C$9,Thermostat!$C$10)</f>
        <v>79</v>
      </c>
      <c r="U66" s="531">
        <f>IF(U42=1,Thermostat!$C$9,Thermostat!$C$10)</f>
        <v>79</v>
      </c>
      <c r="V66" s="531">
        <f>IF(V42=1,Thermostat!$C$9,Thermostat!$C$10)</f>
        <v>79</v>
      </c>
      <c r="W66" s="531">
        <f>IF(W42=1,Thermostat!$C$9,Thermostat!$C$10)</f>
        <v>79</v>
      </c>
      <c r="X66" s="531">
        <f>IF(X42=1,Thermostat!$C$9,Thermostat!$C$10)</f>
        <v>79</v>
      </c>
      <c r="Y66" s="531">
        <f>IF(Y42=1,Thermostat!$C$9,Thermostat!$C$10)</f>
        <v>79</v>
      </c>
      <c r="Z66" s="531">
        <f>IF(Z42=1,Thermostat!$C$9,Thermostat!$C$10)</f>
        <v>79</v>
      </c>
      <c r="AA66" s="531">
        <f>IF(AA42=1,Thermostat!$C$9,Thermostat!$C$10)</f>
        <v>79</v>
      </c>
      <c r="AB66" s="531">
        <f>IF(AB42=1,Thermostat!$C$9,Thermostat!$C$10)</f>
        <v>79</v>
      </c>
      <c r="AC66" s="547">
        <f>IF(AC42=1,Thermostat!$C$9,Thermostat!$C$10)</f>
        <v>79</v>
      </c>
      <c r="AD66" s="156"/>
      <c r="AE66" s="156"/>
      <c r="AF66" s="156"/>
      <c r="AG66" s="156"/>
      <c r="AH66" s="156"/>
      <c r="AI66" s="156"/>
      <c r="AJ66" s="156"/>
      <c r="AK66" s="156"/>
      <c r="AM66" s="165"/>
      <c r="AO66" s="223"/>
    </row>
    <row r="67" spans="1:41" ht="38.700000000000003" customHeight="1" thickBot="1" x14ac:dyDescent="0.35">
      <c r="A67" s="964"/>
      <c r="B67" s="967"/>
      <c r="C67" s="970"/>
      <c r="D67" s="996"/>
      <c r="E67" s="548" t="s">
        <v>531</v>
      </c>
      <c r="F67" s="549">
        <f>IF(F43=1,Thermostat!$C$9,Thermostat!$C$10)</f>
        <v>79</v>
      </c>
      <c r="G67" s="549">
        <f>IF(G43=1,Thermostat!$C$9,Thermostat!$C$10)</f>
        <v>86</v>
      </c>
      <c r="H67" s="549">
        <f>IF(H43=1,Thermostat!$C$9,Thermostat!$C$10)</f>
        <v>86</v>
      </c>
      <c r="I67" s="549">
        <f>IF(I43=1,Thermostat!$C$9,Thermostat!$C$10)</f>
        <v>86</v>
      </c>
      <c r="J67" s="549">
        <f>IF(J43=1,Thermostat!$C$9,Thermostat!$C$10)</f>
        <v>86</v>
      </c>
      <c r="K67" s="549">
        <f>IF(K43=1,Thermostat!$C$9,Thermostat!$C$10)</f>
        <v>79</v>
      </c>
      <c r="L67" s="549">
        <f>IF(L43=1,Thermostat!$C$9,Thermostat!$C$10)</f>
        <v>79</v>
      </c>
      <c r="M67" s="549">
        <f>IF(M43=1,Thermostat!$C$9,Thermostat!$C$10)</f>
        <v>79</v>
      </c>
      <c r="N67" s="549">
        <f>IF(N43=1,Thermostat!$C$9,Thermostat!$C$10)</f>
        <v>79</v>
      </c>
      <c r="O67" s="549">
        <f>IF(O43=1,Thermostat!$C$9,Thermostat!$C$10)</f>
        <v>79</v>
      </c>
      <c r="P67" s="549">
        <f>IF(P43=1,Thermostat!$C$9,Thermostat!$C$10)</f>
        <v>79</v>
      </c>
      <c r="Q67" s="549">
        <f>IF(Q43=1,Thermostat!$C$9,Thermostat!$C$10)</f>
        <v>79</v>
      </c>
      <c r="R67" s="549">
        <f>IF(R43=1,Thermostat!$C$9,Thermostat!$C$10)</f>
        <v>79</v>
      </c>
      <c r="S67" s="549">
        <f>IF(S43=1,Thermostat!$C$9,Thermostat!$C$10)</f>
        <v>79</v>
      </c>
      <c r="T67" s="549">
        <f>IF(T43=1,Thermostat!$C$9,Thermostat!$C$10)</f>
        <v>79</v>
      </c>
      <c r="U67" s="549">
        <f>IF(U43=1,Thermostat!$C$9,Thermostat!$C$10)</f>
        <v>79</v>
      </c>
      <c r="V67" s="549">
        <f>IF(V43=1,Thermostat!$C$9,Thermostat!$C$10)</f>
        <v>79</v>
      </c>
      <c r="W67" s="549">
        <f>IF(W43=1,Thermostat!$C$9,Thermostat!$C$10)</f>
        <v>79</v>
      </c>
      <c r="X67" s="549">
        <f>IF(X43=1,Thermostat!$C$9,Thermostat!$C$10)</f>
        <v>79</v>
      </c>
      <c r="Y67" s="549">
        <f>IF(Y43=1,Thermostat!$C$9,Thermostat!$C$10)</f>
        <v>79</v>
      </c>
      <c r="Z67" s="549">
        <f>IF(Z43=1,Thermostat!$C$9,Thermostat!$C$10)</f>
        <v>79</v>
      </c>
      <c r="AA67" s="549">
        <f>IF(AA43=1,Thermostat!$C$9,Thermostat!$C$10)</f>
        <v>79</v>
      </c>
      <c r="AB67" s="549">
        <f>IF(AB43=1,Thermostat!$C$9,Thermostat!$C$10)</f>
        <v>79</v>
      </c>
      <c r="AC67" s="550">
        <f>IF(AC43=1,Thermostat!$C$9,Thermostat!$C$10)</f>
        <v>79</v>
      </c>
      <c r="AD67" s="156"/>
      <c r="AE67" s="156"/>
      <c r="AF67" s="156"/>
      <c r="AG67" s="156"/>
      <c r="AH67" s="156"/>
      <c r="AI67" s="156"/>
      <c r="AJ67" s="156"/>
      <c r="AK67" s="156"/>
      <c r="AM67" s="165"/>
      <c r="AO67" s="223"/>
    </row>
    <row r="68" spans="1:41" ht="29.4" customHeight="1" thickBot="1" x14ac:dyDescent="0.35">
      <c r="A68" s="934" t="s">
        <v>552</v>
      </c>
      <c r="B68" s="934"/>
      <c r="C68" s="934"/>
      <c r="D68" s="934"/>
      <c r="E68" s="934"/>
      <c r="F68" s="934"/>
      <c r="G68" s="934"/>
      <c r="H68" s="934"/>
      <c r="I68" s="934"/>
      <c r="J68" s="934"/>
      <c r="K68" s="934"/>
      <c r="L68" s="934"/>
      <c r="M68" s="934"/>
      <c r="N68" s="934"/>
      <c r="O68" s="934"/>
      <c r="P68" s="934"/>
      <c r="Q68" s="934"/>
      <c r="R68" s="934"/>
      <c r="S68" s="934"/>
      <c r="T68" s="934"/>
      <c r="U68" s="934"/>
      <c r="V68" s="934"/>
      <c r="W68" s="934"/>
      <c r="X68" s="934"/>
      <c r="Y68" s="934"/>
      <c r="Z68" s="934"/>
      <c r="AA68" s="934"/>
      <c r="AB68" s="934"/>
      <c r="AC68" s="934"/>
    </row>
    <row r="69" spans="1:41" ht="36" customHeight="1" x14ac:dyDescent="0.3">
      <c r="A69" s="962"/>
      <c r="B69" s="999" t="s">
        <v>158</v>
      </c>
      <c r="C69" s="1002" t="s">
        <v>553</v>
      </c>
      <c r="D69" s="935"/>
      <c r="E69" s="551" t="s">
        <v>529</v>
      </c>
      <c r="F69" s="552">
        <v>1</v>
      </c>
      <c r="G69" s="552">
        <v>1</v>
      </c>
      <c r="H69" s="552">
        <v>1</v>
      </c>
      <c r="I69" s="552">
        <v>1</v>
      </c>
      <c r="J69" s="552">
        <v>1</v>
      </c>
      <c r="K69" s="552">
        <v>1</v>
      </c>
      <c r="L69" s="552">
        <v>1</v>
      </c>
      <c r="M69" s="552">
        <v>1</v>
      </c>
      <c r="N69" s="552">
        <v>1</v>
      </c>
      <c r="O69" s="552">
        <v>1</v>
      </c>
      <c r="P69" s="552">
        <v>1</v>
      </c>
      <c r="Q69" s="552">
        <v>1</v>
      </c>
      <c r="R69" s="552">
        <v>1</v>
      </c>
      <c r="S69" s="552">
        <v>1</v>
      </c>
      <c r="T69" s="552">
        <v>1</v>
      </c>
      <c r="U69" s="552">
        <v>1</v>
      </c>
      <c r="V69" s="552">
        <v>1</v>
      </c>
      <c r="W69" s="552">
        <v>1</v>
      </c>
      <c r="X69" s="552">
        <v>1</v>
      </c>
      <c r="Y69" s="552">
        <v>1</v>
      </c>
      <c r="Z69" s="552">
        <v>1</v>
      </c>
      <c r="AA69" s="552">
        <v>1</v>
      </c>
      <c r="AB69" s="552">
        <v>1</v>
      </c>
      <c r="AC69" s="553">
        <v>1</v>
      </c>
    </row>
    <row r="70" spans="1:41" ht="36" customHeight="1" x14ac:dyDescent="0.3">
      <c r="A70" s="963"/>
      <c r="B70" s="1000"/>
      <c r="C70" s="1003"/>
      <c r="D70" s="936"/>
      <c r="E70" s="554" t="s">
        <v>530</v>
      </c>
      <c r="F70" s="531">
        <v>1</v>
      </c>
      <c r="G70" s="531">
        <v>1</v>
      </c>
      <c r="H70" s="531">
        <v>1</v>
      </c>
      <c r="I70" s="531">
        <v>1</v>
      </c>
      <c r="J70" s="531">
        <v>1</v>
      </c>
      <c r="K70" s="531">
        <v>1</v>
      </c>
      <c r="L70" s="531">
        <v>1</v>
      </c>
      <c r="M70" s="531">
        <v>1</v>
      </c>
      <c r="N70" s="531">
        <v>1</v>
      </c>
      <c r="O70" s="531">
        <v>1</v>
      </c>
      <c r="P70" s="531">
        <v>1</v>
      </c>
      <c r="Q70" s="531">
        <v>1</v>
      </c>
      <c r="R70" s="531">
        <v>1</v>
      </c>
      <c r="S70" s="531">
        <v>1</v>
      </c>
      <c r="T70" s="531">
        <v>1</v>
      </c>
      <c r="U70" s="531">
        <v>1</v>
      </c>
      <c r="V70" s="531">
        <v>1</v>
      </c>
      <c r="W70" s="531">
        <v>1</v>
      </c>
      <c r="X70" s="531">
        <v>1</v>
      </c>
      <c r="Y70" s="531">
        <v>1</v>
      </c>
      <c r="Z70" s="531">
        <v>1</v>
      </c>
      <c r="AA70" s="531">
        <v>1</v>
      </c>
      <c r="AB70" s="531">
        <v>1</v>
      </c>
      <c r="AC70" s="547">
        <v>1</v>
      </c>
    </row>
    <row r="71" spans="1:41" ht="36" customHeight="1" thickBot="1" x14ac:dyDescent="0.35">
      <c r="A71" s="964"/>
      <c r="B71" s="1001"/>
      <c r="C71" s="1004"/>
      <c r="D71" s="937"/>
      <c r="E71" s="555" t="s">
        <v>531</v>
      </c>
      <c r="F71" s="549">
        <v>1</v>
      </c>
      <c r="G71" s="549">
        <v>1</v>
      </c>
      <c r="H71" s="549">
        <v>1</v>
      </c>
      <c r="I71" s="549">
        <v>1</v>
      </c>
      <c r="J71" s="549">
        <v>1</v>
      </c>
      <c r="K71" s="549">
        <v>1</v>
      </c>
      <c r="L71" s="549">
        <v>1</v>
      </c>
      <c r="M71" s="549">
        <v>1</v>
      </c>
      <c r="N71" s="549">
        <v>1</v>
      </c>
      <c r="O71" s="549">
        <v>1</v>
      </c>
      <c r="P71" s="549">
        <v>1</v>
      </c>
      <c r="Q71" s="549">
        <v>1</v>
      </c>
      <c r="R71" s="549">
        <v>1</v>
      </c>
      <c r="S71" s="549">
        <v>1</v>
      </c>
      <c r="T71" s="549">
        <v>1</v>
      </c>
      <c r="U71" s="549">
        <v>1</v>
      </c>
      <c r="V71" s="549">
        <v>1</v>
      </c>
      <c r="W71" s="549">
        <v>1</v>
      </c>
      <c r="X71" s="549">
        <v>1</v>
      </c>
      <c r="Y71" s="549">
        <v>1</v>
      </c>
      <c r="Z71" s="549">
        <v>1</v>
      </c>
      <c r="AA71" s="549">
        <v>1</v>
      </c>
      <c r="AB71" s="549">
        <v>1</v>
      </c>
      <c r="AC71" s="550">
        <v>1</v>
      </c>
    </row>
    <row r="72" spans="1:41" ht="36" customHeight="1" x14ac:dyDescent="0.3">
      <c r="A72" s="1005"/>
      <c r="B72" s="1007" t="s">
        <v>158</v>
      </c>
      <c r="C72" s="1009" t="s">
        <v>554</v>
      </c>
      <c r="D72" s="936"/>
      <c r="E72" s="556" t="s">
        <v>529</v>
      </c>
      <c r="F72" s="557">
        <v>0</v>
      </c>
      <c r="G72" s="557">
        <v>0</v>
      </c>
      <c r="H72" s="557">
        <v>0</v>
      </c>
      <c r="I72" s="557">
        <v>0</v>
      </c>
      <c r="J72" s="557">
        <v>0</v>
      </c>
      <c r="K72" s="557">
        <v>1</v>
      </c>
      <c r="L72" s="557">
        <v>1</v>
      </c>
      <c r="M72" s="557">
        <v>1</v>
      </c>
      <c r="N72" s="557">
        <v>1</v>
      </c>
      <c r="O72" s="557">
        <v>1</v>
      </c>
      <c r="P72" s="557">
        <v>1</v>
      </c>
      <c r="Q72" s="557">
        <v>1</v>
      </c>
      <c r="R72" s="557">
        <v>1</v>
      </c>
      <c r="S72" s="557">
        <v>1</v>
      </c>
      <c r="T72" s="557">
        <v>1</v>
      </c>
      <c r="U72" s="557">
        <v>1</v>
      </c>
      <c r="V72" s="557">
        <v>1</v>
      </c>
      <c r="W72" s="557">
        <v>1</v>
      </c>
      <c r="X72" s="557">
        <v>1</v>
      </c>
      <c r="Y72" s="557">
        <v>1</v>
      </c>
      <c r="Z72" s="557">
        <v>1</v>
      </c>
      <c r="AA72" s="557">
        <v>1</v>
      </c>
      <c r="AB72" s="557">
        <v>0</v>
      </c>
      <c r="AC72" s="558">
        <v>0</v>
      </c>
    </row>
    <row r="73" spans="1:41" ht="36" customHeight="1" x14ac:dyDescent="0.3">
      <c r="A73" s="984"/>
      <c r="B73" s="1000"/>
      <c r="C73" s="1003"/>
      <c r="D73" s="936"/>
      <c r="E73" s="554" t="s">
        <v>530</v>
      </c>
      <c r="F73" s="559">
        <v>0</v>
      </c>
      <c r="G73" s="559">
        <v>0</v>
      </c>
      <c r="H73" s="559">
        <v>0</v>
      </c>
      <c r="I73" s="559">
        <v>0</v>
      </c>
      <c r="J73" s="559">
        <v>0</v>
      </c>
      <c r="K73" s="559">
        <v>1</v>
      </c>
      <c r="L73" s="559">
        <v>1</v>
      </c>
      <c r="M73" s="559">
        <v>1</v>
      </c>
      <c r="N73" s="559">
        <v>1</v>
      </c>
      <c r="O73" s="559">
        <v>1</v>
      </c>
      <c r="P73" s="559">
        <v>1</v>
      </c>
      <c r="Q73" s="559">
        <v>1</v>
      </c>
      <c r="R73" s="559">
        <v>1</v>
      </c>
      <c r="S73" s="559">
        <v>1</v>
      </c>
      <c r="T73" s="559">
        <v>1</v>
      </c>
      <c r="U73" s="559">
        <v>1</v>
      </c>
      <c r="V73" s="559">
        <v>1</v>
      </c>
      <c r="W73" s="559">
        <v>1</v>
      </c>
      <c r="X73" s="559">
        <v>1</v>
      </c>
      <c r="Y73" s="559">
        <v>1</v>
      </c>
      <c r="Z73" s="559">
        <v>1</v>
      </c>
      <c r="AA73" s="559">
        <v>1</v>
      </c>
      <c r="AB73" s="559">
        <v>1</v>
      </c>
      <c r="AC73" s="560">
        <v>1</v>
      </c>
    </row>
    <row r="74" spans="1:41" ht="36" customHeight="1" thickBot="1" x14ac:dyDescent="0.35">
      <c r="A74" s="1006"/>
      <c r="B74" s="1008"/>
      <c r="C74" s="1010"/>
      <c r="D74" s="1011"/>
      <c r="E74" s="561" t="s">
        <v>531</v>
      </c>
      <c r="F74" s="562">
        <v>0</v>
      </c>
      <c r="G74" s="562">
        <v>0</v>
      </c>
      <c r="H74" s="562">
        <v>0</v>
      </c>
      <c r="I74" s="562">
        <v>0</v>
      </c>
      <c r="J74" s="562">
        <v>0</v>
      </c>
      <c r="K74" s="562">
        <v>1</v>
      </c>
      <c r="L74" s="562">
        <v>1</v>
      </c>
      <c r="M74" s="562">
        <v>1</v>
      </c>
      <c r="N74" s="562">
        <v>1</v>
      </c>
      <c r="O74" s="562">
        <v>1</v>
      </c>
      <c r="P74" s="562">
        <v>1</v>
      </c>
      <c r="Q74" s="562">
        <v>1</v>
      </c>
      <c r="R74" s="562">
        <v>1</v>
      </c>
      <c r="S74" s="562">
        <v>1</v>
      </c>
      <c r="T74" s="562">
        <v>1</v>
      </c>
      <c r="U74" s="562">
        <v>1</v>
      </c>
      <c r="V74" s="562">
        <v>1</v>
      </c>
      <c r="W74" s="562">
        <v>1</v>
      </c>
      <c r="X74" s="562">
        <v>1</v>
      </c>
      <c r="Y74" s="562">
        <v>1</v>
      </c>
      <c r="Z74" s="562">
        <v>1</v>
      </c>
      <c r="AA74" s="562">
        <v>1</v>
      </c>
      <c r="AB74" s="562">
        <v>1</v>
      </c>
      <c r="AC74" s="563">
        <v>1</v>
      </c>
    </row>
    <row r="75" spans="1:41" ht="36" customHeight="1" x14ac:dyDescent="0.3">
      <c r="A75" s="959" t="s">
        <v>95</v>
      </c>
      <c r="B75" s="938" t="s">
        <v>158</v>
      </c>
      <c r="C75" s="941" t="s">
        <v>555</v>
      </c>
      <c r="D75" s="995" t="s">
        <v>556</v>
      </c>
      <c r="E75" s="338" t="s">
        <v>529</v>
      </c>
      <c r="F75" s="564">
        <v>161.19999999999999</v>
      </c>
      <c r="G75" s="564">
        <v>161.19999999999999</v>
      </c>
      <c r="H75" s="564">
        <v>161.19999999999999</v>
      </c>
      <c r="I75" s="564">
        <v>161.19999999999999</v>
      </c>
      <c r="J75" s="564">
        <v>161.19999999999999</v>
      </c>
      <c r="K75" s="564">
        <v>161.19999999999999</v>
      </c>
      <c r="L75" s="564">
        <v>161.19999999999999</v>
      </c>
      <c r="M75" s="564">
        <v>161.19999999999999</v>
      </c>
      <c r="N75" s="564">
        <v>161.19999999999999</v>
      </c>
      <c r="O75" s="564">
        <v>161.19999999999999</v>
      </c>
      <c r="P75" s="564">
        <v>161.19999999999999</v>
      </c>
      <c r="Q75" s="564">
        <v>161.19999999999999</v>
      </c>
      <c r="R75" s="564">
        <v>161.19999999999999</v>
      </c>
      <c r="S75" s="564">
        <v>161.19999999999999</v>
      </c>
      <c r="T75" s="564">
        <v>161.19999999999999</v>
      </c>
      <c r="U75" s="564">
        <v>161.19999999999999</v>
      </c>
      <c r="V75" s="564">
        <v>161.19999999999999</v>
      </c>
      <c r="W75" s="564">
        <v>161.19999999999999</v>
      </c>
      <c r="X75" s="564">
        <v>161.19999999999999</v>
      </c>
      <c r="Y75" s="564">
        <v>161.19999999999999</v>
      </c>
      <c r="Z75" s="564">
        <v>161.19999999999999</v>
      </c>
      <c r="AA75" s="564">
        <v>161.19999999999999</v>
      </c>
      <c r="AB75" s="564">
        <v>161.19999999999999</v>
      </c>
      <c r="AC75" s="565">
        <v>161.19999999999999</v>
      </c>
    </row>
    <row r="76" spans="1:41" ht="36" customHeight="1" x14ac:dyDescent="0.3">
      <c r="A76" s="948"/>
      <c r="B76" s="939"/>
      <c r="C76" s="942"/>
      <c r="D76" s="993"/>
      <c r="E76" s="341" t="s">
        <v>530</v>
      </c>
      <c r="F76" s="566">
        <v>161.19999999999999</v>
      </c>
      <c r="G76" s="567">
        <v>161.19999999999999</v>
      </c>
      <c r="H76" s="567">
        <v>161.19999999999999</v>
      </c>
      <c r="I76" s="566">
        <v>161.19999999999999</v>
      </c>
      <c r="J76" s="566">
        <v>161.19999999999999</v>
      </c>
      <c r="K76" s="566">
        <v>161.19999999999999</v>
      </c>
      <c r="L76" s="566">
        <v>161.19999999999999</v>
      </c>
      <c r="M76" s="566">
        <v>161.19999999999999</v>
      </c>
      <c r="N76" s="566">
        <v>161.19999999999999</v>
      </c>
      <c r="O76" s="566">
        <v>161.19999999999999</v>
      </c>
      <c r="P76" s="566">
        <v>161.19999999999999</v>
      </c>
      <c r="Q76" s="566">
        <v>161.19999999999999</v>
      </c>
      <c r="R76" s="566">
        <v>161.19999999999999</v>
      </c>
      <c r="S76" s="566">
        <v>161.19999999999999</v>
      </c>
      <c r="T76" s="566">
        <v>161.19999999999999</v>
      </c>
      <c r="U76" s="566">
        <v>161.19999999999999</v>
      </c>
      <c r="V76" s="566">
        <v>161.19999999999999</v>
      </c>
      <c r="W76" s="566">
        <v>161.19999999999999</v>
      </c>
      <c r="X76" s="566">
        <v>161.19999999999999</v>
      </c>
      <c r="Y76" s="566">
        <v>161.19999999999999</v>
      </c>
      <c r="Z76" s="566">
        <v>161.19999999999999</v>
      </c>
      <c r="AA76" s="566">
        <v>161.19999999999999</v>
      </c>
      <c r="AB76" s="566">
        <v>161.19999999999999</v>
      </c>
      <c r="AC76" s="568">
        <v>161.19999999999999</v>
      </c>
    </row>
    <row r="77" spans="1:41" ht="36" customHeight="1" thickBot="1" x14ac:dyDescent="0.35">
      <c r="A77" s="960"/>
      <c r="B77" s="978"/>
      <c r="C77" s="979"/>
      <c r="D77" s="998"/>
      <c r="E77" s="569" t="s">
        <v>531</v>
      </c>
      <c r="F77" s="570">
        <v>161.19999999999999</v>
      </c>
      <c r="G77" s="571">
        <v>161.19999999999999</v>
      </c>
      <c r="H77" s="571">
        <v>161.19999999999999</v>
      </c>
      <c r="I77" s="570">
        <v>161.19999999999999</v>
      </c>
      <c r="J77" s="570">
        <v>161.19999999999999</v>
      </c>
      <c r="K77" s="570">
        <v>161.19999999999999</v>
      </c>
      <c r="L77" s="570">
        <v>161.19999999999999</v>
      </c>
      <c r="M77" s="570">
        <v>161.19999999999999</v>
      </c>
      <c r="N77" s="570">
        <v>161.19999999999999</v>
      </c>
      <c r="O77" s="570">
        <v>161.19999999999999</v>
      </c>
      <c r="P77" s="570">
        <v>161.19999999999999</v>
      </c>
      <c r="Q77" s="570">
        <v>161.19999999999999</v>
      </c>
      <c r="R77" s="570">
        <v>161.19999999999999</v>
      </c>
      <c r="S77" s="570">
        <v>161.19999999999999</v>
      </c>
      <c r="T77" s="570">
        <v>161.19999999999999</v>
      </c>
      <c r="U77" s="570">
        <v>161.19999999999999</v>
      </c>
      <c r="V77" s="570">
        <v>161.19999999999999</v>
      </c>
      <c r="W77" s="570">
        <v>161.19999999999999</v>
      </c>
      <c r="X77" s="570">
        <v>161.19999999999999</v>
      </c>
      <c r="Y77" s="570">
        <v>161.19999999999999</v>
      </c>
      <c r="Z77" s="570">
        <v>161.19999999999999</v>
      </c>
      <c r="AA77" s="570">
        <v>161.19999999999999</v>
      </c>
      <c r="AB77" s="570">
        <v>161.19999999999999</v>
      </c>
      <c r="AC77" s="572">
        <v>161.19999999999999</v>
      </c>
    </row>
    <row r="78" spans="1:41" ht="36" customHeight="1" x14ac:dyDescent="0.3">
      <c r="A78" s="971" t="s">
        <v>96</v>
      </c>
      <c r="B78" s="938" t="s">
        <v>158</v>
      </c>
      <c r="C78" s="928" t="s">
        <v>557</v>
      </c>
      <c r="D78" s="995" t="s">
        <v>556</v>
      </c>
      <c r="E78" s="193" t="s">
        <v>529</v>
      </c>
      <c r="F78" s="573">
        <v>219.8</v>
      </c>
      <c r="G78" s="573">
        <v>219.8</v>
      </c>
      <c r="H78" s="573">
        <v>219.8</v>
      </c>
      <c r="I78" s="573">
        <v>219.8</v>
      </c>
      <c r="J78" s="573">
        <v>219.8</v>
      </c>
      <c r="K78" s="573">
        <v>219.8</v>
      </c>
      <c r="L78" s="573">
        <v>219.8</v>
      </c>
      <c r="M78" s="573">
        <v>219.8</v>
      </c>
      <c r="N78" s="573">
        <v>219.8</v>
      </c>
      <c r="O78" s="573">
        <v>219.8</v>
      </c>
      <c r="P78" s="573">
        <v>219.8</v>
      </c>
      <c r="Q78" s="573">
        <v>219.8</v>
      </c>
      <c r="R78" s="573">
        <v>219.8</v>
      </c>
      <c r="S78" s="573">
        <v>219.8</v>
      </c>
      <c r="T78" s="573">
        <v>219.8</v>
      </c>
      <c r="U78" s="573">
        <v>219.8</v>
      </c>
      <c r="V78" s="573">
        <v>219.8</v>
      </c>
      <c r="W78" s="573">
        <v>219.8</v>
      </c>
      <c r="X78" s="573">
        <v>219.8</v>
      </c>
      <c r="Y78" s="573">
        <v>219.8</v>
      </c>
      <c r="Z78" s="573">
        <v>219.8</v>
      </c>
      <c r="AA78" s="573">
        <v>219.8</v>
      </c>
      <c r="AB78" s="573">
        <v>219.8</v>
      </c>
      <c r="AC78" s="574">
        <v>219.8</v>
      </c>
    </row>
    <row r="79" spans="1:41" ht="36" customHeight="1" x14ac:dyDescent="0.3">
      <c r="A79" s="972"/>
      <c r="B79" s="939"/>
      <c r="C79" s="929"/>
      <c r="D79" s="993"/>
      <c r="E79" s="196" t="s">
        <v>530</v>
      </c>
      <c r="F79" s="566">
        <v>219.8</v>
      </c>
      <c r="G79" s="566">
        <v>219.8</v>
      </c>
      <c r="H79" s="566">
        <v>219.8</v>
      </c>
      <c r="I79" s="566">
        <v>219.8</v>
      </c>
      <c r="J79" s="566">
        <v>219.8</v>
      </c>
      <c r="K79" s="566">
        <v>219.8</v>
      </c>
      <c r="L79" s="566">
        <v>219.8</v>
      </c>
      <c r="M79" s="566">
        <v>219.8</v>
      </c>
      <c r="N79" s="566">
        <v>219.8</v>
      </c>
      <c r="O79" s="566">
        <v>219.8</v>
      </c>
      <c r="P79" s="566">
        <v>219.8</v>
      </c>
      <c r="Q79" s="566">
        <v>219.8</v>
      </c>
      <c r="R79" s="566">
        <v>219.8</v>
      </c>
      <c r="S79" s="566">
        <v>219.8</v>
      </c>
      <c r="T79" s="566">
        <v>219.8</v>
      </c>
      <c r="U79" s="566">
        <v>219.8</v>
      </c>
      <c r="V79" s="566">
        <v>219.8</v>
      </c>
      <c r="W79" s="566">
        <v>219.8</v>
      </c>
      <c r="X79" s="566">
        <v>219.8</v>
      </c>
      <c r="Y79" s="566">
        <v>219.8</v>
      </c>
      <c r="Z79" s="566">
        <v>219.8</v>
      </c>
      <c r="AA79" s="566">
        <v>219.8</v>
      </c>
      <c r="AB79" s="566">
        <v>219.8</v>
      </c>
      <c r="AC79" s="575">
        <v>219.8</v>
      </c>
    </row>
    <row r="80" spans="1:41" ht="36" customHeight="1" thickBot="1" x14ac:dyDescent="0.35">
      <c r="A80" s="973"/>
      <c r="B80" s="940"/>
      <c r="C80" s="930"/>
      <c r="D80" s="998"/>
      <c r="E80" s="202" t="s">
        <v>531</v>
      </c>
      <c r="F80" s="576">
        <v>219.8</v>
      </c>
      <c r="G80" s="576">
        <v>219.8</v>
      </c>
      <c r="H80" s="576">
        <v>219.8</v>
      </c>
      <c r="I80" s="576">
        <v>219.8</v>
      </c>
      <c r="J80" s="576">
        <v>219.8</v>
      </c>
      <c r="K80" s="576">
        <v>219.8</v>
      </c>
      <c r="L80" s="576">
        <v>219.8</v>
      </c>
      <c r="M80" s="576">
        <v>219.8</v>
      </c>
      <c r="N80" s="576">
        <v>219.8</v>
      </c>
      <c r="O80" s="576">
        <v>219.8</v>
      </c>
      <c r="P80" s="576">
        <v>219.8</v>
      </c>
      <c r="Q80" s="576">
        <v>219.8</v>
      </c>
      <c r="R80" s="576">
        <v>219.8</v>
      </c>
      <c r="S80" s="576">
        <v>219.8</v>
      </c>
      <c r="T80" s="576">
        <v>219.8</v>
      </c>
      <c r="U80" s="576">
        <v>219.8</v>
      </c>
      <c r="V80" s="576">
        <v>219.8</v>
      </c>
      <c r="W80" s="576">
        <v>219.8</v>
      </c>
      <c r="X80" s="576">
        <v>219.8</v>
      </c>
      <c r="Y80" s="576">
        <v>219.8</v>
      </c>
      <c r="Z80" s="576">
        <v>219.8</v>
      </c>
      <c r="AA80" s="576">
        <v>219.8</v>
      </c>
      <c r="AB80" s="576">
        <v>219.8</v>
      </c>
      <c r="AC80" s="577">
        <v>219.8</v>
      </c>
    </row>
    <row r="81" spans="1:29" x14ac:dyDescent="0.3">
      <c r="A81" s="519"/>
      <c r="C81" s="519"/>
      <c r="D81" s="519"/>
      <c r="F81" s="578"/>
      <c r="G81" s="578"/>
      <c r="H81" s="578"/>
      <c r="I81" s="578"/>
      <c r="J81" s="578"/>
      <c r="K81" s="578"/>
      <c r="L81" s="578"/>
      <c r="M81" s="578"/>
      <c r="N81" s="578"/>
      <c r="O81" s="578"/>
      <c r="P81" s="578"/>
      <c r="Q81" s="578"/>
      <c r="R81" s="578"/>
      <c r="S81" s="578"/>
      <c r="T81" s="578"/>
      <c r="U81" s="578"/>
      <c r="V81" s="578"/>
      <c r="W81" s="578"/>
      <c r="X81" s="578"/>
      <c r="Y81" s="578"/>
      <c r="Z81" s="578"/>
      <c r="AA81" s="578"/>
      <c r="AB81" s="578"/>
      <c r="AC81" s="578"/>
    </row>
    <row r="82" spans="1:29" x14ac:dyDescent="0.3">
      <c r="A82" s="519"/>
      <c r="C82" s="519"/>
      <c r="D82" s="519"/>
      <c r="F82" s="578"/>
      <c r="G82" s="578"/>
      <c r="H82" s="578"/>
      <c r="I82" s="578"/>
      <c r="J82" s="578"/>
      <c r="K82" s="578"/>
      <c r="L82" s="578"/>
      <c r="M82" s="578"/>
      <c r="N82" s="578"/>
      <c r="O82" s="578"/>
      <c r="P82" s="578"/>
      <c r="Q82" s="578"/>
      <c r="R82" s="578"/>
      <c r="S82" s="578"/>
      <c r="T82" s="578"/>
      <c r="U82" s="578"/>
      <c r="V82" s="578"/>
      <c r="W82" s="578"/>
      <c r="X82" s="578"/>
      <c r="Y82" s="578"/>
      <c r="Z82" s="578"/>
      <c r="AA82" s="578"/>
      <c r="AB82" s="578"/>
      <c r="AC82" s="578"/>
    </row>
    <row r="83" spans="1:29" x14ac:dyDescent="0.3">
      <c r="A83" s="519"/>
      <c r="C83" s="519"/>
      <c r="D83" s="519"/>
      <c r="F83" s="578"/>
      <c r="G83" s="578"/>
      <c r="H83" s="578"/>
      <c r="I83" s="578"/>
      <c r="J83" s="578"/>
      <c r="K83" s="578"/>
      <c r="L83" s="578"/>
      <c r="M83" s="578"/>
      <c r="N83" s="578"/>
      <c r="O83" s="578"/>
      <c r="P83" s="578"/>
      <c r="Q83" s="578"/>
      <c r="R83" s="578"/>
      <c r="S83" s="578"/>
      <c r="T83" s="578"/>
      <c r="U83" s="578"/>
      <c r="V83" s="578"/>
      <c r="W83" s="578"/>
      <c r="X83" s="578"/>
      <c r="Y83" s="578"/>
      <c r="Z83" s="578"/>
      <c r="AA83" s="578"/>
      <c r="AB83" s="578"/>
      <c r="AC83" s="578"/>
    </row>
    <row r="84" spans="1:29" x14ac:dyDescent="0.3">
      <c r="A84" s="519"/>
      <c r="C84" s="519"/>
      <c r="D84" s="519"/>
      <c r="F84" s="578"/>
      <c r="G84" s="578"/>
      <c r="H84" s="578"/>
      <c r="I84" s="578"/>
      <c r="J84" s="578"/>
      <c r="K84" s="578"/>
      <c r="L84" s="578"/>
      <c r="M84" s="578"/>
      <c r="N84" s="578"/>
      <c r="O84" s="578"/>
      <c r="P84" s="578"/>
      <c r="Q84" s="578"/>
      <c r="R84" s="578"/>
      <c r="S84" s="578"/>
      <c r="T84" s="578"/>
      <c r="U84" s="578"/>
      <c r="V84" s="578"/>
      <c r="W84" s="578"/>
      <c r="X84" s="578"/>
      <c r="Y84" s="578"/>
      <c r="Z84" s="578"/>
      <c r="AA84" s="578"/>
      <c r="AB84" s="578"/>
      <c r="AC84" s="578"/>
    </row>
    <row r="85" spans="1:29" x14ac:dyDescent="0.3">
      <c r="A85" s="519"/>
      <c r="C85" s="519"/>
      <c r="D85" s="519"/>
      <c r="F85" s="578"/>
      <c r="G85" s="578"/>
      <c r="H85" s="578"/>
      <c r="I85" s="578"/>
      <c r="J85" s="578"/>
      <c r="K85" s="578"/>
      <c r="L85" s="578"/>
      <c r="M85" s="578"/>
      <c r="N85" s="578"/>
      <c r="O85" s="578"/>
      <c r="P85" s="578"/>
      <c r="Q85" s="578"/>
      <c r="R85" s="578"/>
      <c r="S85" s="578"/>
      <c r="T85" s="578"/>
      <c r="U85" s="578"/>
      <c r="V85" s="578"/>
      <c r="W85" s="578"/>
      <c r="X85" s="578"/>
      <c r="Y85" s="578"/>
      <c r="Z85" s="578"/>
      <c r="AA85" s="578"/>
      <c r="AB85" s="578"/>
      <c r="AC85" s="578"/>
    </row>
    <row r="86" spans="1:29" x14ac:dyDescent="0.3">
      <c r="A86" s="519"/>
      <c r="C86" s="519"/>
      <c r="D86" s="519"/>
      <c r="F86" s="578"/>
      <c r="G86" s="578"/>
      <c r="H86" s="578"/>
      <c r="I86" s="578"/>
      <c r="J86" s="578"/>
      <c r="K86" s="578"/>
      <c r="L86" s="578"/>
      <c r="M86" s="578"/>
      <c r="N86" s="578"/>
      <c r="O86" s="578"/>
      <c r="P86" s="578"/>
      <c r="Q86" s="578"/>
      <c r="R86" s="578"/>
      <c r="S86" s="578"/>
      <c r="T86" s="578"/>
      <c r="U86" s="578"/>
      <c r="V86" s="578"/>
      <c r="W86" s="578"/>
      <c r="X86" s="578"/>
      <c r="Y86" s="578"/>
      <c r="Z86" s="578"/>
      <c r="AA86" s="578"/>
      <c r="AB86" s="578"/>
      <c r="AC86" s="578"/>
    </row>
    <row r="87" spans="1:29" x14ac:dyDescent="0.3">
      <c r="A87" s="519"/>
      <c r="C87" s="519"/>
      <c r="D87" s="519"/>
      <c r="F87" s="578"/>
      <c r="G87" s="578"/>
      <c r="H87" s="578"/>
      <c r="I87" s="578"/>
      <c r="J87" s="578"/>
      <c r="K87" s="578"/>
      <c r="L87" s="578"/>
      <c r="M87" s="578"/>
      <c r="N87" s="578"/>
      <c r="O87" s="578"/>
      <c r="P87" s="578"/>
      <c r="Q87" s="578"/>
      <c r="R87" s="578"/>
      <c r="S87" s="578"/>
      <c r="T87" s="578"/>
      <c r="U87" s="578"/>
      <c r="V87" s="578"/>
      <c r="W87" s="578"/>
      <c r="X87" s="578"/>
      <c r="Y87" s="578"/>
      <c r="Z87" s="578"/>
      <c r="AA87" s="578"/>
      <c r="AB87" s="578"/>
      <c r="AC87" s="578"/>
    </row>
    <row r="88" spans="1:29" x14ac:dyDescent="0.3">
      <c r="A88" s="519"/>
      <c r="C88" s="519"/>
      <c r="D88" s="519"/>
      <c r="F88" s="578"/>
      <c r="G88" s="578"/>
      <c r="H88" s="578"/>
      <c r="I88" s="578"/>
      <c r="J88" s="578"/>
      <c r="K88" s="578"/>
      <c r="L88" s="578"/>
      <c r="M88" s="578"/>
      <c r="N88" s="578"/>
      <c r="O88" s="578"/>
      <c r="P88" s="578"/>
      <c r="Q88" s="578"/>
      <c r="R88" s="578"/>
      <c r="S88" s="578"/>
      <c r="T88" s="578"/>
      <c r="U88" s="578"/>
      <c r="V88" s="578"/>
      <c r="W88" s="578"/>
      <c r="X88" s="578"/>
      <c r="Y88" s="578"/>
      <c r="Z88" s="578"/>
      <c r="AA88" s="578"/>
      <c r="AB88" s="578"/>
      <c r="AC88" s="578"/>
    </row>
    <row r="89" spans="1:29" x14ac:dyDescent="0.3">
      <c r="A89" s="519"/>
      <c r="C89" s="519"/>
      <c r="D89" s="519"/>
      <c r="F89" s="578"/>
      <c r="G89" s="578"/>
      <c r="H89" s="578"/>
      <c r="I89" s="578"/>
      <c r="J89" s="578"/>
      <c r="K89" s="578"/>
      <c r="L89" s="578"/>
      <c r="M89" s="578"/>
      <c r="N89" s="578"/>
      <c r="O89" s="578"/>
      <c r="P89" s="578"/>
      <c r="Q89" s="578"/>
      <c r="R89" s="578"/>
      <c r="S89" s="578"/>
      <c r="T89" s="578"/>
      <c r="U89" s="578"/>
      <c r="V89" s="578"/>
      <c r="W89" s="578"/>
      <c r="X89" s="578"/>
      <c r="Y89" s="578"/>
      <c r="Z89" s="578"/>
      <c r="AA89" s="578"/>
      <c r="AB89" s="578"/>
      <c r="AC89" s="578"/>
    </row>
    <row r="90" spans="1:29" s="141" customFormat="1" ht="13.2" hidden="1" x14ac:dyDescent="0.25">
      <c r="A90" s="141" t="s">
        <v>520</v>
      </c>
      <c r="E90" s="142"/>
      <c r="F90" s="143"/>
      <c r="G90" s="144"/>
    </row>
    <row r="91" spans="1:29" hidden="1" x14ac:dyDescent="0.3"/>
    <row r="92" spans="1:29" hidden="1" x14ac:dyDescent="0.3"/>
    <row r="93" spans="1:29" hidden="1" x14ac:dyDescent="0.3">
      <c r="B93" s="911" t="s">
        <v>527</v>
      </c>
      <c r="C93" s="352" t="s">
        <v>558</v>
      </c>
      <c r="D93" s="911" t="s">
        <v>96</v>
      </c>
      <c r="E93" s="911" t="s">
        <v>529</v>
      </c>
      <c r="F93" s="353" cm="1">
        <f t="array" ref="F93:AC93">_xlfn._xlws.FILTER($F$124:$AC$189,($B$124:$B$189=$B$93)*($C$124:$C$189=C93)*(($D$124:$D$189=$D$93) + ($D$124:$D$189="All zones"))*($E$124:$E$189=$E$93),"No match")</f>
        <v>0.15</v>
      </c>
      <c r="G93" s="352">
        <v>0.15</v>
      </c>
      <c r="H93" s="352">
        <v>0.05</v>
      </c>
      <c r="I93" s="352">
        <v>0</v>
      </c>
      <c r="J93" s="352">
        <v>0</v>
      </c>
      <c r="K93" s="352">
        <v>0</v>
      </c>
      <c r="L93" s="352">
        <v>0</v>
      </c>
      <c r="M93" s="352">
        <v>0.05</v>
      </c>
      <c r="N93" s="352">
        <v>0.05</v>
      </c>
      <c r="O93" s="352">
        <v>0.05</v>
      </c>
      <c r="P93" s="352">
        <v>0.2</v>
      </c>
      <c r="Q93" s="352">
        <v>0.5</v>
      </c>
      <c r="R93" s="352">
        <v>0.8</v>
      </c>
      <c r="S93" s="352">
        <v>0.7</v>
      </c>
      <c r="T93" s="352">
        <v>0.4</v>
      </c>
      <c r="U93" s="352">
        <v>0.2</v>
      </c>
      <c r="V93" s="352">
        <v>0.25</v>
      </c>
      <c r="W93" s="352">
        <v>0.5</v>
      </c>
      <c r="X93" s="352">
        <v>0.8</v>
      </c>
      <c r="Y93" s="352">
        <v>0.8</v>
      </c>
      <c r="Z93" s="352">
        <v>0.8</v>
      </c>
      <c r="AA93" s="352">
        <v>0.5</v>
      </c>
      <c r="AB93" s="352">
        <v>0.35</v>
      </c>
      <c r="AC93" s="352">
        <v>0.2</v>
      </c>
    </row>
    <row r="94" spans="1:29" hidden="1" x14ac:dyDescent="0.3">
      <c r="B94" s="911"/>
      <c r="C94" s="354" t="s">
        <v>559</v>
      </c>
      <c r="D94" s="911"/>
      <c r="E94" s="911"/>
      <c r="F94" s="353" cm="1">
        <f t="array" ref="F94:AC94">_xlfn._xlws.FILTER($F$124:$AC$189,($B$124:$B$189=$B$93)*($C$124:$C$189=C94)*(($D$124:$D$189=$D$93) + ($D$124:$D$189="All zones"))*($E$124:$E$189=$E$93),"No match")</f>
        <v>0</v>
      </c>
      <c r="G94" s="354">
        <v>0</v>
      </c>
      <c r="H94" s="354">
        <v>0</v>
      </c>
      <c r="I94" s="354">
        <v>0</v>
      </c>
      <c r="J94" s="354">
        <v>0</v>
      </c>
      <c r="K94" s="354">
        <v>0</v>
      </c>
      <c r="L94" s="354">
        <v>0.25</v>
      </c>
      <c r="M94" s="354">
        <v>0.75</v>
      </c>
      <c r="N94" s="354">
        <v>0.9</v>
      </c>
      <c r="O94" s="354">
        <v>0.9</v>
      </c>
      <c r="P94" s="354">
        <v>0.9</v>
      </c>
      <c r="Q94" s="354">
        <v>0.9</v>
      </c>
      <c r="R94" s="354">
        <v>0.9</v>
      </c>
      <c r="S94" s="354">
        <v>0.9</v>
      </c>
      <c r="T94" s="354">
        <v>0.75</v>
      </c>
      <c r="U94" s="354">
        <v>0.25</v>
      </c>
      <c r="V94" s="354">
        <v>0.25</v>
      </c>
      <c r="W94" s="354">
        <v>0.75</v>
      </c>
      <c r="X94" s="354">
        <v>0.9</v>
      </c>
      <c r="Y94" s="354">
        <v>0.9</v>
      </c>
      <c r="Z94" s="354">
        <v>0.9</v>
      </c>
      <c r="AA94" s="354">
        <v>0.9</v>
      </c>
      <c r="AB94" s="354">
        <v>0.75</v>
      </c>
      <c r="AC94" s="354">
        <v>0.25</v>
      </c>
    </row>
    <row r="95" spans="1:29" hidden="1" x14ac:dyDescent="0.3">
      <c r="B95" s="911"/>
      <c r="C95" s="352" t="s">
        <v>560</v>
      </c>
      <c r="D95" s="911"/>
      <c r="E95" s="911"/>
      <c r="F95" s="353" t="str" cm="1">
        <f t="array" ref="F95">_xlfn._xlws.FILTER($F$124:$AC$189,($B$124:$B$189=$B$93)*($C$124:$C$189=C95)*(($D$124:$D$189=$D$93) + ($D$124:$D$189="All zones"))*($E$124:$E$189=$E$93),"No match")</f>
        <v>No match</v>
      </c>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row>
    <row r="96" spans="1:29" hidden="1" x14ac:dyDescent="0.3">
      <c r="B96" s="911"/>
      <c r="C96" s="354" t="s">
        <v>561</v>
      </c>
      <c r="D96" s="911"/>
      <c r="E96" s="911"/>
      <c r="F96" s="353" cm="1">
        <f t="array" ref="F96:AC96">_xlfn._xlws.FILTER($F$124:$AC$189,($B$124:$B$189=$B$93)*($C$124:$C$189=C96)*(($D$124:$D$189=$D$93) + ($D$124:$D$189="All zones"))*($E$124:$E$189=$E$93),"No match")</f>
        <v>0.15</v>
      </c>
      <c r="G96" s="354">
        <v>0.15</v>
      </c>
      <c r="H96" s="354">
        <v>0.05</v>
      </c>
      <c r="I96" s="354">
        <v>0</v>
      </c>
      <c r="J96" s="354">
        <v>0</v>
      </c>
      <c r="K96" s="354">
        <v>0</v>
      </c>
      <c r="L96" s="354">
        <v>0</v>
      </c>
      <c r="M96" s="354">
        <v>0.05</v>
      </c>
      <c r="N96" s="354">
        <v>0.05</v>
      </c>
      <c r="O96" s="354">
        <v>0.05</v>
      </c>
      <c r="P96" s="354">
        <v>0.2</v>
      </c>
      <c r="Q96" s="354">
        <v>0.5</v>
      </c>
      <c r="R96" s="354">
        <v>0.8</v>
      </c>
      <c r="S96" s="354">
        <v>0.7</v>
      </c>
      <c r="T96" s="354">
        <v>0.4</v>
      </c>
      <c r="U96" s="354">
        <v>0.2</v>
      </c>
      <c r="V96" s="354">
        <v>0.25</v>
      </c>
      <c r="W96" s="354">
        <v>0.5</v>
      </c>
      <c r="X96" s="354">
        <v>0.8</v>
      </c>
      <c r="Y96" s="354">
        <v>0.8</v>
      </c>
      <c r="Z96" s="354">
        <v>0.8</v>
      </c>
      <c r="AA96" s="354">
        <v>0.5</v>
      </c>
      <c r="AB96" s="354">
        <v>0.35</v>
      </c>
      <c r="AC96" s="354">
        <v>0.2</v>
      </c>
    </row>
    <row r="97" spans="2:29" hidden="1" x14ac:dyDescent="0.3">
      <c r="B97" s="911"/>
      <c r="C97" s="352" t="s">
        <v>562</v>
      </c>
      <c r="D97" s="911"/>
      <c r="E97" s="911"/>
      <c r="F97" s="353" cm="1">
        <f t="array" ref="F97:AC97">_xlfn._xlws.FILTER($F$124:$AC$189,($B$124:$B$189=$B$93)*($C$124:$C$189=C97)*(($D$124:$D$189=$D$93) + ($D$124:$D$189="All zones"))*($E$124:$E$189=$E$93),"No match")</f>
        <v>0.05</v>
      </c>
      <c r="G97" s="354">
        <v>0</v>
      </c>
      <c r="H97" s="354">
        <v>0</v>
      </c>
      <c r="I97" s="354">
        <v>0</v>
      </c>
      <c r="J97" s="354">
        <v>0</v>
      </c>
      <c r="K97" s="354">
        <v>0.05</v>
      </c>
      <c r="L97" s="354">
        <v>0.1</v>
      </c>
      <c r="M97" s="354">
        <v>0.4</v>
      </c>
      <c r="N97" s="354">
        <v>0.4</v>
      </c>
      <c r="O97" s="354">
        <v>0.4</v>
      </c>
      <c r="P97" s="354">
        <v>0.2</v>
      </c>
      <c r="Q97" s="354">
        <v>0.5</v>
      </c>
      <c r="R97" s="354">
        <v>0.8</v>
      </c>
      <c r="S97" s="354">
        <v>0.7</v>
      </c>
      <c r="T97" s="354">
        <v>0.4</v>
      </c>
      <c r="U97" s="354">
        <v>0.2</v>
      </c>
      <c r="V97" s="354">
        <v>0.25</v>
      </c>
      <c r="W97" s="354">
        <v>0.5</v>
      </c>
      <c r="X97" s="354">
        <v>0.8</v>
      </c>
      <c r="Y97" s="354">
        <v>0.8</v>
      </c>
      <c r="Z97" s="354">
        <v>0.8</v>
      </c>
      <c r="AA97" s="354">
        <v>0.5</v>
      </c>
      <c r="AB97" s="354">
        <v>0.35</v>
      </c>
      <c r="AC97" s="354">
        <v>0.2</v>
      </c>
    </row>
    <row r="98" spans="2:29" hidden="1" x14ac:dyDescent="0.3">
      <c r="B98" s="911"/>
      <c r="C98" s="352" t="s">
        <v>563</v>
      </c>
      <c r="D98" s="911"/>
      <c r="E98" s="911"/>
      <c r="F98" s="353" cm="1">
        <f t="array" ref="F98:AC98">_xlfn._xlws.FILTER($F$124:$AC$189,($B$124:$B$189=$B$93)*($C$124:$C$189=C98)*(($D$124:$D$189=$D$93) + ($D$124:$D$189="All zones"))*($E$124:$E$189=$E$93),"No match")</f>
        <v>0.05</v>
      </c>
      <c r="G98" s="352">
        <v>0</v>
      </c>
      <c r="H98" s="352">
        <v>0</v>
      </c>
      <c r="I98" s="352">
        <v>0</v>
      </c>
      <c r="J98" s="352">
        <v>0</v>
      </c>
      <c r="K98" s="352">
        <v>0.05</v>
      </c>
      <c r="L98" s="352">
        <v>0.1</v>
      </c>
      <c r="M98" s="352">
        <v>0.4</v>
      </c>
      <c r="N98" s="352">
        <v>0.4</v>
      </c>
      <c r="O98" s="352">
        <v>0.4</v>
      </c>
      <c r="P98" s="352">
        <v>0.2</v>
      </c>
      <c r="Q98" s="352">
        <v>0.5</v>
      </c>
      <c r="R98" s="352">
        <v>0.8</v>
      </c>
      <c r="S98" s="352">
        <v>0.7</v>
      </c>
      <c r="T98" s="352">
        <v>0.4</v>
      </c>
      <c r="U98" s="352">
        <v>0.2</v>
      </c>
      <c r="V98" s="352">
        <v>0.25</v>
      </c>
      <c r="W98" s="352">
        <v>0.5</v>
      </c>
      <c r="X98" s="352">
        <v>0.8</v>
      </c>
      <c r="Y98" s="352">
        <v>0.8</v>
      </c>
      <c r="Z98" s="352">
        <v>0.8</v>
      </c>
      <c r="AA98" s="352">
        <v>0.5</v>
      </c>
      <c r="AB98" s="352">
        <v>0.35</v>
      </c>
      <c r="AC98" s="352">
        <v>0.2</v>
      </c>
    </row>
    <row r="99" spans="2:29" hidden="1" x14ac:dyDescent="0.3"/>
    <row r="100" spans="2:29" hidden="1" x14ac:dyDescent="0.3">
      <c r="B100" s="154" t="str">
        <f>B93&amp;" -  "&amp;D93&amp; " - "&amp;E93</f>
        <v>Occupancy -  Kitchen - Weekday</v>
      </c>
    </row>
    <row r="101" spans="2:29" hidden="1" x14ac:dyDescent="0.3"/>
    <row r="102" spans="2:29" hidden="1" x14ac:dyDescent="0.3"/>
    <row r="103" spans="2:29" hidden="1" x14ac:dyDescent="0.3"/>
    <row r="104" spans="2:29" hidden="1" x14ac:dyDescent="0.3"/>
    <row r="105" spans="2:29" hidden="1" x14ac:dyDescent="0.3"/>
    <row r="106" spans="2:29" hidden="1" x14ac:dyDescent="0.3"/>
    <row r="107" spans="2:29" hidden="1" x14ac:dyDescent="0.3"/>
    <row r="108" spans="2:29" hidden="1" x14ac:dyDescent="0.3"/>
    <row r="109" spans="2:29" hidden="1" x14ac:dyDescent="0.3"/>
    <row r="110" spans="2:29" hidden="1" x14ac:dyDescent="0.3"/>
    <row r="111" spans="2:29" hidden="1" x14ac:dyDescent="0.3"/>
    <row r="112" spans="2:29" hidden="1" x14ac:dyDescent="0.3"/>
    <row r="113" spans="2:33" hidden="1" x14ac:dyDescent="0.3"/>
    <row r="114" spans="2:33" hidden="1" x14ac:dyDescent="0.3"/>
    <row r="115" spans="2:33" hidden="1" x14ac:dyDescent="0.3"/>
    <row r="116" spans="2:33" hidden="1" x14ac:dyDescent="0.3"/>
    <row r="117" spans="2:33" hidden="1" x14ac:dyDescent="0.3"/>
    <row r="118" spans="2:33" hidden="1" x14ac:dyDescent="0.3"/>
    <row r="119" spans="2:33" hidden="1" x14ac:dyDescent="0.3"/>
    <row r="120" spans="2:33" hidden="1" x14ac:dyDescent="0.3"/>
    <row r="121" spans="2:33" hidden="1" x14ac:dyDescent="0.3"/>
    <row r="122" spans="2:33" hidden="1" x14ac:dyDescent="0.3"/>
    <row r="123" spans="2:33" ht="15.6" hidden="1" x14ac:dyDescent="0.3">
      <c r="B123" s="230" t="s">
        <v>564</v>
      </c>
      <c r="S123" s="347" t="s">
        <v>565</v>
      </c>
      <c r="T123" s="348"/>
      <c r="U123" s="348"/>
      <c r="V123" s="348"/>
      <c r="W123" s="348"/>
      <c r="X123" s="348"/>
      <c r="Y123" s="348"/>
      <c r="Z123" s="348"/>
      <c r="AA123" s="348"/>
      <c r="AB123" s="348"/>
      <c r="AC123" s="348"/>
      <c r="AD123" s="348"/>
      <c r="AE123" s="348"/>
      <c r="AF123" s="348"/>
      <c r="AG123" s="348"/>
    </row>
    <row r="124" spans="2:33" ht="15.6" hidden="1" x14ac:dyDescent="0.3">
      <c r="B124" s="365" t="s">
        <v>566</v>
      </c>
      <c r="C124" s="366" t="s">
        <v>563</v>
      </c>
      <c r="D124" s="367" t="s">
        <v>567</v>
      </c>
      <c r="E124" s="397" t="s">
        <v>529</v>
      </c>
      <c r="F124" s="441">
        <f>F10</f>
        <v>0.15</v>
      </c>
      <c r="G124" s="369">
        <f t="shared" ref="G124:AC126" si="2">G10</f>
        <v>0.15</v>
      </c>
      <c r="H124" s="369">
        <f t="shared" si="2"/>
        <v>0.15</v>
      </c>
      <c r="I124" s="369">
        <f t="shared" si="2"/>
        <v>0.15</v>
      </c>
      <c r="J124" s="369">
        <f t="shared" si="2"/>
        <v>0.15</v>
      </c>
      <c r="K124" s="369">
        <f t="shared" si="2"/>
        <v>0.2</v>
      </c>
      <c r="L124" s="369">
        <f t="shared" si="2"/>
        <v>0.3</v>
      </c>
      <c r="M124" s="369">
        <f t="shared" si="2"/>
        <v>0.72</v>
      </c>
      <c r="N124" s="369">
        <f t="shared" si="2"/>
        <v>0.78</v>
      </c>
      <c r="O124" s="369">
        <f t="shared" si="2"/>
        <v>0.8</v>
      </c>
      <c r="P124" s="369">
        <f t="shared" si="2"/>
        <v>0.9</v>
      </c>
      <c r="Q124" s="369">
        <f t="shared" si="2"/>
        <v>0.9</v>
      </c>
      <c r="R124" s="369">
        <f t="shared" si="2"/>
        <v>0.9</v>
      </c>
      <c r="S124" s="369">
        <f t="shared" si="2"/>
        <v>0.88</v>
      </c>
      <c r="T124" s="369">
        <f t="shared" si="2"/>
        <v>0.77</v>
      </c>
      <c r="U124" s="369">
        <f t="shared" si="2"/>
        <v>0.7</v>
      </c>
      <c r="V124" s="369">
        <f t="shared" si="2"/>
        <v>0.72</v>
      </c>
      <c r="W124" s="369">
        <f t="shared" si="2"/>
        <v>0.8</v>
      </c>
      <c r="X124" s="369">
        <f t="shared" si="2"/>
        <v>0.9</v>
      </c>
      <c r="Y124" s="369">
        <f t="shared" si="2"/>
        <v>0.9</v>
      </c>
      <c r="Z124" s="369">
        <f t="shared" si="2"/>
        <v>0.9</v>
      </c>
      <c r="AA124" s="369">
        <f t="shared" si="2"/>
        <v>0.8</v>
      </c>
      <c r="AB124" s="369">
        <f t="shared" si="2"/>
        <v>0.62</v>
      </c>
      <c r="AC124" s="370">
        <f t="shared" si="2"/>
        <v>0.3</v>
      </c>
      <c r="AD124" s="348"/>
      <c r="AE124" s="348"/>
      <c r="AF124" s="348"/>
      <c r="AG124" s="348"/>
    </row>
    <row r="125" spans="2:33" ht="15.6" hidden="1" x14ac:dyDescent="0.3">
      <c r="B125" s="371" t="s">
        <v>566</v>
      </c>
      <c r="C125" s="357" t="s">
        <v>563</v>
      </c>
      <c r="D125" s="358" t="s">
        <v>567</v>
      </c>
      <c r="E125" s="398" t="s">
        <v>530</v>
      </c>
      <c r="F125" s="442">
        <f t="shared" ref="F125:U126" si="3">F11</f>
        <v>0.15</v>
      </c>
      <c r="G125" s="359">
        <f t="shared" si="3"/>
        <v>0.15</v>
      </c>
      <c r="H125" s="359">
        <f t="shared" si="3"/>
        <v>0.15</v>
      </c>
      <c r="I125" s="359">
        <f t="shared" si="3"/>
        <v>0.15</v>
      </c>
      <c r="J125" s="359">
        <f t="shared" si="3"/>
        <v>0.15</v>
      </c>
      <c r="K125" s="359">
        <f t="shared" si="3"/>
        <v>0.2</v>
      </c>
      <c r="L125" s="359">
        <f t="shared" si="3"/>
        <v>0.3</v>
      </c>
      <c r="M125" s="359">
        <f t="shared" si="3"/>
        <v>0.72</v>
      </c>
      <c r="N125" s="359">
        <f t="shared" si="3"/>
        <v>0.78</v>
      </c>
      <c r="O125" s="359">
        <f t="shared" si="3"/>
        <v>0.8</v>
      </c>
      <c r="P125" s="359">
        <f t="shared" si="3"/>
        <v>0.9</v>
      </c>
      <c r="Q125" s="359">
        <f t="shared" si="3"/>
        <v>0.9</v>
      </c>
      <c r="R125" s="359">
        <f t="shared" si="3"/>
        <v>0.9</v>
      </c>
      <c r="S125" s="359">
        <f t="shared" si="3"/>
        <v>0.88</v>
      </c>
      <c r="T125" s="359">
        <f t="shared" si="3"/>
        <v>0.77</v>
      </c>
      <c r="U125" s="359">
        <f t="shared" si="3"/>
        <v>0.7</v>
      </c>
      <c r="V125" s="359">
        <f t="shared" si="2"/>
        <v>0.72</v>
      </c>
      <c r="W125" s="359">
        <f t="shared" si="2"/>
        <v>0.8</v>
      </c>
      <c r="X125" s="359">
        <f t="shared" si="2"/>
        <v>0.9</v>
      </c>
      <c r="Y125" s="359">
        <f t="shared" si="2"/>
        <v>0.9</v>
      </c>
      <c r="Z125" s="359">
        <f t="shared" si="2"/>
        <v>0.9</v>
      </c>
      <c r="AA125" s="359">
        <f t="shared" si="2"/>
        <v>0.8</v>
      </c>
      <c r="AB125" s="359">
        <f t="shared" si="2"/>
        <v>0.62</v>
      </c>
      <c r="AC125" s="372">
        <f t="shared" si="2"/>
        <v>0.3</v>
      </c>
      <c r="AD125" s="348"/>
      <c r="AE125" s="348"/>
      <c r="AF125" s="348"/>
      <c r="AG125" s="348"/>
    </row>
    <row r="126" spans="2:33" ht="15.6" hidden="1" x14ac:dyDescent="0.3">
      <c r="B126" s="373" t="s">
        <v>566</v>
      </c>
      <c r="C126" s="374" t="s">
        <v>563</v>
      </c>
      <c r="D126" s="375" t="s">
        <v>567</v>
      </c>
      <c r="E126" s="399" t="s">
        <v>531</v>
      </c>
      <c r="F126" s="443">
        <f t="shared" si="3"/>
        <v>0.2</v>
      </c>
      <c r="G126" s="377">
        <f t="shared" si="2"/>
        <v>0.15</v>
      </c>
      <c r="H126" s="377">
        <f t="shared" si="2"/>
        <v>0.15</v>
      </c>
      <c r="I126" s="377">
        <f t="shared" si="2"/>
        <v>0.15</v>
      </c>
      <c r="J126" s="377">
        <f t="shared" si="2"/>
        <v>0.15</v>
      </c>
      <c r="K126" s="377">
        <f t="shared" si="2"/>
        <v>0.15</v>
      </c>
      <c r="L126" s="377">
        <f t="shared" si="2"/>
        <v>0.3</v>
      </c>
      <c r="M126" s="377">
        <f t="shared" si="2"/>
        <v>0.72</v>
      </c>
      <c r="N126" s="377">
        <f t="shared" si="2"/>
        <v>0.78</v>
      </c>
      <c r="O126" s="377">
        <f t="shared" si="2"/>
        <v>0.8</v>
      </c>
      <c r="P126" s="377">
        <f t="shared" si="2"/>
        <v>0.9</v>
      </c>
      <c r="Q126" s="377">
        <f t="shared" si="2"/>
        <v>0.9</v>
      </c>
      <c r="R126" s="377">
        <f t="shared" si="2"/>
        <v>0.9</v>
      </c>
      <c r="S126" s="377">
        <f t="shared" si="2"/>
        <v>0.88</v>
      </c>
      <c r="T126" s="377">
        <f t="shared" si="2"/>
        <v>0.77</v>
      </c>
      <c r="U126" s="377">
        <f t="shared" si="2"/>
        <v>0.7</v>
      </c>
      <c r="V126" s="377">
        <f t="shared" si="2"/>
        <v>0.72</v>
      </c>
      <c r="W126" s="377">
        <f t="shared" si="2"/>
        <v>0.8</v>
      </c>
      <c r="X126" s="377">
        <f t="shared" si="2"/>
        <v>0.9</v>
      </c>
      <c r="Y126" s="377">
        <f t="shared" si="2"/>
        <v>0.9</v>
      </c>
      <c r="Z126" s="377">
        <f t="shared" si="2"/>
        <v>0.9</v>
      </c>
      <c r="AA126" s="377">
        <f t="shared" si="2"/>
        <v>0.8</v>
      </c>
      <c r="AB126" s="377">
        <f t="shared" si="2"/>
        <v>0.62</v>
      </c>
      <c r="AC126" s="378">
        <f t="shared" si="2"/>
        <v>0.3</v>
      </c>
      <c r="AD126" s="348"/>
      <c r="AE126" s="348"/>
      <c r="AF126" s="348"/>
      <c r="AG126" s="348"/>
    </row>
    <row r="127" spans="2:33" ht="15.6" hidden="1" x14ac:dyDescent="0.3">
      <c r="B127" s="365" t="s">
        <v>527</v>
      </c>
      <c r="C127" s="366" t="s">
        <v>563</v>
      </c>
      <c r="D127" s="367" t="s">
        <v>567</v>
      </c>
      <c r="E127" s="397" t="s">
        <v>529</v>
      </c>
      <c r="F127" s="441">
        <f>F4</f>
        <v>0.05</v>
      </c>
      <c r="G127" s="369">
        <f t="shared" ref="G127:AC129" si="4">G4</f>
        <v>0</v>
      </c>
      <c r="H127" s="369">
        <f t="shared" si="4"/>
        <v>0</v>
      </c>
      <c r="I127" s="369">
        <f t="shared" si="4"/>
        <v>0</v>
      </c>
      <c r="J127" s="369">
        <f t="shared" si="4"/>
        <v>0</v>
      </c>
      <c r="K127" s="369">
        <f t="shared" si="4"/>
        <v>0.05</v>
      </c>
      <c r="L127" s="369">
        <f t="shared" si="4"/>
        <v>0.1</v>
      </c>
      <c r="M127" s="369">
        <f t="shared" si="4"/>
        <v>0.4</v>
      </c>
      <c r="N127" s="369">
        <f t="shared" si="4"/>
        <v>0.4</v>
      </c>
      <c r="O127" s="369">
        <f t="shared" si="4"/>
        <v>0.4</v>
      </c>
      <c r="P127" s="369">
        <f t="shared" si="4"/>
        <v>0.2</v>
      </c>
      <c r="Q127" s="369">
        <f t="shared" si="4"/>
        <v>0.5</v>
      </c>
      <c r="R127" s="369">
        <f t="shared" si="4"/>
        <v>0.8</v>
      </c>
      <c r="S127" s="369">
        <f t="shared" si="4"/>
        <v>0.7</v>
      </c>
      <c r="T127" s="369">
        <f t="shared" si="4"/>
        <v>0.4</v>
      </c>
      <c r="U127" s="369">
        <f t="shared" si="4"/>
        <v>0.2</v>
      </c>
      <c r="V127" s="369">
        <f t="shared" si="4"/>
        <v>0.25</v>
      </c>
      <c r="W127" s="369">
        <f t="shared" si="4"/>
        <v>0.5</v>
      </c>
      <c r="X127" s="369">
        <f t="shared" si="4"/>
        <v>0.8</v>
      </c>
      <c r="Y127" s="369">
        <f t="shared" si="4"/>
        <v>0.8</v>
      </c>
      <c r="Z127" s="369">
        <f t="shared" si="4"/>
        <v>0.8</v>
      </c>
      <c r="AA127" s="369">
        <f t="shared" si="4"/>
        <v>0.5</v>
      </c>
      <c r="AB127" s="369">
        <f t="shared" si="4"/>
        <v>0.35</v>
      </c>
      <c r="AC127" s="370">
        <f t="shared" si="4"/>
        <v>0.2</v>
      </c>
      <c r="AD127" s="348"/>
      <c r="AE127" s="348"/>
      <c r="AF127" s="348"/>
      <c r="AG127" s="348"/>
    </row>
    <row r="128" spans="2:33" ht="15.6" hidden="1" x14ac:dyDescent="0.3">
      <c r="B128" s="371" t="s">
        <v>527</v>
      </c>
      <c r="C128" s="357" t="s">
        <v>563</v>
      </c>
      <c r="D128" s="358" t="s">
        <v>567</v>
      </c>
      <c r="E128" s="398" t="s">
        <v>530</v>
      </c>
      <c r="F128" s="442">
        <f t="shared" ref="F128:U129" si="5">F5</f>
        <v>0.05</v>
      </c>
      <c r="G128" s="359">
        <f t="shared" si="5"/>
        <v>0</v>
      </c>
      <c r="H128" s="359">
        <f t="shared" si="5"/>
        <v>0</v>
      </c>
      <c r="I128" s="359">
        <f t="shared" si="5"/>
        <v>0</v>
      </c>
      <c r="J128" s="359">
        <f t="shared" si="5"/>
        <v>0</v>
      </c>
      <c r="K128" s="359">
        <f t="shared" si="5"/>
        <v>0</v>
      </c>
      <c r="L128" s="359">
        <f t="shared" si="5"/>
        <v>0.05</v>
      </c>
      <c r="M128" s="359">
        <f t="shared" si="5"/>
        <v>0.5</v>
      </c>
      <c r="N128" s="359">
        <f t="shared" si="5"/>
        <v>0.5</v>
      </c>
      <c r="O128" s="359">
        <f t="shared" si="5"/>
        <v>0.4</v>
      </c>
      <c r="P128" s="359">
        <f t="shared" si="5"/>
        <v>0.2</v>
      </c>
      <c r="Q128" s="359">
        <f t="shared" si="5"/>
        <v>0.45</v>
      </c>
      <c r="R128" s="359">
        <f t="shared" si="5"/>
        <v>0.5</v>
      </c>
      <c r="S128" s="359">
        <f t="shared" si="5"/>
        <v>0.5</v>
      </c>
      <c r="T128" s="359">
        <f t="shared" si="5"/>
        <v>0.35</v>
      </c>
      <c r="U128" s="359">
        <f t="shared" si="5"/>
        <v>0.3</v>
      </c>
      <c r="V128" s="359">
        <f t="shared" si="4"/>
        <v>0.3</v>
      </c>
      <c r="W128" s="359">
        <f t="shared" si="4"/>
        <v>0.3</v>
      </c>
      <c r="X128" s="359">
        <f t="shared" si="4"/>
        <v>0.7</v>
      </c>
      <c r="Y128" s="359">
        <f t="shared" si="4"/>
        <v>0.9</v>
      </c>
      <c r="Z128" s="359">
        <f t="shared" si="4"/>
        <v>0.7</v>
      </c>
      <c r="AA128" s="359">
        <f t="shared" si="4"/>
        <v>0.65</v>
      </c>
      <c r="AB128" s="359">
        <f t="shared" si="4"/>
        <v>0.55000000000000004</v>
      </c>
      <c r="AC128" s="372">
        <f t="shared" si="4"/>
        <v>0.35</v>
      </c>
      <c r="AD128" s="348"/>
      <c r="AE128" s="348"/>
      <c r="AF128" s="348"/>
      <c r="AG128" s="348"/>
    </row>
    <row r="129" spans="2:33" ht="15.6" hidden="1" x14ac:dyDescent="0.3">
      <c r="B129" s="373" t="s">
        <v>527</v>
      </c>
      <c r="C129" s="374" t="s">
        <v>563</v>
      </c>
      <c r="D129" s="375" t="s">
        <v>567</v>
      </c>
      <c r="E129" s="399" t="s">
        <v>531</v>
      </c>
      <c r="F129" s="442">
        <f t="shared" si="5"/>
        <v>0.05</v>
      </c>
      <c r="G129" s="359">
        <f t="shared" si="4"/>
        <v>0</v>
      </c>
      <c r="H129" s="359">
        <f t="shared" si="4"/>
        <v>0</v>
      </c>
      <c r="I129" s="359">
        <f t="shared" si="4"/>
        <v>0</v>
      </c>
      <c r="J129" s="359">
        <f t="shared" si="4"/>
        <v>0</v>
      </c>
      <c r="K129" s="359">
        <f t="shared" si="4"/>
        <v>0</v>
      </c>
      <c r="L129" s="359">
        <f t="shared" si="4"/>
        <v>0.05</v>
      </c>
      <c r="M129" s="359">
        <f t="shared" si="4"/>
        <v>0.5</v>
      </c>
      <c r="N129" s="359">
        <f t="shared" si="4"/>
        <v>0.5</v>
      </c>
      <c r="O129" s="359">
        <f t="shared" si="4"/>
        <v>0.2</v>
      </c>
      <c r="P129" s="359">
        <f t="shared" si="4"/>
        <v>0.2</v>
      </c>
      <c r="Q129" s="359">
        <f t="shared" si="4"/>
        <v>0.3</v>
      </c>
      <c r="R129" s="359">
        <f t="shared" si="4"/>
        <v>0.5</v>
      </c>
      <c r="S129" s="359">
        <f t="shared" si="4"/>
        <v>0.5</v>
      </c>
      <c r="T129" s="359">
        <f t="shared" si="4"/>
        <v>0.3</v>
      </c>
      <c r="U129" s="359">
        <f t="shared" si="4"/>
        <v>0.2</v>
      </c>
      <c r="V129" s="359">
        <f t="shared" si="4"/>
        <v>0.25</v>
      </c>
      <c r="W129" s="359">
        <f t="shared" si="4"/>
        <v>0.35</v>
      </c>
      <c r="X129" s="359">
        <f t="shared" si="4"/>
        <v>0.55000000000000004</v>
      </c>
      <c r="Y129" s="359">
        <f t="shared" si="4"/>
        <v>0.65</v>
      </c>
      <c r="Z129" s="359">
        <f t="shared" si="4"/>
        <v>0.7</v>
      </c>
      <c r="AA129" s="359">
        <f t="shared" si="4"/>
        <v>0.35</v>
      </c>
      <c r="AB129" s="359">
        <f t="shared" si="4"/>
        <v>0.2</v>
      </c>
      <c r="AC129" s="372">
        <f t="shared" si="4"/>
        <v>0.2</v>
      </c>
      <c r="AD129" s="348"/>
      <c r="AE129" s="348"/>
      <c r="AF129" s="348"/>
      <c r="AG129" s="348"/>
    </row>
    <row r="130" spans="2:33" ht="15.6" hidden="1" x14ac:dyDescent="0.3">
      <c r="B130" s="365" t="s">
        <v>568</v>
      </c>
      <c r="C130" s="366" t="s">
        <v>563</v>
      </c>
      <c r="D130" s="366" t="s">
        <v>567</v>
      </c>
      <c r="E130" s="397" t="s">
        <v>529</v>
      </c>
      <c r="F130" s="441">
        <f>F7</f>
        <v>0.15</v>
      </c>
      <c r="G130" s="369">
        <f t="shared" ref="G130:AC132" si="6">G7</f>
        <v>0.15</v>
      </c>
      <c r="H130" s="369">
        <f t="shared" si="6"/>
        <v>0.15</v>
      </c>
      <c r="I130" s="369">
        <f t="shared" si="6"/>
        <v>0.15</v>
      </c>
      <c r="J130" s="369">
        <f t="shared" si="6"/>
        <v>0.15</v>
      </c>
      <c r="K130" s="369">
        <f t="shared" si="6"/>
        <v>0.2</v>
      </c>
      <c r="L130" s="369">
        <f t="shared" si="6"/>
        <v>0.3</v>
      </c>
      <c r="M130" s="369">
        <f t="shared" si="6"/>
        <v>0.66999999999999993</v>
      </c>
      <c r="N130" s="369">
        <f t="shared" si="6"/>
        <v>0.73</v>
      </c>
      <c r="O130" s="369">
        <f t="shared" si="6"/>
        <v>0.75</v>
      </c>
      <c r="P130" s="369">
        <f t="shared" si="6"/>
        <v>0.85</v>
      </c>
      <c r="Q130" s="369">
        <f t="shared" si="6"/>
        <v>0.85</v>
      </c>
      <c r="R130" s="369">
        <f t="shared" si="6"/>
        <v>0.85</v>
      </c>
      <c r="S130" s="369">
        <f t="shared" si="6"/>
        <v>0.83</v>
      </c>
      <c r="T130" s="369">
        <f t="shared" si="6"/>
        <v>0.72</v>
      </c>
      <c r="U130" s="369">
        <f t="shared" si="6"/>
        <v>0.64999999999999991</v>
      </c>
      <c r="V130" s="369">
        <f t="shared" si="6"/>
        <v>0.66999999999999993</v>
      </c>
      <c r="W130" s="369">
        <f t="shared" si="6"/>
        <v>0.75</v>
      </c>
      <c r="X130" s="369">
        <f t="shared" si="6"/>
        <v>0.85</v>
      </c>
      <c r="Y130" s="369">
        <f t="shared" si="6"/>
        <v>0.85</v>
      </c>
      <c r="Z130" s="369">
        <f t="shared" si="6"/>
        <v>0.85</v>
      </c>
      <c r="AA130" s="369">
        <f t="shared" si="6"/>
        <v>0.75</v>
      </c>
      <c r="AB130" s="369">
        <f t="shared" si="6"/>
        <v>0.56999999999999995</v>
      </c>
      <c r="AC130" s="370">
        <f t="shared" si="6"/>
        <v>0.3</v>
      </c>
      <c r="AD130" s="348"/>
      <c r="AE130" s="348"/>
      <c r="AF130" s="348"/>
      <c r="AG130" s="348"/>
    </row>
    <row r="131" spans="2:33" ht="15.6" hidden="1" x14ac:dyDescent="0.3">
      <c r="B131" s="371" t="s">
        <v>568</v>
      </c>
      <c r="C131" s="357" t="s">
        <v>563</v>
      </c>
      <c r="D131" s="357" t="s">
        <v>567</v>
      </c>
      <c r="E131" s="398" t="s">
        <v>530</v>
      </c>
      <c r="F131" s="442">
        <f t="shared" ref="F131:U132" si="7">F8</f>
        <v>0.15</v>
      </c>
      <c r="G131" s="359">
        <f t="shared" si="7"/>
        <v>0.15</v>
      </c>
      <c r="H131" s="359">
        <f t="shared" si="7"/>
        <v>0.15</v>
      </c>
      <c r="I131" s="359">
        <f t="shared" si="7"/>
        <v>0.15</v>
      </c>
      <c r="J131" s="359">
        <f t="shared" si="7"/>
        <v>0.15</v>
      </c>
      <c r="K131" s="359">
        <f t="shared" si="7"/>
        <v>0.2</v>
      </c>
      <c r="L131" s="359">
        <f t="shared" si="7"/>
        <v>0.3</v>
      </c>
      <c r="M131" s="359">
        <f t="shared" si="7"/>
        <v>0.66999999999999993</v>
      </c>
      <c r="N131" s="359">
        <f t="shared" si="7"/>
        <v>0.73</v>
      </c>
      <c r="O131" s="359">
        <f t="shared" si="7"/>
        <v>0.75</v>
      </c>
      <c r="P131" s="359">
        <f t="shared" si="7"/>
        <v>0.85</v>
      </c>
      <c r="Q131" s="359">
        <f t="shared" si="7"/>
        <v>0.85</v>
      </c>
      <c r="R131" s="359">
        <f t="shared" si="7"/>
        <v>0.85</v>
      </c>
      <c r="S131" s="359">
        <f t="shared" si="7"/>
        <v>0.83</v>
      </c>
      <c r="T131" s="359">
        <f t="shared" si="7"/>
        <v>0.72</v>
      </c>
      <c r="U131" s="359">
        <f t="shared" si="7"/>
        <v>0.64999999999999991</v>
      </c>
      <c r="V131" s="359">
        <f t="shared" si="6"/>
        <v>0.66999999999999993</v>
      </c>
      <c r="W131" s="359">
        <f t="shared" si="6"/>
        <v>0.75</v>
      </c>
      <c r="X131" s="359">
        <f t="shared" si="6"/>
        <v>0.85</v>
      </c>
      <c r="Y131" s="359">
        <f t="shared" si="6"/>
        <v>0.85</v>
      </c>
      <c r="Z131" s="359">
        <f t="shared" si="6"/>
        <v>0.85</v>
      </c>
      <c r="AA131" s="359">
        <f t="shared" si="6"/>
        <v>0.75</v>
      </c>
      <c r="AB131" s="359">
        <f t="shared" si="6"/>
        <v>0.56999999999999995</v>
      </c>
      <c r="AC131" s="372">
        <f t="shared" si="6"/>
        <v>0.3</v>
      </c>
      <c r="AD131" s="348"/>
      <c r="AE131" s="348"/>
      <c r="AF131" s="348"/>
      <c r="AG131" s="348"/>
    </row>
    <row r="132" spans="2:33" ht="15.6" hidden="1" x14ac:dyDescent="0.3">
      <c r="B132" s="373" t="s">
        <v>568</v>
      </c>
      <c r="C132" s="374" t="s">
        <v>563</v>
      </c>
      <c r="D132" s="374" t="s">
        <v>567</v>
      </c>
      <c r="E132" s="399" t="s">
        <v>531</v>
      </c>
      <c r="F132" s="443">
        <f t="shared" si="7"/>
        <v>0.2</v>
      </c>
      <c r="G132" s="377">
        <f t="shared" si="6"/>
        <v>0.15</v>
      </c>
      <c r="H132" s="377">
        <f t="shared" si="6"/>
        <v>0.15</v>
      </c>
      <c r="I132" s="377">
        <f t="shared" si="6"/>
        <v>0.15</v>
      </c>
      <c r="J132" s="377">
        <f t="shared" si="6"/>
        <v>0.15</v>
      </c>
      <c r="K132" s="377">
        <f t="shared" si="6"/>
        <v>0.15</v>
      </c>
      <c r="L132" s="377">
        <f t="shared" si="6"/>
        <v>0.3</v>
      </c>
      <c r="M132" s="377">
        <f t="shared" si="6"/>
        <v>0.66999999999999993</v>
      </c>
      <c r="N132" s="377">
        <f t="shared" si="6"/>
        <v>0.73</v>
      </c>
      <c r="O132" s="377">
        <f t="shared" si="6"/>
        <v>0.75</v>
      </c>
      <c r="P132" s="377">
        <f t="shared" si="6"/>
        <v>0.85</v>
      </c>
      <c r="Q132" s="377">
        <f t="shared" si="6"/>
        <v>0.85</v>
      </c>
      <c r="R132" s="377">
        <f t="shared" si="6"/>
        <v>0.85</v>
      </c>
      <c r="S132" s="377">
        <f t="shared" si="6"/>
        <v>0.83</v>
      </c>
      <c r="T132" s="377">
        <f t="shared" si="6"/>
        <v>0.72</v>
      </c>
      <c r="U132" s="377">
        <f t="shared" si="6"/>
        <v>0.64999999999999991</v>
      </c>
      <c r="V132" s="377">
        <f t="shared" si="6"/>
        <v>0.66999999999999993</v>
      </c>
      <c r="W132" s="377">
        <f t="shared" si="6"/>
        <v>0.75</v>
      </c>
      <c r="X132" s="377">
        <f t="shared" si="6"/>
        <v>0.85</v>
      </c>
      <c r="Y132" s="377">
        <f t="shared" si="6"/>
        <v>0.85</v>
      </c>
      <c r="Z132" s="377">
        <f t="shared" si="6"/>
        <v>0.85</v>
      </c>
      <c r="AA132" s="377">
        <f t="shared" si="6"/>
        <v>0.75</v>
      </c>
      <c r="AB132" s="377">
        <f t="shared" si="6"/>
        <v>0.56999999999999995</v>
      </c>
      <c r="AC132" s="378">
        <f t="shared" si="6"/>
        <v>0.3</v>
      </c>
      <c r="AD132" s="348"/>
      <c r="AE132" s="348"/>
      <c r="AF132" s="348"/>
      <c r="AG132" s="348"/>
    </row>
    <row r="133" spans="2:33" hidden="1" x14ac:dyDescent="0.3">
      <c r="B133" s="365" t="s">
        <v>566</v>
      </c>
      <c r="C133" s="366" t="s">
        <v>558</v>
      </c>
      <c r="D133" s="367" t="s">
        <v>567</v>
      </c>
      <c r="E133" s="397" t="s">
        <v>529</v>
      </c>
      <c r="F133" s="369">
        <v>0.15</v>
      </c>
      <c r="G133" s="369">
        <v>0.15</v>
      </c>
      <c r="H133" s="369">
        <v>0.15</v>
      </c>
      <c r="I133" s="369">
        <v>0.15</v>
      </c>
      <c r="J133" s="369">
        <v>0.15</v>
      </c>
      <c r="K133" s="369">
        <v>0.2</v>
      </c>
      <c r="L133" s="369">
        <v>0.4</v>
      </c>
      <c r="M133" s="369">
        <v>0.4</v>
      </c>
      <c r="N133" s="369">
        <v>0.6</v>
      </c>
      <c r="O133" s="369">
        <v>0.6</v>
      </c>
      <c r="P133" s="369">
        <v>0.9</v>
      </c>
      <c r="Q133" s="369">
        <v>0.9</v>
      </c>
      <c r="R133" s="369">
        <v>0.9</v>
      </c>
      <c r="S133" s="369">
        <v>0.9</v>
      </c>
      <c r="T133" s="369">
        <v>0.9</v>
      </c>
      <c r="U133" s="369">
        <v>0.9</v>
      </c>
      <c r="V133" s="369">
        <v>0.9</v>
      </c>
      <c r="W133" s="369">
        <v>0.9</v>
      </c>
      <c r="X133" s="369">
        <v>0.9</v>
      </c>
      <c r="Y133" s="369">
        <v>0.9</v>
      </c>
      <c r="Z133" s="369">
        <v>0.9</v>
      </c>
      <c r="AA133" s="369">
        <v>0.9</v>
      </c>
      <c r="AB133" s="369">
        <v>0.5</v>
      </c>
      <c r="AC133" s="370">
        <v>0.3</v>
      </c>
    </row>
    <row r="134" spans="2:33" hidden="1" x14ac:dyDescent="0.3">
      <c r="B134" s="371" t="s">
        <v>566</v>
      </c>
      <c r="C134" s="357" t="s">
        <v>558</v>
      </c>
      <c r="D134" s="358" t="s">
        <v>567</v>
      </c>
      <c r="E134" s="398" t="s">
        <v>530</v>
      </c>
      <c r="F134" s="359">
        <v>0.2</v>
      </c>
      <c r="G134" s="359">
        <v>0.15</v>
      </c>
      <c r="H134" s="359">
        <v>0.15</v>
      </c>
      <c r="I134" s="359">
        <v>0.15</v>
      </c>
      <c r="J134" s="359">
        <v>0.15</v>
      </c>
      <c r="K134" s="359">
        <v>0.15</v>
      </c>
      <c r="L134" s="359">
        <v>0.3</v>
      </c>
      <c r="M134" s="359">
        <v>0.3</v>
      </c>
      <c r="N134" s="359">
        <v>0.6</v>
      </c>
      <c r="O134" s="359">
        <v>0.6</v>
      </c>
      <c r="P134" s="359">
        <v>0.8</v>
      </c>
      <c r="Q134" s="359">
        <v>0.8</v>
      </c>
      <c r="R134" s="359">
        <v>0.8</v>
      </c>
      <c r="S134" s="359">
        <v>0.8</v>
      </c>
      <c r="T134" s="359">
        <v>0.8</v>
      </c>
      <c r="U134" s="359">
        <v>0.8</v>
      </c>
      <c r="V134" s="359">
        <v>0.8</v>
      </c>
      <c r="W134" s="359">
        <v>0.9</v>
      </c>
      <c r="X134" s="359">
        <v>0.9</v>
      </c>
      <c r="Y134" s="359">
        <v>0.9</v>
      </c>
      <c r="Z134" s="359">
        <v>0.9</v>
      </c>
      <c r="AA134" s="359">
        <v>0.9</v>
      </c>
      <c r="AB134" s="359">
        <v>0.5</v>
      </c>
      <c r="AC134" s="372">
        <v>0.3</v>
      </c>
    </row>
    <row r="135" spans="2:33" hidden="1" x14ac:dyDescent="0.3">
      <c r="B135" s="373" t="s">
        <v>566</v>
      </c>
      <c r="C135" s="374" t="s">
        <v>558</v>
      </c>
      <c r="D135" s="375" t="s">
        <v>567</v>
      </c>
      <c r="E135" s="399" t="s">
        <v>531</v>
      </c>
      <c r="F135" s="377">
        <v>0.2</v>
      </c>
      <c r="G135" s="377">
        <v>0.15</v>
      </c>
      <c r="H135" s="377">
        <v>0.15</v>
      </c>
      <c r="I135" s="377">
        <v>0.15</v>
      </c>
      <c r="J135" s="377">
        <v>0.15</v>
      </c>
      <c r="K135" s="377">
        <v>0.15</v>
      </c>
      <c r="L135" s="377">
        <v>0.3</v>
      </c>
      <c r="M135" s="377">
        <v>0.3</v>
      </c>
      <c r="N135" s="377">
        <v>0.5</v>
      </c>
      <c r="O135" s="377">
        <v>0.5</v>
      </c>
      <c r="P135" s="377">
        <v>0.7</v>
      </c>
      <c r="Q135" s="377">
        <v>0.7</v>
      </c>
      <c r="R135" s="377">
        <v>0.7</v>
      </c>
      <c r="S135" s="377">
        <v>0.7</v>
      </c>
      <c r="T135" s="377">
        <v>0.7</v>
      </c>
      <c r="U135" s="377">
        <v>0.7</v>
      </c>
      <c r="V135" s="377">
        <v>0.6</v>
      </c>
      <c r="W135" s="377">
        <v>0.6</v>
      </c>
      <c r="X135" s="377">
        <v>0.6</v>
      </c>
      <c r="Y135" s="377">
        <v>0.6</v>
      </c>
      <c r="Z135" s="377">
        <v>0.6</v>
      </c>
      <c r="AA135" s="377">
        <v>0.6</v>
      </c>
      <c r="AB135" s="377">
        <v>0.5</v>
      </c>
      <c r="AC135" s="378">
        <v>0.3</v>
      </c>
    </row>
    <row r="136" spans="2:33" ht="11.4" hidden="1" customHeight="1" x14ac:dyDescent="0.3">
      <c r="B136" s="365" t="s">
        <v>527</v>
      </c>
      <c r="C136" s="366" t="s">
        <v>558</v>
      </c>
      <c r="D136" s="367" t="s">
        <v>567</v>
      </c>
      <c r="E136" s="397" t="s">
        <v>529</v>
      </c>
      <c r="F136" s="379">
        <v>0.15</v>
      </c>
      <c r="G136" s="379">
        <v>0.15</v>
      </c>
      <c r="H136" s="379">
        <v>0.05</v>
      </c>
      <c r="I136" s="379">
        <v>0</v>
      </c>
      <c r="J136" s="379">
        <v>0</v>
      </c>
      <c r="K136" s="379">
        <v>0</v>
      </c>
      <c r="L136" s="380">
        <v>0</v>
      </c>
      <c r="M136" s="380">
        <v>0.05</v>
      </c>
      <c r="N136" s="380">
        <v>0.05</v>
      </c>
      <c r="O136" s="380">
        <v>0.05</v>
      </c>
      <c r="P136" s="380">
        <v>0.2</v>
      </c>
      <c r="Q136" s="379">
        <v>0.5</v>
      </c>
      <c r="R136" s="379">
        <v>0.8</v>
      </c>
      <c r="S136" s="379">
        <v>0.7</v>
      </c>
      <c r="T136" s="379">
        <v>0.4</v>
      </c>
      <c r="U136" s="379">
        <v>0.2</v>
      </c>
      <c r="V136" s="379">
        <v>0.25</v>
      </c>
      <c r="W136" s="379">
        <v>0.5</v>
      </c>
      <c r="X136" s="379">
        <v>0.8</v>
      </c>
      <c r="Y136" s="379">
        <v>0.8</v>
      </c>
      <c r="Z136" s="379">
        <v>0.8</v>
      </c>
      <c r="AA136" s="379">
        <v>0.5</v>
      </c>
      <c r="AB136" s="379">
        <v>0.35</v>
      </c>
      <c r="AC136" s="381">
        <v>0.2</v>
      </c>
    </row>
    <row r="137" spans="2:33" hidden="1" x14ac:dyDescent="0.3">
      <c r="B137" s="371" t="s">
        <v>527</v>
      </c>
      <c r="C137" s="357" t="s">
        <v>558</v>
      </c>
      <c r="D137" s="358" t="s">
        <v>567</v>
      </c>
      <c r="E137" s="398" t="s">
        <v>530</v>
      </c>
      <c r="F137" s="360">
        <v>0.3</v>
      </c>
      <c r="G137" s="360">
        <v>0.25</v>
      </c>
      <c r="H137" s="360">
        <v>0.05</v>
      </c>
      <c r="I137" s="360">
        <v>0</v>
      </c>
      <c r="J137" s="360">
        <v>0</v>
      </c>
      <c r="K137" s="360">
        <v>0</v>
      </c>
      <c r="L137" s="361">
        <v>0</v>
      </c>
      <c r="M137" s="361">
        <v>0</v>
      </c>
      <c r="N137" s="361">
        <v>0</v>
      </c>
      <c r="O137" s="361">
        <v>0.05</v>
      </c>
      <c r="P137" s="361">
        <v>0.2</v>
      </c>
      <c r="Q137" s="361">
        <v>0.45</v>
      </c>
      <c r="R137" s="361">
        <v>0.5</v>
      </c>
      <c r="S137" s="361">
        <v>0.5</v>
      </c>
      <c r="T137" s="361">
        <v>0.35</v>
      </c>
      <c r="U137" s="361">
        <v>0.3</v>
      </c>
      <c r="V137" s="361">
        <v>0.3</v>
      </c>
      <c r="W137" s="361">
        <v>0.3</v>
      </c>
      <c r="X137" s="361">
        <v>0.7</v>
      </c>
      <c r="Y137" s="361">
        <v>0.9</v>
      </c>
      <c r="Z137" s="361">
        <v>0.7</v>
      </c>
      <c r="AA137" s="360">
        <v>0.65</v>
      </c>
      <c r="AB137" s="360">
        <v>0.55000000000000004</v>
      </c>
      <c r="AC137" s="382">
        <v>0.35</v>
      </c>
    </row>
    <row r="138" spans="2:33" hidden="1" x14ac:dyDescent="0.3">
      <c r="B138" s="373" t="s">
        <v>527</v>
      </c>
      <c r="C138" s="374" t="s">
        <v>558</v>
      </c>
      <c r="D138" s="375" t="s">
        <v>567</v>
      </c>
      <c r="E138" s="399" t="s">
        <v>531</v>
      </c>
      <c r="F138" s="383">
        <v>0.2</v>
      </c>
      <c r="G138" s="383">
        <v>0.2</v>
      </c>
      <c r="H138" s="383">
        <v>0.05</v>
      </c>
      <c r="I138" s="383">
        <v>0</v>
      </c>
      <c r="J138" s="383">
        <v>0</v>
      </c>
      <c r="K138" s="383">
        <v>0</v>
      </c>
      <c r="L138" s="384">
        <v>0</v>
      </c>
      <c r="M138" s="384">
        <v>0</v>
      </c>
      <c r="N138" s="384">
        <v>0</v>
      </c>
      <c r="O138" s="384">
        <v>0</v>
      </c>
      <c r="P138" s="384">
        <v>0.1</v>
      </c>
      <c r="Q138" s="384">
        <v>0.2</v>
      </c>
      <c r="R138" s="384">
        <v>0.25</v>
      </c>
      <c r="S138" s="384">
        <v>0.25</v>
      </c>
      <c r="T138" s="384">
        <v>0.15</v>
      </c>
      <c r="U138" s="384">
        <v>0.2</v>
      </c>
      <c r="V138" s="384">
        <v>0.25</v>
      </c>
      <c r="W138" s="384">
        <v>0.35</v>
      </c>
      <c r="X138" s="384">
        <v>0.55000000000000004</v>
      </c>
      <c r="Y138" s="384">
        <v>0.65</v>
      </c>
      <c r="Z138" s="384">
        <v>0.7</v>
      </c>
      <c r="AA138" s="383">
        <v>0.35</v>
      </c>
      <c r="AB138" s="383">
        <v>0.2</v>
      </c>
      <c r="AC138" s="385">
        <v>0.2</v>
      </c>
    </row>
    <row r="139" spans="2:33" ht="11.4" hidden="1" customHeight="1" x14ac:dyDescent="0.3">
      <c r="B139" s="365" t="s">
        <v>568</v>
      </c>
      <c r="C139" s="366" t="s">
        <v>558</v>
      </c>
      <c r="D139" s="366" t="s">
        <v>567</v>
      </c>
      <c r="E139" s="397" t="s">
        <v>529</v>
      </c>
      <c r="F139" s="369">
        <v>0.15</v>
      </c>
      <c r="G139" s="369">
        <v>0.15</v>
      </c>
      <c r="H139" s="369">
        <v>0.15</v>
      </c>
      <c r="I139" s="369">
        <v>0.15</v>
      </c>
      <c r="J139" s="369">
        <v>0.15</v>
      </c>
      <c r="K139" s="369">
        <v>0.2</v>
      </c>
      <c r="L139" s="369">
        <v>0.35</v>
      </c>
      <c r="M139" s="369">
        <v>0.35</v>
      </c>
      <c r="N139" s="369">
        <v>0.55000000000000004</v>
      </c>
      <c r="O139" s="369">
        <v>0.55000000000000004</v>
      </c>
      <c r="P139" s="369">
        <v>0.85</v>
      </c>
      <c r="Q139" s="369">
        <v>0.85</v>
      </c>
      <c r="R139" s="369">
        <v>0.85</v>
      </c>
      <c r="S139" s="369">
        <v>0.85</v>
      </c>
      <c r="T139" s="369">
        <v>0.85</v>
      </c>
      <c r="U139" s="369">
        <v>0.85</v>
      </c>
      <c r="V139" s="369">
        <v>0.85</v>
      </c>
      <c r="W139" s="369">
        <v>0.85</v>
      </c>
      <c r="X139" s="369">
        <v>0.85</v>
      </c>
      <c r="Y139" s="369">
        <v>0.85</v>
      </c>
      <c r="Z139" s="369">
        <v>0.85</v>
      </c>
      <c r="AA139" s="369">
        <v>0.85</v>
      </c>
      <c r="AB139" s="369">
        <v>0.45</v>
      </c>
      <c r="AC139" s="370">
        <v>0.3</v>
      </c>
    </row>
    <row r="140" spans="2:33" hidden="1" x14ac:dyDescent="0.3">
      <c r="B140" s="371" t="s">
        <v>568</v>
      </c>
      <c r="C140" s="357" t="s">
        <v>558</v>
      </c>
      <c r="D140" s="357" t="s">
        <v>567</v>
      </c>
      <c r="E140" s="398" t="s">
        <v>530</v>
      </c>
      <c r="F140" s="359">
        <v>0.2</v>
      </c>
      <c r="G140" s="359">
        <v>0.15</v>
      </c>
      <c r="H140" s="359">
        <v>0.15</v>
      </c>
      <c r="I140" s="359">
        <v>0.15</v>
      </c>
      <c r="J140" s="359">
        <v>0.15</v>
      </c>
      <c r="K140" s="359">
        <v>0.15</v>
      </c>
      <c r="L140" s="359">
        <v>0.3</v>
      </c>
      <c r="M140" s="359">
        <v>0.3</v>
      </c>
      <c r="N140" s="359">
        <v>0.55000000000000004</v>
      </c>
      <c r="O140" s="359">
        <v>0.55000000000000004</v>
      </c>
      <c r="P140" s="359">
        <v>0.75</v>
      </c>
      <c r="Q140" s="359">
        <v>0.75</v>
      </c>
      <c r="R140" s="359">
        <v>0.75</v>
      </c>
      <c r="S140" s="359">
        <v>0.75</v>
      </c>
      <c r="T140" s="359">
        <v>0.75</v>
      </c>
      <c r="U140" s="359">
        <v>0.75</v>
      </c>
      <c r="V140" s="359">
        <v>0.75</v>
      </c>
      <c r="W140" s="359">
        <v>0.85</v>
      </c>
      <c r="X140" s="359">
        <v>0.85</v>
      </c>
      <c r="Y140" s="359">
        <v>0.85</v>
      </c>
      <c r="Z140" s="359">
        <v>0.85</v>
      </c>
      <c r="AA140" s="359">
        <v>0.85</v>
      </c>
      <c r="AB140" s="359">
        <v>0.45</v>
      </c>
      <c r="AC140" s="372">
        <v>0.3</v>
      </c>
    </row>
    <row r="141" spans="2:33" hidden="1" x14ac:dyDescent="0.3">
      <c r="B141" s="373" t="s">
        <v>568</v>
      </c>
      <c r="C141" s="374" t="s">
        <v>558</v>
      </c>
      <c r="D141" s="374" t="s">
        <v>567</v>
      </c>
      <c r="E141" s="399" t="s">
        <v>531</v>
      </c>
      <c r="F141" s="377">
        <v>0.2</v>
      </c>
      <c r="G141" s="377">
        <v>0.15</v>
      </c>
      <c r="H141" s="377">
        <v>0.15</v>
      </c>
      <c r="I141" s="377">
        <v>0.15</v>
      </c>
      <c r="J141" s="377">
        <v>0.15</v>
      </c>
      <c r="K141" s="377">
        <v>0.15</v>
      </c>
      <c r="L141" s="377">
        <v>0.3</v>
      </c>
      <c r="M141" s="377">
        <v>0.3</v>
      </c>
      <c r="N141" s="377">
        <v>0.45</v>
      </c>
      <c r="O141" s="377">
        <v>0.45</v>
      </c>
      <c r="P141" s="377">
        <v>0.65</v>
      </c>
      <c r="Q141" s="377">
        <v>0.65</v>
      </c>
      <c r="R141" s="377">
        <v>0.65</v>
      </c>
      <c r="S141" s="377">
        <v>0.65</v>
      </c>
      <c r="T141" s="377">
        <v>0.65</v>
      </c>
      <c r="U141" s="377">
        <v>0.65</v>
      </c>
      <c r="V141" s="377">
        <v>0.55000000000000004</v>
      </c>
      <c r="W141" s="377">
        <v>0.55000000000000004</v>
      </c>
      <c r="X141" s="377">
        <v>0.55000000000000004</v>
      </c>
      <c r="Y141" s="377">
        <v>0.55000000000000004</v>
      </c>
      <c r="Z141" s="377">
        <v>0.55000000000000004</v>
      </c>
      <c r="AA141" s="377">
        <v>0.55000000000000004</v>
      </c>
      <c r="AB141" s="377">
        <v>0.45</v>
      </c>
      <c r="AC141" s="378">
        <v>0.3</v>
      </c>
    </row>
    <row r="142" spans="2:33" hidden="1" x14ac:dyDescent="0.3">
      <c r="B142" s="365" t="s">
        <v>566</v>
      </c>
      <c r="C142" s="386" t="s">
        <v>560</v>
      </c>
      <c r="D142" s="366" t="s">
        <v>567</v>
      </c>
      <c r="E142" s="397" t="s">
        <v>529</v>
      </c>
      <c r="F142" s="369">
        <v>0.15</v>
      </c>
      <c r="G142" s="369">
        <v>0.15</v>
      </c>
      <c r="H142" s="369">
        <v>0.15</v>
      </c>
      <c r="I142" s="369">
        <v>0.15</v>
      </c>
      <c r="J142" s="369">
        <v>0.15</v>
      </c>
      <c r="K142" s="369">
        <v>0.2</v>
      </c>
      <c r="L142" s="387">
        <v>0.3</v>
      </c>
      <c r="M142" s="387">
        <v>0.72</v>
      </c>
      <c r="N142" s="387">
        <v>0.78</v>
      </c>
      <c r="O142" s="387">
        <v>0.8</v>
      </c>
      <c r="P142" s="369">
        <v>0.9</v>
      </c>
      <c r="Q142" s="369">
        <v>0.9</v>
      </c>
      <c r="R142" s="369">
        <v>0.9</v>
      </c>
      <c r="S142" s="387">
        <v>0.88</v>
      </c>
      <c r="T142" s="387">
        <v>0.77</v>
      </c>
      <c r="U142" s="387">
        <v>0.7</v>
      </c>
      <c r="V142" s="387">
        <v>0.72</v>
      </c>
      <c r="W142" s="387">
        <v>0.8</v>
      </c>
      <c r="X142" s="369">
        <v>0.9</v>
      </c>
      <c r="Y142" s="369">
        <v>0.9</v>
      </c>
      <c r="Z142" s="369">
        <v>0.9</v>
      </c>
      <c r="AA142" s="380">
        <v>0.8</v>
      </c>
      <c r="AB142" s="380">
        <v>0.62</v>
      </c>
      <c r="AC142" s="370">
        <v>0.3</v>
      </c>
    </row>
    <row r="143" spans="2:33" hidden="1" x14ac:dyDescent="0.3">
      <c r="B143" s="371" t="s">
        <v>566</v>
      </c>
      <c r="C143" s="362" t="s">
        <v>560</v>
      </c>
      <c r="D143" s="357" t="s">
        <v>567</v>
      </c>
      <c r="E143" s="398" t="s">
        <v>530</v>
      </c>
      <c r="F143" s="363">
        <v>0.15</v>
      </c>
      <c r="G143" s="359">
        <v>0.15</v>
      </c>
      <c r="H143" s="359">
        <v>0.15</v>
      </c>
      <c r="I143" s="359">
        <v>0.15</v>
      </c>
      <c r="J143" s="359">
        <v>0.15</v>
      </c>
      <c r="K143" s="363">
        <v>0.2</v>
      </c>
      <c r="L143" s="359">
        <v>0.3</v>
      </c>
      <c r="M143" s="363">
        <v>0.72</v>
      </c>
      <c r="N143" s="363">
        <v>0.78</v>
      </c>
      <c r="O143" s="363">
        <v>0.8</v>
      </c>
      <c r="P143" s="363">
        <v>0.9</v>
      </c>
      <c r="Q143" s="363">
        <v>0.9</v>
      </c>
      <c r="R143" s="363">
        <v>0.9</v>
      </c>
      <c r="S143" s="363">
        <v>0.88</v>
      </c>
      <c r="T143" s="363">
        <v>0.77</v>
      </c>
      <c r="U143" s="363">
        <v>0.7</v>
      </c>
      <c r="V143" s="363">
        <v>0.72</v>
      </c>
      <c r="W143" s="363">
        <v>0.8</v>
      </c>
      <c r="X143" s="359">
        <v>0.9</v>
      </c>
      <c r="Y143" s="359">
        <v>0.9</v>
      </c>
      <c r="Z143" s="359">
        <v>0.9</v>
      </c>
      <c r="AA143" s="361">
        <v>0.8</v>
      </c>
      <c r="AB143" s="361">
        <v>0.62</v>
      </c>
      <c r="AC143" s="372">
        <v>0.3</v>
      </c>
    </row>
    <row r="144" spans="2:33" hidden="1" x14ac:dyDescent="0.3">
      <c r="B144" s="373" t="s">
        <v>566</v>
      </c>
      <c r="C144" s="388" t="s">
        <v>560</v>
      </c>
      <c r="D144" s="374" t="s">
        <v>567</v>
      </c>
      <c r="E144" s="399" t="s">
        <v>531</v>
      </c>
      <c r="F144" s="389">
        <v>0.2</v>
      </c>
      <c r="G144" s="377">
        <v>0.15</v>
      </c>
      <c r="H144" s="377">
        <v>0.15</v>
      </c>
      <c r="I144" s="377">
        <v>0.15</v>
      </c>
      <c r="J144" s="377">
        <v>0.15</v>
      </c>
      <c r="K144" s="389">
        <v>0.15</v>
      </c>
      <c r="L144" s="377">
        <v>0.3</v>
      </c>
      <c r="M144" s="389">
        <v>0.72</v>
      </c>
      <c r="N144" s="389">
        <v>0.78</v>
      </c>
      <c r="O144" s="389">
        <v>0.8</v>
      </c>
      <c r="P144" s="389">
        <v>0.9</v>
      </c>
      <c r="Q144" s="389">
        <v>0.9</v>
      </c>
      <c r="R144" s="389">
        <v>0.9</v>
      </c>
      <c r="S144" s="389">
        <v>0.88</v>
      </c>
      <c r="T144" s="389">
        <v>0.77</v>
      </c>
      <c r="U144" s="389">
        <v>0.7</v>
      </c>
      <c r="V144" s="389">
        <v>0.72</v>
      </c>
      <c r="W144" s="389">
        <v>0.8</v>
      </c>
      <c r="X144" s="389">
        <v>0.9</v>
      </c>
      <c r="Y144" s="389">
        <v>0.9</v>
      </c>
      <c r="Z144" s="389">
        <v>0.9</v>
      </c>
      <c r="AA144" s="389">
        <v>0.8</v>
      </c>
      <c r="AB144" s="389">
        <v>0.62</v>
      </c>
      <c r="AC144" s="378">
        <v>0.3</v>
      </c>
    </row>
    <row r="145" spans="2:29" hidden="1" x14ac:dyDescent="0.2">
      <c r="B145" s="371" t="s">
        <v>527</v>
      </c>
      <c r="C145" s="357" t="s">
        <v>559</v>
      </c>
      <c r="D145" s="356" t="s">
        <v>96</v>
      </c>
      <c r="E145" s="398" t="s">
        <v>529</v>
      </c>
      <c r="F145" s="364">
        <v>0</v>
      </c>
      <c r="G145" s="364">
        <v>0</v>
      </c>
      <c r="H145" s="364">
        <v>0</v>
      </c>
      <c r="I145" s="364">
        <v>0</v>
      </c>
      <c r="J145" s="364">
        <v>0</v>
      </c>
      <c r="K145" s="364">
        <v>0</v>
      </c>
      <c r="L145" s="364">
        <v>0.25</v>
      </c>
      <c r="M145" s="364">
        <v>0.75</v>
      </c>
      <c r="N145" s="364">
        <v>0.9</v>
      </c>
      <c r="O145" s="364">
        <v>0.9</v>
      </c>
      <c r="P145" s="364">
        <v>0.9</v>
      </c>
      <c r="Q145" s="364">
        <v>0.9</v>
      </c>
      <c r="R145" s="364">
        <v>0.9</v>
      </c>
      <c r="S145" s="364">
        <v>0.9</v>
      </c>
      <c r="T145" s="364">
        <v>0.75</v>
      </c>
      <c r="U145" s="364">
        <v>0.25</v>
      </c>
      <c r="V145" s="364">
        <v>0.25</v>
      </c>
      <c r="W145" s="364">
        <v>0.75</v>
      </c>
      <c r="X145" s="364">
        <v>0.9</v>
      </c>
      <c r="Y145" s="364">
        <v>0.9</v>
      </c>
      <c r="Z145" s="364">
        <v>0.9</v>
      </c>
      <c r="AA145" s="364">
        <v>0.9</v>
      </c>
      <c r="AB145" s="364">
        <v>0.75</v>
      </c>
      <c r="AC145" s="393">
        <v>0.25</v>
      </c>
    </row>
    <row r="146" spans="2:29" hidden="1" x14ac:dyDescent="0.2">
      <c r="B146" s="371" t="s">
        <v>527</v>
      </c>
      <c r="C146" s="357" t="s">
        <v>559</v>
      </c>
      <c r="D146" s="356" t="s">
        <v>96</v>
      </c>
      <c r="E146" s="398" t="s">
        <v>530</v>
      </c>
      <c r="F146" s="364">
        <v>0</v>
      </c>
      <c r="G146" s="364">
        <v>0</v>
      </c>
      <c r="H146" s="364">
        <v>0</v>
      </c>
      <c r="I146" s="364">
        <v>0</v>
      </c>
      <c r="J146" s="364">
        <v>0</v>
      </c>
      <c r="K146" s="364">
        <v>0</v>
      </c>
      <c r="L146" s="364">
        <v>0.25</v>
      </c>
      <c r="M146" s="364">
        <v>0.75</v>
      </c>
      <c r="N146" s="364">
        <v>0.9</v>
      </c>
      <c r="O146" s="364">
        <v>0.9</v>
      </c>
      <c r="P146" s="364">
        <v>0.9</v>
      </c>
      <c r="Q146" s="364">
        <v>0.9</v>
      </c>
      <c r="R146" s="364">
        <v>0.9</v>
      </c>
      <c r="S146" s="364">
        <v>0.9</v>
      </c>
      <c r="T146" s="364">
        <v>0.75</v>
      </c>
      <c r="U146" s="364">
        <v>0.25</v>
      </c>
      <c r="V146" s="364">
        <v>0.25</v>
      </c>
      <c r="W146" s="364">
        <v>0.75</v>
      </c>
      <c r="X146" s="364">
        <v>0.9</v>
      </c>
      <c r="Y146" s="364">
        <v>0.9</v>
      </c>
      <c r="Z146" s="364">
        <v>0.9</v>
      </c>
      <c r="AA146" s="364">
        <v>0.9</v>
      </c>
      <c r="AB146" s="364">
        <v>0.75</v>
      </c>
      <c r="AC146" s="393">
        <v>0.25</v>
      </c>
    </row>
    <row r="147" spans="2:29" hidden="1" x14ac:dyDescent="0.2">
      <c r="B147" s="371" t="s">
        <v>527</v>
      </c>
      <c r="C147" s="357" t="s">
        <v>559</v>
      </c>
      <c r="D147" s="356" t="s">
        <v>96</v>
      </c>
      <c r="E147" s="398" t="s">
        <v>531</v>
      </c>
      <c r="F147" s="364">
        <v>0</v>
      </c>
      <c r="G147" s="364">
        <v>0</v>
      </c>
      <c r="H147" s="364">
        <v>0</v>
      </c>
      <c r="I147" s="364">
        <v>0</v>
      </c>
      <c r="J147" s="364">
        <v>0</v>
      </c>
      <c r="K147" s="364">
        <v>0</v>
      </c>
      <c r="L147" s="364">
        <v>0.25</v>
      </c>
      <c r="M147" s="364">
        <v>0.75</v>
      </c>
      <c r="N147" s="364">
        <v>0.9</v>
      </c>
      <c r="O147" s="364">
        <v>0.9</v>
      </c>
      <c r="P147" s="364">
        <v>0.9</v>
      </c>
      <c r="Q147" s="364">
        <v>0.9</v>
      </c>
      <c r="R147" s="364">
        <v>0.9</v>
      </c>
      <c r="S147" s="364">
        <v>0.9</v>
      </c>
      <c r="T147" s="364">
        <v>0.75</v>
      </c>
      <c r="U147" s="364">
        <v>0.25</v>
      </c>
      <c r="V147" s="364">
        <v>0.25</v>
      </c>
      <c r="W147" s="364">
        <v>0.75</v>
      </c>
      <c r="X147" s="364">
        <v>0.9</v>
      </c>
      <c r="Y147" s="364">
        <v>0.9</v>
      </c>
      <c r="Z147" s="364">
        <v>0.9</v>
      </c>
      <c r="AA147" s="364">
        <v>0.9</v>
      </c>
      <c r="AB147" s="364">
        <v>0.75</v>
      </c>
      <c r="AC147" s="393">
        <v>0.25</v>
      </c>
    </row>
    <row r="148" spans="2:29" hidden="1" x14ac:dyDescent="0.2">
      <c r="B148" s="365" t="s">
        <v>566</v>
      </c>
      <c r="C148" s="366" t="s">
        <v>559</v>
      </c>
      <c r="D148" s="390" t="s">
        <v>96</v>
      </c>
      <c r="E148" s="397" t="s">
        <v>529</v>
      </c>
      <c r="F148" s="391">
        <v>0.05</v>
      </c>
      <c r="G148" s="391">
        <v>0.05</v>
      </c>
      <c r="H148" s="391">
        <v>0.05</v>
      </c>
      <c r="I148" s="391">
        <v>0.05</v>
      </c>
      <c r="J148" s="391">
        <v>0.05</v>
      </c>
      <c r="K148" s="391">
        <v>0.05</v>
      </c>
      <c r="L148" s="391">
        <v>0.05</v>
      </c>
      <c r="M148" s="391">
        <v>0.9</v>
      </c>
      <c r="N148" s="391">
        <v>0.9</v>
      </c>
      <c r="O148" s="391">
        <v>0.9</v>
      </c>
      <c r="P148" s="391">
        <v>0.9</v>
      </c>
      <c r="Q148" s="391">
        <v>0.9</v>
      </c>
      <c r="R148" s="391">
        <v>0.9</v>
      </c>
      <c r="S148" s="391">
        <v>0.9</v>
      </c>
      <c r="T148" s="391">
        <v>0.9</v>
      </c>
      <c r="U148" s="391">
        <v>0.9</v>
      </c>
      <c r="V148" s="391">
        <v>0.9</v>
      </c>
      <c r="W148" s="391">
        <v>0.9</v>
      </c>
      <c r="X148" s="391">
        <v>0.9</v>
      </c>
      <c r="Y148" s="391">
        <v>0.9</v>
      </c>
      <c r="Z148" s="391">
        <v>0.9</v>
      </c>
      <c r="AA148" s="391">
        <v>0.9</v>
      </c>
      <c r="AB148" s="391">
        <v>0.9</v>
      </c>
      <c r="AC148" s="392">
        <v>0.33</v>
      </c>
    </row>
    <row r="149" spans="2:29" hidden="1" x14ac:dyDescent="0.2">
      <c r="B149" s="371" t="s">
        <v>566</v>
      </c>
      <c r="C149" s="357" t="s">
        <v>559</v>
      </c>
      <c r="D149" s="356" t="s">
        <v>96</v>
      </c>
      <c r="E149" s="398" t="s">
        <v>530</v>
      </c>
      <c r="F149" s="364">
        <v>0.05</v>
      </c>
      <c r="G149" s="364">
        <v>0.05</v>
      </c>
      <c r="H149" s="364">
        <v>0.05</v>
      </c>
      <c r="I149" s="364">
        <v>0.05</v>
      </c>
      <c r="J149" s="364">
        <v>0.05</v>
      </c>
      <c r="K149" s="364">
        <v>0.05</v>
      </c>
      <c r="L149" s="364">
        <v>0.05</v>
      </c>
      <c r="M149" s="364">
        <v>0.9</v>
      </c>
      <c r="N149" s="364">
        <v>0.9</v>
      </c>
      <c r="O149" s="364">
        <v>0.9</v>
      </c>
      <c r="P149" s="364">
        <v>0.9</v>
      </c>
      <c r="Q149" s="364">
        <v>0.9</v>
      </c>
      <c r="R149" s="364">
        <v>0.9</v>
      </c>
      <c r="S149" s="364">
        <v>0.9</v>
      </c>
      <c r="T149" s="364">
        <v>0.9</v>
      </c>
      <c r="U149" s="364">
        <v>0.9</v>
      </c>
      <c r="V149" s="364">
        <v>0.9</v>
      </c>
      <c r="W149" s="364">
        <v>0.9</v>
      </c>
      <c r="X149" s="364">
        <v>0.9</v>
      </c>
      <c r="Y149" s="364">
        <v>0.9</v>
      </c>
      <c r="Z149" s="364">
        <v>0.9</v>
      </c>
      <c r="AA149" s="364">
        <v>0.9</v>
      </c>
      <c r="AB149" s="364">
        <v>0.9</v>
      </c>
      <c r="AC149" s="393">
        <v>0.33</v>
      </c>
    </row>
    <row r="150" spans="2:29" hidden="1" x14ac:dyDescent="0.2">
      <c r="B150" s="373" t="s">
        <v>566</v>
      </c>
      <c r="C150" s="374" t="s">
        <v>559</v>
      </c>
      <c r="D150" s="394" t="s">
        <v>96</v>
      </c>
      <c r="E150" s="399" t="s">
        <v>531</v>
      </c>
      <c r="F150" s="395" t="s">
        <v>569</v>
      </c>
      <c r="G150" s="395">
        <v>0.05</v>
      </c>
      <c r="H150" s="395">
        <v>0.05</v>
      </c>
      <c r="I150" s="395">
        <v>0.05</v>
      </c>
      <c r="J150" s="395">
        <v>0.05</v>
      </c>
      <c r="K150" s="395">
        <v>0.05</v>
      </c>
      <c r="L150" s="395">
        <v>0.05</v>
      </c>
      <c r="M150" s="395">
        <v>0.9</v>
      </c>
      <c r="N150" s="395">
        <v>0.9</v>
      </c>
      <c r="O150" s="395">
        <v>0.9</v>
      </c>
      <c r="P150" s="395">
        <v>0.9</v>
      </c>
      <c r="Q150" s="395">
        <v>0.9</v>
      </c>
      <c r="R150" s="395">
        <v>0.9</v>
      </c>
      <c r="S150" s="395">
        <v>0.9</v>
      </c>
      <c r="T150" s="395">
        <v>0.9</v>
      </c>
      <c r="U150" s="395">
        <v>0.9</v>
      </c>
      <c r="V150" s="395">
        <v>0.9</v>
      </c>
      <c r="W150" s="395">
        <v>0.9</v>
      </c>
      <c r="X150" s="395">
        <v>0.9</v>
      </c>
      <c r="Y150" s="395">
        <v>0.9</v>
      </c>
      <c r="Z150" s="395">
        <v>0.9</v>
      </c>
      <c r="AA150" s="395">
        <v>0.9</v>
      </c>
      <c r="AB150" s="395">
        <v>0.9</v>
      </c>
      <c r="AC150" s="396">
        <v>0.33</v>
      </c>
    </row>
    <row r="151" spans="2:29" hidden="1" x14ac:dyDescent="0.2">
      <c r="B151" s="371" t="s">
        <v>570</v>
      </c>
      <c r="C151" s="357" t="s">
        <v>559</v>
      </c>
      <c r="D151" s="356" t="s">
        <v>96</v>
      </c>
      <c r="E151" s="398" t="s">
        <v>529</v>
      </c>
      <c r="F151" s="364">
        <v>0</v>
      </c>
      <c r="G151" s="364">
        <v>0</v>
      </c>
      <c r="H151" s="364">
        <v>0</v>
      </c>
      <c r="I151" s="364">
        <v>0</v>
      </c>
      <c r="J151" s="364">
        <v>0</v>
      </c>
      <c r="K151" s="364">
        <v>0</v>
      </c>
      <c r="L151" s="364">
        <v>0.9</v>
      </c>
      <c r="M151" s="364">
        <v>0.9</v>
      </c>
      <c r="N151" s="364">
        <v>0.9</v>
      </c>
      <c r="O151" s="364">
        <v>0.9</v>
      </c>
      <c r="P151" s="364">
        <v>0.9</v>
      </c>
      <c r="Q151" s="364">
        <v>0.9</v>
      </c>
      <c r="R151" s="364">
        <v>0.9</v>
      </c>
      <c r="S151" s="364">
        <v>0.9</v>
      </c>
      <c r="T151" s="364">
        <v>0.9</v>
      </c>
      <c r="U151" s="364">
        <v>0.9</v>
      </c>
      <c r="V151" s="364">
        <v>0.9</v>
      </c>
      <c r="W151" s="364">
        <v>0.9</v>
      </c>
      <c r="X151" s="364">
        <v>0.9</v>
      </c>
      <c r="Y151" s="364">
        <v>0.9</v>
      </c>
      <c r="Z151" s="364">
        <v>0.9</v>
      </c>
      <c r="AA151" s="364">
        <v>0.9</v>
      </c>
      <c r="AB151" s="364">
        <v>0.9</v>
      </c>
      <c r="AC151" s="393">
        <v>0.9</v>
      </c>
    </row>
    <row r="152" spans="2:29" hidden="1" x14ac:dyDescent="0.2">
      <c r="B152" s="371" t="s">
        <v>570</v>
      </c>
      <c r="C152" s="357" t="s">
        <v>559</v>
      </c>
      <c r="D152" s="356" t="s">
        <v>96</v>
      </c>
      <c r="E152" s="398" t="s">
        <v>530</v>
      </c>
      <c r="F152" s="364">
        <v>0</v>
      </c>
      <c r="G152" s="364">
        <v>0</v>
      </c>
      <c r="H152" s="364">
        <v>0</v>
      </c>
      <c r="I152" s="364">
        <v>0</v>
      </c>
      <c r="J152" s="364">
        <v>0</v>
      </c>
      <c r="K152" s="364">
        <v>0</v>
      </c>
      <c r="L152" s="364">
        <v>0.9</v>
      </c>
      <c r="M152" s="364">
        <v>0.9</v>
      </c>
      <c r="N152" s="364">
        <v>0.9</v>
      </c>
      <c r="O152" s="364">
        <v>0.9</v>
      </c>
      <c r="P152" s="364">
        <v>0.9</v>
      </c>
      <c r="Q152" s="364">
        <v>0.9</v>
      </c>
      <c r="R152" s="364">
        <v>0.9</v>
      </c>
      <c r="S152" s="364">
        <v>0.9</v>
      </c>
      <c r="T152" s="364">
        <v>0.9</v>
      </c>
      <c r="U152" s="364">
        <v>0.9</v>
      </c>
      <c r="V152" s="364">
        <v>0.9</v>
      </c>
      <c r="W152" s="364">
        <v>0.9</v>
      </c>
      <c r="X152" s="364">
        <v>0.9</v>
      </c>
      <c r="Y152" s="364">
        <v>0.9</v>
      </c>
      <c r="Z152" s="364">
        <v>0.9</v>
      </c>
      <c r="AA152" s="364">
        <v>0.9</v>
      </c>
      <c r="AB152" s="364">
        <v>0.9</v>
      </c>
      <c r="AC152" s="393">
        <v>0.9</v>
      </c>
    </row>
    <row r="153" spans="2:29" hidden="1" x14ac:dyDescent="0.2">
      <c r="B153" s="371" t="s">
        <v>570</v>
      </c>
      <c r="C153" s="357" t="s">
        <v>559</v>
      </c>
      <c r="D153" s="356" t="s">
        <v>96</v>
      </c>
      <c r="E153" s="398" t="s">
        <v>531</v>
      </c>
      <c r="F153" s="364">
        <v>0</v>
      </c>
      <c r="G153" s="364">
        <v>0</v>
      </c>
      <c r="H153" s="364">
        <v>0</v>
      </c>
      <c r="I153" s="364">
        <v>0</v>
      </c>
      <c r="J153" s="364">
        <v>0</v>
      </c>
      <c r="K153" s="364">
        <v>0</v>
      </c>
      <c r="L153" s="364">
        <v>0.9</v>
      </c>
      <c r="M153" s="364">
        <v>0.9</v>
      </c>
      <c r="N153" s="364">
        <v>0.9</v>
      </c>
      <c r="O153" s="364">
        <v>0.9</v>
      </c>
      <c r="P153" s="364">
        <v>0.9</v>
      </c>
      <c r="Q153" s="364">
        <v>0.9</v>
      </c>
      <c r="R153" s="364">
        <v>0.9</v>
      </c>
      <c r="S153" s="364">
        <v>0.9</v>
      </c>
      <c r="T153" s="364">
        <v>0.9</v>
      </c>
      <c r="U153" s="364">
        <v>0.9</v>
      </c>
      <c r="V153" s="364">
        <v>0.9</v>
      </c>
      <c r="W153" s="364">
        <v>0.9</v>
      </c>
      <c r="X153" s="364">
        <v>0.9</v>
      </c>
      <c r="Y153" s="364">
        <v>0.9</v>
      </c>
      <c r="Z153" s="364">
        <v>0.9</v>
      </c>
      <c r="AA153" s="364">
        <v>0.9</v>
      </c>
      <c r="AB153" s="364">
        <v>0.9</v>
      </c>
      <c r="AC153" s="393">
        <v>0.9</v>
      </c>
    </row>
    <row r="154" spans="2:29" hidden="1" x14ac:dyDescent="0.3">
      <c r="B154" s="365" t="s">
        <v>527</v>
      </c>
      <c r="C154" s="366" t="s">
        <v>559</v>
      </c>
      <c r="D154" s="390" t="s">
        <v>95</v>
      </c>
      <c r="E154" s="397" t="s">
        <v>529</v>
      </c>
      <c r="F154" s="368">
        <v>0</v>
      </c>
      <c r="G154" s="368">
        <v>0</v>
      </c>
      <c r="H154" s="368">
        <v>0</v>
      </c>
      <c r="I154" s="368">
        <v>0</v>
      </c>
      <c r="J154" s="368">
        <v>0</v>
      </c>
      <c r="K154" s="368">
        <v>0</v>
      </c>
      <c r="L154" s="368">
        <v>0</v>
      </c>
      <c r="M154" s="368">
        <v>0.25</v>
      </c>
      <c r="N154" s="368">
        <v>0.25</v>
      </c>
      <c r="O154" s="368">
        <v>0.5</v>
      </c>
      <c r="P154" s="368">
        <v>0.5</v>
      </c>
      <c r="Q154" s="368">
        <v>0.5</v>
      </c>
      <c r="R154" s="368">
        <v>0.9</v>
      </c>
      <c r="S154" s="368">
        <v>0.9</v>
      </c>
      <c r="T154" s="368">
        <v>0.5</v>
      </c>
      <c r="U154" s="368">
        <v>0.25</v>
      </c>
      <c r="V154" s="368">
        <v>0.25</v>
      </c>
      <c r="W154" s="368">
        <v>0.25</v>
      </c>
      <c r="X154" s="368">
        <v>0.5</v>
      </c>
      <c r="Y154" s="368">
        <v>0.9</v>
      </c>
      <c r="Z154" s="368">
        <v>0.9</v>
      </c>
      <c r="AA154" s="368">
        <v>0.9</v>
      </c>
      <c r="AB154" s="368">
        <v>0.5</v>
      </c>
      <c r="AC154" s="397">
        <v>0</v>
      </c>
    </row>
    <row r="155" spans="2:29" hidden="1" x14ac:dyDescent="0.3">
      <c r="B155" s="371" t="s">
        <v>527</v>
      </c>
      <c r="C155" s="357" t="s">
        <v>559</v>
      </c>
      <c r="D155" s="356" t="s">
        <v>95</v>
      </c>
      <c r="E155" s="398" t="s">
        <v>530</v>
      </c>
      <c r="F155" s="154">
        <v>0</v>
      </c>
      <c r="G155" s="154">
        <v>0</v>
      </c>
      <c r="H155" s="154">
        <v>0</v>
      </c>
      <c r="I155" s="154">
        <v>0</v>
      </c>
      <c r="J155" s="154">
        <v>0</v>
      </c>
      <c r="K155" s="154">
        <v>0</v>
      </c>
      <c r="L155" s="154">
        <v>0</v>
      </c>
      <c r="M155" s="154">
        <v>0.25</v>
      </c>
      <c r="N155" s="154">
        <v>0.25</v>
      </c>
      <c r="O155" s="154">
        <v>0.5</v>
      </c>
      <c r="P155" s="154">
        <v>0.5</v>
      </c>
      <c r="Q155" s="154">
        <v>0.5</v>
      </c>
      <c r="R155" s="154">
        <v>0.9</v>
      </c>
      <c r="S155" s="154">
        <v>0.9</v>
      </c>
      <c r="T155" s="154">
        <v>0.5</v>
      </c>
      <c r="U155" s="154">
        <v>0.25</v>
      </c>
      <c r="V155" s="154">
        <v>0.25</v>
      </c>
      <c r="W155" s="154">
        <v>0.25</v>
      </c>
      <c r="X155" s="154">
        <v>0.5</v>
      </c>
      <c r="Y155" s="154">
        <v>0.9</v>
      </c>
      <c r="Z155" s="154">
        <v>0.9</v>
      </c>
      <c r="AA155" s="154">
        <v>0.9</v>
      </c>
      <c r="AB155" s="154">
        <v>0.5</v>
      </c>
      <c r="AC155" s="398">
        <v>0</v>
      </c>
    </row>
    <row r="156" spans="2:29" hidden="1" x14ac:dyDescent="0.3">
      <c r="B156" s="373" t="s">
        <v>527</v>
      </c>
      <c r="C156" s="374" t="s">
        <v>559</v>
      </c>
      <c r="D156" s="394" t="s">
        <v>95</v>
      </c>
      <c r="E156" s="399" t="s">
        <v>531</v>
      </c>
      <c r="F156" s="376">
        <v>0</v>
      </c>
      <c r="G156" s="376">
        <v>0</v>
      </c>
      <c r="H156" s="376">
        <v>0</v>
      </c>
      <c r="I156" s="376">
        <v>0</v>
      </c>
      <c r="J156" s="376">
        <v>0</v>
      </c>
      <c r="K156" s="376">
        <v>0</v>
      </c>
      <c r="L156" s="376">
        <v>0</v>
      </c>
      <c r="M156" s="376">
        <v>0.25</v>
      </c>
      <c r="N156" s="376">
        <v>0.25</v>
      </c>
      <c r="O156" s="376">
        <v>0.5</v>
      </c>
      <c r="P156" s="376">
        <v>0.5</v>
      </c>
      <c r="Q156" s="376">
        <v>0.5</v>
      </c>
      <c r="R156" s="376">
        <v>0.9</v>
      </c>
      <c r="S156" s="376">
        <v>0.9</v>
      </c>
      <c r="T156" s="376">
        <v>0.5</v>
      </c>
      <c r="U156" s="376">
        <v>0.25</v>
      </c>
      <c r="V156" s="376">
        <v>0.25</v>
      </c>
      <c r="W156" s="376">
        <v>0.25</v>
      </c>
      <c r="X156" s="376">
        <v>0.5</v>
      </c>
      <c r="Y156" s="376">
        <v>0.9</v>
      </c>
      <c r="Z156" s="376">
        <v>0.9</v>
      </c>
      <c r="AA156" s="376">
        <v>0.9</v>
      </c>
      <c r="AB156" s="376">
        <v>0.5</v>
      </c>
      <c r="AC156" s="399">
        <v>0</v>
      </c>
    </row>
    <row r="157" spans="2:29" hidden="1" x14ac:dyDescent="0.3">
      <c r="B157" s="371" t="s">
        <v>566</v>
      </c>
      <c r="C157" s="357" t="s">
        <v>559</v>
      </c>
      <c r="D157" s="356" t="s">
        <v>95</v>
      </c>
      <c r="E157" s="398" t="s">
        <v>529</v>
      </c>
      <c r="F157" s="154">
        <v>0.05</v>
      </c>
      <c r="G157" s="154">
        <v>0.05</v>
      </c>
      <c r="H157" s="154">
        <v>0.05</v>
      </c>
      <c r="I157" s="154">
        <v>0.05</v>
      </c>
      <c r="J157" s="154">
        <v>0.05</v>
      </c>
      <c r="K157" s="154">
        <v>0.05</v>
      </c>
      <c r="L157" s="154">
        <v>0.05</v>
      </c>
      <c r="M157" s="154">
        <v>0.9</v>
      </c>
      <c r="N157" s="154">
        <v>0.9</v>
      </c>
      <c r="O157" s="154">
        <v>0.9</v>
      </c>
      <c r="P157" s="154">
        <v>0.9</v>
      </c>
      <c r="Q157" s="154">
        <v>0.9</v>
      </c>
      <c r="R157" s="154">
        <v>0.9</v>
      </c>
      <c r="S157" s="154">
        <v>0.9</v>
      </c>
      <c r="T157" s="154">
        <v>0.9</v>
      </c>
      <c r="U157" s="154">
        <v>0.9</v>
      </c>
      <c r="V157" s="154">
        <v>0.9</v>
      </c>
      <c r="W157" s="154">
        <v>0.9</v>
      </c>
      <c r="X157" s="154">
        <v>0.9</v>
      </c>
      <c r="Y157" s="154">
        <v>0.9</v>
      </c>
      <c r="Z157" s="154">
        <v>0.9</v>
      </c>
      <c r="AA157" s="154">
        <v>0.9</v>
      </c>
      <c r="AB157" s="154">
        <v>0.9</v>
      </c>
      <c r="AC157" s="398">
        <v>0.34</v>
      </c>
    </row>
    <row r="158" spans="2:29" hidden="1" x14ac:dyDescent="0.3">
      <c r="B158" s="371" t="s">
        <v>566</v>
      </c>
      <c r="C158" s="357" t="s">
        <v>559</v>
      </c>
      <c r="D158" s="356" t="s">
        <v>95</v>
      </c>
      <c r="E158" s="398" t="s">
        <v>530</v>
      </c>
      <c r="F158" s="154">
        <v>0.05</v>
      </c>
      <c r="G158" s="154">
        <v>0.05</v>
      </c>
      <c r="H158" s="154">
        <v>0.05</v>
      </c>
      <c r="I158" s="154">
        <v>0.05</v>
      </c>
      <c r="J158" s="154">
        <v>0.05</v>
      </c>
      <c r="K158" s="154">
        <v>0.05</v>
      </c>
      <c r="L158" s="154">
        <v>0.05</v>
      </c>
      <c r="M158" s="154">
        <v>0.9</v>
      </c>
      <c r="N158" s="154">
        <v>0.9</v>
      </c>
      <c r="O158" s="154">
        <v>0.9</v>
      </c>
      <c r="P158" s="154">
        <v>0.9</v>
      </c>
      <c r="Q158" s="154">
        <v>0.9</v>
      </c>
      <c r="R158" s="154">
        <v>0.9</v>
      </c>
      <c r="S158" s="154">
        <v>0.9</v>
      </c>
      <c r="T158" s="154">
        <v>0.9</v>
      </c>
      <c r="U158" s="154">
        <v>0.9</v>
      </c>
      <c r="V158" s="154">
        <v>0.9</v>
      </c>
      <c r="W158" s="154">
        <v>0.9</v>
      </c>
      <c r="X158" s="154">
        <v>0.9</v>
      </c>
      <c r="Y158" s="154">
        <v>0.9</v>
      </c>
      <c r="Z158" s="154">
        <v>0.9</v>
      </c>
      <c r="AA158" s="154">
        <v>0.9</v>
      </c>
      <c r="AB158" s="154">
        <v>0.9</v>
      </c>
      <c r="AC158" s="398">
        <v>0.34</v>
      </c>
    </row>
    <row r="159" spans="2:29" hidden="1" x14ac:dyDescent="0.3">
      <c r="B159" s="371" t="s">
        <v>566</v>
      </c>
      <c r="C159" s="357" t="s">
        <v>559</v>
      </c>
      <c r="D159" s="356" t="s">
        <v>95</v>
      </c>
      <c r="E159" s="398" t="s">
        <v>531</v>
      </c>
      <c r="F159" s="154">
        <v>0.05</v>
      </c>
      <c r="G159" s="154">
        <v>0.05</v>
      </c>
      <c r="H159" s="154">
        <v>0.05</v>
      </c>
      <c r="I159" s="154">
        <v>0.05</v>
      </c>
      <c r="J159" s="154">
        <v>0.05</v>
      </c>
      <c r="K159" s="154">
        <v>0.05</v>
      </c>
      <c r="L159" s="154">
        <v>0.05</v>
      </c>
      <c r="M159" s="154">
        <v>0.9</v>
      </c>
      <c r="N159" s="154">
        <v>0.9</v>
      </c>
      <c r="O159" s="154">
        <v>0.9</v>
      </c>
      <c r="P159" s="154">
        <v>0.9</v>
      </c>
      <c r="Q159" s="154">
        <v>0.9</v>
      </c>
      <c r="R159" s="154">
        <v>0.9</v>
      </c>
      <c r="S159" s="154">
        <v>0.9</v>
      </c>
      <c r="T159" s="154">
        <v>0.9</v>
      </c>
      <c r="U159" s="154">
        <v>0.9</v>
      </c>
      <c r="V159" s="154">
        <v>0.9</v>
      </c>
      <c r="W159" s="154">
        <v>0.9</v>
      </c>
      <c r="X159" s="154">
        <v>0.9</v>
      </c>
      <c r="Y159" s="154">
        <v>0.9</v>
      </c>
      <c r="Z159" s="154">
        <v>0.9</v>
      </c>
      <c r="AA159" s="154">
        <v>0.9</v>
      </c>
      <c r="AB159" s="154">
        <v>0.9</v>
      </c>
      <c r="AC159" s="398">
        <v>0.34</v>
      </c>
    </row>
    <row r="160" spans="2:29" hidden="1" x14ac:dyDescent="0.3">
      <c r="B160" s="365" t="s">
        <v>570</v>
      </c>
      <c r="C160" s="366" t="s">
        <v>559</v>
      </c>
      <c r="D160" s="390" t="s">
        <v>95</v>
      </c>
      <c r="E160" s="397" t="s">
        <v>529</v>
      </c>
      <c r="F160" s="368">
        <v>0</v>
      </c>
      <c r="G160" s="368">
        <v>0</v>
      </c>
      <c r="H160" s="368">
        <v>0</v>
      </c>
      <c r="I160" s="368">
        <v>0</v>
      </c>
      <c r="J160" s="368">
        <v>0</v>
      </c>
      <c r="K160" s="368">
        <v>0</v>
      </c>
      <c r="L160" s="368">
        <v>0</v>
      </c>
      <c r="M160" s="368">
        <v>0.9</v>
      </c>
      <c r="N160" s="368">
        <v>0.9</v>
      </c>
      <c r="O160" s="368">
        <v>0.9</v>
      </c>
      <c r="P160" s="368">
        <v>0.9</v>
      </c>
      <c r="Q160" s="368">
        <v>0.9</v>
      </c>
      <c r="R160" s="368">
        <v>0.9</v>
      </c>
      <c r="S160" s="368">
        <v>0.9</v>
      </c>
      <c r="T160" s="368">
        <v>0.9</v>
      </c>
      <c r="U160" s="368">
        <v>0.9</v>
      </c>
      <c r="V160" s="368">
        <v>0.9</v>
      </c>
      <c r="W160" s="368">
        <v>0.9</v>
      </c>
      <c r="X160" s="368">
        <v>0.9</v>
      </c>
      <c r="Y160" s="368">
        <v>0.9</v>
      </c>
      <c r="Z160" s="368">
        <v>0.9</v>
      </c>
      <c r="AA160" s="368">
        <v>0.9</v>
      </c>
      <c r="AB160" s="368">
        <v>0.9</v>
      </c>
      <c r="AC160" s="397">
        <v>0</v>
      </c>
    </row>
    <row r="161" spans="2:29" hidden="1" x14ac:dyDescent="0.3">
      <c r="B161" s="371" t="s">
        <v>570</v>
      </c>
      <c r="C161" s="357" t="s">
        <v>559</v>
      </c>
      <c r="D161" s="356" t="s">
        <v>95</v>
      </c>
      <c r="E161" s="398" t="s">
        <v>530</v>
      </c>
      <c r="F161" s="154">
        <v>0</v>
      </c>
      <c r="G161" s="154">
        <v>0</v>
      </c>
      <c r="H161" s="154">
        <v>0</v>
      </c>
      <c r="I161" s="154">
        <v>0</v>
      </c>
      <c r="J161" s="154">
        <v>0</v>
      </c>
      <c r="K161" s="154">
        <v>0</v>
      </c>
      <c r="L161" s="154">
        <v>0</v>
      </c>
      <c r="M161" s="154">
        <v>0.9</v>
      </c>
      <c r="N161" s="154">
        <v>0.9</v>
      </c>
      <c r="O161" s="154">
        <v>0.9</v>
      </c>
      <c r="P161" s="154">
        <v>0.9</v>
      </c>
      <c r="Q161" s="154">
        <v>0.9</v>
      </c>
      <c r="R161" s="154">
        <v>0.9</v>
      </c>
      <c r="S161" s="154">
        <v>0.9</v>
      </c>
      <c r="T161" s="154">
        <v>0.9</v>
      </c>
      <c r="U161" s="154">
        <v>0.9</v>
      </c>
      <c r="V161" s="154">
        <v>0.9</v>
      </c>
      <c r="W161" s="154">
        <v>0.9</v>
      </c>
      <c r="X161" s="154">
        <v>0.9</v>
      </c>
      <c r="Y161" s="154">
        <v>0.9</v>
      </c>
      <c r="Z161" s="154">
        <v>0.9</v>
      </c>
      <c r="AA161" s="154">
        <v>0.9</v>
      </c>
      <c r="AB161" s="154">
        <v>0.9</v>
      </c>
      <c r="AC161" s="398">
        <v>0</v>
      </c>
    </row>
    <row r="162" spans="2:29" hidden="1" x14ac:dyDescent="0.3">
      <c r="B162" s="373" t="s">
        <v>570</v>
      </c>
      <c r="C162" s="374" t="s">
        <v>559</v>
      </c>
      <c r="D162" s="394" t="s">
        <v>95</v>
      </c>
      <c r="E162" s="399" t="s">
        <v>531</v>
      </c>
      <c r="F162" s="376">
        <v>0</v>
      </c>
      <c r="G162" s="376">
        <v>0</v>
      </c>
      <c r="H162" s="376">
        <v>0</v>
      </c>
      <c r="I162" s="376">
        <v>0</v>
      </c>
      <c r="J162" s="376">
        <v>0</v>
      </c>
      <c r="K162" s="376">
        <v>0</v>
      </c>
      <c r="L162" s="376">
        <v>0</v>
      </c>
      <c r="M162" s="376">
        <v>0.9</v>
      </c>
      <c r="N162" s="376">
        <v>0.9</v>
      </c>
      <c r="O162" s="376">
        <v>0.9</v>
      </c>
      <c r="P162" s="376">
        <v>0.9</v>
      </c>
      <c r="Q162" s="376">
        <v>0.9</v>
      </c>
      <c r="R162" s="376">
        <v>0.9</v>
      </c>
      <c r="S162" s="376">
        <v>0.9</v>
      </c>
      <c r="T162" s="376">
        <v>0.9</v>
      </c>
      <c r="U162" s="376">
        <v>0.9</v>
      </c>
      <c r="V162" s="376">
        <v>0.9</v>
      </c>
      <c r="W162" s="376">
        <v>0.9</v>
      </c>
      <c r="X162" s="376">
        <v>0.9</v>
      </c>
      <c r="Y162" s="376">
        <v>0.9</v>
      </c>
      <c r="Z162" s="376">
        <v>0.9</v>
      </c>
      <c r="AA162" s="376">
        <v>0.9</v>
      </c>
      <c r="AB162" s="376">
        <v>0.9</v>
      </c>
      <c r="AC162" s="399">
        <v>0</v>
      </c>
    </row>
    <row r="163" spans="2:29" hidden="1" x14ac:dyDescent="0.3">
      <c r="B163" s="371" t="s">
        <v>566</v>
      </c>
      <c r="C163" s="357" t="s">
        <v>562</v>
      </c>
      <c r="D163" s="357" t="s">
        <v>567</v>
      </c>
      <c r="E163" s="398" t="s">
        <v>529</v>
      </c>
      <c r="F163" s="154">
        <v>2.9967478499999999E-2</v>
      </c>
      <c r="G163" s="154">
        <v>1.9901450000000001E-2</v>
      </c>
      <c r="H163" s="154">
        <v>2.9852175000000002E-2</v>
      </c>
      <c r="I163" s="154">
        <v>1.9901450000000001E-2</v>
      </c>
      <c r="J163" s="154">
        <v>4.9753625000000003E-2</v>
      </c>
      <c r="K163" s="154">
        <v>0.11986991399999999</v>
      </c>
      <c r="L163" s="154">
        <v>0.12985907350000001</v>
      </c>
      <c r="M163" s="154">
        <v>0.1498373925</v>
      </c>
      <c r="N163" s="154">
        <v>0.179804871</v>
      </c>
      <c r="O163" s="154">
        <v>0.20977234950000001</v>
      </c>
      <c r="P163" s="154">
        <v>0.25971814700000001</v>
      </c>
      <c r="Q163" s="154">
        <v>0.28968562549999999</v>
      </c>
      <c r="R163" s="154">
        <v>0.26970730650000002</v>
      </c>
      <c r="S163" s="154">
        <v>0.2497289875</v>
      </c>
      <c r="T163" s="154">
        <v>0.2297506685</v>
      </c>
      <c r="U163" s="154">
        <v>0.2297506685</v>
      </c>
      <c r="V163" s="154">
        <v>0.25971814700000001</v>
      </c>
      <c r="W163" s="154">
        <v>0.25971814700000001</v>
      </c>
      <c r="X163" s="154">
        <v>0.23973982799999999</v>
      </c>
      <c r="Y163" s="154">
        <v>0.21976150899999999</v>
      </c>
      <c r="Z163" s="154">
        <v>0.19978319</v>
      </c>
      <c r="AA163" s="154">
        <v>0.179804871</v>
      </c>
      <c r="AB163" s="154">
        <v>8.9902435500000002E-2</v>
      </c>
      <c r="AC163" s="398">
        <v>2.9967478499999999E-2</v>
      </c>
    </row>
    <row r="164" spans="2:29" ht="12" hidden="1" customHeight="1" x14ac:dyDescent="0.3">
      <c r="B164" s="371" t="s">
        <v>566</v>
      </c>
      <c r="C164" s="357" t="s">
        <v>562</v>
      </c>
      <c r="D164" s="357" t="s">
        <v>567</v>
      </c>
      <c r="E164" s="398" t="s">
        <v>530</v>
      </c>
      <c r="F164" s="154">
        <v>2.9967478499999999E-2</v>
      </c>
      <c r="G164" s="154">
        <v>1.9901450000000001E-2</v>
      </c>
      <c r="H164" s="154">
        <v>2.9852175000000002E-2</v>
      </c>
      <c r="I164" s="154">
        <v>1.9901450000000001E-2</v>
      </c>
      <c r="J164" s="154">
        <v>4.9753625000000003E-2</v>
      </c>
      <c r="K164" s="154">
        <v>0.11940870000000001</v>
      </c>
      <c r="L164" s="154">
        <v>0.12985907350000001</v>
      </c>
      <c r="M164" s="154">
        <v>0.1498373925</v>
      </c>
      <c r="N164" s="154">
        <v>0.179804871</v>
      </c>
      <c r="O164" s="154">
        <v>0.20977234950000001</v>
      </c>
      <c r="P164" s="154">
        <v>0.25971814700000001</v>
      </c>
      <c r="Q164" s="154">
        <v>0.28968562549999999</v>
      </c>
      <c r="R164" s="154">
        <v>0.26970730650000002</v>
      </c>
      <c r="S164" s="154">
        <v>0.2497289875</v>
      </c>
      <c r="T164" s="154">
        <v>0.2297506685</v>
      </c>
      <c r="U164" s="154">
        <v>0.2297506685</v>
      </c>
      <c r="V164" s="154">
        <v>0.25971814700000001</v>
      </c>
      <c r="W164" s="154">
        <v>0.25971814700000001</v>
      </c>
      <c r="X164" s="154">
        <v>0.23973982799999999</v>
      </c>
      <c r="Y164" s="154">
        <v>0.21976150899999999</v>
      </c>
      <c r="Z164" s="154">
        <v>0.19978319</v>
      </c>
      <c r="AA164" s="154">
        <v>0.179804871</v>
      </c>
      <c r="AB164" s="154">
        <v>8.9902435500000002E-2</v>
      </c>
      <c r="AC164" s="398">
        <v>2.9967478499999999E-2</v>
      </c>
    </row>
    <row r="165" spans="2:29" hidden="1" x14ac:dyDescent="0.3">
      <c r="B165" s="371" t="s">
        <v>566</v>
      </c>
      <c r="C165" s="357" t="s">
        <v>562</v>
      </c>
      <c r="D165" s="357" t="s">
        <v>567</v>
      </c>
      <c r="E165" s="398" t="s">
        <v>531</v>
      </c>
      <c r="F165" s="154">
        <v>2.9967478499999999E-2</v>
      </c>
      <c r="G165" s="154">
        <v>1.9901450000000001E-2</v>
      </c>
      <c r="H165" s="154">
        <v>2.9852175000000002E-2</v>
      </c>
      <c r="I165" s="154">
        <v>1.9901450000000001E-2</v>
      </c>
      <c r="J165" s="154">
        <v>4.9753625000000003E-2</v>
      </c>
      <c r="K165" s="154">
        <v>0.11940870000000001</v>
      </c>
      <c r="L165" s="154">
        <v>0.12985907350000001</v>
      </c>
      <c r="M165" s="154">
        <v>0.1498373925</v>
      </c>
      <c r="N165" s="154">
        <v>0.179804871</v>
      </c>
      <c r="O165" s="154">
        <v>0.20977234950000001</v>
      </c>
      <c r="P165" s="154">
        <v>0.25971814700000001</v>
      </c>
      <c r="Q165" s="154">
        <v>0.28968562549999999</v>
      </c>
      <c r="R165" s="154">
        <v>0.26970730650000002</v>
      </c>
      <c r="S165" s="154">
        <v>0.2497289875</v>
      </c>
      <c r="T165" s="154">
        <v>0.2297506685</v>
      </c>
      <c r="U165" s="154">
        <v>0.2297506685</v>
      </c>
      <c r="V165" s="154">
        <v>0.25971814700000001</v>
      </c>
      <c r="W165" s="154">
        <v>0.25971814700000001</v>
      </c>
      <c r="X165" s="154">
        <v>0.23973982799999999</v>
      </c>
      <c r="Y165" s="154">
        <v>0.21976150899999999</v>
      </c>
      <c r="Z165" s="154">
        <v>0.19978319</v>
      </c>
      <c r="AA165" s="154">
        <v>0.179804871</v>
      </c>
      <c r="AB165" s="154">
        <v>8.9902435500000002E-2</v>
      </c>
      <c r="AC165" s="398">
        <v>2.9967478499999999E-2</v>
      </c>
    </row>
    <row r="166" spans="2:29" hidden="1" x14ac:dyDescent="0.3">
      <c r="B166" s="365" t="s">
        <v>527</v>
      </c>
      <c r="C166" s="366" t="s">
        <v>562</v>
      </c>
      <c r="D166" s="366" t="s">
        <v>567</v>
      </c>
      <c r="E166" s="397" t="s">
        <v>529</v>
      </c>
      <c r="F166" s="368">
        <v>0.05</v>
      </c>
      <c r="G166" s="368">
        <v>0</v>
      </c>
      <c r="H166" s="368">
        <v>0</v>
      </c>
      <c r="I166" s="368">
        <v>0</v>
      </c>
      <c r="J166" s="368">
        <v>0</v>
      </c>
      <c r="K166" s="368">
        <v>0.05</v>
      </c>
      <c r="L166" s="368">
        <v>0.1</v>
      </c>
      <c r="M166" s="368">
        <v>0.4</v>
      </c>
      <c r="N166" s="368">
        <v>0.4</v>
      </c>
      <c r="O166" s="368">
        <v>0.4</v>
      </c>
      <c r="P166" s="368">
        <v>0.2</v>
      </c>
      <c r="Q166" s="368">
        <v>0.5</v>
      </c>
      <c r="R166" s="368">
        <v>0.8</v>
      </c>
      <c r="S166" s="368">
        <v>0.7</v>
      </c>
      <c r="T166" s="368">
        <v>0.4</v>
      </c>
      <c r="U166" s="368">
        <v>0.2</v>
      </c>
      <c r="V166" s="368">
        <v>0.25</v>
      </c>
      <c r="W166" s="368">
        <v>0.5</v>
      </c>
      <c r="X166" s="368">
        <v>0.8</v>
      </c>
      <c r="Y166" s="368">
        <v>0.8</v>
      </c>
      <c r="Z166" s="368">
        <v>0.8</v>
      </c>
      <c r="AA166" s="368">
        <v>0.5</v>
      </c>
      <c r="AB166" s="368">
        <v>0.35</v>
      </c>
      <c r="AC166" s="397">
        <v>0.2</v>
      </c>
    </row>
    <row r="167" spans="2:29" hidden="1" x14ac:dyDescent="0.3">
      <c r="B167" s="371" t="s">
        <v>527</v>
      </c>
      <c r="C167" s="357" t="s">
        <v>562</v>
      </c>
      <c r="D167" s="357" t="s">
        <v>567</v>
      </c>
      <c r="E167" s="398" t="s">
        <v>530</v>
      </c>
      <c r="F167" s="154">
        <v>0.05</v>
      </c>
      <c r="G167" s="154">
        <v>0</v>
      </c>
      <c r="H167" s="154">
        <v>0</v>
      </c>
      <c r="I167" s="154">
        <v>0</v>
      </c>
      <c r="J167" s="154">
        <v>0</v>
      </c>
      <c r="K167" s="154">
        <v>0</v>
      </c>
      <c r="L167" s="154">
        <v>0.05</v>
      </c>
      <c r="M167" s="154">
        <v>0.5</v>
      </c>
      <c r="N167" s="154">
        <v>0.5</v>
      </c>
      <c r="O167" s="154">
        <v>0.4</v>
      </c>
      <c r="P167" s="154">
        <v>0.2</v>
      </c>
      <c r="Q167" s="154">
        <v>0.45</v>
      </c>
      <c r="R167" s="154">
        <v>0.5</v>
      </c>
      <c r="S167" s="154">
        <v>0.5</v>
      </c>
      <c r="T167" s="154">
        <v>0.35</v>
      </c>
      <c r="U167" s="154">
        <v>0.3</v>
      </c>
      <c r="V167" s="154">
        <v>0.3</v>
      </c>
      <c r="W167" s="154">
        <v>0.3</v>
      </c>
      <c r="X167" s="154">
        <v>0.7</v>
      </c>
      <c r="Y167" s="154">
        <v>0.9</v>
      </c>
      <c r="Z167" s="154">
        <v>0.7</v>
      </c>
      <c r="AA167" s="154">
        <v>0.65</v>
      </c>
      <c r="AB167" s="154">
        <v>0.55000000000000004</v>
      </c>
      <c r="AC167" s="398">
        <v>0.35</v>
      </c>
    </row>
    <row r="168" spans="2:29" hidden="1" x14ac:dyDescent="0.3">
      <c r="B168" s="373" t="s">
        <v>527</v>
      </c>
      <c r="C168" s="374" t="s">
        <v>562</v>
      </c>
      <c r="D168" s="374" t="s">
        <v>567</v>
      </c>
      <c r="E168" s="399" t="s">
        <v>531</v>
      </c>
      <c r="F168" s="376">
        <v>0.05</v>
      </c>
      <c r="G168" s="376">
        <v>0</v>
      </c>
      <c r="H168" s="376">
        <v>0</v>
      </c>
      <c r="I168" s="376">
        <v>0</v>
      </c>
      <c r="J168" s="376">
        <v>0</v>
      </c>
      <c r="K168" s="376">
        <v>0</v>
      </c>
      <c r="L168" s="376">
        <v>0.05</v>
      </c>
      <c r="M168" s="376">
        <v>0.5</v>
      </c>
      <c r="N168" s="376">
        <v>0.5</v>
      </c>
      <c r="O168" s="376">
        <v>0.2</v>
      </c>
      <c r="P168" s="376">
        <v>0.2</v>
      </c>
      <c r="Q168" s="376">
        <v>0.3</v>
      </c>
      <c r="R168" s="376">
        <v>0.5</v>
      </c>
      <c r="S168" s="376">
        <v>0.5</v>
      </c>
      <c r="T168" s="376">
        <v>0.3</v>
      </c>
      <c r="U168" s="376">
        <v>0.2</v>
      </c>
      <c r="V168" s="376">
        <v>0.25</v>
      </c>
      <c r="W168" s="376">
        <v>0.35</v>
      </c>
      <c r="X168" s="376">
        <v>0.55000000000000004</v>
      </c>
      <c r="Y168" s="376">
        <v>0.65</v>
      </c>
      <c r="Z168" s="376">
        <v>0.7</v>
      </c>
      <c r="AA168" s="376">
        <v>0.35</v>
      </c>
      <c r="AB168" s="376">
        <v>0.2</v>
      </c>
      <c r="AC168" s="399">
        <v>0.2</v>
      </c>
    </row>
    <row r="169" spans="2:29" hidden="1" x14ac:dyDescent="0.3">
      <c r="B169" s="371" t="s">
        <v>570</v>
      </c>
      <c r="C169" s="357" t="s">
        <v>562</v>
      </c>
      <c r="D169" s="357" t="s">
        <v>567</v>
      </c>
      <c r="E169" s="398" t="s">
        <v>529</v>
      </c>
      <c r="F169" s="154">
        <v>0.13686000000000001</v>
      </c>
      <c r="G169" s="154">
        <v>0.13686000000000001</v>
      </c>
      <c r="H169" s="154">
        <v>0.13686000000000001</v>
      </c>
      <c r="I169" s="154">
        <v>0.13686000000000001</v>
      </c>
      <c r="J169" s="154">
        <v>0.13686000000000001</v>
      </c>
      <c r="K169" s="154">
        <v>0.18248</v>
      </c>
      <c r="L169" s="154">
        <v>0.36496000000000001</v>
      </c>
      <c r="M169" s="154">
        <v>0.36496000000000001</v>
      </c>
      <c r="N169" s="154">
        <v>0.54742999999999997</v>
      </c>
      <c r="O169" s="154">
        <v>0.54742999999999997</v>
      </c>
      <c r="P169" s="154">
        <v>0.82115000000000005</v>
      </c>
      <c r="Q169" s="154">
        <v>0.82115000000000005</v>
      </c>
      <c r="R169" s="154">
        <v>0.82115000000000005</v>
      </c>
      <c r="S169" s="154">
        <v>0.82115000000000005</v>
      </c>
      <c r="T169" s="154">
        <v>0.82115000000000005</v>
      </c>
      <c r="U169" s="154">
        <v>0.82115000000000005</v>
      </c>
      <c r="V169" s="154">
        <v>0.82115000000000005</v>
      </c>
      <c r="W169" s="154">
        <v>0.82115000000000005</v>
      </c>
      <c r="X169" s="154">
        <v>0.82115000000000005</v>
      </c>
      <c r="Y169" s="154">
        <v>0.82115000000000005</v>
      </c>
      <c r="Z169" s="154">
        <v>0.82115000000000005</v>
      </c>
      <c r="AA169" s="154">
        <v>0.82115000000000005</v>
      </c>
      <c r="AB169" s="154">
        <v>0.45619999999999999</v>
      </c>
      <c r="AC169" s="398">
        <v>0.27372000000000002</v>
      </c>
    </row>
    <row r="170" spans="2:29" hidden="1" x14ac:dyDescent="0.3">
      <c r="B170" s="371" t="s">
        <v>570</v>
      </c>
      <c r="C170" s="357" t="s">
        <v>562</v>
      </c>
      <c r="D170" s="357" t="s">
        <v>567</v>
      </c>
      <c r="E170" s="398" t="s">
        <v>530</v>
      </c>
      <c r="F170" s="154">
        <v>0.18248</v>
      </c>
      <c r="G170" s="154">
        <v>0.13686000000000001</v>
      </c>
      <c r="H170" s="154">
        <v>0.13686000000000001</v>
      </c>
      <c r="I170" s="154">
        <v>0.13686000000000001</v>
      </c>
      <c r="J170" s="154">
        <v>0.13686000000000001</v>
      </c>
      <c r="K170" s="154">
        <v>0.13686000000000001</v>
      </c>
      <c r="L170" s="154">
        <v>0.27372000000000002</v>
      </c>
      <c r="M170" s="154">
        <v>0.27372000000000002</v>
      </c>
      <c r="N170" s="154">
        <v>0.54742999999999997</v>
      </c>
      <c r="O170" s="154">
        <v>0.54742999999999997</v>
      </c>
      <c r="P170" s="154">
        <v>0.72990999999999995</v>
      </c>
      <c r="Q170" s="154">
        <v>0.72990999999999995</v>
      </c>
      <c r="R170" s="154">
        <v>0.72990999999999995</v>
      </c>
      <c r="S170" s="154">
        <v>0.72990999999999995</v>
      </c>
      <c r="T170" s="154">
        <v>0.72990999999999995</v>
      </c>
      <c r="U170" s="154">
        <v>0.72990999999999995</v>
      </c>
      <c r="V170" s="154">
        <v>0.72990999999999995</v>
      </c>
      <c r="W170" s="154">
        <v>0.82115000000000005</v>
      </c>
      <c r="X170" s="154">
        <v>0.82115000000000005</v>
      </c>
      <c r="Y170" s="154">
        <v>0.82115000000000005</v>
      </c>
      <c r="Z170" s="154">
        <v>0.82115000000000005</v>
      </c>
      <c r="AA170" s="154">
        <v>0.82115000000000005</v>
      </c>
      <c r="AB170" s="154">
        <v>0.45619999999999999</v>
      </c>
      <c r="AC170" s="398">
        <v>0.27372000000000002</v>
      </c>
    </row>
    <row r="171" spans="2:29" hidden="1" x14ac:dyDescent="0.3">
      <c r="B171" s="371" t="s">
        <v>570</v>
      </c>
      <c r="C171" s="357" t="s">
        <v>562</v>
      </c>
      <c r="D171" s="357" t="s">
        <v>567</v>
      </c>
      <c r="E171" s="398" t="s">
        <v>531</v>
      </c>
      <c r="F171" s="154">
        <v>0.18248</v>
      </c>
      <c r="G171" s="154">
        <v>0.13686000000000001</v>
      </c>
      <c r="H171" s="154">
        <v>0.13686000000000001</v>
      </c>
      <c r="I171" s="154">
        <v>0.13686000000000001</v>
      </c>
      <c r="J171" s="154">
        <v>0.13686000000000001</v>
      </c>
      <c r="K171" s="154">
        <v>0.13686000000000001</v>
      </c>
      <c r="L171" s="154">
        <v>0.27372000000000002</v>
      </c>
      <c r="M171" s="154">
        <v>0.27372000000000002</v>
      </c>
      <c r="N171" s="154">
        <v>0.45619999999999999</v>
      </c>
      <c r="O171" s="154">
        <v>0.45619999999999999</v>
      </c>
      <c r="P171" s="154">
        <v>0.63866999999999996</v>
      </c>
      <c r="Q171" s="154">
        <v>0.63866999999999996</v>
      </c>
      <c r="R171" s="154">
        <v>0.63866999999999996</v>
      </c>
      <c r="S171" s="154">
        <v>0.63866999999999996</v>
      </c>
      <c r="T171" s="154">
        <v>0.63866999999999996</v>
      </c>
      <c r="U171" s="154">
        <v>0.63866999999999996</v>
      </c>
      <c r="V171" s="154">
        <v>0.54742999999999997</v>
      </c>
      <c r="W171" s="154">
        <v>0.54742999999999997</v>
      </c>
      <c r="X171" s="154">
        <v>0.54742999999999997</v>
      </c>
      <c r="Y171" s="154">
        <v>0.54742999999999997</v>
      </c>
      <c r="Z171" s="154">
        <v>0.54742999999999997</v>
      </c>
      <c r="AA171" s="154">
        <v>0.54742999999999997</v>
      </c>
      <c r="AB171" s="154">
        <v>0.45619999999999999</v>
      </c>
      <c r="AC171" s="398">
        <v>0.27372000000000002</v>
      </c>
    </row>
    <row r="172" spans="2:29" hidden="1" x14ac:dyDescent="0.3">
      <c r="B172" s="365" t="s">
        <v>566</v>
      </c>
      <c r="C172" s="366" t="s">
        <v>561</v>
      </c>
      <c r="D172" s="366" t="s">
        <v>95</v>
      </c>
      <c r="E172" s="397" t="s">
        <v>529</v>
      </c>
      <c r="F172" s="368">
        <v>0.15</v>
      </c>
      <c r="G172" s="368">
        <v>0.15</v>
      </c>
      <c r="H172" s="368">
        <v>0.15</v>
      </c>
      <c r="I172" s="368">
        <v>0.15</v>
      </c>
      <c r="J172" s="368">
        <v>0.15</v>
      </c>
      <c r="K172" s="368">
        <v>0.2</v>
      </c>
      <c r="L172" s="368">
        <v>0.4</v>
      </c>
      <c r="M172" s="368">
        <v>0.4</v>
      </c>
      <c r="N172" s="368">
        <v>0.6</v>
      </c>
      <c r="O172" s="368">
        <v>0.6</v>
      </c>
      <c r="P172" s="368">
        <v>0.9</v>
      </c>
      <c r="Q172" s="368">
        <v>0.9</v>
      </c>
      <c r="R172" s="368">
        <v>0.9</v>
      </c>
      <c r="S172" s="368">
        <v>0.9</v>
      </c>
      <c r="T172" s="368">
        <v>0.9</v>
      </c>
      <c r="U172" s="368">
        <v>0.9</v>
      </c>
      <c r="V172" s="368">
        <v>0.9</v>
      </c>
      <c r="W172" s="368">
        <v>0.9</v>
      </c>
      <c r="X172" s="368">
        <v>0.9</v>
      </c>
      <c r="Y172" s="368">
        <v>0.9</v>
      </c>
      <c r="Z172" s="368">
        <v>0.9</v>
      </c>
      <c r="AA172" s="368">
        <v>0.9</v>
      </c>
      <c r="AB172" s="368">
        <v>0.5</v>
      </c>
      <c r="AC172" s="397">
        <v>0.3</v>
      </c>
    </row>
    <row r="173" spans="2:29" hidden="1" x14ac:dyDescent="0.3">
      <c r="B173" s="371" t="s">
        <v>566</v>
      </c>
      <c r="C173" s="357" t="s">
        <v>561</v>
      </c>
      <c r="D173" s="357" t="s">
        <v>95</v>
      </c>
      <c r="E173" s="398" t="s">
        <v>530</v>
      </c>
      <c r="F173" s="154">
        <v>0.2</v>
      </c>
      <c r="G173" s="154">
        <v>0.15</v>
      </c>
      <c r="H173" s="154">
        <v>0.15</v>
      </c>
      <c r="I173" s="154">
        <v>0.15</v>
      </c>
      <c r="J173" s="154">
        <v>0.15</v>
      </c>
      <c r="K173" s="154">
        <v>0.15</v>
      </c>
      <c r="L173" s="154">
        <v>0.3</v>
      </c>
      <c r="M173" s="154">
        <v>0.3</v>
      </c>
      <c r="N173" s="154">
        <v>0.6</v>
      </c>
      <c r="O173" s="154">
        <v>0.6</v>
      </c>
      <c r="P173" s="154">
        <v>0.8</v>
      </c>
      <c r="Q173" s="154">
        <v>0.8</v>
      </c>
      <c r="R173" s="154">
        <v>0.8</v>
      </c>
      <c r="S173" s="154">
        <v>0.8</v>
      </c>
      <c r="T173" s="154">
        <v>0.8</v>
      </c>
      <c r="U173" s="154">
        <v>0.8</v>
      </c>
      <c r="V173" s="154">
        <v>0.8</v>
      </c>
      <c r="W173" s="154">
        <v>0.9</v>
      </c>
      <c r="X173" s="154">
        <v>0.9</v>
      </c>
      <c r="Y173" s="154">
        <v>0.9</v>
      </c>
      <c r="Z173" s="154">
        <v>0.9</v>
      </c>
      <c r="AA173" s="154">
        <v>0.9</v>
      </c>
      <c r="AB173" s="154">
        <v>0.5</v>
      </c>
      <c r="AC173" s="398">
        <v>0.3</v>
      </c>
    </row>
    <row r="174" spans="2:29" hidden="1" x14ac:dyDescent="0.3">
      <c r="B174" s="373" t="s">
        <v>566</v>
      </c>
      <c r="C174" s="374" t="s">
        <v>561</v>
      </c>
      <c r="D174" s="374" t="s">
        <v>95</v>
      </c>
      <c r="E174" s="399" t="s">
        <v>531</v>
      </c>
      <c r="F174" s="376">
        <v>0.2</v>
      </c>
      <c r="G174" s="376">
        <v>0.15</v>
      </c>
      <c r="H174" s="376">
        <v>0.15</v>
      </c>
      <c r="I174" s="376">
        <v>0.15</v>
      </c>
      <c r="J174" s="376">
        <v>0.15</v>
      </c>
      <c r="K174" s="376">
        <v>0.15</v>
      </c>
      <c r="L174" s="376">
        <v>0.3</v>
      </c>
      <c r="M174" s="376">
        <v>0.3</v>
      </c>
      <c r="N174" s="376">
        <v>0.5</v>
      </c>
      <c r="O174" s="376">
        <v>0.5</v>
      </c>
      <c r="P174" s="376">
        <v>0.7</v>
      </c>
      <c r="Q174" s="376">
        <v>0.7</v>
      </c>
      <c r="R174" s="376">
        <v>0.7</v>
      </c>
      <c r="S174" s="376">
        <v>0.7</v>
      </c>
      <c r="T174" s="376">
        <v>0.7</v>
      </c>
      <c r="U174" s="376">
        <v>0.7</v>
      </c>
      <c r="V174" s="376">
        <v>0.6</v>
      </c>
      <c r="W174" s="376">
        <v>0.6</v>
      </c>
      <c r="X174" s="376">
        <v>0.6</v>
      </c>
      <c r="Y174" s="376">
        <v>0.6</v>
      </c>
      <c r="Z174" s="376">
        <v>0.6</v>
      </c>
      <c r="AA174" s="376">
        <v>0.6</v>
      </c>
      <c r="AB174" s="376">
        <v>0.5</v>
      </c>
      <c r="AC174" s="399">
        <v>0.3</v>
      </c>
    </row>
    <row r="175" spans="2:29" hidden="1" x14ac:dyDescent="0.3">
      <c r="B175" s="371" t="s">
        <v>527</v>
      </c>
      <c r="C175" s="357" t="s">
        <v>561</v>
      </c>
      <c r="D175" s="357" t="s">
        <v>95</v>
      </c>
      <c r="E175" s="398" t="s">
        <v>529</v>
      </c>
      <c r="F175" s="154">
        <v>0.15</v>
      </c>
      <c r="G175" s="154">
        <v>0.15</v>
      </c>
      <c r="H175" s="154">
        <v>0.05</v>
      </c>
      <c r="I175" s="154">
        <v>0</v>
      </c>
      <c r="J175" s="154">
        <v>0</v>
      </c>
      <c r="K175" s="154">
        <v>0</v>
      </c>
      <c r="L175" s="154">
        <v>0</v>
      </c>
      <c r="M175" s="154">
        <v>0.05</v>
      </c>
      <c r="N175" s="154">
        <v>0.05</v>
      </c>
      <c r="O175" s="154">
        <v>0.05</v>
      </c>
      <c r="P175" s="154">
        <v>0.2</v>
      </c>
      <c r="Q175" s="154">
        <v>0.5</v>
      </c>
      <c r="R175" s="154">
        <v>0.8</v>
      </c>
      <c r="S175" s="154">
        <v>0.7</v>
      </c>
      <c r="T175" s="154">
        <v>0.4</v>
      </c>
      <c r="U175" s="154">
        <v>0.2</v>
      </c>
      <c r="V175" s="154">
        <v>0.25</v>
      </c>
      <c r="W175" s="154">
        <v>0.5</v>
      </c>
      <c r="X175" s="154">
        <v>0.8</v>
      </c>
      <c r="Y175" s="154">
        <v>0.8</v>
      </c>
      <c r="Z175" s="154">
        <v>0.8</v>
      </c>
      <c r="AA175" s="154">
        <v>0.5</v>
      </c>
      <c r="AB175" s="154">
        <v>0.35</v>
      </c>
      <c r="AC175" s="398">
        <v>0.2</v>
      </c>
    </row>
    <row r="176" spans="2:29" hidden="1" x14ac:dyDescent="0.3">
      <c r="B176" s="371" t="s">
        <v>527</v>
      </c>
      <c r="C176" s="357" t="s">
        <v>561</v>
      </c>
      <c r="D176" s="357" t="s">
        <v>95</v>
      </c>
      <c r="E176" s="398" t="s">
        <v>530</v>
      </c>
      <c r="F176" s="154">
        <v>0.3</v>
      </c>
      <c r="G176" s="154">
        <v>0.25</v>
      </c>
      <c r="H176" s="154">
        <v>0.05</v>
      </c>
      <c r="I176" s="154">
        <v>0</v>
      </c>
      <c r="J176" s="154">
        <v>0</v>
      </c>
      <c r="K176" s="154">
        <v>0</v>
      </c>
      <c r="L176" s="154">
        <v>0</v>
      </c>
      <c r="M176" s="154">
        <v>0</v>
      </c>
      <c r="N176" s="154">
        <v>0</v>
      </c>
      <c r="O176" s="154">
        <v>0.05</v>
      </c>
      <c r="P176" s="154">
        <v>0.2</v>
      </c>
      <c r="Q176" s="154">
        <v>0.45</v>
      </c>
      <c r="R176" s="154">
        <v>0.5</v>
      </c>
      <c r="S176" s="154">
        <v>0.5</v>
      </c>
      <c r="T176" s="154">
        <v>0.35</v>
      </c>
      <c r="U176" s="154">
        <v>0.3</v>
      </c>
      <c r="V176" s="154">
        <v>0.3</v>
      </c>
      <c r="W176" s="154">
        <v>0.3</v>
      </c>
      <c r="X176" s="154">
        <v>0.7</v>
      </c>
      <c r="Y176" s="154">
        <v>0.9</v>
      </c>
      <c r="Z176" s="154">
        <v>0.7</v>
      </c>
      <c r="AA176" s="154">
        <v>0.65</v>
      </c>
      <c r="AB176" s="154">
        <v>0.55000000000000004</v>
      </c>
      <c r="AC176" s="398">
        <v>0.35</v>
      </c>
    </row>
    <row r="177" spans="2:29" hidden="1" x14ac:dyDescent="0.3">
      <c r="B177" s="371" t="s">
        <v>527</v>
      </c>
      <c r="C177" s="357" t="s">
        <v>561</v>
      </c>
      <c r="D177" s="357" t="s">
        <v>95</v>
      </c>
      <c r="E177" s="398" t="s">
        <v>531</v>
      </c>
      <c r="F177" s="154">
        <v>0.2</v>
      </c>
      <c r="G177" s="154">
        <v>0.2</v>
      </c>
      <c r="H177" s="154">
        <v>0.05</v>
      </c>
      <c r="I177" s="154">
        <v>0</v>
      </c>
      <c r="J177" s="154">
        <v>0</v>
      </c>
      <c r="K177" s="154">
        <v>0</v>
      </c>
      <c r="L177" s="154">
        <v>0</v>
      </c>
      <c r="M177" s="154">
        <v>0</v>
      </c>
      <c r="N177" s="154">
        <v>0</v>
      </c>
      <c r="O177" s="154">
        <v>0</v>
      </c>
      <c r="P177" s="154">
        <v>0.1</v>
      </c>
      <c r="Q177" s="154">
        <v>0.2</v>
      </c>
      <c r="R177" s="154">
        <v>0.25</v>
      </c>
      <c r="S177" s="154">
        <v>0.25</v>
      </c>
      <c r="T177" s="154">
        <v>0.15</v>
      </c>
      <c r="U177" s="154">
        <v>0.2</v>
      </c>
      <c r="V177" s="154">
        <v>0.25</v>
      </c>
      <c r="W177" s="154">
        <v>0.35</v>
      </c>
      <c r="X177" s="154">
        <v>0.55000000000000004</v>
      </c>
      <c r="Y177" s="154">
        <v>0.65</v>
      </c>
      <c r="Z177" s="154">
        <v>0.7</v>
      </c>
      <c r="AA177" s="154">
        <v>0.35</v>
      </c>
      <c r="AB177" s="154">
        <v>0.2</v>
      </c>
      <c r="AC177" s="398">
        <v>0.2</v>
      </c>
    </row>
    <row r="178" spans="2:29" hidden="1" x14ac:dyDescent="0.3">
      <c r="B178" s="365" t="s">
        <v>570</v>
      </c>
      <c r="C178" s="366" t="s">
        <v>561</v>
      </c>
      <c r="D178" s="366" t="s">
        <v>95</v>
      </c>
      <c r="E178" s="397" t="s">
        <v>529</v>
      </c>
      <c r="F178" s="368">
        <v>0.15</v>
      </c>
      <c r="G178" s="368">
        <v>0.15</v>
      </c>
      <c r="H178" s="368">
        <v>0.15</v>
      </c>
      <c r="I178" s="368">
        <v>0.15</v>
      </c>
      <c r="J178" s="368">
        <v>0.15</v>
      </c>
      <c r="K178" s="368">
        <v>0.2</v>
      </c>
      <c r="L178" s="368">
        <v>0.35</v>
      </c>
      <c r="M178" s="368">
        <v>0.35</v>
      </c>
      <c r="N178" s="368">
        <v>0.55000000000000004</v>
      </c>
      <c r="O178" s="368">
        <v>0.55000000000000004</v>
      </c>
      <c r="P178" s="368">
        <v>0.85</v>
      </c>
      <c r="Q178" s="368">
        <v>0.85</v>
      </c>
      <c r="R178" s="368">
        <v>0.85</v>
      </c>
      <c r="S178" s="368">
        <v>0.85</v>
      </c>
      <c r="T178" s="368">
        <v>0.85</v>
      </c>
      <c r="U178" s="368">
        <v>0.85</v>
      </c>
      <c r="V178" s="368">
        <v>0.85</v>
      </c>
      <c r="W178" s="368">
        <v>0.85</v>
      </c>
      <c r="X178" s="368">
        <v>0.85</v>
      </c>
      <c r="Y178" s="368">
        <v>0.85</v>
      </c>
      <c r="Z178" s="368">
        <v>0.85</v>
      </c>
      <c r="AA178" s="368">
        <v>0.85</v>
      </c>
      <c r="AB178" s="368">
        <v>0.45</v>
      </c>
      <c r="AC178" s="397">
        <v>0.3</v>
      </c>
    </row>
    <row r="179" spans="2:29" hidden="1" x14ac:dyDescent="0.3">
      <c r="B179" s="371" t="s">
        <v>570</v>
      </c>
      <c r="C179" s="357" t="s">
        <v>561</v>
      </c>
      <c r="D179" s="357" t="s">
        <v>95</v>
      </c>
      <c r="E179" s="398" t="s">
        <v>530</v>
      </c>
      <c r="F179" s="154">
        <v>0.2</v>
      </c>
      <c r="G179" s="154">
        <v>0.15</v>
      </c>
      <c r="H179" s="154">
        <v>0.15</v>
      </c>
      <c r="I179" s="154">
        <v>0.15</v>
      </c>
      <c r="J179" s="154">
        <v>0.15</v>
      </c>
      <c r="K179" s="154">
        <v>0.15</v>
      </c>
      <c r="L179" s="154">
        <v>0.3</v>
      </c>
      <c r="M179" s="154">
        <v>0.3</v>
      </c>
      <c r="N179" s="154">
        <v>0.55000000000000004</v>
      </c>
      <c r="O179" s="154">
        <v>0.55000000000000004</v>
      </c>
      <c r="P179" s="154">
        <v>0.75</v>
      </c>
      <c r="Q179" s="154">
        <v>0.75</v>
      </c>
      <c r="R179" s="154">
        <v>0.75</v>
      </c>
      <c r="S179" s="154">
        <v>0.75</v>
      </c>
      <c r="T179" s="154">
        <v>0.75</v>
      </c>
      <c r="U179" s="154">
        <v>0.75</v>
      </c>
      <c r="V179" s="154">
        <v>0.75</v>
      </c>
      <c r="W179" s="154">
        <v>0.85</v>
      </c>
      <c r="X179" s="154">
        <v>0.85</v>
      </c>
      <c r="Y179" s="154">
        <v>0.85</v>
      </c>
      <c r="Z179" s="154">
        <v>0.85</v>
      </c>
      <c r="AA179" s="154">
        <v>0.85</v>
      </c>
      <c r="AB179" s="154">
        <v>0.45</v>
      </c>
      <c r="AC179" s="398">
        <v>0.3</v>
      </c>
    </row>
    <row r="180" spans="2:29" hidden="1" x14ac:dyDescent="0.3">
      <c r="B180" s="373" t="s">
        <v>570</v>
      </c>
      <c r="C180" s="374" t="s">
        <v>561</v>
      </c>
      <c r="D180" s="374" t="s">
        <v>95</v>
      </c>
      <c r="E180" s="399" t="s">
        <v>531</v>
      </c>
      <c r="F180" s="376">
        <v>0.2</v>
      </c>
      <c r="G180" s="376">
        <v>0.15</v>
      </c>
      <c r="H180" s="376">
        <v>0.15</v>
      </c>
      <c r="I180" s="376">
        <v>0.15</v>
      </c>
      <c r="J180" s="376">
        <v>0.15</v>
      </c>
      <c r="K180" s="376">
        <v>0.15</v>
      </c>
      <c r="L180" s="376">
        <v>0.3</v>
      </c>
      <c r="M180" s="376">
        <v>0.3</v>
      </c>
      <c r="N180" s="376">
        <v>0.45</v>
      </c>
      <c r="O180" s="376">
        <v>0.45</v>
      </c>
      <c r="P180" s="376">
        <v>0.65</v>
      </c>
      <c r="Q180" s="376">
        <v>0.65</v>
      </c>
      <c r="R180" s="376">
        <v>0.65</v>
      </c>
      <c r="S180" s="376">
        <v>0.65</v>
      </c>
      <c r="T180" s="376">
        <v>0.65</v>
      </c>
      <c r="U180" s="376">
        <v>0.65</v>
      </c>
      <c r="V180" s="376">
        <v>0.55000000000000004</v>
      </c>
      <c r="W180" s="376">
        <v>0.55000000000000004</v>
      </c>
      <c r="X180" s="376">
        <v>0.55000000000000004</v>
      </c>
      <c r="Y180" s="376">
        <v>0.55000000000000004</v>
      </c>
      <c r="Z180" s="376">
        <v>0.55000000000000004</v>
      </c>
      <c r="AA180" s="376">
        <v>0.55000000000000004</v>
      </c>
      <c r="AB180" s="376">
        <v>0.45</v>
      </c>
      <c r="AC180" s="399">
        <v>0.3</v>
      </c>
    </row>
    <row r="181" spans="2:29" hidden="1" x14ac:dyDescent="0.3">
      <c r="B181" s="371" t="s">
        <v>566</v>
      </c>
      <c r="C181" s="357" t="s">
        <v>561</v>
      </c>
      <c r="D181" s="357" t="s">
        <v>96</v>
      </c>
      <c r="E181" s="398" t="s">
        <v>529</v>
      </c>
      <c r="F181" s="154">
        <v>0.15</v>
      </c>
      <c r="G181" s="154">
        <v>0.15</v>
      </c>
      <c r="H181" s="154">
        <v>0.15</v>
      </c>
      <c r="I181" s="154">
        <v>0.15</v>
      </c>
      <c r="J181" s="154">
        <v>0.15</v>
      </c>
      <c r="K181" s="154">
        <v>0.2</v>
      </c>
      <c r="L181" s="154">
        <v>0.4</v>
      </c>
      <c r="M181" s="154">
        <v>0.4</v>
      </c>
      <c r="N181" s="154">
        <v>0.6</v>
      </c>
      <c r="O181" s="154">
        <v>0.6</v>
      </c>
      <c r="P181" s="154">
        <v>0.9</v>
      </c>
      <c r="Q181" s="154">
        <v>0.9</v>
      </c>
      <c r="R181" s="154">
        <v>0.9</v>
      </c>
      <c r="S181" s="154">
        <v>0.9</v>
      </c>
      <c r="T181" s="154">
        <v>0.9</v>
      </c>
      <c r="U181" s="154">
        <v>0.9</v>
      </c>
      <c r="V181" s="154">
        <v>0.9</v>
      </c>
      <c r="W181" s="154">
        <v>0.9</v>
      </c>
      <c r="X181" s="154">
        <v>0.9</v>
      </c>
      <c r="Y181" s="154">
        <v>0.9</v>
      </c>
      <c r="Z181" s="154">
        <v>0.9</v>
      </c>
      <c r="AA181" s="154">
        <v>0.9</v>
      </c>
      <c r="AB181" s="154">
        <v>0.5</v>
      </c>
      <c r="AC181" s="398">
        <v>0.3</v>
      </c>
    </row>
    <row r="182" spans="2:29" hidden="1" x14ac:dyDescent="0.3">
      <c r="B182" s="371" t="s">
        <v>566</v>
      </c>
      <c r="C182" s="357" t="s">
        <v>561</v>
      </c>
      <c r="D182" s="357" t="s">
        <v>96</v>
      </c>
      <c r="E182" s="398" t="s">
        <v>530</v>
      </c>
      <c r="F182" s="154">
        <v>0.2</v>
      </c>
      <c r="G182" s="154">
        <v>0.15</v>
      </c>
      <c r="H182" s="154">
        <v>0.15</v>
      </c>
      <c r="I182" s="154">
        <v>0.15</v>
      </c>
      <c r="J182" s="154">
        <v>0.15</v>
      </c>
      <c r="K182" s="154">
        <v>0.15</v>
      </c>
      <c r="L182" s="154">
        <v>0.3</v>
      </c>
      <c r="M182" s="154">
        <v>0.3</v>
      </c>
      <c r="N182" s="154">
        <v>0.6</v>
      </c>
      <c r="O182" s="154">
        <v>0.6</v>
      </c>
      <c r="P182" s="154">
        <v>0.8</v>
      </c>
      <c r="Q182" s="154">
        <v>0.8</v>
      </c>
      <c r="R182" s="154">
        <v>0.8</v>
      </c>
      <c r="S182" s="154">
        <v>0.8</v>
      </c>
      <c r="T182" s="154">
        <v>0.8</v>
      </c>
      <c r="U182" s="154">
        <v>0.8</v>
      </c>
      <c r="V182" s="154">
        <v>0.8</v>
      </c>
      <c r="W182" s="154">
        <v>0.9</v>
      </c>
      <c r="X182" s="154">
        <v>0.9</v>
      </c>
      <c r="Y182" s="154">
        <v>0.9</v>
      </c>
      <c r="Z182" s="154">
        <v>0.9</v>
      </c>
      <c r="AA182" s="154">
        <v>0.9</v>
      </c>
      <c r="AB182" s="154">
        <v>0.5</v>
      </c>
      <c r="AC182" s="398">
        <v>0.3</v>
      </c>
    </row>
    <row r="183" spans="2:29" hidden="1" x14ac:dyDescent="0.3">
      <c r="B183" s="371" t="s">
        <v>566</v>
      </c>
      <c r="C183" s="357" t="s">
        <v>561</v>
      </c>
      <c r="D183" s="357" t="s">
        <v>96</v>
      </c>
      <c r="E183" s="398" t="s">
        <v>531</v>
      </c>
      <c r="F183" s="154">
        <v>0.2</v>
      </c>
      <c r="G183" s="154">
        <v>0.15</v>
      </c>
      <c r="H183" s="154">
        <v>0.15</v>
      </c>
      <c r="I183" s="154">
        <v>0.15</v>
      </c>
      <c r="J183" s="154">
        <v>0.15</v>
      </c>
      <c r="K183" s="154">
        <v>0.15</v>
      </c>
      <c r="L183" s="154">
        <v>0.3</v>
      </c>
      <c r="M183" s="154">
        <v>0.3</v>
      </c>
      <c r="N183" s="154">
        <v>0.5</v>
      </c>
      <c r="O183" s="154">
        <v>0.5</v>
      </c>
      <c r="P183" s="154">
        <v>0.7</v>
      </c>
      <c r="Q183" s="154">
        <v>0.7</v>
      </c>
      <c r="R183" s="154">
        <v>0.7</v>
      </c>
      <c r="S183" s="154">
        <v>0.7</v>
      </c>
      <c r="T183" s="154">
        <v>0.7</v>
      </c>
      <c r="U183" s="154">
        <v>0.7</v>
      </c>
      <c r="V183" s="154">
        <v>0.6</v>
      </c>
      <c r="W183" s="154">
        <v>0.6</v>
      </c>
      <c r="X183" s="154">
        <v>0.6</v>
      </c>
      <c r="Y183" s="154">
        <v>0.6</v>
      </c>
      <c r="Z183" s="154">
        <v>0.6</v>
      </c>
      <c r="AA183" s="154">
        <v>0.6</v>
      </c>
      <c r="AB183" s="154">
        <v>0.5</v>
      </c>
      <c r="AC183" s="398">
        <v>0.3</v>
      </c>
    </row>
    <row r="184" spans="2:29" hidden="1" x14ac:dyDescent="0.3">
      <c r="B184" s="402" t="s">
        <v>527</v>
      </c>
      <c r="C184" s="403" t="s">
        <v>561</v>
      </c>
      <c r="D184" s="403" t="s">
        <v>96</v>
      </c>
      <c r="E184" s="405" t="s">
        <v>529</v>
      </c>
      <c r="F184" s="404">
        <v>0.15</v>
      </c>
      <c r="G184" s="404">
        <v>0.15</v>
      </c>
      <c r="H184" s="404">
        <v>0.05</v>
      </c>
      <c r="I184" s="404">
        <v>0</v>
      </c>
      <c r="J184" s="404">
        <v>0</v>
      </c>
      <c r="K184" s="404">
        <v>0</v>
      </c>
      <c r="L184" s="404">
        <v>0</v>
      </c>
      <c r="M184" s="404">
        <v>0.05</v>
      </c>
      <c r="N184" s="404">
        <v>0.05</v>
      </c>
      <c r="O184" s="404">
        <v>0.05</v>
      </c>
      <c r="P184" s="404">
        <v>0.2</v>
      </c>
      <c r="Q184" s="404">
        <v>0.5</v>
      </c>
      <c r="R184" s="404">
        <v>0.8</v>
      </c>
      <c r="S184" s="404">
        <v>0.7</v>
      </c>
      <c r="T184" s="404">
        <v>0.4</v>
      </c>
      <c r="U184" s="404">
        <v>0.2</v>
      </c>
      <c r="V184" s="404">
        <v>0.25</v>
      </c>
      <c r="W184" s="404">
        <v>0.5</v>
      </c>
      <c r="X184" s="404">
        <v>0.8</v>
      </c>
      <c r="Y184" s="404">
        <v>0.8</v>
      </c>
      <c r="Z184" s="404">
        <v>0.8</v>
      </c>
      <c r="AA184" s="404">
        <v>0.5</v>
      </c>
      <c r="AB184" s="404">
        <v>0.35</v>
      </c>
      <c r="AC184" s="405">
        <v>0.2</v>
      </c>
    </row>
    <row r="185" spans="2:29" hidden="1" x14ac:dyDescent="0.3">
      <c r="B185" s="406" t="s">
        <v>527</v>
      </c>
      <c r="C185" s="400" t="s">
        <v>561</v>
      </c>
      <c r="D185" s="400" t="s">
        <v>96</v>
      </c>
      <c r="E185" s="407" t="s">
        <v>530</v>
      </c>
      <c r="F185" s="401">
        <v>0.3</v>
      </c>
      <c r="G185" s="401">
        <v>0.25</v>
      </c>
      <c r="H185" s="401">
        <v>0.05</v>
      </c>
      <c r="I185" s="401">
        <v>0</v>
      </c>
      <c r="J185" s="401">
        <v>0</v>
      </c>
      <c r="K185" s="401">
        <v>0</v>
      </c>
      <c r="L185" s="401">
        <v>0</v>
      </c>
      <c r="M185" s="401">
        <v>0</v>
      </c>
      <c r="N185" s="401">
        <v>0</v>
      </c>
      <c r="O185" s="401">
        <v>0.05</v>
      </c>
      <c r="P185" s="401">
        <v>0.2</v>
      </c>
      <c r="Q185" s="401">
        <v>0.45</v>
      </c>
      <c r="R185" s="401">
        <v>0.5</v>
      </c>
      <c r="S185" s="401">
        <v>0.5</v>
      </c>
      <c r="T185" s="401">
        <v>0.35</v>
      </c>
      <c r="U185" s="401">
        <v>0.3</v>
      </c>
      <c r="V185" s="401">
        <v>0.3</v>
      </c>
      <c r="W185" s="401">
        <v>0.3</v>
      </c>
      <c r="X185" s="401">
        <v>0.7</v>
      </c>
      <c r="Y185" s="401">
        <v>0.9</v>
      </c>
      <c r="Z185" s="401">
        <v>0.7</v>
      </c>
      <c r="AA185" s="401">
        <v>0.65</v>
      </c>
      <c r="AB185" s="401">
        <v>0.55000000000000004</v>
      </c>
      <c r="AC185" s="407">
        <v>0.35</v>
      </c>
    </row>
    <row r="186" spans="2:29" hidden="1" x14ac:dyDescent="0.3">
      <c r="B186" s="408" t="s">
        <v>527</v>
      </c>
      <c r="C186" s="409" t="s">
        <v>561</v>
      </c>
      <c r="D186" s="409" t="s">
        <v>96</v>
      </c>
      <c r="E186" s="411" t="s">
        <v>531</v>
      </c>
      <c r="F186" s="410">
        <v>0.2</v>
      </c>
      <c r="G186" s="410">
        <v>0.2</v>
      </c>
      <c r="H186" s="410">
        <v>0.05</v>
      </c>
      <c r="I186" s="410">
        <v>0</v>
      </c>
      <c r="J186" s="410">
        <v>0</v>
      </c>
      <c r="K186" s="410">
        <v>0</v>
      </c>
      <c r="L186" s="410">
        <v>0</v>
      </c>
      <c r="M186" s="410">
        <v>0</v>
      </c>
      <c r="N186" s="410">
        <v>0</v>
      </c>
      <c r="O186" s="410">
        <v>0</v>
      </c>
      <c r="P186" s="410">
        <v>0.1</v>
      </c>
      <c r="Q186" s="410">
        <v>0.2</v>
      </c>
      <c r="R186" s="410">
        <v>0.25</v>
      </c>
      <c r="S186" s="410">
        <v>0.25</v>
      </c>
      <c r="T186" s="410">
        <v>0.15</v>
      </c>
      <c r="U186" s="410">
        <v>0.2</v>
      </c>
      <c r="V186" s="410">
        <v>0.25</v>
      </c>
      <c r="W186" s="410">
        <v>0.35</v>
      </c>
      <c r="X186" s="410">
        <v>0.55000000000000004</v>
      </c>
      <c r="Y186" s="410">
        <v>0.65</v>
      </c>
      <c r="Z186" s="410">
        <v>0.7</v>
      </c>
      <c r="AA186" s="410">
        <v>0.35</v>
      </c>
      <c r="AB186" s="410">
        <v>0.2</v>
      </c>
      <c r="AC186" s="411">
        <v>0.2</v>
      </c>
    </row>
    <row r="187" spans="2:29" hidden="1" x14ac:dyDescent="0.3">
      <c r="B187" s="371" t="s">
        <v>570</v>
      </c>
      <c r="C187" s="357" t="s">
        <v>561</v>
      </c>
      <c r="D187" s="357" t="s">
        <v>96</v>
      </c>
      <c r="E187" s="398" t="s">
        <v>529</v>
      </c>
      <c r="F187" s="154">
        <v>0.15</v>
      </c>
      <c r="G187" s="154">
        <v>0.15</v>
      </c>
      <c r="H187" s="154">
        <v>0.15</v>
      </c>
      <c r="I187" s="154">
        <v>0.15</v>
      </c>
      <c r="J187" s="154">
        <v>0.15</v>
      </c>
      <c r="K187" s="154">
        <v>0.2</v>
      </c>
      <c r="L187" s="154">
        <v>0.35</v>
      </c>
      <c r="M187" s="154">
        <v>0.35</v>
      </c>
      <c r="N187" s="154">
        <v>0.55000000000000004</v>
      </c>
      <c r="O187" s="154">
        <v>0.55000000000000004</v>
      </c>
      <c r="P187" s="154">
        <v>0.85</v>
      </c>
      <c r="Q187" s="154">
        <v>0.85</v>
      </c>
      <c r="R187" s="154">
        <v>0.85</v>
      </c>
      <c r="S187" s="154">
        <v>0.85</v>
      </c>
      <c r="T187" s="154">
        <v>0.85</v>
      </c>
      <c r="U187" s="154">
        <v>0.85</v>
      </c>
      <c r="V187" s="154">
        <v>0.85</v>
      </c>
      <c r="W187" s="154">
        <v>0.85</v>
      </c>
      <c r="X187" s="154">
        <v>0.85</v>
      </c>
      <c r="Y187" s="154">
        <v>0.85</v>
      </c>
      <c r="Z187" s="154">
        <v>0.85</v>
      </c>
      <c r="AA187" s="154">
        <v>0.85</v>
      </c>
      <c r="AB187" s="154">
        <v>0.45</v>
      </c>
      <c r="AC187" s="398">
        <v>0.3</v>
      </c>
    </row>
    <row r="188" spans="2:29" hidden="1" x14ac:dyDescent="0.3">
      <c r="B188" s="371" t="s">
        <v>570</v>
      </c>
      <c r="C188" s="357" t="s">
        <v>561</v>
      </c>
      <c r="D188" s="357" t="s">
        <v>96</v>
      </c>
      <c r="E188" s="398" t="s">
        <v>530</v>
      </c>
      <c r="F188" s="154">
        <v>0.2</v>
      </c>
      <c r="G188" s="154">
        <v>0.15</v>
      </c>
      <c r="H188" s="154">
        <v>0.15</v>
      </c>
      <c r="I188" s="154">
        <v>0.15</v>
      </c>
      <c r="J188" s="154">
        <v>0.15</v>
      </c>
      <c r="K188" s="154">
        <v>0.15</v>
      </c>
      <c r="L188" s="154">
        <v>0.3</v>
      </c>
      <c r="M188" s="154">
        <v>0.3</v>
      </c>
      <c r="N188" s="154">
        <v>0.55000000000000004</v>
      </c>
      <c r="O188" s="154">
        <v>0.55000000000000004</v>
      </c>
      <c r="P188" s="154">
        <v>0.75</v>
      </c>
      <c r="Q188" s="154">
        <v>0.75</v>
      </c>
      <c r="R188" s="154">
        <v>0.75</v>
      </c>
      <c r="S188" s="154">
        <v>0.75</v>
      </c>
      <c r="T188" s="154">
        <v>0.75</v>
      </c>
      <c r="U188" s="154">
        <v>0.75</v>
      </c>
      <c r="V188" s="154">
        <v>0.75</v>
      </c>
      <c r="W188" s="154">
        <v>0.85</v>
      </c>
      <c r="X188" s="154">
        <v>0.85</v>
      </c>
      <c r="Y188" s="154">
        <v>0.85</v>
      </c>
      <c r="Z188" s="154">
        <v>0.85</v>
      </c>
      <c r="AA188" s="154">
        <v>0.85</v>
      </c>
      <c r="AB188" s="154">
        <v>0.45</v>
      </c>
      <c r="AC188" s="398">
        <v>0.3</v>
      </c>
    </row>
    <row r="189" spans="2:29" hidden="1" x14ac:dyDescent="0.3">
      <c r="B189" s="373" t="s">
        <v>570</v>
      </c>
      <c r="C189" s="374" t="s">
        <v>561</v>
      </c>
      <c r="D189" s="374" t="s">
        <v>96</v>
      </c>
      <c r="E189" s="399" t="s">
        <v>531</v>
      </c>
      <c r="F189" s="376">
        <v>0.2</v>
      </c>
      <c r="G189" s="376">
        <v>0.15</v>
      </c>
      <c r="H189" s="376">
        <v>0.15</v>
      </c>
      <c r="I189" s="376">
        <v>0.15</v>
      </c>
      <c r="J189" s="376">
        <v>0.15</v>
      </c>
      <c r="K189" s="376">
        <v>0.15</v>
      </c>
      <c r="L189" s="376">
        <v>0.3</v>
      </c>
      <c r="M189" s="376">
        <v>0.3</v>
      </c>
      <c r="N189" s="376">
        <v>0.45</v>
      </c>
      <c r="O189" s="376">
        <v>0.45</v>
      </c>
      <c r="P189" s="376">
        <v>0.65</v>
      </c>
      <c r="Q189" s="376">
        <v>0.65</v>
      </c>
      <c r="R189" s="376">
        <v>0.65</v>
      </c>
      <c r="S189" s="376">
        <v>0.65</v>
      </c>
      <c r="T189" s="376">
        <v>0.65</v>
      </c>
      <c r="U189" s="376">
        <v>0.65</v>
      </c>
      <c r="V189" s="376">
        <v>0.55000000000000004</v>
      </c>
      <c r="W189" s="376">
        <v>0.55000000000000004</v>
      </c>
      <c r="X189" s="376">
        <v>0.55000000000000004</v>
      </c>
      <c r="Y189" s="376">
        <v>0.55000000000000004</v>
      </c>
      <c r="Z189" s="376">
        <v>0.55000000000000004</v>
      </c>
      <c r="AA189" s="376">
        <v>0.55000000000000004</v>
      </c>
      <c r="AB189" s="376">
        <v>0.45</v>
      </c>
      <c r="AC189" s="399">
        <v>0.3</v>
      </c>
    </row>
    <row r="190" spans="2:29" ht="12" hidden="1" thickBot="1" x14ac:dyDescent="0.35"/>
    <row r="191" spans="2:29" hidden="1" x14ac:dyDescent="0.3">
      <c r="B191" s="917" t="s">
        <v>571</v>
      </c>
      <c r="C191" s="920" t="s">
        <v>572</v>
      </c>
      <c r="D191" s="915" t="s">
        <v>567</v>
      </c>
      <c r="E191" s="427" t="s">
        <v>529</v>
      </c>
      <c r="F191" s="428">
        <v>0.15</v>
      </c>
      <c r="G191" s="428">
        <v>0.15</v>
      </c>
      <c r="H191" s="428">
        <v>0.15</v>
      </c>
      <c r="I191" s="428">
        <v>0.15</v>
      </c>
      <c r="J191" s="428">
        <v>0.15</v>
      </c>
      <c r="K191" s="428">
        <v>0.2</v>
      </c>
      <c r="L191" s="428">
        <v>0.4</v>
      </c>
      <c r="M191" s="428">
        <v>0.4</v>
      </c>
      <c r="N191" s="428">
        <v>0.6</v>
      </c>
      <c r="O191" s="428">
        <v>0.6</v>
      </c>
      <c r="P191" s="428">
        <v>0.9</v>
      </c>
      <c r="Q191" s="428">
        <v>0.9</v>
      </c>
      <c r="R191" s="428">
        <v>0.9</v>
      </c>
      <c r="S191" s="428">
        <v>0.9</v>
      </c>
      <c r="T191" s="428">
        <v>0.9</v>
      </c>
      <c r="U191" s="428">
        <v>0.9</v>
      </c>
      <c r="V191" s="428">
        <v>0.9</v>
      </c>
      <c r="W191" s="428">
        <v>0.9</v>
      </c>
      <c r="X191" s="428">
        <v>0.9</v>
      </c>
      <c r="Y191" s="428">
        <v>0.9</v>
      </c>
      <c r="Z191" s="428">
        <v>0.9</v>
      </c>
      <c r="AA191" s="428">
        <v>0.9</v>
      </c>
      <c r="AB191" s="428">
        <v>0.5</v>
      </c>
      <c r="AC191" s="429">
        <v>0.3</v>
      </c>
    </row>
    <row r="192" spans="2:29" hidden="1" x14ac:dyDescent="0.3">
      <c r="B192" s="918"/>
      <c r="C192" s="906"/>
      <c r="D192" s="900"/>
      <c r="E192" s="398" t="s">
        <v>530</v>
      </c>
      <c r="F192" s="359">
        <v>0.2</v>
      </c>
      <c r="G192" s="359">
        <v>0.15</v>
      </c>
      <c r="H192" s="359">
        <v>0.15</v>
      </c>
      <c r="I192" s="359">
        <v>0.15</v>
      </c>
      <c r="J192" s="359">
        <v>0.15</v>
      </c>
      <c r="K192" s="359">
        <v>0.15</v>
      </c>
      <c r="L192" s="359">
        <v>0.3</v>
      </c>
      <c r="M192" s="359">
        <v>0.3</v>
      </c>
      <c r="N192" s="359">
        <v>0.6</v>
      </c>
      <c r="O192" s="359">
        <v>0.6</v>
      </c>
      <c r="P192" s="359">
        <v>0.8</v>
      </c>
      <c r="Q192" s="359">
        <v>0.8</v>
      </c>
      <c r="R192" s="359">
        <v>0.8</v>
      </c>
      <c r="S192" s="359">
        <v>0.8</v>
      </c>
      <c r="T192" s="359">
        <v>0.8</v>
      </c>
      <c r="U192" s="359">
        <v>0.8</v>
      </c>
      <c r="V192" s="359">
        <v>0.8</v>
      </c>
      <c r="W192" s="359">
        <v>0.9</v>
      </c>
      <c r="X192" s="359">
        <v>0.9</v>
      </c>
      <c r="Y192" s="359">
        <v>0.9</v>
      </c>
      <c r="Z192" s="359">
        <v>0.9</v>
      </c>
      <c r="AA192" s="359">
        <v>0.9</v>
      </c>
      <c r="AB192" s="359">
        <v>0.5</v>
      </c>
      <c r="AC192" s="430">
        <v>0.3</v>
      </c>
    </row>
    <row r="193" spans="2:33" ht="12" hidden="1" thickBot="1" x14ac:dyDescent="0.35">
      <c r="B193" s="919"/>
      <c r="C193" s="921"/>
      <c r="D193" s="916"/>
      <c r="E193" s="431" t="s">
        <v>531</v>
      </c>
      <c r="F193" s="432">
        <v>0.2</v>
      </c>
      <c r="G193" s="432">
        <v>0.15</v>
      </c>
      <c r="H193" s="432">
        <v>0.15</v>
      </c>
      <c r="I193" s="432">
        <v>0.15</v>
      </c>
      <c r="J193" s="432">
        <v>0.15</v>
      </c>
      <c r="K193" s="432">
        <v>0.15</v>
      </c>
      <c r="L193" s="432">
        <v>0.3</v>
      </c>
      <c r="M193" s="432">
        <v>0.3</v>
      </c>
      <c r="N193" s="432">
        <v>0.5</v>
      </c>
      <c r="O193" s="432">
        <v>0.5</v>
      </c>
      <c r="P193" s="432">
        <v>0.7</v>
      </c>
      <c r="Q193" s="432">
        <v>0.7</v>
      </c>
      <c r="R193" s="432">
        <v>0.7</v>
      </c>
      <c r="S193" s="432">
        <v>0.7</v>
      </c>
      <c r="T193" s="432">
        <v>0.7</v>
      </c>
      <c r="U193" s="432">
        <v>0.7</v>
      </c>
      <c r="V193" s="432">
        <v>0.6</v>
      </c>
      <c r="W193" s="432">
        <v>0.6</v>
      </c>
      <c r="X193" s="432">
        <v>0.6</v>
      </c>
      <c r="Y193" s="432">
        <v>0.6</v>
      </c>
      <c r="Z193" s="432">
        <v>0.6</v>
      </c>
      <c r="AA193" s="432">
        <v>0.6</v>
      </c>
      <c r="AB193" s="432">
        <v>0.5</v>
      </c>
      <c r="AC193" s="433">
        <v>0.3</v>
      </c>
    </row>
    <row r="194" spans="2:33" hidden="1" x14ac:dyDescent="0.3">
      <c r="B194" s="917" t="s">
        <v>573</v>
      </c>
      <c r="C194" s="920" t="s">
        <v>572</v>
      </c>
      <c r="D194" s="915" t="s">
        <v>567</v>
      </c>
      <c r="E194" s="427" t="s">
        <v>529</v>
      </c>
      <c r="F194" s="434">
        <v>0.15</v>
      </c>
      <c r="G194" s="434">
        <v>0.15</v>
      </c>
      <c r="H194" s="434">
        <v>0.05</v>
      </c>
      <c r="I194" s="434">
        <v>0</v>
      </c>
      <c r="J194" s="434">
        <v>0</v>
      </c>
      <c r="K194" s="434">
        <v>0</v>
      </c>
      <c r="L194" s="435">
        <v>0</v>
      </c>
      <c r="M194" s="435">
        <v>0.05</v>
      </c>
      <c r="N194" s="435">
        <v>0.05</v>
      </c>
      <c r="O194" s="435">
        <v>0.05</v>
      </c>
      <c r="P194" s="435">
        <v>0.2</v>
      </c>
      <c r="Q194" s="434">
        <v>0.5</v>
      </c>
      <c r="R194" s="434">
        <v>0.8</v>
      </c>
      <c r="S194" s="434">
        <v>0.7</v>
      </c>
      <c r="T194" s="434">
        <v>0.4</v>
      </c>
      <c r="U194" s="434">
        <v>0.2</v>
      </c>
      <c r="V194" s="434">
        <v>0.25</v>
      </c>
      <c r="W194" s="434">
        <v>0.5</v>
      </c>
      <c r="X194" s="434">
        <v>0.8</v>
      </c>
      <c r="Y194" s="434">
        <v>0.8</v>
      </c>
      <c r="Z194" s="434">
        <v>0.8</v>
      </c>
      <c r="AA194" s="434">
        <v>0.5</v>
      </c>
      <c r="AB194" s="434">
        <v>0.35</v>
      </c>
      <c r="AC194" s="436">
        <v>0.2</v>
      </c>
    </row>
    <row r="195" spans="2:33" hidden="1" x14ac:dyDescent="0.3">
      <c r="B195" s="918"/>
      <c r="C195" s="906"/>
      <c r="D195" s="900"/>
      <c r="E195" s="398" t="s">
        <v>530</v>
      </c>
      <c r="F195" s="360">
        <v>0.3</v>
      </c>
      <c r="G195" s="360">
        <v>0.25</v>
      </c>
      <c r="H195" s="360">
        <v>0.05</v>
      </c>
      <c r="I195" s="360">
        <v>0</v>
      </c>
      <c r="J195" s="360">
        <v>0</v>
      </c>
      <c r="K195" s="360">
        <v>0</v>
      </c>
      <c r="L195" s="361">
        <v>0</v>
      </c>
      <c r="M195" s="361">
        <v>0</v>
      </c>
      <c r="N195" s="361">
        <v>0</v>
      </c>
      <c r="O195" s="361">
        <v>0.05</v>
      </c>
      <c r="P195" s="361">
        <v>0.2</v>
      </c>
      <c r="Q195" s="361">
        <v>0.45</v>
      </c>
      <c r="R195" s="361">
        <v>0.5</v>
      </c>
      <c r="S195" s="361">
        <v>0.5</v>
      </c>
      <c r="T195" s="361">
        <v>0.35</v>
      </c>
      <c r="U195" s="361">
        <v>0.3</v>
      </c>
      <c r="V195" s="361">
        <v>0.3</v>
      </c>
      <c r="W195" s="361">
        <v>0.3</v>
      </c>
      <c r="X195" s="361">
        <v>0.7</v>
      </c>
      <c r="Y195" s="361">
        <v>0.9</v>
      </c>
      <c r="Z195" s="361">
        <v>0.7</v>
      </c>
      <c r="AA195" s="360">
        <v>0.65</v>
      </c>
      <c r="AB195" s="360">
        <v>0.55000000000000004</v>
      </c>
      <c r="AC195" s="437">
        <v>0.35</v>
      </c>
    </row>
    <row r="196" spans="2:33" ht="12" hidden="1" thickBot="1" x14ac:dyDescent="0.35">
      <c r="B196" s="919"/>
      <c r="C196" s="921"/>
      <c r="D196" s="916"/>
      <c r="E196" s="431" t="s">
        <v>531</v>
      </c>
      <c r="F196" s="438">
        <v>0.2</v>
      </c>
      <c r="G196" s="438">
        <v>0.2</v>
      </c>
      <c r="H196" s="438">
        <v>0.05</v>
      </c>
      <c r="I196" s="438">
        <v>0</v>
      </c>
      <c r="J196" s="438">
        <v>0</v>
      </c>
      <c r="K196" s="438">
        <v>0</v>
      </c>
      <c r="L196" s="439">
        <v>0</v>
      </c>
      <c r="M196" s="439">
        <v>0</v>
      </c>
      <c r="N196" s="439">
        <v>0</v>
      </c>
      <c r="O196" s="439">
        <v>0</v>
      </c>
      <c r="P196" s="439">
        <v>0.1</v>
      </c>
      <c r="Q196" s="439">
        <v>0.2</v>
      </c>
      <c r="R196" s="439">
        <v>0.25</v>
      </c>
      <c r="S196" s="439">
        <v>0.25</v>
      </c>
      <c r="T196" s="439">
        <v>0.15</v>
      </c>
      <c r="U196" s="439">
        <v>0.2</v>
      </c>
      <c r="V196" s="439">
        <v>0.25</v>
      </c>
      <c r="W196" s="439">
        <v>0.35</v>
      </c>
      <c r="X196" s="439">
        <v>0.55000000000000004</v>
      </c>
      <c r="Y196" s="439">
        <v>0.65</v>
      </c>
      <c r="Z196" s="439">
        <v>0.7</v>
      </c>
      <c r="AA196" s="438">
        <v>0.35</v>
      </c>
      <c r="AB196" s="438">
        <v>0.2</v>
      </c>
      <c r="AC196" s="440">
        <v>0.2</v>
      </c>
    </row>
    <row r="197" spans="2:33" hidden="1" x14ac:dyDescent="0.3">
      <c r="B197" s="917" t="s">
        <v>574</v>
      </c>
      <c r="C197" s="920" t="s">
        <v>572</v>
      </c>
      <c r="D197" s="915" t="s">
        <v>567</v>
      </c>
      <c r="E197" s="427" t="s">
        <v>529</v>
      </c>
      <c r="F197" s="428">
        <v>0.15</v>
      </c>
      <c r="G197" s="428">
        <v>0.15</v>
      </c>
      <c r="H197" s="428">
        <v>0.15</v>
      </c>
      <c r="I197" s="428">
        <v>0.15</v>
      </c>
      <c r="J197" s="428">
        <v>0.15</v>
      </c>
      <c r="K197" s="428">
        <v>0.2</v>
      </c>
      <c r="L197" s="428">
        <v>0.35</v>
      </c>
      <c r="M197" s="428">
        <v>0.35</v>
      </c>
      <c r="N197" s="428">
        <v>0.55000000000000004</v>
      </c>
      <c r="O197" s="428">
        <v>0.55000000000000004</v>
      </c>
      <c r="P197" s="428">
        <v>0.85</v>
      </c>
      <c r="Q197" s="428">
        <v>0.85</v>
      </c>
      <c r="R197" s="428">
        <v>0.85</v>
      </c>
      <c r="S197" s="428">
        <v>0.85</v>
      </c>
      <c r="T197" s="428">
        <v>0.85</v>
      </c>
      <c r="U197" s="428">
        <v>0.85</v>
      </c>
      <c r="V197" s="428">
        <v>0.85</v>
      </c>
      <c r="W197" s="428">
        <v>0.85</v>
      </c>
      <c r="X197" s="428">
        <v>0.85</v>
      </c>
      <c r="Y197" s="428">
        <v>0.85</v>
      </c>
      <c r="Z197" s="428">
        <v>0.85</v>
      </c>
      <c r="AA197" s="428">
        <v>0.85</v>
      </c>
      <c r="AB197" s="428">
        <v>0.45</v>
      </c>
      <c r="AC197" s="429">
        <v>0.3</v>
      </c>
    </row>
    <row r="198" spans="2:33" hidden="1" x14ac:dyDescent="0.3">
      <c r="B198" s="918"/>
      <c r="C198" s="906"/>
      <c r="D198" s="900"/>
      <c r="E198" s="398" t="s">
        <v>530</v>
      </c>
      <c r="F198" s="359">
        <v>0.2</v>
      </c>
      <c r="G198" s="359">
        <v>0.15</v>
      </c>
      <c r="H198" s="359">
        <v>0.15</v>
      </c>
      <c r="I198" s="359">
        <v>0.15</v>
      </c>
      <c r="J198" s="359">
        <v>0.15</v>
      </c>
      <c r="K198" s="359">
        <v>0.15</v>
      </c>
      <c r="L198" s="359">
        <v>0.3</v>
      </c>
      <c r="M198" s="359">
        <v>0.3</v>
      </c>
      <c r="N198" s="359">
        <v>0.55000000000000004</v>
      </c>
      <c r="O198" s="359">
        <v>0.55000000000000004</v>
      </c>
      <c r="P198" s="359">
        <v>0.75</v>
      </c>
      <c r="Q198" s="359">
        <v>0.75</v>
      </c>
      <c r="R198" s="359">
        <v>0.75</v>
      </c>
      <c r="S198" s="359">
        <v>0.75</v>
      </c>
      <c r="T198" s="359">
        <v>0.75</v>
      </c>
      <c r="U198" s="359">
        <v>0.75</v>
      </c>
      <c r="V198" s="359">
        <v>0.75</v>
      </c>
      <c r="W198" s="359">
        <v>0.85</v>
      </c>
      <c r="X198" s="359">
        <v>0.85</v>
      </c>
      <c r="Y198" s="359">
        <v>0.85</v>
      </c>
      <c r="Z198" s="359">
        <v>0.85</v>
      </c>
      <c r="AA198" s="359">
        <v>0.85</v>
      </c>
      <c r="AB198" s="359">
        <v>0.45</v>
      </c>
      <c r="AC198" s="430">
        <v>0.3</v>
      </c>
    </row>
    <row r="199" spans="2:33" ht="12" hidden="1" thickBot="1" x14ac:dyDescent="0.35">
      <c r="B199" s="919"/>
      <c r="C199" s="921"/>
      <c r="D199" s="916"/>
      <c r="E199" s="431" t="s">
        <v>531</v>
      </c>
      <c r="F199" s="432">
        <v>0.2</v>
      </c>
      <c r="G199" s="432">
        <v>0.15</v>
      </c>
      <c r="H199" s="432">
        <v>0.15</v>
      </c>
      <c r="I199" s="432">
        <v>0.15</v>
      </c>
      <c r="J199" s="432">
        <v>0.15</v>
      </c>
      <c r="K199" s="432">
        <v>0.15</v>
      </c>
      <c r="L199" s="432">
        <v>0.3</v>
      </c>
      <c r="M199" s="432">
        <v>0.3</v>
      </c>
      <c r="N199" s="432">
        <v>0.45</v>
      </c>
      <c r="O199" s="432">
        <v>0.45</v>
      </c>
      <c r="P199" s="432">
        <v>0.65</v>
      </c>
      <c r="Q199" s="432">
        <v>0.65</v>
      </c>
      <c r="R199" s="432">
        <v>0.65</v>
      </c>
      <c r="S199" s="432">
        <v>0.65</v>
      </c>
      <c r="T199" s="432">
        <v>0.65</v>
      </c>
      <c r="U199" s="432">
        <v>0.65</v>
      </c>
      <c r="V199" s="432">
        <v>0.55000000000000004</v>
      </c>
      <c r="W199" s="432">
        <v>0.55000000000000004</v>
      </c>
      <c r="X199" s="432">
        <v>0.55000000000000004</v>
      </c>
      <c r="Y199" s="432">
        <v>0.55000000000000004</v>
      </c>
      <c r="Z199" s="432">
        <v>0.55000000000000004</v>
      </c>
      <c r="AA199" s="432">
        <v>0.55000000000000004</v>
      </c>
      <c r="AB199" s="432">
        <v>0.45</v>
      </c>
      <c r="AC199" s="433">
        <v>0.3</v>
      </c>
    </row>
    <row r="200" spans="2:33" ht="15.6" hidden="1" x14ac:dyDescent="0.3">
      <c r="B200" s="902" t="s">
        <v>575</v>
      </c>
      <c r="C200" s="913" t="s">
        <v>572</v>
      </c>
      <c r="D200" s="914" t="s">
        <v>567</v>
      </c>
      <c r="E200" s="205" t="s">
        <v>529</v>
      </c>
      <c r="F200" s="206">
        <v>1</v>
      </c>
      <c r="G200" s="206">
        <v>1</v>
      </c>
      <c r="H200" s="206">
        <v>1</v>
      </c>
      <c r="I200" s="206">
        <v>0</v>
      </c>
      <c r="J200" s="206">
        <v>0</v>
      </c>
      <c r="K200" s="206">
        <v>0</v>
      </c>
      <c r="L200" s="206">
        <v>1</v>
      </c>
      <c r="M200" s="206">
        <v>1</v>
      </c>
      <c r="N200" s="206">
        <v>1</v>
      </c>
      <c r="O200" s="206">
        <v>1</v>
      </c>
      <c r="P200" s="206">
        <v>1</v>
      </c>
      <c r="Q200" s="206">
        <v>1</v>
      </c>
      <c r="R200" s="206">
        <v>1</v>
      </c>
      <c r="S200" s="206">
        <v>1</v>
      </c>
      <c r="T200" s="206">
        <v>1</v>
      </c>
      <c r="U200" s="206">
        <v>1</v>
      </c>
      <c r="V200" s="206">
        <v>1</v>
      </c>
      <c r="W200" s="206">
        <v>1</v>
      </c>
      <c r="X200" s="206">
        <v>1</v>
      </c>
      <c r="Y200" s="206">
        <v>1</v>
      </c>
      <c r="Z200" s="206">
        <v>1</v>
      </c>
      <c r="AA200" s="206">
        <v>1</v>
      </c>
      <c r="AB200" s="206">
        <v>1</v>
      </c>
      <c r="AC200" s="207">
        <v>1</v>
      </c>
      <c r="AD200" s="348"/>
      <c r="AE200" s="348"/>
      <c r="AF200" s="348"/>
      <c r="AG200" s="348"/>
    </row>
    <row r="201" spans="2:33" ht="15.6" hidden="1" x14ac:dyDescent="0.3">
      <c r="B201" s="903"/>
      <c r="C201" s="906"/>
      <c r="D201" s="900"/>
      <c r="E201" s="196" t="s">
        <v>530</v>
      </c>
      <c r="F201" s="197">
        <v>1</v>
      </c>
      <c r="G201" s="197">
        <v>1</v>
      </c>
      <c r="H201" s="197">
        <v>1</v>
      </c>
      <c r="I201" s="197">
        <v>0</v>
      </c>
      <c r="J201" s="197">
        <v>0</v>
      </c>
      <c r="K201" s="197">
        <v>0</v>
      </c>
      <c r="L201" s="197">
        <v>0</v>
      </c>
      <c r="M201" s="197">
        <v>0</v>
      </c>
      <c r="N201" s="197">
        <v>1</v>
      </c>
      <c r="O201" s="197">
        <v>1</v>
      </c>
      <c r="P201" s="197">
        <v>1</v>
      </c>
      <c r="Q201" s="197">
        <v>1</v>
      </c>
      <c r="R201" s="197">
        <v>1</v>
      </c>
      <c r="S201" s="197">
        <v>1</v>
      </c>
      <c r="T201" s="197">
        <v>1</v>
      </c>
      <c r="U201" s="197">
        <v>1</v>
      </c>
      <c r="V201" s="197">
        <v>1</v>
      </c>
      <c r="W201" s="197">
        <v>1</v>
      </c>
      <c r="X201" s="197">
        <v>1</v>
      </c>
      <c r="Y201" s="197">
        <v>1</v>
      </c>
      <c r="Z201" s="197">
        <v>1</v>
      </c>
      <c r="AA201" s="197">
        <v>1</v>
      </c>
      <c r="AB201" s="197">
        <v>1</v>
      </c>
      <c r="AC201" s="198">
        <v>1</v>
      </c>
      <c r="AD201" s="348"/>
      <c r="AE201" s="348"/>
      <c r="AF201" s="348"/>
      <c r="AG201" s="348"/>
    </row>
    <row r="202" spans="2:33" ht="16.2" hidden="1" thickBot="1" x14ac:dyDescent="0.35">
      <c r="B202" s="912"/>
      <c r="C202" s="907"/>
      <c r="D202" s="901"/>
      <c r="E202" s="202" t="s">
        <v>531</v>
      </c>
      <c r="F202" s="203">
        <v>1</v>
      </c>
      <c r="G202" s="203">
        <v>1</v>
      </c>
      <c r="H202" s="203">
        <v>1</v>
      </c>
      <c r="I202" s="203">
        <v>0</v>
      </c>
      <c r="J202" s="203">
        <v>0</v>
      </c>
      <c r="K202" s="203">
        <v>0</v>
      </c>
      <c r="L202" s="203">
        <v>0</v>
      </c>
      <c r="M202" s="203">
        <v>0</v>
      </c>
      <c r="N202" s="203">
        <v>0</v>
      </c>
      <c r="O202" s="203">
        <v>1</v>
      </c>
      <c r="P202" s="203">
        <v>1</v>
      </c>
      <c r="Q202" s="203">
        <v>1</v>
      </c>
      <c r="R202" s="203">
        <v>1</v>
      </c>
      <c r="S202" s="203">
        <v>1</v>
      </c>
      <c r="T202" s="203">
        <v>1</v>
      </c>
      <c r="U202" s="203">
        <v>1</v>
      </c>
      <c r="V202" s="203">
        <v>1</v>
      </c>
      <c r="W202" s="203">
        <v>1</v>
      </c>
      <c r="X202" s="203">
        <v>1</v>
      </c>
      <c r="Y202" s="203">
        <v>1</v>
      </c>
      <c r="Z202" s="203">
        <v>1</v>
      </c>
      <c r="AA202" s="203">
        <v>1</v>
      </c>
      <c r="AB202" s="203">
        <v>1</v>
      </c>
      <c r="AC202" s="204">
        <v>1</v>
      </c>
      <c r="AD202" s="348"/>
      <c r="AE202" s="348"/>
      <c r="AF202" s="348"/>
      <c r="AG202" s="348"/>
    </row>
    <row r="203" spans="2:33" ht="15.6" hidden="1" x14ac:dyDescent="0.3">
      <c r="B203" s="902" t="s">
        <v>576</v>
      </c>
      <c r="C203" s="905" t="s">
        <v>572</v>
      </c>
      <c r="D203" s="908" t="s">
        <v>96</v>
      </c>
      <c r="E203" s="205" t="s">
        <v>529</v>
      </c>
      <c r="F203" s="206">
        <v>0.2</v>
      </c>
      <c r="G203" s="206">
        <v>0.15</v>
      </c>
      <c r="H203" s="206">
        <v>0.15</v>
      </c>
      <c r="I203" s="206">
        <v>0</v>
      </c>
      <c r="J203" s="206">
        <v>0</v>
      </c>
      <c r="K203" s="206">
        <v>0</v>
      </c>
      <c r="L203" s="206">
        <v>0</v>
      </c>
      <c r="M203" s="206">
        <v>0.6</v>
      </c>
      <c r="N203" s="206">
        <v>0.55000000000000004</v>
      </c>
      <c r="O203" s="206">
        <v>0.45</v>
      </c>
      <c r="P203" s="206">
        <v>0.4</v>
      </c>
      <c r="Q203" s="206">
        <v>0.45</v>
      </c>
      <c r="R203" s="206">
        <v>0.4</v>
      </c>
      <c r="S203" s="206">
        <v>0.35</v>
      </c>
      <c r="T203" s="206">
        <v>0.3</v>
      </c>
      <c r="U203" s="206">
        <v>0.3</v>
      </c>
      <c r="V203" s="206">
        <v>0.3</v>
      </c>
      <c r="W203" s="206">
        <v>0.4</v>
      </c>
      <c r="X203" s="206">
        <v>0.55000000000000004</v>
      </c>
      <c r="Y203" s="206">
        <v>0.6</v>
      </c>
      <c r="Z203" s="206">
        <v>0.5</v>
      </c>
      <c r="AA203" s="206">
        <v>0.55000000000000004</v>
      </c>
      <c r="AB203" s="206">
        <v>0.45</v>
      </c>
      <c r="AC203" s="207">
        <v>0.25</v>
      </c>
      <c r="AD203" s="348"/>
      <c r="AE203" s="348"/>
      <c r="AF203" s="348"/>
      <c r="AG203" s="348"/>
    </row>
    <row r="204" spans="2:33" ht="15.6" hidden="1" x14ac:dyDescent="0.3">
      <c r="B204" s="903"/>
      <c r="C204" s="906"/>
      <c r="D204" s="909"/>
      <c r="E204" s="196" t="s">
        <v>530</v>
      </c>
      <c r="F204" s="197">
        <v>0.2</v>
      </c>
      <c r="G204" s="197">
        <v>0.15</v>
      </c>
      <c r="H204" s="197">
        <v>0.15</v>
      </c>
      <c r="I204" s="197">
        <v>0</v>
      </c>
      <c r="J204" s="197">
        <v>0</v>
      </c>
      <c r="K204" s="197">
        <v>0</v>
      </c>
      <c r="L204" s="197">
        <v>0</v>
      </c>
      <c r="M204" s="197">
        <v>0</v>
      </c>
      <c r="N204" s="197">
        <v>0</v>
      </c>
      <c r="O204" s="197">
        <v>0.5</v>
      </c>
      <c r="P204" s="197">
        <v>0.45</v>
      </c>
      <c r="Q204" s="197">
        <v>0.5</v>
      </c>
      <c r="R204" s="197">
        <v>0.5</v>
      </c>
      <c r="S204" s="197">
        <v>0.45</v>
      </c>
      <c r="T204" s="197">
        <v>0.4</v>
      </c>
      <c r="U204" s="197">
        <v>0.4</v>
      </c>
      <c r="V204" s="197">
        <v>0.35</v>
      </c>
      <c r="W204" s="197">
        <v>0.4</v>
      </c>
      <c r="X204" s="197">
        <v>0.55000000000000004</v>
      </c>
      <c r="Y204" s="197">
        <v>0.55000000000000004</v>
      </c>
      <c r="Z204" s="197">
        <v>0.5</v>
      </c>
      <c r="AA204" s="197">
        <v>0.55000000000000004</v>
      </c>
      <c r="AB204" s="197">
        <v>0.4</v>
      </c>
      <c r="AC204" s="198">
        <v>0.3</v>
      </c>
      <c r="AD204" s="348"/>
      <c r="AE204" s="348"/>
      <c r="AF204" s="348"/>
      <c r="AG204" s="348"/>
    </row>
    <row r="205" spans="2:33" ht="16.2" hidden="1" thickBot="1" x14ac:dyDescent="0.35">
      <c r="B205" s="904"/>
      <c r="C205" s="907"/>
      <c r="D205" s="910"/>
      <c r="E205" s="199" t="s">
        <v>531</v>
      </c>
      <c r="F205" s="200">
        <v>0.25</v>
      </c>
      <c r="G205" s="200">
        <v>0.2</v>
      </c>
      <c r="H205" s="200">
        <v>0.2</v>
      </c>
      <c r="I205" s="200">
        <v>0</v>
      </c>
      <c r="J205" s="200">
        <v>0</v>
      </c>
      <c r="K205" s="200">
        <v>0</v>
      </c>
      <c r="L205" s="200">
        <v>0</v>
      </c>
      <c r="M205" s="200">
        <v>0</v>
      </c>
      <c r="N205" s="200">
        <v>0</v>
      </c>
      <c r="O205" s="200">
        <v>0</v>
      </c>
      <c r="P205" s="200">
        <v>0.5</v>
      </c>
      <c r="Q205" s="200">
        <v>0.5</v>
      </c>
      <c r="R205" s="200">
        <v>0.4</v>
      </c>
      <c r="S205" s="200">
        <v>0.4</v>
      </c>
      <c r="T205" s="200">
        <v>0.3</v>
      </c>
      <c r="U205" s="200">
        <v>0.3</v>
      </c>
      <c r="V205" s="200">
        <v>0.3</v>
      </c>
      <c r="W205" s="200">
        <v>0.4</v>
      </c>
      <c r="X205" s="200">
        <v>0.5</v>
      </c>
      <c r="Y205" s="200">
        <v>0.5</v>
      </c>
      <c r="Z205" s="200">
        <v>0.4</v>
      </c>
      <c r="AA205" s="200">
        <v>0.5</v>
      </c>
      <c r="AB205" s="200">
        <v>0.4</v>
      </c>
      <c r="AC205" s="201">
        <v>0.2</v>
      </c>
      <c r="AD205" s="348"/>
      <c r="AE205" s="348"/>
      <c r="AF205" s="348"/>
      <c r="AG205" s="348"/>
    </row>
    <row r="206" spans="2:33" ht="15.6" hidden="1" x14ac:dyDescent="0.3">
      <c r="B206" s="961" t="s">
        <v>577</v>
      </c>
      <c r="C206" s="905" t="s">
        <v>572</v>
      </c>
      <c r="D206" s="899" t="s">
        <v>567</v>
      </c>
      <c r="E206" s="193" t="s">
        <v>529</v>
      </c>
      <c r="F206" s="281">
        <v>0.25</v>
      </c>
      <c r="G206" s="281">
        <v>0.25</v>
      </c>
      <c r="H206" s="281">
        <v>0.25</v>
      </c>
      <c r="I206" s="194">
        <v>1</v>
      </c>
      <c r="J206" s="194">
        <v>1</v>
      </c>
      <c r="K206" s="194">
        <v>1</v>
      </c>
      <c r="L206" s="194">
        <v>0.25</v>
      </c>
      <c r="M206" s="194">
        <v>0.25</v>
      </c>
      <c r="N206" s="194">
        <v>0.25</v>
      </c>
      <c r="O206" s="194">
        <v>0.25</v>
      </c>
      <c r="P206" s="194">
        <v>0.25</v>
      </c>
      <c r="Q206" s="194">
        <v>0.25</v>
      </c>
      <c r="R206" s="194">
        <v>0.25</v>
      </c>
      <c r="S206" s="194">
        <v>0.25</v>
      </c>
      <c r="T206" s="194">
        <v>0.25</v>
      </c>
      <c r="U206" s="194">
        <v>0.25</v>
      </c>
      <c r="V206" s="234">
        <v>0.25</v>
      </c>
      <c r="W206" s="194">
        <v>0.25</v>
      </c>
      <c r="X206" s="194">
        <v>0.25</v>
      </c>
      <c r="Y206" s="194">
        <v>0.25</v>
      </c>
      <c r="Z206" s="194">
        <v>0.25</v>
      </c>
      <c r="AA206" s="194">
        <v>0.25</v>
      </c>
      <c r="AB206" s="194">
        <v>0.25</v>
      </c>
      <c r="AC206" s="195">
        <v>0.25</v>
      </c>
      <c r="AD206" s="348"/>
      <c r="AE206" s="348"/>
      <c r="AF206" s="348"/>
      <c r="AG206" s="348"/>
    </row>
    <row r="207" spans="2:33" ht="15.6" hidden="1" x14ac:dyDescent="0.3">
      <c r="B207" s="903"/>
      <c r="C207" s="906"/>
      <c r="D207" s="900"/>
      <c r="E207" s="196" t="s">
        <v>530</v>
      </c>
      <c r="F207" s="282">
        <v>0.25</v>
      </c>
      <c r="G207" s="282">
        <v>0.25</v>
      </c>
      <c r="H207" s="282">
        <v>0.25</v>
      </c>
      <c r="I207" s="197">
        <v>1</v>
      </c>
      <c r="J207" s="197">
        <v>1</v>
      </c>
      <c r="K207" s="197">
        <v>1</v>
      </c>
      <c r="L207" s="197">
        <v>1</v>
      </c>
      <c r="M207" s="197">
        <v>1</v>
      </c>
      <c r="N207" s="197">
        <v>0.25</v>
      </c>
      <c r="O207" s="197">
        <v>0.25</v>
      </c>
      <c r="P207" s="197">
        <v>0.25</v>
      </c>
      <c r="Q207" s="197">
        <v>0.25</v>
      </c>
      <c r="R207" s="197">
        <v>0.25</v>
      </c>
      <c r="S207" s="197">
        <v>0.25</v>
      </c>
      <c r="T207" s="197">
        <v>0.25</v>
      </c>
      <c r="U207" s="197">
        <v>0.25</v>
      </c>
      <c r="V207" s="197">
        <v>0.25</v>
      </c>
      <c r="W207" s="197">
        <v>0.25</v>
      </c>
      <c r="X207" s="197">
        <v>0.25</v>
      </c>
      <c r="Y207" s="197">
        <v>0.25</v>
      </c>
      <c r="Z207" s="197">
        <v>0.25</v>
      </c>
      <c r="AA207" s="197">
        <v>0.25</v>
      </c>
      <c r="AB207" s="197">
        <v>0.25</v>
      </c>
      <c r="AC207" s="198">
        <v>0.25</v>
      </c>
      <c r="AD207" s="348"/>
      <c r="AE207" s="348"/>
      <c r="AF207" s="348"/>
      <c r="AG207" s="348"/>
    </row>
    <row r="208" spans="2:33" ht="16.2" hidden="1" thickBot="1" x14ac:dyDescent="0.35">
      <c r="B208" s="912"/>
      <c r="C208" s="975"/>
      <c r="D208" s="901"/>
      <c r="E208" s="202" t="s">
        <v>531</v>
      </c>
      <c r="F208" s="283">
        <v>0.25</v>
      </c>
      <c r="G208" s="283">
        <v>0.25</v>
      </c>
      <c r="H208" s="283">
        <v>0.25</v>
      </c>
      <c r="I208" s="203">
        <v>1</v>
      </c>
      <c r="J208" s="203">
        <v>1</v>
      </c>
      <c r="K208" s="203">
        <v>1</v>
      </c>
      <c r="L208" s="203">
        <v>1</v>
      </c>
      <c r="M208" s="203">
        <v>1</v>
      </c>
      <c r="N208" s="203">
        <v>1</v>
      </c>
      <c r="O208" s="203">
        <v>0.25</v>
      </c>
      <c r="P208" s="203">
        <v>0.25</v>
      </c>
      <c r="Q208" s="203">
        <v>0.25</v>
      </c>
      <c r="R208" s="203">
        <v>0.25</v>
      </c>
      <c r="S208" s="203">
        <v>0.25</v>
      </c>
      <c r="T208" s="203">
        <v>0.25</v>
      </c>
      <c r="U208" s="203">
        <v>0.25</v>
      </c>
      <c r="V208" s="203">
        <v>0.25</v>
      </c>
      <c r="W208" s="203">
        <v>0.25</v>
      </c>
      <c r="X208" s="203">
        <v>0.25</v>
      </c>
      <c r="Y208" s="203">
        <v>0.25</v>
      </c>
      <c r="Z208" s="203">
        <v>0.25</v>
      </c>
      <c r="AA208" s="203">
        <v>0.25</v>
      </c>
      <c r="AB208" s="203">
        <v>0.25</v>
      </c>
      <c r="AC208" s="204">
        <v>0.25</v>
      </c>
      <c r="AD208" s="348"/>
      <c r="AE208" s="348"/>
      <c r="AF208" s="348"/>
      <c r="AG208" s="348"/>
    </row>
    <row r="209" spans="2:29" hidden="1" x14ac:dyDescent="0.3">
      <c r="B209" s="959" t="s">
        <v>578</v>
      </c>
      <c r="C209" s="944" t="s">
        <v>355</v>
      </c>
      <c r="D209" s="908" t="s">
        <v>96</v>
      </c>
      <c r="E209" s="208" t="s">
        <v>529</v>
      </c>
      <c r="F209" s="209">
        <v>0</v>
      </c>
      <c r="G209" s="209">
        <v>0</v>
      </c>
      <c r="H209" s="209">
        <v>0</v>
      </c>
      <c r="I209" s="209">
        <v>0</v>
      </c>
      <c r="J209" s="414">
        <v>0</v>
      </c>
      <c r="K209" s="414">
        <v>0</v>
      </c>
      <c r="L209" s="414">
        <v>1</v>
      </c>
      <c r="M209" s="414">
        <v>1</v>
      </c>
      <c r="N209" s="414">
        <v>1</v>
      </c>
      <c r="O209" s="209">
        <v>1</v>
      </c>
      <c r="P209" s="209">
        <v>1</v>
      </c>
      <c r="Q209" s="209">
        <v>1</v>
      </c>
      <c r="R209" s="209">
        <v>1</v>
      </c>
      <c r="S209" s="209">
        <v>1</v>
      </c>
      <c r="T209" s="209">
        <v>1</v>
      </c>
      <c r="U209" s="209">
        <v>1</v>
      </c>
      <c r="V209" s="209">
        <v>1</v>
      </c>
      <c r="W209" s="209">
        <v>1</v>
      </c>
      <c r="X209" s="209">
        <v>1</v>
      </c>
      <c r="Y209" s="209">
        <v>0</v>
      </c>
      <c r="Z209" s="209">
        <v>0</v>
      </c>
      <c r="AA209" s="209">
        <v>0</v>
      </c>
      <c r="AB209" s="209">
        <v>0</v>
      </c>
      <c r="AC209" s="210">
        <v>0</v>
      </c>
    </row>
    <row r="210" spans="2:29" hidden="1" x14ac:dyDescent="0.3">
      <c r="B210" s="948"/>
      <c r="C210" s="945"/>
      <c r="D210" s="909"/>
      <c r="E210" s="211" t="s">
        <v>530</v>
      </c>
      <c r="F210" s="212">
        <v>0</v>
      </c>
      <c r="G210" s="212">
        <v>0</v>
      </c>
      <c r="H210" s="212">
        <v>0</v>
      </c>
      <c r="I210" s="212">
        <v>0</v>
      </c>
      <c r="J210" s="415">
        <v>0</v>
      </c>
      <c r="K210" s="415">
        <v>0</v>
      </c>
      <c r="L210" s="415">
        <v>0</v>
      </c>
      <c r="M210" s="415">
        <v>0</v>
      </c>
      <c r="N210" s="415">
        <v>1</v>
      </c>
      <c r="O210" s="212">
        <v>1</v>
      </c>
      <c r="P210" s="212">
        <v>1</v>
      </c>
      <c r="Q210" s="212">
        <v>1</v>
      </c>
      <c r="R210" s="212">
        <v>1</v>
      </c>
      <c r="S210" s="212">
        <v>1</v>
      </c>
      <c r="T210" s="212">
        <v>1</v>
      </c>
      <c r="U210" s="212">
        <v>1</v>
      </c>
      <c r="V210" s="212">
        <v>1</v>
      </c>
      <c r="W210" s="212">
        <v>1</v>
      </c>
      <c r="X210" s="212">
        <v>1</v>
      </c>
      <c r="Y210" s="212">
        <v>0</v>
      </c>
      <c r="Z210" s="212">
        <v>0</v>
      </c>
      <c r="AA210" s="212">
        <v>0</v>
      </c>
      <c r="AB210" s="212">
        <v>0</v>
      </c>
      <c r="AC210" s="213">
        <v>0</v>
      </c>
    </row>
    <row r="211" spans="2:29" ht="12" hidden="1" thickBot="1" x14ac:dyDescent="0.35">
      <c r="B211" s="960"/>
      <c r="C211" s="946"/>
      <c r="D211" s="910"/>
      <c r="E211" s="214" t="s">
        <v>531</v>
      </c>
      <c r="F211" s="215">
        <v>0</v>
      </c>
      <c r="G211" s="215">
        <v>0</v>
      </c>
      <c r="H211" s="215">
        <v>0</v>
      </c>
      <c r="I211" s="215">
        <v>0</v>
      </c>
      <c r="J211" s="416">
        <v>0</v>
      </c>
      <c r="K211" s="416">
        <v>0</v>
      </c>
      <c r="L211" s="416">
        <v>0</v>
      </c>
      <c r="M211" s="416">
        <v>0</v>
      </c>
      <c r="N211" s="416">
        <v>0</v>
      </c>
      <c r="O211" s="215">
        <v>1</v>
      </c>
      <c r="P211" s="215">
        <v>1</v>
      </c>
      <c r="Q211" s="215">
        <v>1</v>
      </c>
      <c r="R211" s="215">
        <v>1</v>
      </c>
      <c r="S211" s="215">
        <v>1</v>
      </c>
      <c r="T211" s="215">
        <v>1</v>
      </c>
      <c r="U211" s="215">
        <v>1</v>
      </c>
      <c r="V211" s="215">
        <v>1</v>
      </c>
      <c r="W211" s="215">
        <v>1</v>
      </c>
      <c r="X211" s="215">
        <v>1</v>
      </c>
      <c r="Y211" s="215">
        <v>0</v>
      </c>
      <c r="Z211" s="215">
        <v>0</v>
      </c>
      <c r="AA211" s="215">
        <v>0</v>
      </c>
      <c r="AB211" s="215">
        <v>0</v>
      </c>
      <c r="AC211" s="216">
        <v>0</v>
      </c>
    </row>
    <row r="212" spans="2:29" hidden="1" x14ac:dyDescent="0.3">
      <c r="B212" s="961" t="s">
        <v>579</v>
      </c>
      <c r="C212" s="944" t="s">
        <v>355</v>
      </c>
      <c r="D212" s="908" t="s">
        <v>96</v>
      </c>
      <c r="E212" s="193" t="s">
        <v>529</v>
      </c>
      <c r="F212" s="273">
        <v>0</v>
      </c>
      <c r="G212" s="273">
        <v>0</v>
      </c>
      <c r="H212" s="273">
        <v>0</v>
      </c>
      <c r="I212" s="273">
        <v>0</v>
      </c>
      <c r="J212" s="273">
        <v>0</v>
      </c>
      <c r="K212" s="273">
        <v>0</v>
      </c>
      <c r="L212" s="273">
        <v>0.5</v>
      </c>
      <c r="M212" s="273">
        <v>0.5</v>
      </c>
      <c r="N212" s="273">
        <v>0.5</v>
      </c>
      <c r="O212" s="273">
        <v>1</v>
      </c>
      <c r="P212" s="273">
        <v>0.5</v>
      </c>
      <c r="Q212" s="273">
        <v>1</v>
      </c>
      <c r="R212" s="273">
        <v>0.5</v>
      </c>
      <c r="S212" s="273">
        <v>1</v>
      </c>
      <c r="T212" s="273">
        <v>0.5</v>
      </c>
      <c r="U212" s="273">
        <v>1</v>
      </c>
      <c r="V212" s="273">
        <v>0.5</v>
      </c>
      <c r="W212" s="273">
        <v>1</v>
      </c>
      <c r="X212" s="273">
        <v>0.5</v>
      </c>
      <c r="Y212" s="273">
        <v>0</v>
      </c>
      <c r="Z212" s="273">
        <v>0</v>
      </c>
      <c r="AA212" s="273">
        <v>0</v>
      </c>
      <c r="AB212" s="273">
        <v>0</v>
      </c>
      <c r="AC212" s="274">
        <v>0</v>
      </c>
    </row>
    <row r="213" spans="2:29" hidden="1" x14ac:dyDescent="0.3">
      <c r="B213" s="903"/>
      <c r="C213" s="945"/>
      <c r="D213" s="909"/>
      <c r="E213" s="196" t="s">
        <v>530</v>
      </c>
      <c r="F213" s="275">
        <v>0</v>
      </c>
      <c r="G213" s="275">
        <v>0</v>
      </c>
      <c r="H213" s="275">
        <v>0</v>
      </c>
      <c r="I213" s="275">
        <v>0</v>
      </c>
      <c r="J213" s="275">
        <v>0</v>
      </c>
      <c r="K213" s="275">
        <v>0</v>
      </c>
      <c r="L213" s="275">
        <v>0</v>
      </c>
      <c r="M213" s="275">
        <v>0</v>
      </c>
      <c r="N213" s="275">
        <v>0.5</v>
      </c>
      <c r="O213" s="275">
        <v>1</v>
      </c>
      <c r="P213" s="275">
        <v>0.5</v>
      </c>
      <c r="Q213" s="275">
        <v>1</v>
      </c>
      <c r="R213" s="275">
        <v>0.5</v>
      </c>
      <c r="S213" s="275">
        <v>1</v>
      </c>
      <c r="T213" s="275">
        <v>0.5</v>
      </c>
      <c r="U213" s="275">
        <v>1</v>
      </c>
      <c r="V213" s="275">
        <v>0.5</v>
      </c>
      <c r="W213" s="275">
        <v>1</v>
      </c>
      <c r="X213" s="275">
        <v>0.5</v>
      </c>
      <c r="Y213" s="275">
        <v>0</v>
      </c>
      <c r="Z213" s="275">
        <v>0</v>
      </c>
      <c r="AA213" s="275">
        <v>0</v>
      </c>
      <c r="AB213" s="275">
        <v>0</v>
      </c>
      <c r="AC213" s="276">
        <v>0</v>
      </c>
    </row>
    <row r="214" spans="2:29" ht="12" hidden="1" thickBot="1" x14ac:dyDescent="0.35">
      <c r="B214" s="912"/>
      <c r="C214" s="946"/>
      <c r="D214" s="910"/>
      <c r="E214" s="202" t="s">
        <v>531</v>
      </c>
      <c r="F214" s="279">
        <v>0</v>
      </c>
      <c r="G214" s="279">
        <v>0</v>
      </c>
      <c r="H214" s="279">
        <v>0</v>
      </c>
      <c r="I214" s="279">
        <v>0</v>
      </c>
      <c r="J214" s="279">
        <v>0</v>
      </c>
      <c r="K214" s="279">
        <v>0</v>
      </c>
      <c r="L214" s="279">
        <v>0</v>
      </c>
      <c r="M214" s="279">
        <v>0</v>
      </c>
      <c r="N214" s="279">
        <v>0</v>
      </c>
      <c r="O214" s="279">
        <v>1</v>
      </c>
      <c r="P214" s="279">
        <v>0.5</v>
      </c>
      <c r="Q214" s="279">
        <v>1</v>
      </c>
      <c r="R214" s="279">
        <v>0.5</v>
      </c>
      <c r="S214" s="279">
        <v>1</v>
      </c>
      <c r="T214" s="279">
        <v>0.5</v>
      </c>
      <c r="U214" s="279">
        <v>1</v>
      </c>
      <c r="V214" s="279">
        <v>0.5</v>
      </c>
      <c r="W214" s="279">
        <v>1</v>
      </c>
      <c r="X214" s="279">
        <v>0.5</v>
      </c>
      <c r="Y214" s="279">
        <v>0</v>
      </c>
      <c r="Z214" s="279">
        <v>0</v>
      </c>
      <c r="AA214" s="279">
        <v>0</v>
      </c>
      <c r="AB214" s="279">
        <v>0</v>
      </c>
      <c r="AC214" s="280">
        <v>0</v>
      </c>
    </row>
    <row r="215" spans="2:29" hidden="1" x14ac:dyDescent="0.3">
      <c r="B215" s="959" t="s">
        <v>541</v>
      </c>
      <c r="C215" s="944" t="s">
        <v>355</v>
      </c>
      <c r="D215" s="908" t="s">
        <v>96</v>
      </c>
      <c r="E215" s="208" t="s">
        <v>529</v>
      </c>
      <c r="F215" s="209">
        <v>0.9</v>
      </c>
      <c r="G215" s="209">
        <v>0.9</v>
      </c>
      <c r="H215" s="209">
        <v>0.9</v>
      </c>
      <c r="I215" s="209">
        <v>0.9</v>
      </c>
      <c r="J215" s="209">
        <v>0.9</v>
      </c>
      <c r="K215" s="209">
        <v>0.9</v>
      </c>
      <c r="L215" s="209">
        <v>0.9</v>
      </c>
      <c r="M215" s="209">
        <v>0.9</v>
      </c>
      <c r="N215" s="209">
        <v>0.9</v>
      </c>
      <c r="O215" s="209">
        <v>0.9</v>
      </c>
      <c r="P215" s="209">
        <v>0.9</v>
      </c>
      <c r="Q215" s="209">
        <v>0.9</v>
      </c>
      <c r="R215" s="209">
        <v>0.9</v>
      </c>
      <c r="S215" s="209">
        <v>0.9</v>
      </c>
      <c r="T215" s="209">
        <v>0.9</v>
      </c>
      <c r="U215" s="209">
        <v>0.9</v>
      </c>
      <c r="V215" s="209">
        <v>0.9</v>
      </c>
      <c r="W215" s="209">
        <v>0.9</v>
      </c>
      <c r="X215" s="209">
        <v>0.9</v>
      </c>
      <c r="Y215" s="209">
        <v>0.9</v>
      </c>
      <c r="Z215" s="209">
        <v>0.9</v>
      </c>
      <c r="AA215" s="209">
        <v>0.9</v>
      </c>
      <c r="AB215" s="209">
        <v>0.9</v>
      </c>
      <c r="AC215" s="210">
        <v>0.9</v>
      </c>
    </row>
    <row r="216" spans="2:29" hidden="1" x14ac:dyDescent="0.3">
      <c r="B216" s="948"/>
      <c r="C216" s="945"/>
      <c r="D216" s="909"/>
      <c r="E216" s="211" t="s">
        <v>530</v>
      </c>
      <c r="F216" s="212">
        <v>0.9</v>
      </c>
      <c r="G216" s="212">
        <v>0.9</v>
      </c>
      <c r="H216" s="212">
        <v>0.9</v>
      </c>
      <c r="I216" s="212">
        <v>0.9</v>
      </c>
      <c r="J216" s="212">
        <v>0.9</v>
      </c>
      <c r="K216" s="212">
        <v>0.9</v>
      </c>
      <c r="L216" s="212">
        <v>0.9</v>
      </c>
      <c r="M216" s="212">
        <v>0.9</v>
      </c>
      <c r="N216" s="212">
        <v>0.9</v>
      </c>
      <c r="O216" s="212">
        <v>0.9</v>
      </c>
      <c r="P216" s="212">
        <v>0.9</v>
      </c>
      <c r="Q216" s="212">
        <v>0.9</v>
      </c>
      <c r="R216" s="212">
        <v>0.9</v>
      </c>
      <c r="S216" s="212">
        <v>0.9</v>
      </c>
      <c r="T216" s="212">
        <v>0.9</v>
      </c>
      <c r="U216" s="212">
        <v>0.9</v>
      </c>
      <c r="V216" s="212">
        <v>0.9</v>
      </c>
      <c r="W216" s="212">
        <v>0.9</v>
      </c>
      <c r="X216" s="212">
        <v>0.9</v>
      </c>
      <c r="Y216" s="212">
        <v>0.9</v>
      </c>
      <c r="Z216" s="212">
        <v>0.9</v>
      </c>
      <c r="AA216" s="212">
        <v>0.9</v>
      </c>
      <c r="AB216" s="212">
        <v>0.9</v>
      </c>
      <c r="AC216" s="213">
        <v>0.9</v>
      </c>
    </row>
    <row r="217" spans="2:29" ht="12" hidden="1" thickBot="1" x14ac:dyDescent="0.35">
      <c r="B217" s="949"/>
      <c r="C217" s="951"/>
      <c r="D217" s="910"/>
      <c r="E217" s="217" t="s">
        <v>531</v>
      </c>
      <c r="F217" s="218">
        <v>0.9</v>
      </c>
      <c r="G217" s="218">
        <v>0.9</v>
      </c>
      <c r="H217" s="218">
        <v>0.9</v>
      </c>
      <c r="I217" s="218">
        <v>0.9</v>
      </c>
      <c r="J217" s="218">
        <v>0.9</v>
      </c>
      <c r="K217" s="218">
        <v>0.9</v>
      </c>
      <c r="L217" s="218">
        <v>0.9</v>
      </c>
      <c r="M217" s="218">
        <v>0.9</v>
      </c>
      <c r="N217" s="218">
        <v>0.9</v>
      </c>
      <c r="O217" s="218">
        <v>0.9</v>
      </c>
      <c r="P217" s="218">
        <v>0.9</v>
      </c>
      <c r="Q217" s="218">
        <v>0.9</v>
      </c>
      <c r="R217" s="218">
        <v>0.9</v>
      </c>
      <c r="S217" s="218">
        <v>0.9</v>
      </c>
      <c r="T217" s="218">
        <v>0.9</v>
      </c>
      <c r="U217" s="218">
        <v>0.9</v>
      </c>
      <c r="V217" s="218">
        <v>0.9</v>
      </c>
      <c r="W217" s="218">
        <v>0.9</v>
      </c>
      <c r="X217" s="218">
        <v>0.9</v>
      </c>
      <c r="Y217" s="218">
        <v>0.9</v>
      </c>
      <c r="Z217" s="218">
        <v>0.9</v>
      </c>
      <c r="AA217" s="218">
        <v>0.9</v>
      </c>
      <c r="AB217" s="218">
        <v>0.9</v>
      </c>
      <c r="AC217" s="219">
        <v>0.9</v>
      </c>
    </row>
    <row r="218" spans="2:29" hidden="1" x14ac:dyDescent="0.3">
      <c r="B218" s="947" t="s">
        <v>580</v>
      </c>
      <c r="C218" s="950" t="s">
        <v>355</v>
      </c>
      <c r="D218" s="908" t="s">
        <v>96</v>
      </c>
      <c r="E218" s="220" t="s">
        <v>529</v>
      </c>
      <c r="F218" s="221">
        <v>0.5</v>
      </c>
      <c r="G218" s="221">
        <v>0</v>
      </c>
      <c r="H218" s="221">
        <v>0</v>
      </c>
      <c r="I218" s="221">
        <v>0</v>
      </c>
      <c r="J218" s="221">
        <v>0</v>
      </c>
      <c r="K218" s="221">
        <v>0</v>
      </c>
      <c r="L218" s="221">
        <v>0</v>
      </c>
      <c r="M218" s="221">
        <v>0.5</v>
      </c>
      <c r="N218" s="221">
        <v>0.5</v>
      </c>
      <c r="O218" s="221">
        <v>0.5</v>
      </c>
      <c r="P218" s="221">
        <v>0.9</v>
      </c>
      <c r="Q218" s="221">
        <v>0.9</v>
      </c>
      <c r="R218" s="221">
        <v>0.9</v>
      </c>
      <c r="S218" s="221">
        <v>0.9</v>
      </c>
      <c r="T218" s="221">
        <v>0.75</v>
      </c>
      <c r="U218" s="221">
        <v>0.75</v>
      </c>
      <c r="V218" s="221">
        <v>0.75</v>
      </c>
      <c r="W218" s="221">
        <v>0.9</v>
      </c>
      <c r="X218" s="221">
        <v>0.9</v>
      </c>
      <c r="Y218" s="221">
        <v>0.9</v>
      </c>
      <c r="Z218" s="221">
        <v>0.9</v>
      </c>
      <c r="AA218" s="221">
        <v>0.75</v>
      </c>
      <c r="AB218" s="221">
        <v>0.5</v>
      </c>
      <c r="AC218" s="222">
        <v>0.5</v>
      </c>
    </row>
    <row r="219" spans="2:29" hidden="1" x14ac:dyDescent="0.3">
      <c r="B219" s="948"/>
      <c r="C219" s="945"/>
      <c r="D219" s="909"/>
      <c r="E219" s="211" t="s">
        <v>530</v>
      </c>
      <c r="F219" s="212">
        <v>0.5</v>
      </c>
      <c r="G219" s="212">
        <v>0</v>
      </c>
      <c r="H219" s="212">
        <v>0</v>
      </c>
      <c r="I219" s="212">
        <v>0</v>
      </c>
      <c r="J219" s="212">
        <v>0</v>
      </c>
      <c r="K219" s="212">
        <v>0</v>
      </c>
      <c r="L219" s="212">
        <v>0</v>
      </c>
      <c r="M219" s="212">
        <v>0</v>
      </c>
      <c r="N219" s="212">
        <v>0.5</v>
      </c>
      <c r="O219" s="212">
        <v>0.5</v>
      </c>
      <c r="P219" s="212">
        <v>0.9</v>
      </c>
      <c r="Q219" s="212">
        <v>0.9</v>
      </c>
      <c r="R219" s="212">
        <v>0.9</v>
      </c>
      <c r="S219" s="212">
        <v>0.9</v>
      </c>
      <c r="T219" s="212">
        <v>0.75</v>
      </c>
      <c r="U219" s="212">
        <v>0.75</v>
      </c>
      <c r="V219" s="212">
        <v>0.75</v>
      </c>
      <c r="W219" s="212">
        <v>0.9</v>
      </c>
      <c r="X219" s="212">
        <v>0.9</v>
      </c>
      <c r="Y219" s="212">
        <v>0.9</v>
      </c>
      <c r="Z219" s="212">
        <v>0.9</v>
      </c>
      <c r="AA219" s="212">
        <v>0.75</v>
      </c>
      <c r="AB219" s="212">
        <v>0.75</v>
      </c>
      <c r="AC219" s="213">
        <v>0.5</v>
      </c>
    </row>
    <row r="220" spans="2:29" ht="12" hidden="1" thickBot="1" x14ac:dyDescent="0.35">
      <c r="B220" s="949"/>
      <c r="C220" s="951"/>
      <c r="D220" s="910"/>
      <c r="E220" s="217" t="s">
        <v>531</v>
      </c>
      <c r="F220" s="218">
        <v>0.5</v>
      </c>
      <c r="G220" s="218">
        <v>0</v>
      </c>
      <c r="H220" s="218">
        <v>0</v>
      </c>
      <c r="I220" s="218">
        <v>0</v>
      </c>
      <c r="J220" s="218">
        <v>0</v>
      </c>
      <c r="K220" s="218">
        <v>0</v>
      </c>
      <c r="L220" s="218">
        <v>0</v>
      </c>
      <c r="M220" s="218">
        <v>0</v>
      </c>
      <c r="N220" s="218">
        <v>0</v>
      </c>
      <c r="O220" s="218">
        <v>0.5</v>
      </c>
      <c r="P220" s="218">
        <v>0.9</v>
      </c>
      <c r="Q220" s="218">
        <v>0.9</v>
      </c>
      <c r="R220" s="218">
        <v>0.9</v>
      </c>
      <c r="S220" s="218">
        <v>0.9</v>
      </c>
      <c r="T220" s="218">
        <v>0.75</v>
      </c>
      <c r="U220" s="218">
        <v>0.75</v>
      </c>
      <c r="V220" s="218">
        <v>0.75</v>
      </c>
      <c r="W220" s="218">
        <v>0.9</v>
      </c>
      <c r="X220" s="218">
        <v>0.9</v>
      </c>
      <c r="Y220" s="218">
        <v>0.9</v>
      </c>
      <c r="Z220" s="218">
        <v>0.9</v>
      </c>
      <c r="AA220" s="218">
        <v>0.75</v>
      </c>
      <c r="AB220" s="218">
        <v>0.5</v>
      </c>
      <c r="AC220" s="219">
        <v>0.5</v>
      </c>
    </row>
    <row r="221" spans="2:29" hidden="1" x14ac:dyDescent="0.3"/>
    <row r="10204" spans="6:6" x14ac:dyDescent="0.3">
      <c r="F10204" s="154" t="s">
        <v>581</v>
      </c>
    </row>
  </sheetData>
  <dataConsolidate/>
  <mergeCells count="142">
    <mergeCell ref="D75:D77"/>
    <mergeCell ref="A78:A80"/>
    <mergeCell ref="B78:B80"/>
    <mergeCell ref="C78:C80"/>
    <mergeCell ref="D78:D80"/>
    <mergeCell ref="A69:A71"/>
    <mergeCell ref="B69:B71"/>
    <mergeCell ref="C69:C71"/>
    <mergeCell ref="D69:D71"/>
    <mergeCell ref="A72:A74"/>
    <mergeCell ref="B72:B74"/>
    <mergeCell ref="C72:C74"/>
    <mergeCell ref="D72:D74"/>
    <mergeCell ref="D62:D64"/>
    <mergeCell ref="A65:A67"/>
    <mergeCell ref="B65:B67"/>
    <mergeCell ref="C65:C67"/>
    <mergeCell ref="D65:D67"/>
    <mergeCell ref="A68:AC68"/>
    <mergeCell ref="A47:A49"/>
    <mergeCell ref="A50:A52"/>
    <mergeCell ref="A53:A55"/>
    <mergeCell ref="B53:B55"/>
    <mergeCell ref="C53:C55"/>
    <mergeCell ref="D53:D55"/>
    <mergeCell ref="A56:A58"/>
    <mergeCell ref="B56:B58"/>
    <mergeCell ref="C56:C58"/>
    <mergeCell ref="D56:D58"/>
    <mergeCell ref="A59:A61"/>
    <mergeCell ref="B59:B61"/>
    <mergeCell ref="C59:C61"/>
    <mergeCell ref="D59:D61"/>
    <mergeCell ref="A62:A64"/>
    <mergeCell ref="D47:D49"/>
    <mergeCell ref="A2:A3"/>
    <mergeCell ref="A1:AC1"/>
    <mergeCell ref="A4:A6"/>
    <mergeCell ref="A7:A9"/>
    <mergeCell ref="A10:A12"/>
    <mergeCell ref="A13:A15"/>
    <mergeCell ref="A16:A18"/>
    <mergeCell ref="A19:A21"/>
    <mergeCell ref="A25:A27"/>
    <mergeCell ref="B25:B27"/>
    <mergeCell ref="C25:C27"/>
    <mergeCell ref="D25:D27"/>
    <mergeCell ref="B2:B3"/>
    <mergeCell ref="C2:C3"/>
    <mergeCell ref="D2:D3"/>
    <mergeCell ref="E2:E3"/>
    <mergeCell ref="F2:AC2"/>
    <mergeCell ref="A22:A24"/>
    <mergeCell ref="B22:B24"/>
    <mergeCell ref="C22:C24"/>
    <mergeCell ref="D22:D24"/>
    <mergeCell ref="A28:A30"/>
    <mergeCell ref="B28:B30"/>
    <mergeCell ref="C28:C30"/>
    <mergeCell ref="A35:A37"/>
    <mergeCell ref="A38:A40"/>
    <mergeCell ref="A41:A43"/>
    <mergeCell ref="A44:A46"/>
    <mergeCell ref="A32:A34"/>
    <mergeCell ref="B215:B217"/>
    <mergeCell ref="C215:C217"/>
    <mergeCell ref="B47:B49"/>
    <mergeCell ref="C47:C49"/>
    <mergeCell ref="B206:B208"/>
    <mergeCell ref="C206:C208"/>
    <mergeCell ref="B62:B64"/>
    <mergeCell ref="C62:C64"/>
    <mergeCell ref="A75:A77"/>
    <mergeCell ref="B75:B77"/>
    <mergeCell ref="C75:C77"/>
    <mergeCell ref="D215:D217"/>
    <mergeCell ref="B218:B220"/>
    <mergeCell ref="C218:C220"/>
    <mergeCell ref="D218:D220"/>
    <mergeCell ref="B38:B40"/>
    <mergeCell ref="C38:C40"/>
    <mergeCell ref="D38:D40"/>
    <mergeCell ref="B4:B6"/>
    <mergeCell ref="C4:C6"/>
    <mergeCell ref="D4:D6"/>
    <mergeCell ref="B7:B9"/>
    <mergeCell ref="C7:C9"/>
    <mergeCell ref="D7:D9"/>
    <mergeCell ref="B13:B15"/>
    <mergeCell ref="C13:C15"/>
    <mergeCell ref="D13:D15"/>
    <mergeCell ref="B10:B12"/>
    <mergeCell ref="C10:C12"/>
    <mergeCell ref="D10:D12"/>
    <mergeCell ref="B209:B211"/>
    <mergeCell ref="C209:C211"/>
    <mergeCell ref="D209:D211"/>
    <mergeCell ref="B212:B214"/>
    <mergeCell ref="C212:C214"/>
    <mergeCell ref="D212:D214"/>
    <mergeCell ref="B35:B37"/>
    <mergeCell ref="C35:C37"/>
    <mergeCell ref="D35:D37"/>
    <mergeCell ref="B16:B18"/>
    <mergeCell ref="C16:C18"/>
    <mergeCell ref="D16:D18"/>
    <mergeCell ref="B19:B21"/>
    <mergeCell ref="C19:C21"/>
    <mergeCell ref="D19:D21"/>
    <mergeCell ref="A31:AC31"/>
    <mergeCell ref="D28:D30"/>
    <mergeCell ref="B41:B43"/>
    <mergeCell ref="C41:C43"/>
    <mergeCell ref="D41:D43"/>
    <mergeCell ref="B50:B52"/>
    <mergeCell ref="C50:C52"/>
    <mergeCell ref="D50:D52"/>
    <mergeCell ref="B44:B46"/>
    <mergeCell ref="C44:C46"/>
    <mergeCell ref="D44:D46"/>
    <mergeCell ref="B32:B34"/>
    <mergeCell ref="C32:C34"/>
    <mergeCell ref="D32:D34"/>
    <mergeCell ref="D206:D208"/>
    <mergeCell ref="B203:B205"/>
    <mergeCell ref="C203:C205"/>
    <mergeCell ref="D203:D205"/>
    <mergeCell ref="B93:B98"/>
    <mergeCell ref="D93:D98"/>
    <mergeCell ref="E93:E98"/>
    <mergeCell ref="B200:B202"/>
    <mergeCell ref="C200:C202"/>
    <mergeCell ref="D200:D202"/>
    <mergeCell ref="D191:D193"/>
    <mergeCell ref="D194:D196"/>
    <mergeCell ref="D197:D199"/>
    <mergeCell ref="B191:B193"/>
    <mergeCell ref="B194:B196"/>
    <mergeCell ref="B197:B199"/>
    <mergeCell ref="C191:C193"/>
    <mergeCell ref="C194:C196"/>
    <mergeCell ref="C197:C199"/>
  </mergeCells>
  <phoneticPr fontId="6" type="noConversion"/>
  <dataValidations disablePrompts="1" count="3">
    <dataValidation type="list" allowBlank="1" showInputMessage="1" showErrorMessage="1" sqref="B93" xr:uid="{0B8ED8D6-A7ED-449C-AAEB-3B6573DA70F8}">
      <formula1>$B$133:$B$141</formula1>
    </dataValidation>
    <dataValidation type="list" allowBlank="1" showInputMessage="1" showErrorMessage="1" sqref="E93" xr:uid="{9E0A7D03-DAED-4AD9-BF59-DB3DFC492693}">
      <formula1>$E$154:$E$156</formula1>
    </dataValidation>
    <dataValidation type="list" allowBlank="1" showInputMessage="1" showErrorMessage="1" sqref="D93" xr:uid="{240BC8F2-1B0C-45C9-9C22-9171F0A56C9B}">
      <formula1>$D$151:$D$156</formula1>
    </dataValidation>
  </dataValidations>
  <hyperlinks>
    <hyperlink ref="B123" r:id="rId1" location="L162" display="https://github.com/pnnl/COMNET/blob/master/Building_Space_Specific_Loads/dining__cafeteria_fast_food/kitchen/space_specific_schedules.json - L162" xr:uid="{2CD4BBDD-7819-4CF8-A4F7-9BF80DECB41E}"/>
    <hyperlink ref="S123" r:id="rId2" display="https://github.com/pnnl/COMNET/blob/master/Building_Space_Specific_Loads/dining__cafeteria_fast_food/dining_cafeteria_fast_food/space_specific_schedules.json" xr:uid="{0AC7F684-315F-42DC-8A17-970CD62CE751}"/>
  </hyperlinks>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B237-3052-4CA4-8386-360A60E66E7C}">
  <sheetPr codeName="Sheet19"/>
  <dimension ref="A1:AZ256"/>
  <sheetViews>
    <sheetView topLeftCell="E1" zoomScale="85" zoomScaleNormal="85" workbookViewId="0">
      <selection activeCell="W23" sqref="W23"/>
    </sheetView>
  </sheetViews>
  <sheetFormatPr defaultColWidth="8.6640625" defaultRowHeight="14.4" x14ac:dyDescent="0.3"/>
  <cols>
    <col min="1" max="1" width="18.6640625" customWidth="1"/>
    <col min="2" max="2" width="23.33203125" customWidth="1"/>
    <col min="3" max="3" width="16.5546875" customWidth="1"/>
    <col min="4" max="4" width="18.6640625" customWidth="1"/>
    <col min="5" max="5" width="17.33203125" customWidth="1"/>
    <col min="6" max="6" width="15.33203125" customWidth="1"/>
    <col min="7" max="7" width="12.33203125" customWidth="1"/>
    <col min="8" max="8" width="12.6640625" customWidth="1"/>
    <col min="9" max="9" width="11.6640625" customWidth="1"/>
    <col min="11" max="11" width="14.5546875" customWidth="1"/>
    <col min="13" max="13" width="12.33203125" customWidth="1"/>
    <col min="14" max="14" width="11.33203125" customWidth="1"/>
    <col min="15" max="15" width="13.33203125" customWidth="1"/>
    <col min="16" max="16" width="10" customWidth="1"/>
    <col min="17" max="17" width="12.33203125" customWidth="1"/>
    <col min="18" max="18" width="10.33203125" customWidth="1"/>
    <col min="19" max="20" width="10.6640625" customWidth="1"/>
    <col min="21" max="21" width="11.6640625" customWidth="1"/>
    <col min="24" max="24" width="12.6640625" customWidth="1"/>
    <col min="25" max="25" width="14.44140625" customWidth="1"/>
  </cols>
  <sheetData>
    <row r="1" spans="1:6" ht="20.7" customHeight="1" x14ac:dyDescent="0.3">
      <c r="A1" s="1017" t="s">
        <v>582</v>
      </c>
      <c r="B1" s="1018"/>
      <c r="C1" s="1018"/>
      <c r="D1" s="1018"/>
      <c r="E1" s="1018"/>
      <c r="F1" s="1018"/>
    </row>
    <row r="2" spans="1:6" x14ac:dyDescent="0.3">
      <c r="A2" s="113" t="s">
        <v>583</v>
      </c>
      <c r="B2" s="113" t="s">
        <v>526</v>
      </c>
      <c r="C2" s="1019" t="s">
        <v>584</v>
      </c>
      <c r="D2" s="1019"/>
      <c r="E2" s="118" t="s">
        <v>530</v>
      </c>
      <c r="F2" s="119" t="s">
        <v>531</v>
      </c>
    </row>
    <row r="3" spans="1:6" x14ac:dyDescent="0.3">
      <c r="A3" s="106" t="s">
        <v>585</v>
      </c>
      <c r="B3" s="106">
        <v>6</v>
      </c>
      <c r="C3" s="106"/>
      <c r="D3" s="106">
        <v>0</v>
      </c>
      <c r="E3" s="106"/>
      <c r="F3" s="64"/>
    </row>
    <row r="4" spans="1:6" x14ac:dyDescent="0.3">
      <c r="A4" s="106" t="s">
        <v>586</v>
      </c>
      <c r="B4" s="106">
        <v>1</v>
      </c>
      <c r="C4" s="106" t="s">
        <v>587</v>
      </c>
      <c r="D4" s="106">
        <v>0.2</v>
      </c>
      <c r="E4" s="106"/>
      <c r="F4" s="64"/>
    </row>
    <row r="5" spans="1:6" x14ac:dyDescent="0.3">
      <c r="A5" s="106" t="s">
        <v>588</v>
      </c>
      <c r="B5" s="106">
        <v>1</v>
      </c>
      <c r="C5" s="106" t="s">
        <v>589</v>
      </c>
      <c r="D5" s="106">
        <v>0.7</v>
      </c>
      <c r="E5" s="106"/>
      <c r="F5" s="64"/>
    </row>
    <row r="6" spans="1:6" x14ac:dyDescent="0.3">
      <c r="A6" s="114" t="s">
        <v>590</v>
      </c>
      <c r="B6" s="106">
        <v>9</v>
      </c>
      <c r="C6" s="106" t="s">
        <v>591</v>
      </c>
      <c r="D6" s="106">
        <v>1</v>
      </c>
      <c r="E6" s="106"/>
      <c r="F6" s="64"/>
    </row>
    <row r="7" spans="1:6" x14ac:dyDescent="0.3">
      <c r="A7" s="106" t="s">
        <v>592</v>
      </c>
      <c r="B7" s="106">
        <v>1</v>
      </c>
      <c r="C7" s="106" t="s">
        <v>589</v>
      </c>
      <c r="D7" s="106">
        <v>0.7</v>
      </c>
      <c r="E7" s="106"/>
      <c r="F7" s="64"/>
    </row>
    <row r="8" spans="1:6" x14ac:dyDescent="0.3">
      <c r="A8" s="106" t="s">
        <v>593</v>
      </c>
      <c r="B8" s="106">
        <v>1</v>
      </c>
      <c r="C8" s="106" t="s">
        <v>594</v>
      </c>
      <c r="D8" s="106">
        <v>0.5</v>
      </c>
      <c r="E8" s="106"/>
      <c r="F8" s="64"/>
    </row>
    <row r="9" spans="1:6" x14ac:dyDescent="0.3">
      <c r="A9" s="106" t="s">
        <v>595</v>
      </c>
      <c r="B9" s="106">
        <v>1</v>
      </c>
      <c r="C9" s="106" t="s">
        <v>587</v>
      </c>
      <c r="D9" s="106">
        <v>0.3</v>
      </c>
      <c r="E9" s="106"/>
      <c r="F9" s="64"/>
    </row>
    <row r="10" spans="1:6" x14ac:dyDescent="0.3">
      <c r="A10" s="106" t="s">
        <v>596</v>
      </c>
      <c r="B10" s="106">
        <v>2</v>
      </c>
      <c r="C10" s="106" t="s">
        <v>587</v>
      </c>
      <c r="D10" s="106">
        <v>0.2</v>
      </c>
      <c r="E10" s="106"/>
      <c r="F10" s="64"/>
    </row>
    <row r="11" spans="1:6" x14ac:dyDescent="0.3">
      <c r="A11" s="106" t="s">
        <v>597</v>
      </c>
      <c r="B11" s="106">
        <v>2</v>
      </c>
      <c r="C11" s="106"/>
      <c r="D11" s="106">
        <v>0</v>
      </c>
      <c r="E11" s="106"/>
      <c r="F11" s="115"/>
    </row>
    <row r="12" spans="1:6" x14ac:dyDescent="0.3">
      <c r="A12" s="64"/>
      <c r="B12" s="64"/>
      <c r="C12" s="64"/>
      <c r="D12" s="49">
        <f>SUMPRODUCT(D4:D10,B4:B10)</f>
        <v>11.8</v>
      </c>
      <c r="E12" s="120">
        <f>(E35-D12*249)/(52*2+11)</f>
        <v>3.0267019900374774</v>
      </c>
      <c r="F12" s="121">
        <v>0</v>
      </c>
    </row>
    <row r="13" spans="1:6" x14ac:dyDescent="0.3">
      <c r="A13" s="64"/>
      <c r="B13" s="64"/>
      <c r="C13" s="64"/>
      <c r="D13" s="64"/>
      <c r="E13" s="64"/>
      <c r="F13" s="115"/>
    </row>
    <row r="14" spans="1:6" x14ac:dyDescent="0.3">
      <c r="A14" s="64"/>
      <c r="B14" s="64"/>
      <c r="C14" s="64"/>
      <c r="D14" s="64"/>
      <c r="E14" s="64"/>
      <c r="F14" s="115"/>
    </row>
    <row r="15" spans="1:6" x14ac:dyDescent="0.3">
      <c r="A15" s="64"/>
      <c r="B15" s="64"/>
      <c r="C15" s="64"/>
      <c r="D15" s="64"/>
      <c r="E15" s="64"/>
      <c r="F15" s="115"/>
    </row>
    <row r="16" spans="1:6" x14ac:dyDescent="0.3">
      <c r="A16" s="64"/>
      <c r="B16" s="64"/>
      <c r="C16" s="64"/>
      <c r="D16" s="64"/>
      <c r="E16" s="64"/>
      <c r="F16" s="115"/>
    </row>
    <row r="17" spans="1:7" x14ac:dyDescent="0.3">
      <c r="A17" s="64"/>
      <c r="B17" s="64"/>
      <c r="C17" s="64"/>
      <c r="D17" s="64"/>
      <c r="E17" s="64"/>
      <c r="F17" s="115"/>
    </row>
    <row r="19" spans="1:7" ht="18" x14ac:dyDescent="0.3">
      <c r="D19" s="116"/>
      <c r="E19" s="117"/>
    </row>
    <row r="20" spans="1:7" ht="18" x14ac:dyDescent="0.3">
      <c r="D20" s="116"/>
      <c r="E20" s="117"/>
    </row>
    <row r="21" spans="1:7" ht="18" x14ac:dyDescent="0.3">
      <c r="D21" s="116"/>
      <c r="E21" s="117"/>
    </row>
    <row r="22" spans="1:7" ht="18" x14ac:dyDescent="0.3">
      <c r="D22" s="116"/>
      <c r="E22" s="117"/>
    </row>
    <row r="23" spans="1:7" ht="18" x14ac:dyDescent="0.3">
      <c r="D23" s="116"/>
      <c r="E23" s="117"/>
    </row>
    <row r="24" spans="1:7" ht="18" x14ac:dyDescent="0.3">
      <c r="D24" s="116"/>
      <c r="E24" s="117"/>
    </row>
    <row r="25" spans="1:7" ht="18" x14ac:dyDescent="0.3">
      <c r="D25" s="116"/>
      <c r="E25" s="117"/>
    </row>
    <row r="26" spans="1:7" ht="18" x14ac:dyDescent="0.3">
      <c r="D26" s="116"/>
      <c r="E26" s="117"/>
    </row>
    <row r="27" spans="1:7" ht="18" x14ac:dyDescent="0.3">
      <c r="D27" s="116"/>
      <c r="E27" s="117"/>
    </row>
    <row r="28" spans="1:7" ht="18" x14ac:dyDescent="0.3">
      <c r="D28" s="116"/>
      <c r="E28" s="117"/>
    </row>
    <row r="29" spans="1:7" ht="18" x14ac:dyDescent="0.3">
      <c r="D29" s="116"/>
      <c r="E29" s="117"/>
    </row>
    <row r="30" spans="1:7" s="107" customFormat="1" ht="18" x14ac:dyDescent="0.35">
      <c r="A30" s="107" t="s">
        <v>520</v>
      </c>
      <c r="E30" s="110"/>
      <c r="F30" s="111"/>
      <c r="G30" s="112"/>
    </row>
    <row r="31" spans="1:7" ht="18" x14ac:dyDescent="0.3">
      <c r="E31" s="116"/>
      <c r="F31" s="117"/>
    </row>
    <row r="32" spans="1:7" ht="18" x14ac:dyDescent="0.3">
      <c r="E32" s="116"/>
      <c r="F32" s="117"/>
    </row>
    <row r="33" spans="1:24" ht="27" customHeight="1" x14ac:dyDescent="0.3">
      <c r="A33" s="1020" t="s">
        <v>598</v>
      </c>
      <c r="B33" s="1020"/>
      <c r="C33" s="1020"/>
      <c r="D33" s="1020"/>
      <c r="E33" s="1020"/>
      <c r="F33" s="1020"/>
      <c r="G33" s="1020"/>
      <c r="H33" s="1020"/>
      <c r="I33" s="1020"/>
      <c r="J33" s="1020"/>
      <c r="K33" s="1020"/>
      <c r="L33" s="1020"/>
      <c r="M33" s="1020"/>
      <c r="N33" s="100"/>
      <c r="O33" s="100"/>
      <c r="P33" s="100"/>
      <c r="Q33" s="100"/>
      <c r="R33" s="100"/>
      <c r="S33" s="100"/>
      <c r="T33" s="100"/>
      <c r="U33" s="100"/>
      <c r="V33" s="100"/>
      <c r="W33" s="100"/>
    </row>
    <row r="34" spans="1:24" ht="18.600000000000001" customHeight="1" x14ac:dyDescent="0.3">
      <c r="A34" s="101"/>
      <c r="B34" s="101"/>
      <c r="C34" s="101"/>
      <c r="D34" s="101"/>
      <c r="E34" s="101"/>
      <c r="F34" s="101"/>
      <c r="G34" s="101"/>
      <c r="H34" s="101"/>
      <c r="I34" s="101"/>
      <c r="J34" s="101"/>
      <c r="K34" s="101"/>
      <c r="L34" s="101"/>
      <c r="M34" s="101"/>
      <c r="N34" s="2"/>
      <c r="O34" s="2"/>
      <c r="P34" s="2"/>
      <c r="Q34" s="2"/>
      <c r="R34" s="2"/>
      <c r="S34" s="2"/>
      <c r="T34" s="2"/>
      <c r="U34" s="2"/>
      <c r="V34" s="2"/>
      <c r="W34" s="2"/>
    </row>
    <row r="35" spans="1:24" ht="18" x14ac:dyDescent="0.35">
      <c r="A35" s="1012" t="s">
        <v>599</v>
      </c>
      <c r="B35" s="1012"/>
      <c r="C35" s="1012"/>
      <c r="D35" s="62" t="s">
        <v>326</v>
      </c>
      <c r="E35" s="72">
        <v>3286.2707288543102</v>
      </c>
      <c r="F35" s="67"/>
      <c r="G35" t="s">
        <v>600</v>
      </c>
      <c r="H35">
        <f>52*5-11</f>
        <v>249</v>
      </c>
      <c r="I35" s="67"/>
      <c r="J35" s="67"/>
      <c r="K35" s="67"/>
      <c r="L35" s="67"/>
      <c r="M35" s="67"/>
    </row>
    <row r="36" spans="1:24" ht="18" x14ac:dyDescent="0.35">
      <c r="A36" s="1012" t="s">
        <v>601</v>
      </c>
      <c r="B36" s="1012"/>
      <c r="C36" s="1012"/>
      <c r="D36" s="62" t="s">
        <v>326</v>
      </c>
      <c r="E36" s="73">
        <v>9.0034814489159292</v>
      </c>
      <c r="F36" s="67"/>
      <c r="G36" s="67"/>
      <c r="H36" s="67"/>
      <c r="I36" s="67"/>
      <c r="J36" s="67"/>
      <c r="K36" s="67"/>
      <c r="L36" s="67"/>
      <c r="M36" s="67"/>
    </row>
    <row r="37" spans="1:24" ht="30" customHeight="1" x14ac:dyDescent="0.35">
      <c r="A37" s="1021" t="s">
        <v>602</v>
      </c>
      <c r="B37" s="1021"/>
      <c r="C37" s="1021"/>
      <c r="D37" s="104" t="s">
        <v>326</v>
      </c>
      <c r="E37" s="103">
        <f>E35/H35</f>
        <v>13.197874413069519</v>
      </c>
      <c r="F37" s="105"/>
      <c r="G37" s="105"/>
      <c r="H37" s="67"/>
      <c r="I37" s="67"/>
      <c r="J37" s="67"/>
      <c r="K37" s="67"/>
      <c r="L37" s="67"/>
      <c r="M37" s="67"/>
    </row>
    <row r="38" spans="1:24" ht="18" x14ac:dyDescent="0.35">
      <c r="A38" s="60"/>
      <c r="B38" s="60"/>
      <c r="C38" s="60"/>
      <c r="D38" s="61"/>
      <c r="E38" s="102"/>
      <c r="F38" s="67"/>
      <c r="G38" s="67"/>
      <c r="H38" s="67"/>
      <c r="I38" s="67"/>
      <c r="J38" s="67"/>
      <c r="K38" s="67"/>
      <c r="L38" s="67"/>
      <c r="M38" s="67"/>
    </row>
    <row r="40" spans="1:24" ht="15.6" x14ac:dyDescent="0.3">
      <c r="A40" s="83" t="s">
        <v>603</v>
      </c>
      <c r="B40" s="74"/>
      <c r="C40" s="74"/>
      <c r="D40" s="74"/>
      <c r="E40" s="74"/>
      <c r="F40" s="74"/>
      <c r="G40" s="74"/>
      <c r="H40" s="74"/>
      <c r="I40" s="74"/>
      <c r="J40" s="74"/>
      <c r="K40" s="74"/>
      <c r="L40" s="74"/>
    </row>
    <row r="41" spans="1:24" ht="27.6" x14ac:dyDescent="0.3">
      <c r="A41" s="88" t="s">
        <v>604</v>
      </c>
      <c r="B41" s="88" t="s">
        <v>605</v>
      </c>
      <c r="C41" s="89" t="s">
        <v>50</v>
      </c>
      <c r="D41" s="90" t="s">
        <v>606</v>
      </c>
      <c r="E41" s="90" t="s">
        <v>607</v>
      </c>
      <c r="F41" s="90" t="s">
        <v>608</v>
      </c>
      <c r="G41" s="90" t="s">
        <v>609</v>
      </c>
      <c r="H41" s="90" t="s">
        <v>610</v>
      </c>
      <c r="I41" s="90" t="s">
        <v>611</v>
      </c>
      <c r="J41" s="90" t="s">
        <v>612</v>
      </c>
      <c r="K41" s="90" t="s">
        <v>613</v>
      </c>
      <c r="L41" s="90" t="s">
        <v>85</v>
      </c>
      <c r="M41" s="75" t="s">
        <v>614</v>
      </c>
    </row>
    <row r="42" spans="1:24" x14ac:dyDescent="0.3">
      <c r="A42" s="84" t="s">
        <v>615</v>
      </c>
      <c r="B42" s="85" t="s">
        <v>325</v>
      </c>
      <c r="C42" s="86" t="s">
        <v>326</v>
      </c>
      <c r="D42" s="87">
        <v>9.2199272562384325E-3</v>
      </c>
      <c r="E42" s="92">
        <v>0.3704176112589761</v>
      </c>
      <c r="F42" s="92">
        <v>0.52762779289229078</v>
      </c>
      <c r="G42" s="87">
        <v>5.0098236618718602E-2</v>
      </c>
      <c r="H42" s="87">
        <v>1.1767081866806783E-2</v>
      </c>
      <c r="I42" s="87">
        <v>5.6645949132663256E-3</v>
      </c>
      <c r="J42" s="87">
        <v>6.7988415461615378E-3</v>
      </c>
      <c r="K42" s="87">
        <v>1.8405913647544257E-2</v>
      </c>
      <c r="L42" s="87">
        <v>1.0000000000000007</v>
      </c>
      <c r="M42" s="76"/>
    </row>
    <row r="43" spans="1:24" x14ac:dyDescent="0.3">
      <c r="A43" s="81"/>
      <c r="B43" s="81"/>
      <c r="C43" s="81"/>
      <c r="D43" s="82"/>
      <c r="E43" s="82"/>
      <c r="F43" s="82"/>
      <c r="G43" s="82"/>
      <c r="H43" s="82"/>
      <c r="I43" s="82"/>
      <c r="J43" s="82"/>
      <c r="K43" s="82"/>
      <c r="L43" s="82"/>
    </row>
    <row r="44" spans="1:24" x14ac:dyDescent="0.3">
      <c r="A44" s="83" t="s">
        <v>616</v>
      </c>
    </row>
    <row r="45" spans="1:24" ht="20.399999999999999" x14ac:dyDescent="0.3">
      <c r="A45" s="95" t="s">
        <v>604</v>
      </c>
      <c r="B45" s="95" t="s">
        <v>605</v>
      </c>
      <c r="C45" s="96" t="s">
        <v>50</v>
      </c>
      <c r="D45" s="97" t="s">
        <v>617</v>
      </c>
      <c r="E45" s="97" t="s">
        <v>618</v>
      </c>
      <c r="F45" s="97" t="s">
        <v>619</v>
      </c>
      <c r="G45" s="97" t="s">
        <v>620</v>
      </c>
      <c r="H45" s="97" t="s">
        <v>621</v>
      </c>
      <c r="I45" s="97" t="s">
        <v>622</v>
      </c>
      <c r="J45" s="97" t="s">
        <v>623</v>
      </c>
      <c r="K45" s="97" t="s">
        <v>624</v>
      </c>
      <c r="L45" s="97" t="s">
        <v>625</v>
      </c>
      <c r="M45" s="97" t="s">
        <v>626</v>
      </c>
      <c r="N45" s="97" t="s">
        <v>627</v>
      </c>
      <c r="O45" s="97" t="s">
        <v>628</v>
      </c>
      <c r="P45" s="97" t="s">
        <v>629</v>
      </c>
      <c r="Q45" s="97" t="s">
        <v>630</v>
      </c>
      <c r="R45" s="97" t="s">
        <v>631</v>
      </c>
      <c r="S45" s="97" t="s">
        <v>632</v>
      </c>
      <c r="T45" s="97" t="s">
        <v>633</v>
      </c>
      <c r="U45" s="97" t="s">
        <v>634</v>
      </c>
      <c r="V45" s="97" t="s">
        <v>635</v>
      </c>
      <c r="W45" s="98" t="s">
        <v>85</v>
      </c>
      <c r="X45" s="75" t="s">
        <v>636</v>
      </c>
    </row>
    <row r="46" spans="1:24" x14ac:dyDescent="0.3">
      <c r="A46" s="69" t="s">
        <v>615</v>
      </c>
      <c r="B46" s="69" t="s">
        <v>325</v>
      </c>
      <c r="C46" s="69" t="s">
        <v>326</v>
      </c>
      <c r="D46" s="91">
        <v>6.2650871625672202E-4</v>
      </c>
      <c r="E46" s="91">
        <v>3.0686645429828228E-3</v>
      </c>
      <c r="F46" s="91">
        <v>1.5742559501458413E-2</v>
      </c>
      <c r="G46" s="92">
        <v>7.1774338935779822E-2</v>
      </c>
      <c r="H46" s="93">
        <v>0.5363752827612488</v>
      </c>
      <c r="I46" s="94">
        <v>0.19274235306630758</v>
      </c>
      <c r="J46" s="92">
        <v>8.7378482422057049E-2</v>
      </c>
      <c r="K46" s="91">
        <v>2.4838127253031455E-2</v>
      </c>
      <c r="L46" s="91">
        <v>1.9926606377181764E-2</v>
      </c>
      <c r="M46" s="91">
        <v>6.3344986240465653E-3</v>
      </c>
      <c r="N46" s="91">
        <v>5.8534528117841636E-3</v>
      </c>
      <c r="O46" s="91">
        <v>5.3988043496900791E-3</v>
      </c>
      <c r="P46" s="91">
        <v>2.1390822506302141E-3</v>
      </c>
      <c r="Q46" s="91">
        <v>2.5964831938382503E-3</v>
      </c>
      <c r="R46" s="91">
        <v>5.0745005735573491E-5</v>
      </c>
      <c r="S46" s="91">
        <v>0</v>
      </c>
      <c r="T46" s="91">
        <v>3.7350006082068505E-4</v>
      </c>
      <c r="U46" s="91">
        <v>3.45688594189628E-3</v>
      </c>
      <c r="V46" s="91">
        <v>2.1323624185253184E-2</v>
      </c>
      <c r="W46" s="91">
        <v>0.99999999999999944</v>
      </c>
    </row>
    <row r="50" spans="1:23" ht="25.2" customHeight="1" x14ac:dyDescent="0.3">
      <c r="A50" s="1015" t="s">
        <v>637</v>
      </c>
      <c r="B50" s="1015"/>
      <c r="C50" s="1015"/>
      <c r="D50" s="1015"/>
      <c r="E50" s="1015"/>
      <c r="F50" s="1015"/>
      <c r="G50" s="1015"/>
      <c r="H50" s="1015"/>
      <c r="I50" s="1015"/>
      <c r="J50" s="1015"/>
      <c r="K50" s="1015"/>
      <c r="L50" s="1015"/>
      <c r="M50" s="1015"/>
      <c r="N50" s="99"/>
      <c r="O50" s="99"/>
      <c r="P50" s="99"/>
      <c r="Q50" s="99"/>
      <c r="R50" s="99"/>
      <c r="S50" s="99"/>
      <c r="T50" s="99"/>
      <c r="U50" s="99"/>
      <c r="V50" s="99"/>
      <c r="W50" s="99"/>
    </row>
    <row r="51" spans="1:23" ht="18" customHeight="1" x14ac:dyDescent="0.3">
      <c r="A51" s="109"/>
      <c r="B51" s="109"/>
      <c r="C51" s="109"/>
      <c r="D51" s="109"/>
      <c r="E51" s="109"/>
      <c r="F51" s="109"/>
      <c r="G51" s="109"/>
      <c r="H51" s="109"/>
      <c r="I51" s="109"/>
      <c r="J51" s="109"/>
      <c r="K51" s="109"/>
      <c r="L51" s="109"/>
      <c r="M51" s="109"/>
    </row>
    <row r="52" spans="1:23" ht="18" customHeight="1" x14ac:dyDescent="0.3">
      <c r="A52" s="109"/>
      <c r="B52" s="109"/>
      <c r="C52" s="109"/>
      <c r="D52" s="109"/>
      <c r="E52" s="109"/>
      <c r="F52" s="109"/>
      <c r="G52" s="109"/>
      <c r="H52" s="109"/>
      <c r="I52" s="109"/>
      <c r="J52" s="109"/>
      <c r="K52" s="109"/>
      <c r="L52" s="109"/>
      <c r="M52" s="109"/>
    </row>
    <row r="53" spans="1:23" ht="18" customHeight="1" x14ac:dyDescent="0.3">
      <c r="A53" s="109"/>
      <c r="B53" s="109"/>
      <c r="C53" s="109"/>
      <c r="D53" s="109"/>
      <c r="E53" s="109"/>
      <c r="F53" s="109"/>
      <c r="G53" s="109"/>
      <c r="H53" s="109"/>
      <c r="I53" s="109"/>
      <c r="J53" s="109"/>
      <c r="K53" s="109"/>
      <c r="L53" s="109"/>
      <c r="M53" s="109"/>
    </row>
    <row r="54" spans="1:23" ht="18" customHeight="1" x14ac:dyDescent="0.3">
      <c r="A54" s="109"/>
      <c r="B54" s="109"/>
      <c r="C54" s="109"/>
      <c r="D54" s="109"/>
      <c r="E54" s="109"/>
      <c r="F54" s="109"/>
      <c r="G54" s="109"/>
      <c r="H54" s="109"/>
      <c r="I54" s="109"/>
      <c r="J54" s="109"/>
      <c r="K54" s="109"/>
      <c r="L54" s="109"/>
      <c r="M54" s="109"/>
    </row>
    <row r="55" spans="1:23" ht="18" customHeight="1" x14ac:dyDescent="0.3">
      <c r="A55" s="109"/>
      <c r="B55" s="109"/>
      <c r="C55" s="109"/>
      <c r="D55" s="109"/>
      <c r="E55" s="109"/>
      <c r="F55" s="109"/>
      <c r="G55" s="109"/>
      <c r="H55" s="109"/>
      <c r="I55" s="109"/>
      <c r="J55" s="109"/>
      <c r="K55" s="109"/>
      <c r="L55" s="109"/>
      <c r="M55" s="109"/>
    </row>
    <row r="56" spans="1:23" ht="18" customHeight="1" x14ac:dyDescent="0.3">
      <c r="A56" s="109"/>
      <c r="B56" s="109"/>
      <c r="C56" s="109"/>
      <c r="D56" s="109"/>
      <c r="E56" s="109"/>
      <c r="F56" s="109"/>
      <c r="G56" s="109"/>
      <c r="H56" s="109"/>
      <c r="I56" s="109"/>
      <c r="J56" s="109"/>
      <c r="K56" s="109"/>
      <c r="L56" s="109"/>
      <c r="M56" s="109"/>
    </row>
    <row r="57" spans="1:23" ht="18" customHeight="1" x14ac:dyDescent="0.3">
      <c r="A57" s="109"/>
      <c r="B57" s="109"/>
      <c r="C57" s="109"/>
      <c r="D57" s="109"/>
      <c r="E57" s="109"/>
      <c r="F57" s="109"/>
      <c r="G57" s="109"/>
      <c r="H57" s="109"/>
      <c r="I57" s="109"/>
      <c r="J57" s="109"/>
      <c r="K57" s="109"/>
      <c r="L57" s="109"/>
      <c r="M57" s="109"/>
    </row>
    <row r="58" spans="1:23" ht="36" customHeight="1" x14ac:dyDescent="0.3">
      <c r="A58" s="109"/>
      <c r="B58" s="109"/>
      <c r="C58" s="109"/>
      <c r="D58" s="109"/>
      <c r="E58" s="109"/>
      <c r="F58" s="109"/>
      <c r="G58" s="109"/>
      <c r="H58" s="109"/>
      <c r="I58" s="109"/>
      <c r="J58" s="109"/>
      <c r="K58" s="109"/>
      <c r="L58" s="109"/>
      <c r="M58" s="109"/>
    </row>
    <row r="59" spans="1:23" ht="18" customHeight="1" x14ac:dyDescent="0.3">
      <c r="A59" s="109"/>
      <c r="B59" s="109"/>
      <c r="C59" s="109"/>
      <c r="D59" s="109"/>
      <c r="E59" s="109"/>
      <c r="F59" s="109"/>
      <c r="G59" s="109"/>
      <c r="H59" s="109"/>
      <c r="I59" s="109"/>
      <c r="J59" s="109"/>
      <c r="K59" s="109"/>
      <c r="L59" s="109"/>
      <c r="M59" s="109"/>
    </row>
    <row r="60" spans="1:23" ht="18" customHeight="1" x14ac:dyDescent="0.3">
      <c r="A60" s="109"/>
      <c r="B60" s="109"/>
      <c r="C60" s="109"/>
      <c r="D60" s="109"/>
      <c r="E60" s="109"/>
      <c r="F60" s="109"/>
      <c r="G60" s="109"/>
      <c r="H60" s="109"/>
      <c r="I60" s="109"/>
      <c r="J60" s="109"/>
      <c r="K60" s="109"/>
      <c r="L60" s="109"/>
      <c r="M60" s="109"/>
    </row>
    <row r="61" spans="1:23" ht="18" customHeight="1" x14ac:dyDescent="0.3">
      <c r="A61" s="109"/>
      <c r="B61" s="109"/>
      <c r="C61" s="109"/>
      <c r="D61" s="109"/>
      <c r="E61" s="109"/>
      <c r="F61" s="109"/>
      <c r="G61" s="109"/>
      <c r="H61" s="109"/>
      <c r="I61" s="109"/>
      <c r="J61" s="109"/>
      <c r="K61" s="109"/>
      <c r="L61" s="109"/>
      <c r="M61" s="109"/>
    </row>
    <row r="62" spans="1:23" ht="18" customHeight="1" x14ac:dyDescent="0.3">
      <c r="A62" s="109"/>
      <c r="B62" s="109"/>
      <c r="C62" s="109"/>
      <c r="D62" s="109"/>
      <c r="E62" s="109"/>
      <c r="F62" s="109"/>
      <c r="G62" s="109"/>
      <c r="H62" s="109"/>
      <c r="I62" s="109"/>
      <c r="J62" s="109"/>
      <c r="K62" s="109"/>
      <c r="L62" s="109"/>
      <c r="M62" s="109"/>
    </row>
    <row r="63" spans="1:23" ht="18" customHeight="1" x14ac:dyDescent="0.3">
      <c r="A63" s="109"/>
      <c r="B63" s="109"/>
      <c r="C63" s="109"/>
      <c r="D63" s="109"/>
      <c r="E63" s="109"/>
      <c r="F63" s="109"/>
      <c r="G63" s="109"/>
      <c r="H63" s="109"/>
      <c r="I63" s="109"/>
      <c r="J63" s="109"/>
      <c r="K63" s="109"/>
      <c r="L63" s="109"/>
      <c r="M63" s="109"/>
    </row>
    <row r="64" spans="1:23" ht="18" customHeight="1" x14ac:dyDescent="0.3">
      <c r="A64" s="109"/>
      <c r="B64" s="109"/>
      <c r="C64" s="109"/>
      <c r="D64" s="109"/>
      <c r="E64" s="109"/>
      <c r="F64" s="109"/>
      <c r="G64" s="109"/>
      <c r="H64" s="109"/>
      <c r="I64" s="109"/>
      <c r="J64" s="109"/>
      <c r="K64" s="109"/>
      <c r="L64" s="109"/>
      <c r="M64" s="109"/>
    </row>
    <row r="65" spans="1:26" ht="18" customHeight="1" x14ac:dyDescent="0.3">
      <c r="A65" s="109"/>
      <c r="B65" s="109"/>
      <c r="C65" s="109"/>
      <c r="D65" s="109"/>
      <c r="E65" s="109"/>
      <c r="F65" s="109"/>
      <c r="G65" s="109"/>
      <c r="H65" s="109"/>
      <c r="I65" s="109"/>
      <c r="J65" s="109"/>
      <c r="K65" s="109"/>
      <c r="L65" s="109"/>
      <c r="M65" s="109"/>
      <c r="O65" s="81"/>
      <c r="P65" s="81"/>
      <c r="Q65" s="81"/>
      <c r="R65" s="82"/>
      <c r="S65" s="82"/>
      <c r="T65" s="82"/>
      <c r="U65" s="82"/>
      <c r="V65" s="82"/>
      <c r="W65" s="82"/>
      <c r="X65" s="82"/>
      <c r="Y65" s="82"/>
      <c r="Z65" s="82"/>
    </row>
    <row r="66" spans="1:26" ht="15" customHeight="1" x14ac:dyDescent="0.3">
      <c r="B66" s="1014" t="s">
        <v>638</v>
      </c>
      <c r="C66" s="1014"/>
      <c r="E66" s="1014" t="s">
        <v>639</v>
      </c>
      <c r="F66" s="1014"/>
      <c r="G66" s="1014"/>
      <c r="J66" s="1014" t="s">
        <v>640</v>
      </c>
      <c r="K66" s="1014"/>
      <c r="L66" s="1014"/>
      <c r="N66" s="81"/>
      <c r="O66" s="81"/>
      <c r="P66" s="81"/>
      <c r="Q66" s="82"/>
      <c r="R66" s="82"/>
      <c r="S66" s="82"/>
      <c r="T66" s="82"/>
      <c r="U66" s="82"/>
      <c r="V66" s="82"/>
      <c r="W66" s="82"/>
      <c r="X66" s="82"/>
      <c r="Y66" s="82"/>
    </row>
    <row r="67" spans="1:26" ht="15" customHeight="1" x14ac:dyDescent="0.3">
      <c r="A67" t="s">
        <v>526</v>
      </c>
      <c r="B67" t="s">
        <v>641</v>
      </c>
      <c r="C67">
        <v>18.580625999999999</v>
      </c>
      <c r="F67" s="18" t="s">
        <v>642</v>
      </c>
      <c r="G67" s="77">
        <f>1/0.0538</f>
        <v>18.587360594795538</v>
      </c>
      <c r="J67" s="1016" t="s">
        <v>643</v>
      </c>
      <c r="K67" s="1016"/>
      <c r="L67" s="1">
        <f>1/ 0.0538195521</f>
        <v>18.580607994320339</v>
      </c>
      <c r="N67" s="81"/>
      <c r="O67" s="81"/>
      <c r="P67" s="81"/>
      <c r="Q67" s="82"/>
      <c r="R67" s="82"/>
      <c r="S67" s="82"/>
      <c r="T67" s="82"/>
      <c r="U67" s="82"/>
      <c r="V67" s="82"/>
      <c r="W67" s="82"/>
      <c r="X67" s="82"/>
      <c r="Y67" s="82"/>
    </row>
    <row r="68" spans="1:26" ht="15" customHeight="1" x14ac:dyDescent="0.3">
      <c r="B68" t="s">
        <v>644</v>
      </c>
      <c r="C68" t="s">
        <v>645</v>
      </c>
      <c r="E68" t="s">
        <v>646</v>
      </c>
      <c r="F68" t="s">
        <v>647</v>
      </c>
      <c r="G68" t="s">
        <v>648</v>
      </c>
      <c r="J68" t="s">
        <v>649</v>
      </c>
      <c r="K68" t="s">
        <v>650</v>
      </c>
      <c r="L68" t="s">
        <v>651</v>
      </c>
      <c r="N68" s="81"/>
      <c r="O68" s="81"/>
      <c r="P68" s="81"/>
      <c r="Q68" s="82"/>
      <c r="R68" s="82"/>
      <c r="S68" s="82"/>
      <c r="T68" s="82"/>
      <c r="U68" s="82"/>
      <c r="V68" s="82"/>
      <c r="W68" s="82"/>
      <c r="X68" s="82"/>
      <c r="Y68" s="82"/>
    </row>
    <row r="69" spans="1:26" ht="15" customHeight="1" x14ac:dyDescent="0.3">
      <c r="A69">
        <v>1</v>
      </c>
      <c r="B69">
        <v>0</v>
      </c>
      <c r="C69">
        <v>0</v>
      </c>
      <c r="E69">
        <v>0</v>
      </c>
      <c r="F69">
        <v>0</v>
      </c>
      <c r="G69">
        <v>0</v>
      </c>
      <c r="J69">
        <v>0</v>
      </c>
      <c r="K69">
        <v>0</v>
      </c>
      <c r="L69">
        <v>0</v>
      </c>
      <c r="N69" s="81"/>
      <c r="O69" s="81"/>
      <c r="P69" s="81"/>
      <c r="Q69" s="82"/>
      <c r="R69" s="82"/>
      <c r="S69" s="82"/>
      <c r="T69" s="82"/>
      <c r="U69" s="82"/>
      <c r="V69" s="82"/>
      <c r="W69" s="82"/>
      <c r="X69" s="82"/>
      <c r="Y69" s="82"/>
    </row>
    <row r="70" spans="1:26" ht="15" customHeight="1" x14ac:dyDescent="0.3">
      <c r="A70">
        <f t="shared" ref="A70:A92" si="0">A69+1</f>
        <v>2</v>
      </c>
      <c r="B70">
        <v>0</v>
      </c>
      <c r="C70">
        <v>0</v>
      </c>
      <c r="E70">
        <v>0</v>
      </c>
      <c r="F70">
        <v>0</v>
      </c>
      <c r="G70">
        <v>0</v>
      </c>
      <c r="J70">
        <v>0</v>
      </c>
      <c r="K70">
        <v>0</v>
      </c>
      <c r="L70">
        <v>0</v>
      </c>
      <c r="N70" s="81"/>
      <c r="O70" s="81"/>
      <c r="P70" s="81"/>
      <c r="Q70" s="82"/>
      <c r="R70" s="82"/>
      <c r="S70" s="82"/>
      <c r="T70" s="82"/>
      <c r="U70" s="82"/>
      <c r="V70" s="82"/>
      <c r="W70" s="82"/>
      <c r="X70" s="82"/>
      <c r="Y70" s="82"/>
    </row>
    <row r="71" spans="1:26" ht="15" customHeight="1" x14ac:dyDescent="0.3">
      <c r="A71">
        <f t="shared" si="0"/>
        <v>3</v>
      </c>
      <c r="B71">
        <v>0</v>
      </c>
      <c r="C71">
        <v>0</v>
      </c>
      <c r="E71">
        <v>0</v>
      </c>
      <c r="F71">
        <v>0</v>
      </c>
      <c r="G71">
        <v>0</v>
      </c>
      <c r="J71">
        <v>0</v>
      </c>
      <c r="K71">
        <v>0</v>
      </c>
      <c r="L71">
        <v>0</v>
      </c>
      <c r="N71" s="81"/>
      <c r="O71" s="81"/>
      <c r="P71" s="81"/>
      <c r="Q71" s="82"/>
      <c r="R71" s="82"/>
      <c r="S71" s="82"/>
      <c r="T71" s="82"/>
      <c r="U71" s="82"/>
      <c r="V71" s="82"/>
      <c r="W71" s="82"/>
      <c r="X71" s="82"/>
      <c r="Y71" s="82"/>
    </row>
    <row r="72" spans="1:26" ht="15" customHeight="1" x14ac:dyDescent="0.3">
      <c r="A72">
        <f t="shared" si="0"/>
        <v>4</v>
      </c>
      <c r="B72">
        <v>0</v>
      </c>
      <c r="C72">
        <v>0</v>
      </c>
      <c r="E72">
        <v>0</v>
      </c>
      <c r="F72">
        <v>0</v>
      </c>
      <c r="G72">
        <v>0</v>
      </c>
      <c r="J72">
        <v>0</v>
      </c>
      <c r="K72">
        <v>0</v>
      </c>
      <c r="L72">
        <v>0</v>
      </c>
    </row>
    <row r="73" spans="1:26" ht="15" customHeight="1" x14ac:dyDescent="0.3">
      <c r="A73">
        <f t="shared" si="0"/>
        <v>5</v>
      </c>
      <c r="B73">
        <v>0</v>
      </c>
      <c r="C73">
        <v>0</v>
      </c>
      <c r="E73">
        <v>0</v>
      </c>
      <c r="F73">
        <v>0</v>
      </c>
      <c r="G73">
        <v>0</v>
      </c>
      <c r="J73">
        <v>0</v>
      </c>
      <c r="K73">
        <v>0</v>
      </c>
      <c r="L73">
        <v>0</v>
      </c>
    </row>
    <row r="74" spans="1:26" ht="23.7" customHeight="1" x14ac:dyDescent="0.3">
      <c r="A74">
        <f t="shared" si="0"/>
        <v>6</v>
      </c>
      <c r="B74">
        <v>0</v>
      </c>
      <c r="C74">
        <v>0</v>
      </c>
      <c r="E74">
        <v>0</v>
      </c>
      <c r="F74">
        <v>0</v>
      </c>
      <c r="G74">
        <v>0</v>
      </c>
      <c r="J74">
        <v>0</v>
      </c>
      <c r="K74">
        <v>0</v>
      </c>
      <c r="L74">
        <v>0</v>
      </c>
    </row>
    <row r="75" spans="1:26" ht="15" customHeight="1" x14ac:dyDescent="0.3">
      <c r="A75">
        <f t="shared" si="0"/>
        <v>7</v>
      </c>
      <c r="B75">
        <v>0.11</v>
      </c>
      <c r="C75">
        <v>0.11</v>
      </c>
      <c r="E75">
        <v>0.1</v>
      </c>
      <c r="F75">
        <v>0.1</v>
      </c>
      <c r="G75">
        <v>0.05</v>
      </c>
      <c r="J75">
        <v>0.1</v>
      </c>
      <c r="K75">
        <v>0.1</v>
      </c>
      <c r="L75">
        <v>0.05</v>
      </c>
    </row>
    <row r="76" spans="1:26" ht="15" customHeight="1" x14ac:dyDescent="0.3">
      <c r="A76">
        <f t="shared" si="0"/>
        <v>8</v>
      </c>
      <c r="B76">
        <v>0.21</v>
      </c>
      <c r="C76">
        <v>0.21</v>
      </c>
      <c r="E76">
        <v>0.2</v>
      </c>
      <c r="F76">
        <v>0.1</v>
      </c>
      <c r="G76">
        <v>0.05</v>
      </c>
      <c r="J76">
        <v>0.2</v>
      </c>
      <c r="K76">
        <v>0.1</v>
      </c>
      <c r="L76">
        <v>0.05</v>
      </c>
    </row>
    <row r="77" spans="1:26" ht="15" customHeight="1" x14ac:dyDescent="0.3">
      <c r="A77">
        <f t="shared" si="0"/>
        <v>9</v>
      </c>
      <c r="B77">
        <v>1</v>
      </c>
      <c r="C77">
        <v>1</v>
      </c>
      <c r="E77">
        <v>0.95</v>
      </c>
      <c r="F77">
        <v>0.3</v>
      </c>
      <c r="G77">
        <v>0.05</v>
      </c>
      <c r="J77">
        <v>0.95</v>
      </c>
      <c r="K77">
        <v>0.3</v>
      </c>
      <c r="L77">
        <v>0.05</v>
      </c>
    </row>
    <row r="78" spans="1:26" ht="15" customHeight="1" x14ac:dyDescent="0.3">
      <c r="A78">
        <f t="shared" si="0"/>
        <v>10</v>
      </c>
      <c r="B78">
        <v>1</v>
      </c>
      <c r="C78">
        <v>1</v>
      </c>
      <c r="E78">
        <v>0.95</v>
      </c>
      <c r="F78">
        <v>0.3</v>
      </c>
      <c r="G78">
        <v>0.05</v>
      </c>
      <c r="J78">
        <v>0.95</v>
      </c>
      <c r="K78">
        <v>0.3</v>
      </c>
      <c r="L78">
        <v>0.05</v>
      </c>
    </row>
    <row r="79" spans="1:26" ht="15" customHeight="1" x14ac:dyDescent="0.3">
      <c r="A79">
        <f t="shared" si="0"/>
        <v>11</v>
      </c>
      <c r="B79">
        <v>1</v>
      </c>
      <c r="C79">
        <v>0</v>
      </c>
      <c r="E79">
        <v>0.95</v>
      </c>
      <c r="F79">
        <v>0.3</v>
      </c>
      <c r="G79">
        <v>0.05</v>
      </c>
      <c r="J79">
        <v>0.95</v>
      </c>
      <c r="K79">
        <v>0.3</v>
      </c>
      <c r="L79">
        <v>0.05</v>
      </c>
    </row>
    <row r="80" spans="1:26" ht="15" customHeight="1" x14ac:dyDescent="0.3">
      <c r="A80">
        <f t="shared" si="0"/>
        <v>12</v>
      </c>
      <c r="B80">
        <v>1</v>
      </c>
      <c r="C80">
        <v>1</v>
      </c>
      <c r="E80">
        <v>0.95</v>
      </c>
      <c r="F80">
        <v>0.3</v>
      </c>
      <c r="G80">
        <v>0.05</v>
      </c>
      <c r="J80">
        <v>0.95</v>
      </c>
      <c r="K80">
        <v>0.3</v>
      </c>
      <c r="L80">
        <v>0.05</v>
      </c>
    </row>
    <row r="81" spans="1:13" ht="15" customHeight="1" x14ac:dyDescent="0.3">
      <c r="A81">
        <f t="shared" si="0"/>
        <v>13</v>
      </c>
      <c r="B81">
        <v>1</v>
      </c>
      <c r="C81">
        <v>0</v>
      </c>
      <c r="E81">
        <v>0.5</v>
      </c>
      <c r="F81">
        <v>0.1</v>
      </c>
      <c r="G81">
        <v>0.05</v>
      </c>
      <c r="J81">
        <v>0.5</v>
      </c>
      <c r="K81">
        <v>0.1</v>
      </c>
      <c r="L81">
        <v>0.05</v>
      </c>
    </row>
    <row r="82" spans="1:13" ht="15" customHeight="1" x14ac:dyDescent="0.3">
      <c r="A82">
        <f t="shared" si="0"/>
        <v>14</v>
      </c>
      <c r="B82">
        <v>0.61</v>
      </c>
      <c r="C82">
        <v>1</v>
      </c>
      <c r="E82">
        <v>0.95</v>
      </c>
      <c r="F82">
        <v>0.1</v>
      </c>
      <c r="G82">
        <v>0.05</v>
      </c>
      <c r="J82">
        <v>0.95</v>
      </c>
      <c r="K82">
        <v>0.1</v>
      </c>
      <c r="L82">
        <v>0.05</v>
      </c>
    </row>
    <row r="83" spans="1:13" ht="15" customHeight="1" x14ac:dyDescent="0.3">
      <c r="A83">
        <f t="shared" si="0"/>
        <v>15</v>
      </c>
      <c r="B83">
        <v>1</v>
      </c>
      <c r="C83">
        <v>0</v>
      </c>
      <c r="E83">
        <v>0.95</v>
      </c>
      <c r="F83">
        <v>0.1</v>
      </c>
      <c r="G83">
        <v>0.05</v>
      </c>
      <c r="J83">
        <v>0.95</v>
      </c>
      <c r="K83">
        <v>0.1</v>
      </c>
      <c r="L83">
        <v>0.05</v>
      </c>
    </row>
    <row r="84" spans="1:13" ht="15" customHeight="1" x14ac:dyDescent="0.3">
      <c r="A84">
        <f t="shared" si="0"/>
        <v>16</v>
      </c>
      <c r="B84">
        <v>1</v>
      </c>
      <c r="C84">
        <v>1</v>
      </c>
      <c r="E84">
        <v>0.95</v>
      </c>
      <c r="F84">
        <v>0.1</v>
      </c>
      <c r="G84">
        <v>0.05</v>
      </c>
      <c r="J84">
        <v>0.95</v>
      </c>
      <c r="K84">
        <v>0.1</v>
      </c>
      <c r="L84">
        <v>0.05</v>
      </c>
    </row>
    <row r="85" spans="1:13" ht="15" customHeight="1" x14ac:dyDescent="0.3">
      <c r="A85">
        <f t="shared" si="0"/>
        <v>17</v>
      </c>
      <c r="B85">
        <v>1</v>
      </c>
      <c r="C85">
        <v>1</v>
      </c>
      <c r="E85">
        <v>0.95</v>
      </c>
      <c r="F85">
        <v>0.1</v>
      </c>
      <c r="G85">
        <v>0.05</v>
      </c>
      <c r="J85">
        <v>0.95</v>
      </c>
      <c r="K85">
        <v>0.1</v>
      </c>
      <c r="L85">
        <v>0.05</v>
      </c>
    </row>
    <row r="86" spans="1:13" ht="15" customHeight="1" x14ac:dyDescent="0.3">
      <c r="A86">
        <f t="shared" si="0"/>
        <v>18</v>
      </c>
      <c r="B86">
        <v>1</v>
      </c>
      <c r="C86">
        <v>0.32</v>
      </c>
      <c r="E86">
        <v>0.3</v>
      </c>
      <c r="F86">
        <v>0.05</v>
      </c>
      <c r="G86">
        <v>0.05</v>
      </c>
      <c r="J86">
        <v>0.3</v>
      </c>
      <c r="K86">
        <v>0.05</v>
      </c>
      <c r="L86">
        <v>0.05</v>
      </c>
    </row>
    <row r="87" spans="1:13" ht="15" customHeight="1" x14ac:dyDescent="0.3">
      <c r="A87">
        <f t="shared" si="0"/>
        <v>19</v>
      </c>
      <c r="B87">
        <v>0.32</v>
      </c>
      <c r="C87">
        <v>0.11</v>
      </c>
      <c r="E87">
        <v>0.1</v>
      </c>
      <c r="F87">
        <v>0.05</v>
      </c>
      <c r="G87">
        <v>0</v>
      </c>
      <c r="J87">
        <v>0.1</v>
      </c>
      <c r="K87">
        <v>0.05</v>
      </c>
      <c r="L87">
        <v>0</v>
      </c>
    </row>
    <row r="88" spans="1:13" ht="15" customHeight="1" x14ac:dyDescent="0.3">
      <c r="A88">
        <f t="shared" si="0"/>
        <v>20</v>
      </c>
      <c r="B88">
        <v>0.11</v>
      </c>
      <c r="C88">
        <v>0.11</v>
      </c>
      <c r="E88">
        <v>0.1</v>
      </c>
      <c r="F88">
        <v>0</v>
      </c>
      <c r="G88">
        <v>0</v>
      </c>
      <c r="J88">
        <v>0.1</v>
      </c>
      <c r="K88">
        <v>0</v>
      </c>
      <c r="L88">
        <v>0</v>
      </c>
    </row>
    <row r="89" spans="1:13" ht="15" customHeight="1" x14ac:dyDescent="0.3">
      <c r="A89">
        <f t="shared" si="0"/>
        <v>21</v>
      </c>
      <c r="B89">
        <v>0.11</v>
      </c>
      <c r="C89">
        <v>0.11</v>
      </c>
      <c r="E89">
        <v>0.1</v>
      </c>
      <c r="F89">
        <v>0</v>
      </c>
      <c r="G89">
        <v>0</v>
      </c>
      <c r="J89">
        <v>0.1</v>
      </c>
      <c r="K89">
        <v>0</v>
      </c>
      <c r="L89">
        <v>0</v>
      </c>
    </row>
    <row r="90" spans="1:13" ht="15" customHeight="1" x14ac:dyDescent="0.3">
      <c r="A90">
        <f t="shared" si="0"/>
        <v>22</v>
      </c>
      <c r="B90">
        <v>0.11</v>
      </c>
      <c r="C90">
        <v>0.11</v>
      </c>
      <c r="E90">
        <v>0.1</v>
      </c>
      <c r="F90">
        <v>0</v>
      </c>
      <c r="G90">
        <v>0</v>
      </c>
      <c r="J90">
        <v>0.1</v>
      </c>
      <c r="K90">
        <v>0</v>
      </c>
      <c r="L90">
        <v>0</v>
      </c>
    </row>
    <row r="91" spans="1:13" ht="15" customHeight="1" x14ac:dyDescent="0.3">
      <c r="A91">
        <f t="shared" si="0"/>
        <v>23</v>
      </c>
      <c r="B91">
        <v>0.05</v>
      </c>
      <c r="C91">
        <v>0.05</v>
      </c>
      <c r="E91">
        <v>0.05</v>
      </c>
      <c r="F91">
        <v>0</v>
      </c>
      <c r="G91">
        <v>0</v>
      </c>
      <c r="J91">
        <v>0.05</v>
      </c>
      <c r="K91">
        <v>0</v>
      </c>
      <c r="L91">
        <v>0</v>
      </c>
    </row>
    <row r="92" spans="1:13" ht="15" customHeight="1" x14ac:dyDescent="0.3">
      <c r="A92">
        <f t="shared" si="0"/>
        <v>24</v>
      </c>
      <c r="B92">
        <v>0</v>
      </c>
      <c r="C92">
        <v>0</v>
      </c>
      <c r="E92">
        <v>0.05</v>
      </c>
      <c r="F92">
        <v>0</v>
      </c>
      <c r="G92">
        <v>0</v>
      </c>
      <c r="J92">
        <v>0</v>
      </c>
      <c r="K92">
        <v>0</v>
      </c>
      <c r="L92">
        <v>0</v>
      </c>
    </row>
    <row r="93" spans="1:13" ht="15" customHeight="1" x14ac:dyDescent="0.3">
      <c r="B93">
        <f>SUM(B69:B92)</f>
        <v>10.629999999999999</v>
      </c>
      <c r="C93">
        <f>SUM(C69:C92)</f>
        <v>7.1300000000000017</v>
      </c>
      <c r="E93">
        <f>SUM(E69:E92)</f>
        <v>9.2000000000000011</v>
      </c>
      <c r="F93">
        <f>SUM(F69:F92)</f>
        <v>2.0000000000000004</v>
      </c>
      <c r="G93">
        <f>SUM(G69:G92)</f>
        <v>0.6</v>
      </c>
      <c r="J93">
        <f>SUM(J69:J92)</f>
        <v>9.15</v>
      </c>
      <c r="K93">
        <f>SUM(K69:K92)</f>
        <v>2.0000000000000004</v>
      </c>
      <c r="L93">
        <f>SUM(L69:L92)</f>
        <v>0.6</v>
      </c>
    </row>
    <row r="94" spans="1:13" ht="15" customHeight="1" x14ac:dyDescent="0.3">
      <c r="B94" t="s">
        <v>652</v>
      </c>
      <c r="C94">
        <v>17</v>
      </c>
      <c r="E94" t="s">
        <v>653</v>
      </c>
      <c r="F94">
        <f>13</f>
        <v>13</v>
      </c>
      <c r="G94" t="s">
        <v>653</v>
      </c>
      <c r="J94" s="109"/>
      <c r="K94" s="109"/>
      <c r="L94" s="109"/>
      <c r="M94" s="109"/>
    </row>
    <row r="95" spans="1:13" ht="15" customHeight="1" x14ac:dyDescent="0.3">
      <c r="J95" s="109"/>
      <c r="K95" s="109"/>
      <c r="L95" s="109"/>
      <c r="M95" s="109"/>
    </row>
    <row r="96" spans="1:13" ht="15" customHeight="1" x14ac:dyDescent="0.3">
      <c r="J96" s="109"/>
      <c r="K96" s="109"/>
      <c r="L96" s="109"/>
      <c r="M96" s="109"/>
    </row>
    <row r="97" spans="1:52" ht="15" customHeight="1" x14ac:dyDescent="0.3">
      <c r="J97" s="109"/>
      <c r="K97" s="109"/>
      <c r="L97" s="109"/>
      <c r="M97" s="109"/>
    </row>
    <row r="99" spans="1:52" s="66" customFormat="1" ht="23.4" x14ac:dyDescent="0.45">
      <c r="A99" s="65" t="s">
        <v>654</v>
      </c>
    </row>
    <row r="100" spans="1:52" s="71" customFormat="1" ht="23.4" x14ac:dyDescent="0.45">
      <c r="A100" s="70"/>
    </row>
    <row r="101" spans="1:52" x14ac:dyDescent="0.3">
      <c r="B101" s="59" t="s">
        <v>655</v>
      </c>
      <c r="C101" s="59"/>
    </row>
    <row r="102" spans="1:52" x14ac:dyDescent="0.3">
      <c r="B102" t="s">
        <v>656</v>
      </c>
      <c r="E102" t="s">
        <v>656</v>
      </c>
      <c r="K102" t="s">
        <v>656</v>
      </c>
      <c r="Q102" t="s">
        <v>656</v>
      </c>
      <c r="W102" t="s">
        <v>656</v>
      </c>
      <c r="AC102" t="s">
        <v>656</v>
      </c>
      <c r="AH102" t="s">
        <v>656</v>
      </c>
      <c r="AN102" t="s">
        <v>656</v>
      </c>
      <c r="AT102" t="s">
        <v>656</v>
      </c>
      <c r="AZ102" t="s">
        <v>656</v>
      </c>
    </row>
    <row r="103" spans="1:52" x14ac:dyDescent="0.3">
      <c r="B103" s="78" t="s">
        <v>657</v>
      </c>
      <c r="E103" s="78" t="s">
        <v>658</v>
      </c>
      <c r="K103" t="s">
        <v>659</v>
      </c>
      <c r="Q103" t="s">
        <v>660</v>
      </c>
      <c r="W103" t="s">
        <v>661</v>
      </c>
      <c r="AC103" t="s">
        <v>662</v>
      </c>
      <c r="AH103" t="s">
        <v>663</v>
      </c>
      <c r="AN103" t="s">
        <v>664</v>
      </c>
      <c r="AT103" t="s">
        <v>665</v>
      </c>
      <c r="AZ103" t="s">
        <v>666</v>
      </c>
    </row>
    <row r="104" spans="1:52" x14ac:dyDescent="0.3">
      <c r="B104" t="s">
        <v>667</v>
      </c>
      <c r="E104" t="s">
        <v>667</v>
      </c>
      <c r="K104" t="s">
        <v>667</v>
      </c>
      <c r="Q104" t="s">
        <v>667</v>
      </c>
      <c r="W104" t="s">
        <v>667</v>
      </c>
      <c r="AC104" t="s">
        <v>667</v>
      </c>
      <c r="AH104" t="s">
        <v>667</v>
      </c>
      <c r="AN104" t="s">
        <v>667</v>
      </c>
      <c r="AT104" t="s">
        <v>667</v>
      </c>
      <c r="AZ104" t="s">
        <v>667</v>
      </c>
    </row>
    <row r="105" spans="1:52" x14ac:dyDescent="0.3">
      <c r="B105" t="s">
        <v>668</v>
      </c>
      <c r="E105" t="s">
        <v>668</v>
      </c>
      <c r="K105" t="s">
        <v>668</v>
      </c>
      <c r="Q105" t="s">
        <v>668</v>
      </c>
      <c r="W105" t="s">
        <v>668</v>
      </c>
      <c r="AC105" t="s">
        <v>668</v>
      </c>
      <c r="AH105" t="s">
        <v>668</v>
      </c>
      <c r="AN105" t="s">
        <v>668</v>
      </c>
      <c r="AT105" t="s">
        <v>668</v>
      </c>
      <c r="AZ105" t="s">
        <v>668</v>
      </c>
    </row>
    <row r="106" spans="1:52" x14ac:dyDescent="0.3">
      <c r="B106" t="s">
        <v>669</v>
      </c>
      <c r="E106" t="s">
        <v>669</v>
      </c>
      <c r="K106" t="s">
        <v>669</v>
      </c>
      <c r="Q106" t="s">
        <v>669</v>
      </c>
      <c r="W106" t="s">
        <v>669</v>
      </c>
      <c r="AC106" t="s">
        <v>669</v>
      </c>
      <c r="AH106" t="s">
        <v>669</v>
      </c>
      <c r="AN106" t="s">
        <v>669</v>
      </c>
      <c r="AT106" t="s">
        <v>669</v>
      </c>
      <c r="AZ106" t="s">
        <v>669</v>
      </c>
    </row>
    <row r="107" spans="1:52" x14ac:dyDescent="0.3">
      <c r="B107" t="s">
        <v>670</v>
      </c>
      <c r="E107" t="s">
        <v>670</v>
      </c>
      <c r="K107" t="s">
        <v>670</v>
      </c>
      <c r="N107">
        <v>0</v>
      </c>
      <c r="O107">
        <v>0</v>
      </c>
      <c r="Q107" t="s">
        <v>670</v>
      </c>
      <c r="W107" t="s">
        <v>670</v>
      </c>
      <c r="AC107" t="s">
        <v>670</v>
      </c>
      <c r="AH107" t="s">
        <v>670</v>
      </c>
      <c r="AN107" t="s">
        <v>670</v>
      </c>
      <c r="AT107" t="s">
        <v>670</v>
      </c>
      <c r="AZ107" t="s">
        <v>670</v>
      </c>
    </row>
    <row r="108" spans="1:52" x14ac:dyDescent="0.3">
      <c r="B108" t="s">
        <v>671</v>
      </c>
      <c r="E108" t="s">
        <v>671</v>
      </c>
      <c r="K108" t="s">
        <v>671</v>
      </c>
      <c r="N108">
        <v>0</v>
      </c>
      <c r="O108">
        <v>0</v>
      </c>
      <c r="Q108" t="s">
        <v>671</v>
      </c>
      <c r="W108" t="s">
        <v>671</v>
      </c>
      <c r="AC108" t="s">
        <v>671</v>
      </c>
      <c r="AH108" t="s">
        <v>671</v>
      </c>
      <c r="AN108" t="s">
        <v>671</v>
      </c>
      <c r="AT108" t="s">
        <v>671</v>
      </c>
      <c r="AZ108" t="s">
        <v>671</v>
      </c>
    </row>
    <row r="109" spans="1:52" x14ac:dyDescent="0.3">
      <c r="B109" t="s">
        <v>672</v>
      </c>
      <c r="E109" t="s">
        <v>672</v>
      </c>
      <c r="K109" t="s">
        <v>672</v>
      </c>
      <c r="N109">
        <v>0</v>
      </c>
      <c r="O109">
        <v>0</v>
      </c>
      <c r="Q109" t="s">
        <v>672</v>
      </c>
      <c r="W109" t="s">
        <v>672</v>
      </c>
      <c r="AC109" t="s">
        <v>672</v>
      </c>
      <c r="AH109" t="s">
        <v>672</v>
      </c>
      <c r="AN109" t="s">
        <v>672</v>
      </c>
      <c r="AT109" t="s">
        <v>672</v>
      </c>
      <c r="AZ109" t="s">
        <v>672</v>
      </c>
    </row>
    <row r="110" spans="1:52" x14ac:dyDescent="0.3">
      <c r="B110" t="s">
        <v>673</v>
      </c>
      <c r="E110" t="s">
        <v>673</v>
      </c>
      <c r="K110" t="s">
        <v>673</v>
      </c>
      <c r="N110">
        <v>0</v>
      </c>
      <c r="O110">
        <v>0</v>
      </c>
      <c r="Q110" t="s">
        <v>673</v>
      </c>
      <c r="W110" t="s">
        <v>673</v>
      </c>
      <c r="AC110" t="s">
        <v>673</v>
      </c>
      <c r="AH110" t="s">
        <v>673</v>
      </c>
      <c r="AN110" t="s">
        <v>673</v>
      </c>
      <c r="AT110" t="s">
        <v>673</v>
      </c>
      <c r="AZ110" t="s">
        <v>673</v>
      </c>
    </row>
    <row r="111" spans="1:52" x14ac:dyDescent="0.3">
      <c r="B111" t="s">
        <v>674</v>
      </c>
      <c r="E111" t="s">
        <v>674</v>
      </c>
      <c r="K111" t="s">
        <v>674</v>
      </c>
      <c r="N111">
        <v>0</v>
      </c>
      <c r="O111">
        <v>0</v>
      </c>
      <c r="Q111" t="s">
        <v>674</v>
      </c>
      <c r="W111" t="s">
        <v>674</v>
      </c>
      <c r="AC111" t="s">
        <v>674</v>
      </c>
      <c r="AH111" t="s">
        <v>674</v>
      </c>
      <c r="AN111" t="s">
        <v>674</v>
      </c>
      <c r="AT111" t="s">
        <v>674</v>
      </c>
      <c r="AZ111" t="s">
        <v>674</v>
      </c>
    </row>
    <row r="112" spans="1:52" x14ac:dyDescent="0.3">
      <c r="B112" t="s">
        <v>675</v>
      </c>
      <c r="E112" t="s">
        <v>675</v>
      </c>
      <c r="K112" t="s">
        <v>675</v>
      </c>
      <c r="N112">
        <v>0</v>
      </c>
      <c r="O112">
        <v>0</v>
      </c>
      <c r="Q112" t="s">
        <v>675</v>
      </c>
      <c r="W112" t="s">
        <v>675</v>
      </c>
      <c r="AC112" t="s">
        <v>675</v>
      </c>
      <c r="AH112" t="s">
        <v>675</v>
      </c>
      <c r="AN112" t="s">
        <v>675</v>
      </c>
      <c r="AT112" t="s">
        <v>675</v>
      </c>
      <c r="AZ112" t="s">
        <v>675</v>
      </c>
    </row>
    <row r="113" spans="2:52" x14ac:dyDescent="0.3">
      <c r="B113" t="s">
        <v>676</v>
      </c>
      <c r="E113" t="s">
        <v>676</v>
      </c>
      <c r="K113" t="s">
        <v>676</v>
      </c>
      <c r="N113">
        <v>0.1</v>
      </c>
      <c r="O113">
        <v>0.1</v>
      </c>
      <c r="Q113" t="s">
        <v>676</v>
      </c>
      <c r="W113" t="s">
        <v>676</v>
      </c>
      <c r="AC113" t="s">
        <v>676</v>
      </c>
      <c r="AH113" t="s">
        <v>676</v>
      </c>
      <c r="AN113" t="s">
        <v>676</v>
      </c>
      <c r="AT113" t="s">
        <v>676</v>
      </c>
      <c r="AZ113" t="s">
        <v>676</v>
      </c>
    </row>
    <row r="114" spans="2:52" x14ac:dyDescent="0.3">
      <c r="B114" t="s">
        <v>677</v>
      </c>
      <c r="E114" t="s">
        <v>677</v>
      </c>
      <c r="K114" t="s">
        <v>677</v>
      </c>
      <c r="N114">
        <v>0.2</v>
      </c>
      <c r="O114">
        <v>0.1</v>
      </c>
      <c r="Q114" t="s">
        <v>677</v>
      </c>
      <c r="W114" t="s">
        <v>677</v>
      </c>
      <c r="AC114" t="s">
        <v>677</v>
      </c>
      <c r="AH114" t="s">
        <v>677</v>
      </c>
      <c r="AN114" t="s">
        <v>677</v>
      </c>
      <c r="AT114" t="s">
        <v>677</v>
      </c>
      <c r="AZ114" t="s">
        <v>677</v>
      </c>
    </row>
    <row r="115" spans="2:52" x14ac:dyDescent="0.3">
      <c r="B115" t="s">
        <v>678</v>
      </c>
      <c r="E115" t="s">
        <v>678</v>
      </c>
      <c r="K115" t="s">
        <v>678</v>
      </c>
      <c r="N115">
        <v>0.95</v>
      </c>
      <c r="O115">
        <v>0.3</v>
      </c>
      <c r="Q115" t="s">
        <v>678</v>
      </c>
      <c r="W115" t="s">
        <v>678</v>
      </c>
      <c r="AC115" t="s">
        <v>678</v>
      </c>
      <c r="AH115" t="s">
        <v>678</v>
      </c>
      <c r="AN115" t="s">
        <v>678</v>
      </c>
      <c r="AT115" t="s">
        <v>678</v>
      </c>
      <c r="AZ115" t="s">
        <v>678</v>
      </c>
    </row>
    <row r="116" spans="2:52" x14ac:dyDescent="0.3">
      <c r="B116" t="s">
        <v>679</v>
      </c>
      <c r="E116" t="s">
        <v>679</v>
      </c>
      <c r="K116" t="s">
        <v>679</v>
      </c>
      <c r="N116">
        <v>0.95</v>
      </c>
      <c r="O116">
        <v>0.3</v>
      </c>
      <c r="Q116" t="s">
        <v>679</v>
      </c>
      <c r="W116" t="s">
        <v>679</v>
      </c>
      <c r="AC116" t="s">
        <v>679</v>
      </c>
      <c r="AH116" t="s">
        <v>679</v>
      </c>
      <c r="AN116" t="s">
        <v>679</v>
      </c>
      <c r="AT116" t="s">
        <v>679</v>
      </c>
      <c r="AZ116" t="s">
        <v>679</v>
      </c>
    </row>
    <row r="117" spans="2:52" x14ac:dyDescent="0.3">
      <c r="B117" t="s">
        <v>680</v>
      </c>
      <c r="E117" t="s">
        <v>680</v>
      </c>
      <c r="K117" t="s">
        <v>680</v>
      </c>
      <c r="N117">
        <v>0.95</v>
      </c>
      <c r="O117">
        <v>0.3</v>
      </c>
      <c r="Q117" t="s">
        <v>680</v>
      </c>
      <c r="W117" t="s">
        <v>680</v>
      </c>
      <c r="AC117" t="s">
        <v>680</v>
      </c>
      <c r="AH117" t="s">
        <v>680</v>
      </c>
      <c r="AN117" t="s">
        <v>680</v>
      </c>
      <c r="AT117" t="s">
        <v>680</v>
      </c>
      <c r="AZ117" t="s">
        <v>680</v>
      </c>
    </row>
    <row r="118" spans="2:52" x14ac:dyDescent="0.3">
      <c r="B118" t="s">
        <v>681</v>
      </c>
      <c r="E118" t="s">
        <v>681</v>
      </c>
      <c r="K118" t="s">
        <v>681</v>
      </c>
      <c r="N118">
        <v>0.95</v>
      </c>
      <c r="O118">
        <v>0.3</v>
      </c>
      <c r="Q118" t="s">
        <v>681</v>
      </c>
      <c r="W118" t="s">
        <v>681</v>
      </c>
      <c r="AC118" t="s">
        <v>681</v>
      </c>
      <c r="AH118" t="s">
        <v>681</v>
      </c>
      <c r="AN118" t="s">
        <v>681</v>
      </c>
      <c r="AT118" t="s">
        <v>681</v>
      </c>
      <c r="AZ118" t="s">
        <v>681</v>
      </c>
    </row>
    <row r="119" spans="2:52" x14ac:dyDescent="0.3">
      <c r="B119" t="s">
        <v>682</v>
      </c>
      <c r="E119" t="s">
        <v>682</v>
      </c>
      <c r="K119" t="s">
        <v>682</v>
      </c>
      <c r="N119">
        <v>0.5</v>
      </c>
      <c r="O119">
        <v>0.1</v>
      </c>
      <c r="Q119" t="s">
        <v>682</v>
      </c>
      <c r="W119" t="s">
        <v>682</v>
      </c>
      <c r="AC119" t="s">
        <v>682</v>
      </c>
      <c r="AH119" t="s">
        <v>682</v>
      </c>
      <c r="AN119" t="s">
        <v>682</v>
      </c>
      <c r="AT119" t="s">
        <v>682</v>
      </c>
      <c r="AZ119" t="s">
        <v>682</v>
      </c>
    </row>
    <row r="120" spans="2:52" x14ac:dyDescent="0.3">
      <c r="B120" t="s">
        <v>683</v>
      </c>
      <c r="E120" t="s">
        <v>683</v>
      </c>
      <c r="K120" t="s">
        <v>683</v>
      </c>
      <c r="N120">
        <v>0.95</v>
      </c>
      <c r="O120">
        <v>0.1</v>
      </c>
      <c r="Q120" t="s">
        <v>683</v>
      </c>
      <c r="W120" t="s">
        <v>683</v>
      </c>
      <c r="AC120" t="s">
        <v>683</v>
      </c>
      <c r="AH120" t="s">
        <v>683</v>
      </c>
      <c r="AN120" t="s">
        <v>683</v>
      </c>
      <c r="AT120" t="s">
        <v>683</v>
      </c>
      <c r="AZ120" t="s">
        <v>683</v>
      </c>
    </row>
    <row r="121" spans="2:52" x14ac:dyDescent="0.3">
      <c r="B121" t="s">
        <v>684</v>
      </c>
      <c r="E121" t="s">
        <v>684</v>
      </c>
      <c r="K121" t="s">
        <v>684</v>
      </c>
      <c r="N121">
        <v>0.95</v>
      </c>
      <c r="O121">
        <v>0.1</v>
      </c>
      <c r="Q121" t="s">
        <v>684</v>
      </c>
      <c r="W121" t="s">
        <v>684</v>
      </c>
      <c r="AC121" t="s">
        <v>684</v>
      </c>
      <c r="AH121" t="s">
        <v>684</v>
      </c>
      <c r="AN121" t="s">
        <v>684</v>
      </c>
      <c r="AT121" t="s">
        <v>684</v>
      </c>
      <c r="AZ121" t="s">
        <v>684</v>
      </c>
    </row>
    <row r="122" spans="2:52" x14ac:dyDescent="0.3">
      <c r="B122" t="s">
        <v>685</v>
      </c>
      <c r="E122" t="s">
        <v>685</v>
      </c>
      <c r="K122" t="s">
        <v>685</v>
      </c>
      <c r="N122">
        <v>0.95</v>
      </c>
      <c r="O122">
        <v>0.1</v>
      </c>
      <c r="Q122" t="s">
        <v>685</v>
      </c>
      <c r="W122" t="s">
        <v>685</v>
      </c>
      <c r="AC122" t="s">
        <v>685</v>
      </c>
      <c r="AH122" t="s">
        <v>685</v>
      </c>
      <c r="AN122" t="s">
        <v>685</v>
      </c>
      <c r="AT122" t="s">
        <v>685</v>
      </c>
      <c r="AZ122" t="s">
        <v>685</v>
      </c>
    </row>
    <row r="123" spans="2:52" x14ac:dyDescent="0.3">
      <c r="B123" t="s">
        <v>686</v>
      </c>
      <c r="E123" t="s">
        <v>686</v>
      </c>
      <c r="K123" t="s">
        <v>686</v>
      </c>
      <c r="N123">
        <v>0.95</v>
      </c>
      <c r="O123">
        <v>0.1</v>
      </c>
      <c r="Q123" t="s">
        <v>686</v>
      </c>
      <c r="W123" t="s">
        <v>686</v>
      </c>
      <c r="AC123" t="s">
        <v>686</v>
      </c>
      <c r="AH123" t="s">
        <v>686</v>
      </c>
      <c r="AN123" t="s">
        <v>686</v>
      </c>
      <c r="AT123" t="s">
        <v>686</v>
      </c>
      <c r="AZ123" t="s">
        <v>686</v>
      </c>
    </row>
    <row r="124" spans="2:52" x14ac:dyDescent="0.3">
      <c r="B124" t="s">
        <v>687</v>
      </c>
      <c r="E124" t="s">
        <v>687</v>
      </c>
      <c r="K124" t="s">
        <v>687</v>
      </c>
      <c r="N124">
        <v>0.3</v>
      </c>
      <c r="O124">
        <v>0.5</v>
      </c>
      <c r="Q124" t="s">
        <v>687</v>
      </c>
      <c r="W124" t="s">
        <v>687</v>
      </c>
      <c r="AC124" t="s">
        <v>687</v>
      </c>
      <c r="AH124" t="s">
        <v>687</v>
      </c>
      <c r="AN124" t="s">
        <v>687</v>
      </c>
      <c r="AT124" t="s">
        <v>687</v>
      </c>
      <c r="AZ124" t="s">
        <v>687</v>
      </c>
    </row>
    <row r="125" spans="2:52" x14ac:dyDescent="0.3">
      <c r="B125" t="s">
        <v>688</v>
      </c>
      <c r="E125" t="s">
        <v>688</v>
      </c>
      <c r="K125" t="s">
        <v>688</v>
      </c>
      <c r="N125">
        <v>0.1</v>
      </c>
      <c r="O125">
        <v>0.5</v>
      </c>
      <c r="Q125" t="s">
        <v>688</v>
      </c>
      <c r="W125" t="s">
        <v>688</v>
      </c>
      <c r="AC125" t="s">
        <v>688</v>
      </c>
      <c r="AH125" t="s">
        <v>688</v>
      </c>
      <c r="AN125" t="s">
        <v>688</v>
      </c>
      <c r="AT125" t="s">
        <v>688</v>
      </c>
      <c r="AZ125" t="s">
        <v>688</v>
      </c>
    </row>
    <row r="126" spans="2:52" x14ac:dyDescent="0.3">
      <c r="B126" t="s">
        <v>689</v>
      </c>
      <c r="E126" t="s">
        <v>689</v>
      </c>
      <c r="K126" t="s">
        <v>689</v>
      </c>
      <c r="N126">
        <v>0.1</v>
      </c>
      <c r="O126">
        <v>0</v>
      </c>
      <c r="Q126" t="s">
        <v>689</v>
      </c>
      <c r="W126" t="s">
        <v>689</v>
      </c>
      <c r="AC126" t="s">
        <v>689</v>
      </c>
      <c r="AH126" t="s">
        <v>689</v>
      </c>
      <c r="AN126" t="s">
        <v>689</v>
      </c>
      <c r="AT126" t="s">
        <v>689</v>
      </c>
      <c r="AZ126" t="s">
        <v>689</v>
      </c>
    </row>
    <row r="127" spans="2:52" x14ac:dyDescent="0.3">
      <c r="B127" t="s">
        <v>690</v>
      </c>
      <c r="E127" t="s">
        <v>690</v>
      </c>
      <c r="K127" t="s">
        <v>690</v>
      </c>
      <c r="N127">
        <v>0.1</v>
      </c>
      <c r="O127">
        <v>0</v>
      </c>
      <c r="Q127" t="s">
        <v>690</v>
      </c>
      <c r="W127" t="s">
        <v>690</v>
      </c>
      <c r="AC127" t="s">
        <v>690</v>
      </c>
      <c r="AH127" t="s">
        <v>690</v>
      </c>
      <c r="AN127" t="s">
        <v>690</v>
      </c>
      <c r="AT127" t="s">
        <v>690</v>
      </c>
      <c r="AZ127" t="s">
        <v>690</v>
      </c>
    </row>
    <row r="128" spans="2:52" x14ac:dyDescent="0.3">
      <c r="B128" t="s">
        <v>691</v>
      </c>
      <c r="E128" t="s">
        <v>691</v>
      </c>
      <c r="K128" t="s">
        <v>691</v>
      </c>
      <c r="N128">
        <v>0.1</v>
      </c>
      <c r="O128">
        <v>0</v>
      </c>
      <c r="Q128" t="s">
        <v>691</v>
      </c>
      <c r="W128" t="s">
        <v>691</v>
      </c>
      <c r="AC128" t="s">
        <v>691</v>
      </c>
      <c r="AH128" t="s">
        <v>691</v>
      </c>
      <c r="AN128" t="s">
        <v>691</v>
      </c>
      <c r="AT128" t="s">
        <v>691</v>
      </c>
      <c r="AZ128" t="s">
        <v>691</v>
      </c>
    </row>
    <row r="129" spans="1:52" x14ac:dyDescent="0.3">
      <c r="B129" t="s">
        <v>692</v>
      </c>
      <c r="E129" t="s">
        <v>692</v>
      </c>
      <c r="K129" t="s">
        <v>692</v>
      </c>
      <c r="N129">
        <v>0.05</v>
      </c>
      <c r="O129">
        <v>0</v>
      </c>
      <c r="Q129" t="s">
        <v>692</v>
      </c>
      <c r="W129" t="s">
        <v>692</v>
      </c>
      <c r="AC129" t="s">
        <v>692</v>
      </c>
      <c r="AH129" t="s">
        <v>692</v>
      </c>
      <c r="AN129" t="s">
        <v>692</v>
      </c>
      <c r="AT129" t="s">
        <v>692</v>
      </c>
      <c r="AZ129" t="s">
        <v>692</v>
      </c>
    </row>
    <row r="130" spans="1:52" x14ac:dyDescent="0.3">
      <c r="B130" t="s">
        <v>693</v>
      </c>
      <c r="E130" t="s">
        <v>693</v>
      </c>
      <c r="K130" t="s">
        <v>693</v>
      </c>
      <c r="N130">
        <v>0.05</v>
      </c>
      <c r="O130">
        <v>0</v>
      </c>
      <c r="Q130" t="s">
        <v>693</v>
      </c>
      <c r="W130" t="s">
        <v>693</v>
      </c>
      <c r="AC130" t="s">
        <v>693</v>
      </c>
      <c r="AH130" t="s">
        <v>693</v>
      </c>
      <c r="AN130" t="s">
        <v>693</v>
      </c>
      <c r="AT130" t="s">
        <v>693</v>
      </c>
      <c r="AZ130" t="s">
        <v>693</v>
      </c>
    </row>
    <row r="133" spans="1:52" s="66" customFormat="1" ht="23.4" x14ac:dyDescent="0.45">
      <c r="A133" s="65" t="s">
        <v>694</v>
      </c>
    </row>
    <row r="134" spans="1:52" s="71" customFormat="1" ht="23.4" x14ac:dyDescent="0.45">
      <c r="A134" s="70"/>
    </row>
    <row r="135" spans="1:52" x14ac:dyDescent="0.3">
      <c r="B135" s="59" t="s">
        <v>695</v>
      </c>
      <c r="E135" t="s">
        <v>656</v>
      </c>
      <c r="G135" s="79" t="s">
        <v>696</v>
      </c>
    </row>
    <row r="136" spans="1:52" x14ac:dyDescent="0.3">
      <c r="B136" t="s">
        <v>656</v>
      </c>
      <c r="E136" t="s">
        <v>697</v>
      </c>
    </row>
    <row r="137" spans="1:52" x14ac:dyDescent="0.3">
      <c r="B137" t="s">
        <v>698</v>
      </c>
      <c r="E137" t="s">
        <v>699</v>
      </c>
    </row>
    <row r="138" spans="1:52" x14ac:dyDescent="0.3">
      <c r="B138" t="s">
        <v>699</v>
      </c>
      <c r="E138" t="s">
        <v>668</v>
      </c>
    </row>
    <row r="139" spans="1:52" x14ac:dyDescent="0.3">
      <c r="B139" t="s">
        <v>668</v>
      </c>
      <c r="E139" t="s">
        <v>700</v>
      </c>
    </row>
    <row r="140" spans="1:52" x14ac:dyDescent="0.3">
      <c r="B140" t="s">
        <v>700</v>
      </c>
      <c r="E140" t="s">
        <v>701</v>
      </c>
    </row>
    <row r="141" spans="1:52" x14ac:dyDescent="0.3">
      <c r="B141" t="s">
        <v>701</v>
      </c>
      <c r="E141" t="s">
        <v>702</v>
      </c>
    </row>
    <row r="142" spans="1:52" x14ac:dyDescent="0.3">
      <c r="B142" t="s">
        <v>702</v>
      </c>
      <c r="E142" t="s">
        <v>703</v>
      </c>
    </row>
    <row r="143" spans="1:52" x14ac:dyDescent="0.3">
      <c r="B143" t="s">
        <v>703</v>
      </c>
      <c r="E143" t="s">
        <v>704</v>
      </c>
    </row>
    <row r="144" spans="1:52" x14ac:dyDescent="0.3">
      <c r="B144" t="s">
        <v>704</v>
      </c>
      <c r="E144" t="s">
        <v>705</v>
      </c>
    </row>
    <row r="145" spans="2:5" x14ac:dyDescent="0.3">
      <c r="B145" t="s">
        <v>705</v>
      </c>
      <c r="E145" t="s">
        <v>706</v>
      </c>
    </row>
    <row r="146" spans="2:5" x14ac:dyDescent="0.3">
      <c r="B146" t="s">
        <v>706</v>
      </c>
      <c r="E146" t="s">
        <v>707</v>
      </c>
    </row>
    <row r="147" spans="2:5" x14ac:dyDescent="0.3">
      <c r="B147" t="s">
        <v>707</v>
      </c>
      <c r="E147" t="s">
        <v>708</v>
      </c>
    </row>
    <row r="148" spans="2:5" x14ac:dyDescent="0.3">
      <c r="B148" t="s">
        <v>708</v>
      </c>
      <c r="E148" t="s">
        <v>709</v>
      </c>
    </row>
    <row r="149" spans="2:5" x14ac:dyDescent="0.3">
      <c r="B149" t="s">
        <v>709</v>
      </c>
      <c r="E149" t="s">
        <v>710</v>
      </c>
    </row>
    <row r="150" spans="2:5" x14ac:dyDescent="0.3">
      <c r="B150" t="s">
        <v>710</v>
      </c>
      <c r="E150" t="s">
        <v>711</v>
      </c>
    </row>
    <row r="151" spans="2:5" x14ac:dyDescent="0.3">
      <c r="B151" t="s">
        <v>712</v>
      </c>
      <c r="E151" t="s">
        <v>713</v>
      </c>
    </row>
    <row r="152" spans="2:5" x14ac:dyDescent="0.3">
      <c r="B152" t="s">
        <v>713</v>
      </c>
      <c r="E152" t="s">
        <v>714</v>
      </c>
    </row>
    <row r="153" spans="2:5" x14ac:dyDescent="0.3">
      <c r="B153" t="s">
        <v>715</v>
      </c>
      <c r="E153" t="s">
        <v>716</v>
      </c>
    </row>
    <row r="154" spans="2:5" x14ac:dyDescent="0.3">
      <c r="B154" t="s">
        <v>716</v>
      </c>
      <c r="E154" t="s">
        <v>717</v>
      </c>
    </row>
    <row r="155" spans="2:5" x14ac:dyDescent="0.3">
      <c r="B155" t="s">
        <v>718</v>
      </c>
      <c r="E155" t="s">
        <v>719</v>
      </c>
    </row>
    <row r="156" spans="2:5" x14ac:dyDescent="0.3">
      <c r="B156" t="s">
        <v>719</v>
      </c>
      <c r="E156" t="s">
        <v>720</v>
      </c>
    </row>
    <row r="157" spans="2:5" x14ac:dyDescent="0.3">
      <c r="B157" t="s">
        <v>720</v>
      </c>
      <c r="E157" t="s">
        <v>721</v>
      </c>
    </row>
    <row r="158" spans="2:5" x14ac:dyDescent="0.3">
      <c r="B158" t="s">
        <v>721</v>
      </c>
      <c r="E158" t="s">
        <v>722</v>
      </c>
    </row>
    <row r="159" spans="2:5" x14ac:dyDescent="0.3">
      <c r="B159" t="s">
        <v>722</v>
      </c>
      <c r="E159" t="s">
        <v>723</v>
      </c>
    </row>
    <row r="160" spans="2:5" x14ac:dyDescent="0.3">
      <c r="B160" t="s">
        <v>723</v>
      </c>
      <c r="E160" t="s">
        <v>724</v>
      </c>
    </row>
    <row r="161" spans="2:5" x14ac:dyDescent="0.3">
      <c r="B161" t="s">
        <v>724</v>
      </c>
      <c r="E161" t="s">
        <v>725</v>
      </c>
    </row>
    <row r="162" spans="2:5" x14ac:dyDescent="0.3">
      <c r="B162" t="s">
        <v>725</v>
      </c>
      <c r="E162" t="s">
        <v>726</v>
      </c>
    </row>
    <row r="163" spans="2:5" x14ac:dyDescent="0.3">
      <c r="B163" t="s">
        <v>726</v>
      </c>
      <c r="E163" t="s">
        <v>727</v>
      </c>
    </row>
    <row r="164" spans="2:5" x14ac:dyDescent="0.3">
      <c r="B164" t="s">
        <v>727</v>
      </c>
      <c r="E164" t="s">
        <v>728</v>
      </c>
    </row>
    <row r="165" spans="2:5" x14ac:dyDescent="0.3">
      <c r="B165" t="s">
        <v>728</v>
      </c>
      <c r="E165" t="s">
        <v>729</v>
      </c>
    </row>
    <row r="166" spans="2:5" x14ac:dyDescent="0.3">
      <c r="B166" t="s">
        <v>729</v>
      </c>
      <c r="E166" t="s">
        <v>730</v>
      </c>
    </row>
    <row r="167" spans="2:5" x14ac:dyDescent="0.3">
      <c r="B167" t="s">
        <v>730</v>
      </c>
      <c r="E167" t="s">
        <v>731</v>
      </c>
    </row>
    <row r="168" spans="2:5" x14ac:dyDescent="0.3">
      <c r="B168" t="s">
        <v>731</v>
      </c>
      <c r="E168" t="s">
        <v>732</v>
      </c>
    </row>
    <row r="169" spans="2:5" x14ac:dyDescent="0.3">
      <c r="B169" t="s">
        <v>732</v>
      </c>
      <c r="E169" t="s">
        <v>733</v>
      </c>
    </row>
    <row r="170" spans="2:5" x14ac:dyDescent="0.3">
      <c r="B170" t="s">
        <v>733</v>
      </c>
      <c r="E170" t="s">
        <v>734</v>
      </c>
    </row>
    <row r="171" spans="2:5" x14ac:dyDescent="0.3">
      <c r="B171" t="s">
        <v>734</v>
      </c>
      <c r="E171" t="s">
        <v>735</v>
      </c>
    </row>
    <row r="172" spans="2:5" x14ac:dyDescent="0.3">
      <c r="B172" t="s">
        <v>735</v>
      </c>
      <c r="E172" t="s">
        <v>736</v>
      </c>
    </row>
    <row r="173" spans="2:5" x14ac:dyDescent="0.3">
      <c r="B173" t="s">
        <v>736</v>
      </c>
      <c r="E173" t="s">
        <v>737</v>
      </c>
    </row>
    <row r="174" spans="2:5" x14ac:dyDescent="0.3">
      <c r="B174" t="s">
        <v>737</v>
      </c>
      <c r="E174" t="s">
        <v>738</v>
      </c>
    </row>
    <row r="175" spans="2:5" x14ac:dyDescent="0.3">
      <c r="B175" t="s">
        <v>738</v>
      </c>
      <c r="E175" t="s">
        <v>739</v>
      </c>
    </row>
    <row r="176" spans="2:5" x14ac:dyDescent="0.3">
      <c r="B176" t="s">
        <v>739</v>
      </c>
      <c r="E176" t="s">
        <v>740</v>
      </c>
    </row>
    <row r="177" spans="2:22" x14ac:dyDescent="0.3">
      <c r="B177" t="s">
        <v>740</v>
      </c>
      <c r="E177" t="s">
        <v>741</v>
      </c>
    </row>
    <row r="178" spans="2:22" x14ac:dyDescent="0.3">
      <c r="B178" t="s">
        <v>741</v>
      </c>
      <c r="E178" t="s">
        <v>742</v>
      </c>
    </row>
    <row r="179" spans="2:22" x14ac:dyDescent="0.3">
      <c r="B179" t="s">
        <v>742</v>
      </c>
      <c r="E179" t="s">
        <v>743</v>
      </c>
    </row>
    <row r="180" spans="2:22" x14ac:dyDescent="0.3">
      <c r="B180" t="s">
        <v>743</v>
      </c>
      <c r="E180" t="s">
        <v>744</v>
      </c>
    </row>
    <row r="181" spans="2:22" x14ac:dyDescent="0.3">
      <c r="B181" t="s">
        <v>744</v>
      </c>
      <c r="E181" t="s">
        <v>745</v>
      </c>
    </row>
    <row r="182" spans="2:22" x14ac:dyDescent="0.3">
      <c r="B182" t="s">
        <v>745</v>
      </c>
      <c r="E182" t="s">
        <v>746</v>
      </c>
    </row>
    <row r="183" spans="2:22" x14ac:dyDescent="0.3">
      <c r="B183" t="s">
        <v>746</v>
      </c>
      <c r="E183" t="s">
        <v>747</v>
      </c>
    </row>
    <row r="184" spans="2:22" x14ac:dyDescent="0.3">
      <c r="B184" t="s">
        <v>747</v>
      </c>
      <c r="E184" t="s">
        <v>748</v>
      </c>
    </row>
    <row r="185" spans="2:22" x14ac:dyDescent="0.3">
      <c r="B185" t="s">
        <v>748</v>
      </c>
      <c r="E185" t="s">
        <v>749</v>
      </c>
    </row>
    <row r="186" spans="2:22" x14ac:dyDescent="0.3">
      <c r="B186" t="s">
        <v>749</v>
      </c>
      <c r="E186" t="s">
        <v>750</v>
      </c>
      <c r="L186" t="s">
        <v>529</v>
      </c>
      <c r="M186" t="s">
        <v>530</v>
      </c>
      <c r="N186" t="s">
        <v>531</v>
      </c>
    </row>
    <row r="187" spans="2:22" x14ac:dyDescent="0.3">
      <c r="B187" t="s">
        <v>750</v>
      </c>
      <c r="E187" t="s">
        <v>751</v>
      </c>
      <c r="K187" t="s">
        <v>752</v>
      </c>
      <c r="L187" t="s">
        <v>753</v>
      </c>
      <c r="M187">
        <f>K93</f>
        <v>2.0000000000000004</v>
      </c>
      <c r="N187">
        <f>L93</f>
        <v>0.6</v>
      </c>
    </row>
    <row r="188" spans="2:22" x14ac:dyDescent="0.3">
      <c r="B188" t="s">
        <v>751</v>
      </c>
      <c r="E188" t="s">
        <v>754</v>
      </c>
    </row>
    <row r="189" spans="2:22" x14ac:dyDescent="0.3">
      <c r="B189" t="s">
        <v>754</v>
      </c>
      <c r="E189" t="s">
        <v>755</v>
      </c>
    </row>
    <row r="190" spans="2:22" x14ac:dyDescent="0.3">
      <c r="B190" t="s">
        <v>755</v>
      </c>
      <c r="E190" t="s">
        <v>756</v>
      </c>
    </row>
    <row r="191" spans="2:22" x14ac:dyDescent="0.3">
      <c r="B191" t="s">
        <v>756</v>
      </c>
      <c r="E191" t="s">
        <v>757</v>
      </c>
      <c r="N191" s="1013" t="s">
        <v>758</v>
      </c>
      <c r="O191" s="1013"/>
      <c r="P191" s="1013"/>
      <c r="Q191" s="1013"/>
      <c r="R191" s="1013"/>
      <c r="S191" s="1013"/>
      <c r="V191" t="s">
        <v>759</v>
      </c>
    </row>
    <row r="192" spans="2:22" x14ac:dyDescent="0.3">
      <c r="B192" t="s">
        <v>757</v>
      </c>
      <c r="E192" t="s">
        <v>760</v>
      </c>
      <c r="N192" s="1012" t="s">
        <v>599</v>
      </c>
      <c r="O192" s="1012"/>
      <c r="P192" s="1012"/>
      <c r="Q192" s="1012"/>
      <c r="R192" s="62" t="s">
        <v>326</v>
      </c>
      <c r="S192" s="72">
        <v>3286.2707288543102</v>
      </c>
      <c r="U192" t="s">
        <v>639</v>
      </c>
      <c r="V192">
        <v>10</v>
      </c>
    </row>
    <row r="193" spans="1:22" x14ac:dyDescent="0.3">
      <c r="B193" t="s">
        <v>760</v>
      </c>
      <c r="E193" t="s">
        <v>761</v>
      </c>
      <c r="N193" s="1012" t="s">
        <v>601</v>
      </c>
      <c r="O193" s="1012"/>
      <c r="P193" s="1012"/>
      <c r="Q193" s="1012"/>
      <c r="R193" s="62" t="s">
        <v>326</v>
      </c>
      <c r="S193" s="73">
        <v>9.0034814489159292</v>
      </c>
      <c r="U193" t="s">
        <v>640</v>
      </c>
      <c r="V193">
        <v>9</v>
      </c>
    </row>
    <row r="194" spans="1:22" x14ac:dyDescent="0.3">
      <c r="B194" t="s">
        <v>761</v>
      </c>
      <c r="E194" t="s">
        <v>762</v>
      </c>
      <c r="N194" s="1012" t="s">
        <v>763</v>
      </c>
      <c r="O194" s="1012"/>
      <c r="P194" s="1012"/>
      <c r="Q194" s="1012"/>
      <c r="R194" s="62" t="s">
        <v>326</v>
      </c>
      <c r="S194" s="80">
        <f>S192/249</f>
        <v>13.197874413069519</v>
      </c>
      <c r="U194" t="s">
        <v>638</v>
      </c>
      <c r="V194">
        <v>9</v>
      </c>
    </row>
    <row r="195" spans="1:22" x14ac:dyDescent="0.3">
      <c r="B195" t="s">
        <v>762</v>
      </c>
      <c r="E195" t="s">
        <v>764</v>
      </c>
    </row>
    <row r="196" spans="1:22" x14ac:dyDescent="0.3">
      <c r="B196" t="s">
        <v>764</v>
      </c>
      <c r="E196" t="s">
        <v>765</v>
      </c>
    </row>
    <row r="197" spans="1:22" x14ac:dyDescent="0.3">
      <c r="B197" t="s">
        <v>765</v>
      </c>
      <c r="E197" t="s">
        <v>766</v>
      </c>
    </row>
    <row r="198" spans="1:22" x14ac:dyDescent="0.3">
      <c r="B198" t="s">
        <v>766</v>
      </c>
      <c r="E198" t="s">
        <v>767</v>
      </c>
    </row>
    <row r="199" spans="1:22" x14ac:dyDescent="0.3">
      <c r="B199" t="s">
        <v>767</v>
      </c>
    </row>
    <row r="202" spans="1:22" s="66" customFormat="1" ht="23.4" x14ac:dyDescent="0.45">
      <c r="A202" s="65" t="s">
        <v>768</v>
      </c>
    </row>
    <row r="204" spans="1:22" x14ac:dyDescent="0.3">
      <c r="B204" t="s">
        <v>769</v>
      </c>
    </row>
    <row r="205" spans="1:22" x14ac:dyDescent="0.3">
      <c r="B205" t="s">
        <v>770</v>
      </c>
      <c r="D205" t="s">
        <v>771</v>
      </c>
      <c r="F205" t="s">
        <v>772</v>
      </c>
    </row>
    <row r="206" spans="1:22" x14ac:dyDescent="0.3">
      <c r="B206" t="s">
        <v>773</v>
      </c>
      <c r="D206" t="s">
        <v>774</v>
      </c>
      <c r="F206" t="s">
        <v>775</v>
      </c>
    </row>
    <row r="207" spans="1:22" x14ac:dyDescent="0.3">
      <c r="B207" t="s">
        <v>699</v>
      </c>
      <c r="D207" t="s">
        <v>699</v>
      </c>
      <c r="F207" t="s">
        <v>699</v>
      </c>
      <c r="K207" t="s">
        <v>640</v>
      </c>
    </row>
    <row r="208" spans="1:22" x14ac:dyDescent="0.3">
      <c r="B208" t="s">
        <v>776</v>
      </c>
      <c r="D208" t="s">
        <v>776</v>
      </c>
      <c r="F208" t="s">
        <v>776</v>
      </c>
    </row>
    <row r="209" spans="2:10" x14ac:dyDescent="0.3">
      <c r="B209" t="s">
        <v>777</v>
      </c>
      <c r="D209" t="s">
        <v>777</v>
      </c>
      <c r="F209" t="s">
        <v>777</v>
      </c>
      <c r="J209" s="6">
        <v>1</v>
      </c>
    </row>
    <row r="210" spans="2:10" x14ac:dyDescent="0.3">
      <c r="B210" t="s">
        <v>778</v>
      </c>
      <c r="D210" t="s">
        <v>778</v>
      </c>
      <c r="F210" t="s">
        <v>778</v>
      </c>
      <c r="J210" s="6">
        <f t="shared" ref="J210:J232" si="1">J209+1</f>
        <v>2</v>
      </c>
    </row>
    <row r="211" spans="2:10" x14ac:dyDescent="0.3">
      <c r="B211" t="s">
        <v>779</v>
      </c>
      <c r="D211" t="s">
        <v>779</v>
      </c>
      <c r="F211" t="s">
        <v>779</v>
      </c>
      <c r="J211" s="6">
        <f t="shared" si="1"/>
        <v>3</v>
      </c>
    </row>
    <row r="212" spans="2:10" x14ac:dyDescent="0.3">
      <c r="B212" t="s">
        <v>780</v>
      </c>
      <c r="D212" t="s">
        <v>780</v>
      </c>
      <c r="F212" t="s">
        <v>780</v>
      </c>
      <c r="J212" s="6">
        <f t="shared" si="1"/>
        <v>4</v>
      </c>
    </row>
    <row r="213" spans="2:10" x14ac:dyDescent="0.3">
      <c r="B213" t="s">
        <v>781</v>
      </c>
      <c r="D213" t="s">
        <v>781</v>
      </c>
      <c r="F213" t="s">
        <v>781</v>
      </c>
      <c r="J213" s="6">
        <f t="shared" si="1"/>
        <v>5</v>
      </c>
    </row>
    <row r="214" spans="2:10" x14ac:dyDescent="0.3">
      <c r="B214" t="s">
        <v>782</v>
      </c>
      <c r="D214" t="s">
        <v>782</v>
      </c>
      <c r="F214" t="s">
        <v>782</v>
      </c>
      <c r="J214" s="6">
        <f t="shared" si="1"/>
        <v>6</v>
      </c>
    </row>
    <row r="215" spans="2:10" x14ac:dyDescent="0.3">
      <c r="B215" t="s">
        <v>783</v>
      </c>
      <c r="D215" t="s">
        <v>783</v>
      </c>
      <c r="F215" t="s">
        <v>783</v>
      </c>
      <c r="J215" s="6">
        <f t="shared" si="1"/>
        <v>7</v>
      </c>
    </row>
    <row r="216" spans="2:10" x14ac:dyDescent="0.3">
      <c r="B216" t="s">
        <v>784</v>
      </c>
      <c r="D216" t="s">
        <v>784</v>
      </c>
      <c r="F216" t="s">
        <v>784</v>
      </c>
      <c r="J216" s="6">
        <f t="shared" si="1"/>
        <v>8</v>
      </c>
    </row>
    <row r="217" spans="2:10" x14ac:dyDescent="0.3">
      <c r="B217" t="s">
        <v>785</v>
      </c>
      <c r="D217" t="s">
        <v>785</v>
      </c>
      <c r="F217" t="s">
        <v>785</v>
      </c>
      <c r="J217" s="6">
        <f t="shared" si="1"/>
        <v>9</v>
      </c>
    </row>
    <row r="218" spans="2:10" x14ac:dyDescent="0.3">
      <c r="B218" t="s">
        <v>786</v>
      </c>
      <c r="D218" t="s">
        <v>786</v>
      </c>
      <c r="F218" t="s">
        <v>786</v>
      </c>
      <c r="J218" s="6">
        <f t="shared" si="1"/>
        <v>10</v>
      </c>
    </row>
    <row r="219" spans="2:10" x14ac:dyDescent="0.3">
      <c r="B219" t="s">
        <v>787</v>
      </c>
      <c r="D219" t="s">
        <v>787</v>
      </c>
      <c r="F219" t="s">
        <v>787</v>
      </c>
      <c r="J219" s="6">
        <f t="shared" si="1"/>
        <v>11</v>
      </c>
    </row>
    <row r="220" spans="2:10" x14ac:dyDescent="0.3">
      <c r="B220" t="s">
        <v>788</v>
      </c>
      <c r="D220" t="s">
        <v>788</v>
      </c>
      <c r="F220" t="s">
        <v>788</v>
      </c>
      <c r="J220" s="6">
        <f t="shared" si="1"/>
        <v>12</v>
      </c>
    </row>
    <row r="221" spans="2:10" x14ac:dyDescent="0.3">
      <c r="B221" t="s">
        <v>789</v>
      </c>
      <c r="D221" t="s">
        <v>789</v>
      </c>
      <c r="F221" t="s">
        <v>789</v>
      </c>
      <c r="J221" s="6">
        <f t="shared" si="1"/>
        <v>13</v>
      </c>
    </row>
    <row r="222" spans="2:10" x14ac:dyDescent="0.3">
      <c r="B222" t="s">
        <v>790</v>
      </c>
      <c r="D222" t="s">
        <v>790</v>
      </c>
      <c r="F222" t="s">
        <v>791</v>
      </c>
      <c r="J222" s="6">
        <f t="shared" si="1"/>
        <v>14</v>
      </c>
    </row>
    <row r="223" spans="2:10" x14ac:dyDescent="0.3">
      <c r="B223" t="s">
        <v>792</v>
      </c>
      <c r="D223" t="s">
        <v>792</v>
      </c>
      <c r="F223" t="s">
        <v>792</v>
      </c>
      <c r="J223" s="6">
        <f t="shared" si="1"/>
        <v>15</v>
      </c>
    </row>
    <row r="224" spans="2:10" x14ac:dyDescent="0.3">
      <c r="B224" t="s">
        <v>793</v>
      </c>
      <c r="D224" t="s">
        <v>794</v>
      </c>
      <c r="F224" t="s">
        <v>795</v>
      </c>
      <c r="J224" s="6">
        <f t="shared" si="1"/>
        <v>16</v>
      </c>
    </row>
    <row r="225" spans="2:10" x14ac:dyDescent="0.3">
      <c r="B225" t="s">
        <v>796</v>
      </c>
      <c r="D225" t="s">
        <v>796</v>
      </c>
      <c r="F225" t="s">
        <v>796</v>
      </c>
      <c r="J225" s="6">
        <f t="shared" si="1"/>
        <v>17</v>
      </c>
    </row>
    <row r="226" spans="2:10" x14ac:dyDescent="0.3">
      <c r="B226" t="s">
        <v>797</v>
      </c>
      <c r="D226" t="s">
        <v>798</v>
      </c>
      <c r="F226" t="s">
        <v>799</v>
      </c>
      <c r="J226" s="6">
        <f t="shared" si="1"/>
        <v>18</v>
      </c>
    </row>
    <row r="227" spans="2:10" x14ac:dyDescent="0.3">
      <c r="B227" t="s">
        <v>800</v>
      </c>
      <c r="D227" t="s">
        <v>800</v>
      </c>
      <c r="F227" t="s">
        <v>800</v>
      </c>
      <c r="J227" s="6">
        <f t="shared" si="1"/>
        <v>19</v>
      </c>
    </row>
    <row r="228" spans="2:10" x14ac:dyDescent="0.3">
      <c r="B228" t="s">
        <v>801</v>
      </c>
      <c r="D228" t="s">
        <v>802</v>
      </c>
      <c r="F228" t="s">
        <v>803</v>
      </c>
      <c r="J228" s="6">
        <f t="shared" si="1"/>
        <v>20</v>
      </c>
    </row>
    <row r="229" spans="2:10" x14ac:dyDescent="0.3">
      <c r="B229" t="s">
        <v>804</v>
      </c>
      <c r="D229" t="s">
        <v>804</v>
      </c>
      <c r="F229" t="s">
        <v>804</v>
      </c>
      <c r="J229" s="6">
        <f t="shared" si="1"/>
        <v>21</v>
      </c>
    </row>
    <row r="230" spans="2:10" x14ac:dyDescent="0.3">
      <c r="B230" t="s">
        <v>805</v>
      </c>
      <c r="D230" t="s">
        <v>806</v>
      </c>
      <c r="F230" t="s">
        <v>807</v>
      </c>
      <c r="J230" s="6">
        <f t="shared" si="1"/>
        <v>22</v>
      </c>
    </row>
    <row r="231" spans="2:10" x14ac:dyDescent="0.3">
      <c r="B231" t="s">
        <v>808</v>
      </c>
      <c r="D231" t="s">
        <v>808</v>
      </c>
      <c r="F231" t="s">
        <v>808</v>
      </c>
      <c r="J231" s="6">
        <f t="shared" si="1"/>
        <v>23</v>
      </c>
    </row>
    <row r="232" spans="2:10" x14ac:dyDescent="0.3">
      <c r="B232" t="s">
        <v>809</v>
      </c>
      <c r="D232" t="s">
        <v>810</v>
      </c>
      <c r="F232" t="s">
        <v>811</v>
      </c>
      <c r="J232" s="6">
        <f t="shared" si="1"/>
        <v>24</v>
      </c>
    </row>
    <row r="233" spans="2:10" x14ac:dyDescent="0.3">
      <c r="B233" t="s">
        <v>812</v>
      </c>
      <c r="D233" t="s">
        <v>812</v>
      </c>
      <c r="F233" t="s">
        <v>812</v>
      </c>
    </row>
    <row r="234" spans="2:10" x14ac:dyDescent="0.3">
      <c r="B234" t="s">
        <v>813</v>
      </c>
      <c r="D234" t="s">
        <v>814</v>
      </c>
      <c r="F234" t="s">
        <v>815</v>
      </c>
    </row>
    <row r="235" spans="2:10" x14ac:dyDescent="0.3">
      <c r="B235" t="s">
        <v>816</v>
      </c>
      <c r="D235" t="s">
        <v>816</v>
      </c>
      <c r="F235" t="s">
        <v>816</v>
      </c>
    </row>
    <row r="236" spans="2:10" x14ac:dyDescent="0.3">
      <c r="B236" t="s">
        <v>817</v>
      </c>
      <c r="D236" t="s">
        <v>818</v>
      </c>
      <c r="F236" t="s">
        <v>819</v>
      </c>
    </row>
    <row r="237" spans="2:10" x14ac:dyDescent="0.3">
      <c r="B237" t="s">
        <v>820</v>
      </c>
      <c r="D237" t="s">
        <v>820</v>
      </c>
      <c r="F237" t="s">
        <v>820</v>
      </c>
    </row>
    <row r="238" spans="2:10" x14ac:dyDescent="0.3">
      <c r="B238" t="s">
        <v>821</v>
      </c>
      <c r="D238" t="s">
        <v>822</v>
      </c>
      <c r="F238" t="s">
        <v>823</v>
      </c>
    </row>
    <row r="239" spans="2:10" x14ac:dyDescent="0.3">
      <c r="B239" t="s">
        <v>824</v>
      </c>
      <c r="D239" t="s">
        <v>824</v>
      </c>
      <c r="F239" t="s">
        <v>824</v>
      </c>
    </row>
    <row r="240" spans="2:10" x14ac:dyDescent="0.3">
      <c r="B240" t="s">
        <v>825</v>
      </c>
      <c r="D240" t="s">
        <v>826</v>
      </c>
      <c r="F240" t="s">
        <v>827</v>
      </c>
    </row>
    <row r="241" spans="2:6" x14ac:dyDescent="0.3">
      <c r="B241" t="s">
        <v>828</v>
      </c>
      <c r="D241" t="s">
        <v>828</v>
      </c>
      <c r="F241" t="s">
        <v>828</v>
      </c>
    </row>
    <row r="242" spans="2:6" x14ac:dyDescent="0.3">
      <c r="B242" t="s">
        <v>829</v>
      </c>
      <c r="D242" t="s">
        <v>830</v>
      </c>
      <c r="F242" t="s">
        <v>831</v>
      </c>
    </row>
    <row r="243" spans="2:6" x14ac:dyDescent="0.3">
      <c r="B243" t="s">
        <v>832</v>
      </c>
      <c r="D243" t="s">
        <v>832</v>
      </c>
      <c r="F243" t="s">
        <v>832</v>
      </c>
    </row>
    <row r="244" spans="2:6" x14ac:dyDescent="0.3">
      <c r="B244" t="s">
        <v>833</v>
      </c>
      <c r="D244" t="s">
        <v>834</v>
      </c>
      <c r="F244" t="s">
        <v>834</v>
      </c>
    </row>
    <row r="245" spans="2:6" x14ac:dyDescent="0.3">
      <c r="B245" t="s">
        <v>835</v>
      </c>
      <c r="D245" t="s">
        <v>835</v>
      </c>
      <c r="F245" t="s">
        <v>835</v>
      </c>
    </row>
    <row r="246" spans="2:6" x14ac:dyDescent="0.3">
      <c r="B246" t="s">
        <v>836</v>
      </c>
      <c r="D246" t="s">
        <v>837</v>
      </c>
      <c r="F246" t="s">
        <v>838</v>
      </c>
    </row>
    <row r="247" spans="2:6" x14ac:dyDescent="0.3">
      <c r="B247" t="s">
        <v>839</v>
      </c>
      <c r="D247" t="s">
        <v>839</v>
      </c>
      <c r="F247" t="s">
        <v>839</v>
      </c>
    </row>
    <row r="248" spans="2:6" x14ac:dyDescent="0.3">
      <c r="B248" t="s">
        <v>840</v>
      </c>
      <c r="D248" t="s">
        <v>841</v>
      </c>
      <c r="F248" t="s">
        <v>841</v>
      </c>
    </row>
    <row r="249" spans="2:6" x14ac:dyDescent="0.3">
      <c r="B249" t="s">
        <v>842</v>
      </c>
      <c r="D249" t="s">
        <v>842</v>
      </c>
      <c r="F249" t="s">
        <v>842</v>
      </c>
    </row>
    <row r="250" spans="2:6" x14ac:dyDescent="0.3">
      <c r="B250" t="s">
        <v>843</v>
      </c>
      <c r="D250" t="s">
        <v>844</v>
      </c>
      <c r="F250" t="s">
        <v>844</v>
      </c>
    </row>
    <row r="251" spans="2:6" x14ac:dyDescent="0.3">
      <c r="B251" t="s">
        <v>845</v>
      </c>
      <c r="D251" t="s">
        <v>845</v>
      </c>
      <c r="F251" t="s">
        <v>845</v>
      </c>
    </row>
    <row r="252" spans="2:6" x14ac:dyDescent="0.3">
      <c r="B252" t="s">
        <v>846</v>
      </c>
      <c r="D252" t="s">
        <v>847</v>
      </c>
      <c r="F252" t="s">
        <v>847</v>
      </c>
    </row>
    <row r="253" spans="2:6" x14ac:dyDescent="0.3">
      <c r="B253" t="s">
        <v>848</v>
      </c>
      <c r="D253" t="s">
        <v>848</v>
      </c>
      <c r="F253" t="s">
        <v>848</v>
      </c>
    </row>
    <row r="254" spans="2:6" x14ac:dyDescent="0.3">
      <c r="B254" t="s">
        <v>849</v>
      </c>
      <c r="D254" t="s">
        <v>850</v>
      </c>
      <c r="F254" t="s">
        <v>850</v>
      </c>
    </row>
    <row r="255" spans="2:6" x14ac:dyDescent="0.3">
      <c r="B255" t="s">
        <v>851</v>
      </c>
      <c r="D255" t="s">
        <v>851</v>
      </c>
      <c r="F255" t="s">
        <v>851</v>
      </c>
    </row>
    <row r="256" spans="2:6" x14ac:dyDescent="0.3">
      <c r="B256" t="s">
        <v>852</v>
      </c>
      <c r="D256" t="s">
        <v>853</v>
      </c>
      <c r="F256" t="s">
        <v>853</v>
      </c>
    </row>
  </sheetData>
  <mergeCells count="15">
    <mergeCell ref="A1:F1"/>
    <mergeCell ref="C2:D2"/>
    <mergeCell ref="N192:Q192"/>
    <mergeCell ref="A33:M33"/>
    <mergeCell ref="A35:C35"/>
    <mergeCell ref="A36:C36"/>
    <mergeCell ref="A37:C37"/>
    <mergeCell ref="N193:Q193"/>
    <mergeCell ref="N194:Q194"/>
    <mergeCell ref="N191:S191"/>
    <mergeCell ref="J66:L66"/>
    <mergeCell ref="A50:M50"/>
    <mergeCell ref="B66:C66"/>
    <mergeCell ref="E66:G66"/>
    <mergeCell ref="J67:K67"/>
  </mergeCells>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148"/>
  <sheetViews>
    <sheetView zoomScaleNormal="100" workbookViewId="0">
      <selection sqref="A1:H1"/>
    </sheetView>
  </sheetViews>
  <sheetFormatPr defaultColWidth="8.6640625" defaultRowHeight="13.2" x14ac:dyDescent="0.25"/>
  <cols>
    <col min="1" max="2" width="8.6640625" style="124"/>
    <col min="3" max="5" width="14.33203125" style="124" customWidth="1"/>
    <col min="6" max="8" width="17.109375" style="124" customWidth="1"/>
    <col min="9" max="11" width="14.33203125" style="124" customWidth="1"/>
    <col min="12" max="12" width="16.44140625" style="124" customWidth="1"/>
    <col min="13" max="13" width="14.33203125" style="124" customWidth="1"/>
    <col min="14" max="14" width="10.44140625" style="124" customWidth="1"/>
    <col min="15" max="15" width="8.33203125" style="124" customWidth="1"/>
    <col min="16" max="18" width="17.109375" style="124" customWidth="1"/>
    <col min="19" max="19" width="14.6640625" style="124" customWidth="1"/>
    <col min="20" max="20" width="13.88671875" style="124" customWidth="1"/>
    <col min="21" max="22" width="13.5546875" style="124" customWidth="1"/>
    <col min="23" max="25" width="13.6640625" style="124" customWidth="1"/>
    <col min="26" max="26" width="10.6640625" style="124" customWidth="1"/>
    <col min="27" max="28" width="8.6640625" style="124"/>
    <col min="29" max="29" width="13.6640625" style="124" customWidth="1"/>
    <col min="30" max="32" width="8.6640625" style="124"/>
    <col min="33" max="33" width="12.44140625" style="124" customWidth="1"/>
    <col min="34" max="16384" width="8.6640625" style="124"/>
  </cols>
  <sheetData>
    <row r="1" spans="1:22" ht="27" customHeight="1" thickBot="1" x14ac:dyDescent="0.3">
      <c r="A1" s="1028" t="str">
        <f>"CalBEM Energy Consumption - "&amp;Prototype!A2</f>
        <v>CalBEM Energy Consumption - RestaurantSitDown</v>
      </c>
      <c r="B1" s="1029"/>
      <c r="C1" s="1029"/>
      <c r="D1" s="1029"/>
      <c r="E1" s="1029"/>
      <c r="F1" s="1029"/>
      <c r="G1" s="1029"/>
      <c r="H1" s="1029"/>
      <c r="I1" s="1029" t="s">
        <v>854</v>
      </c>
      <c r="J1" s="1029"/>
      <c r="K1" s="1029"/>
      <c r="L1" s="1029"/>
      <c r="M1" s="586"/>
      <c r="N1" s="1027" t="s">
        <v>855</v>
      </c>
      <c r="O1" s="802"/>
      <c r="P1" s="802"/>
      <c r="Q1" s="802"/>
      <c r="R1" s="802"/>
      <c r="S1" s="802"/>
      <c r="T1" s="802"/>
      <c r="U1" s="802"/>
      <c r="V1" s="802"/>
    </row>
    <row r="2" spans="1:22" ht="39.6" customHeight="1" x14ac:dyDescent="0.25">
      <c r="A2" s="579" t="s">
        <v>7</v>
      </c>
      <c r="B2" s="580" t="s">
        <v>856</v>
      </c>
      <c r="C2" s="581" t="s">
        <v>857</v>
      </c>
      <c r="D2" s="582" t="s">
        <v>858</v>
      </c>
      <c r="E2" s="583" t="s">
        <v>859</v>
      </c>
      <c r="F2" s="581" t="s">
        <v>860</v>
      </c>
      <c r="G2" s="584" t="s">
        <v>861</v>
      </c>
      <c r="H2" s="591" t="s">
        <v>862</v>
      </c>
      <c r="I2" s="593" t="s">
        <v>863</v>
      </c>
      <c r="J2" s="594" t="s">
        <v>864</v>
      </c>
      <c r="K2" s="594" t="s">
        <v>865</v>
      </c>
      <c r="L2" s="595" t="s">
        <v>866</v>
      </c>
      <c r="M2" s="592"/>
      <c r="N2" s="153" t="s">
        <v>7</v>
      </c>
      <c r="O2" s="158" t="s">
        <v>856</v>
      </c>
      <c r="P2" s="588" t="s">
        <v>867</v>
      </c>
      <c r="Q2" s="588" t="s">
        <v>868</v>
      </c>
      <c r="R2" s="588" t="s">
        <v>869</v>
      </c>
      <c r="S2" s="588" t="s">
        <v>870</v>
      </c>
      <c r="T2" s="588" t="s">
        <v>864</v>
      </c>
      <c r="U2" s="588" t="s">
        <v>865</v>
      </c>
      <c r="V2" s="588" t="s">
        <v>871</v>
      </c>
    </row>
    <row r="3" spans="1:22" ht="19.2" customHeight="1" x14ac:dyDescent="0.3">
      <c r="A3" s="1025" t="s">
        <v>872</v>
      </c>
      <c r="B3" s="776">
        <v>1</v>
      </c>
      <c r="C3" s="777"/>
      <c r="D3" s="778"/>
      <c r="E3" s="779"/>
      <c r="F3" s="80"/>
      <c r="G3" s="80"/>
      <c r="H3" s="80"/>
      <c r="I3" s="596">
        <v>286.5</v>
      </c>
      <c r="J3" s="585">
        <f>I3*1.25</f>
        <v>358.125</v>
      </c>
      <c r="K3" s="177">
        <f>0.75*I3</f>
        <v>214.875</v>
      </c>
      <c r="L3" s="597">
        <f>J3-K3</f>
        <v>143.25</v>
      </c>
      <c r="M3" s="587"/>
      <c r="N3" s="1022" t="s">
        <v>173</v>
      </c>
      <c r="O3" s="152">
        <v>1</v>
      </c>
      <c r="P3" s="294">
        <v>2670.2480256623271</v>
      </c>
      <c r="Q3" s="590">
        <v>140.21338150362919</v>
      </c>
      <c r="R3" s="590">
        <v>188.39676346573083</v>
      </c>
      <c r="S3" s="780">
        <f>Q3+R3</f>
        <v>328.61014496936002</v>
      </c>
      <c r="T3" s="780">
        <f>S3*1.25</f>
        <v>410.76268121170006</v>
      </c>
      <c r="U3" s="780">
        <f>S3*0.75</f>
        <v>246.45760872702002</v>
      </c>
      <c r="V3" s="780">
        <f>T3-U3</f>
        <v>164.30507248468004</v>
      </c>
    </row>
    <row r="4" spans="1:22" ht="19.2" customHeight="1" x14ac:dyDescent="0.3">
      <c r="A4" s="1025"/>
      <c r="B4" s="776">
        <v>2</v>
      </c>
      <c r="C4" s="777"/>
      <c r="D4" s="778"/>
      <c r="E4" s="779"/>
      <c r="F4" s="80"/>
      <c r="G4" s="80"/>
      <c r="H4" s="80"/>
      <c r="I4" s="596">
        <v>286.5</v>
      </c>
      <c r="J4" s="585">
        <f t="shared" ref="J4:J18" si="0">I4*1.25</f>
        <v>358.125</v>
      </c>
      <c r="K4" s="177">
        <f t="shared" ref="K4:K18" si="1">0.75*I4</f>
        <v>214.875</v>
      </c>
      <c r="L4" s="597">
        <f t="shared" ref="L4:L18" si="2">J4-K4</f>
        <v>143.25</v>
      </c>
      <c r="M4" s="587"/>
      <c r="N4" s="1023"/>
      <c r="O4" s="152">
        <v>2</v>
      </c>
      <c r="P4" s="294">
        <v>4962.8202372006817</v>
      </c>
      <c r="Q4" s="590">
        <v>115.43441558226802</v>
      </c>
      <c r="R4" s="590">
        <v>178.59593571391775</v>
      </c>
      <c r="S4" s="780">
        <f t="shared" ref="S4:S18" si="3">Q4+R4</f>
        <v>294.03035129618576</v>
      </c>
      <c r="T4" s="780">
        <f t="shared" ref="T4:T18" si="4">S4*1.25</f>
        <v>367.53793912023218</v>
      </c>
      <c r="U4" s="780">
        <f t="shared" ref="U4:U18" si="5">S4*0.75</f>
        <v>220.52276347213933</v>
      </c>
      <c r="V4" s="780">
        <f t="shared" ref="V4:V18" si="6">T4-U4</f>
        <v>147.01517564809285</v>
      </c>
    </row>
    <row r="5" spans="1:22" ht="19.2" customHeight="1" x14ac:dyDescent="0.3">
      <c r="A5" s="1025"/>
      <c r="B5" s="776">
        <v>3</v>
      </c>
      <c r="C5" s="777"/>
      <c r="D5" s="778"/>
      <c r="E5" s="779"/>
      <c r="F5" s="80"/>
      <c r="G5" s="80"/>
      <c r="H5" s="80"/>
      <c r="I5" s="596">
        <v>286.5</v>
      </c>
      <c r="J5" s="585">
        <f t="shared" si="0"/>
        <v>358.125</v>
      </c>
      <c r="K5" s="177">
        <f t="shared" si="1"/>
        <v>214.875</v>
      </c>
      <c r="L5" s="597">
        <f t="shared" si="2"/>
        <v>143.25</v>
      </c>
      <c r="M5" s="587"/>
      <c r="N5" s="1023"/>
      <c r="O5" s="152">
        <v>3</v>
      </c>
      <c r="P5" s="294">
        <v>23016.188800795153</v>
      </c>
      <c r="Q5" s="590">
        <v>121.68254521688108</v>
      </c>
      <c r="R5" s="590">
        <v>177.66531929741396</v>
      </c>
      <c r="S5" s="780">
        <f t="shared" si="3"/>
        <v>299.34786451429505</v>
      </c>
      <c r="T5" s="780">
        <f t="shared" si="4"/>
        <v>374.1848306428688</v>
      </c>
      <c r="U5" s="780">
        <f t="shared" si="5"/>
        <v>224.5108983857213</v>
      </c>
      <c r="V5" s="780">
        <f t="shared" si="6"/>
        <v>149.6739322571475</v>
      </c>
    </row>
    <row r="6" spans="1:22" ht="19.2" customHeight="1" x14ac:dyDescent="0.3">
      <c r="A6" s="1025"/>
      <c r="B6" s="776">
        <v>4</v>
      </c>
      <c r="C6" s="777"/>
      <c r="D6" s="778"/>
      <c r="E6" s="779"/>
      <c r="F6" s="80"/>
      <c r="G6" s="80"/>
      <c r="H6" s="80"/>
      <c r="I6" s="596">
        <v>286.5</v>
      </c>
      <c r="J6" s="585">
        <f t="shared" si="0"/>
        <v>358.125</v>
      </c>
      <c r="K6" s="177">
        <f t="shared" si="1"/>
        <v>214.875</v>
      </c>
      <c r="L6" s="597">
        <f t="shared" si="2"/>
        <v>143.25</v>
      </c>
      <c r="M6" s="587"/>
      <c r="N6" s="1023"/>
      <c r="O6" s="152">
        <v>4</v>
      </c>
      <c r="P6" s="294">
        <v>11906.950094339501</v>
      </c>
      <c r="Q6" s="590">
        <v>121.67946974211769</v>
      </c>
      <c r="R6" s="590">
        <v>177.22979612539538</v>
      </c>
      <c r="S6" s="780">
        <f t="shared" si="3"/>
        <v>298.90926586751306</v>
      </c>
      <c r="T6" s="780">
        <f t="shared" si="4"/>
        <v>373.63658233439133</v>
      </c>
      <c r="U6" s="780">
        <f t="shared" si="5"/>
        <v>224.18194940063478</v>
      </c>
      <c r="V6" s="780">
        <f t="shared" si="6"/>
        <v>149.45463293375656</v>
      </c>
    </row>
    <row r="7" spans="1:22" ht="19.2" customHeight="1" x14ac:dyDescent="0.3">
      <c r="A7" s="1025"/>
      <c r="B7" s="776">
        <v>5</v>
      </c>
      <c r="C7" s="777"/>
      <c r="D7" s="778"/>
      <c r="E7" s="779"/>
      <c r="F7" s="80"/>
      <c r="G7" s="80"/>
      <c r="H7" s="80"/>
      <c r="I7" s="596">
        <v>286.5</v>
      </c>
      <c r="J7" s="585">
        <f t="shared" si="0"/>
        <v>358.125</v>
      </c>
      <c r="K7" s="177">
        <f t="shared" si="1"/>
        <v>214.875</v>
      </c>
      <c r="L7" s="597">
        <f t="shared" si="2"/>
        <v>143.25</v>
      </c>
      <c r="M7" s="587"/>
      <c r="N7" s="1023"/>
      <c r="O7" s="152">
        <v>5</v>
      </c>
      <c r="P7" s="294">
        <v>2232.1751752228543</v>
      </c>
      <c r="Q7" s="590">
        <v>116.89706808804395</v>
      </c>
      <c r="R7" s="590">
        <v>182.67997772737826</v>
      </c>
      <c r="S7" s="780">
        <f t="shared" si="3"/>
        <v>299.5770458154222</v>
      </c>
      <c r="T7" s="780">
        <f t="shared" si="4"/>
        <v>374.47130726927776</v>
      </c>
      <c r="U7" s="780">
        <f t="shared" si="5"/>
        <v>224.68278436156663</v>
      </c>
      <c r="V7" s="780">
        <f t="shared" si="6"/>
        <v>149.78852290771113</v>
      </c>
    </row>
    <row r="8" spans="1:22" ht="19.2" customHeight="1" x14ac:dyDescent="0.3">
      <c r="A8" s="1025"/>
      <c r="B8" s="776">
        <v>6</v>
      </c>
      <c r="C8" s="777"/>
      <c r="D8" s="778"/>
      <c r="E8" s="779"/>
      <c r="F8" s="80"/>
      <c r="G8" s="80"/>
      <c r="H8" s="80"/>
      <c r="I8" s="596">
        <v>286.5</v>
      </c>
      <c r="J8" s="585">
        <f t="shared" si="0"/>
        <v>358.125</v>
      </c>
      <c r="K8" s="177">
        <f t="shared" si="1"/>
        <v>214.875</v>
      </c>
      <c r="L8" s="597">
        <f t="shared" si="2"/>
        <v>143.25</v>
      </c>
      <c r="M8" s="587"/>
      <c r="N8" s="1023"/>
      <c r="O8" s="152">
        <v>6</v>
      </c>
      <c r="P8" s="294">
        <v>19264.557709840425</v>
      </c>
      <c r="Q8" s="590">
        <v>114.30760646839242</v>
      </c>
      <c r="R8" s="590">
        <v>210.8626210635226</v>
      </c>
      <c r="S8" s="780">
        <f t="shared" si="3"/>
        <v>325.17022753191503</v>
      </c>
      <c r="T8" s="780">
        <f t="shared" si="4"/>
        <v>406.4627844148938</v>
      </c>
      <c r="U8" s="780">
        <f t="shared" si="5"/>
        <v>243.87767064893626</v>
      </c>
      <c r="V8" s="780">
        <f t="shared" si="6"/>
        <v>162.58511376595754</v>
      </c>
    </row>
    <row r="9" spans="1:22" ht="19.2" customHeight="1" x14ac:dyDescent="0.3">
      <c r="A9" s="1025"/>
      <c r="B9" s="776">
        <v>7</v>
      </c>
      <c r="C9" s="777"/>
      <c r="D9" s="778"/>
      <c r="E9" s="779"/>
      <c r="F9" s="80"/>
      <c r="G9" s="80"/>
      <c r="H9" s="80"/>
      <c r="I9" s="596">
        <v>286.5</v>
      </c>
      <c r="J9" s="585">
        <f t="shared" si="0"/>
        <v>358.125</v>
      </c>
      <c r="K9" s="177">
        <f t="shared" si="1"/>
        <v>214.875</v>
      </c>
      <c r="L9" s="597">
        <f t="shared" si="2"/>
        <v>143.25</v>
      </c>
      <c r="M9" s="587"/>
      <c r="N9" s="1023"/>
      <c r="O9" s="152">
        <v>7</v>
      </c>
      <c r="P9" s="294">
        <v>11474.843705067249</v>
      </c>
      <c r="Q9" s="590">
        <v>139.92699069303819</v>
      </c>
      <c r="R9" s="590">
        <v>228.2706023973343</v>
      </c>
      <c r="S9" s="780">
        <f t="shared" si="3"/>
        <v>368.19759309037249</v>
      </c>
      <c r="T9" s="780">
        <f t="shared" si="4"/>
        <v>460.24699136296562</v>
      </c>
      <c r="U9" s="780">
        <f t="shared" si="5"/>
        <v>276.14819481777937</v>
      </c>
      <c r="V9" s="780">
        <f t="shared" si="6"/>
        <v>184.09879654518625</v>
      </c>
    </row>
    <row r="10" spans="1:22" ht="19.2" customHeight="1" x14ac:dyDescent="0.3">
      <c r="A10" s="1025"/>
      <c r="B10" s="776">
        <v>8</v>
      </c>
      <c r="C10" s="777"/>
      <c r="D10" s="778"/>
      <c r="E10" s="779"/>
      <c r="F10" s="80"/>
      <c r="G10" s="80"/>
      <c r="H10" s="80"/>
      <c r="I10" s="596">
        <v>286.5</v>
      </c>
      <c r="J10" s="585">
        <f t="shared" si="0"/>
        <v>358.125</v>
      </c>
      <c r="K10" s="177">
        <f t="shared" si="1"/>
        <v>214.875</v>
      </c>
      <c r="L10" s="597">
        <f t="shared" si="2"/>
        <v>143.25</v>
      </c>
      <c r="M10" s="587"/>
      <c r="N10" s="1023"/>
      <c r="O10" s="152">
        <v>8</v>
      </c>
      <c r="P10" s="294">
        <v>29165.646847720276</v>
      </c>
      <c r="Q10" s="590">
        <v>124.09734330449336</v>
      </c>
      <c r="R10" s="590">
        <v>226.01400300671699</v>
      </c>
      <c r="S10" s="780">
        <f t="shared" si="3"/>
        <v>350.11134631121035</v>
      </c>
      <c r="T10" s="780">
        <f t="shared" si="4"/>
        <v>437.63918288901294</v>
      </c>
      <c r="U10" s="780">
        <f t="shared" si="5"/>
        <v>262.58350973340777</v>
      </c>
      <c r="V10" s="780">
        <f t="shared" si="6"/>
        <v>175.05567315560518</v>
      </c>
    </row>
    <row r="11" spans="1:22" ht="19.2" customHeight="1" x14ac:dyDescent="0.3">
      <c r="A11" s="1025"/>
      <c r="B11" s="776">
        <v>9</v>
      </c>
      <c r="C11" s="777"/>
      <c r="D11" s="778"/>
      <c r="E11" s="779"/>
      <c r="F11" s="80"/>
      <c r="G11" s="80"/>
      <c r="H11" s="80"/>
      <c r="I11" s="596">
        <v>286.5</v>
      </c>
      <c r="J11" s="585">
        <f t="shared" si="0"/>
        <v>358.125</v>
      </c>
      <c r="K11" s="177">
        <f t="shared" si="1"/>
        <v>214.875</v>
      </c>
      <c r="L11" s="597">
        <f t="shared" si="2"/>
        <v>143.25</v>
      </c>
      <c r="M11" s="587"/>
      <c r="N11" s="1023"/>
      <c r="O11" s="152">
        <v>9</v>
      </c>
      <c r="P11" s="294">
        <v>44906.607163572553</v>
      </c>
      <c r="Q11" s="590">
        <v>111.94888584545326</v>
      </c>
      <c r="R11" s="590">
        <v>217.895288890361</v>
      </c>
      <c r="S11" s="780">
        <f t="shared" si="3"/>
        <v>329.84417473581425</v>
      </c>
      <c r="T11" s="780">
        <f t="shared" si="4"/>
        <v>412.30521841976781</v>
      </c>
      <c r="U11" s="780">
        <f t="shared" si="5"/>
        <v>247.38313105186069</v>
      </c>
      <c r="V11" s="780">
        <f t="shared" si="6"/>
        <v>164.92208736790712</v>
      </c>
    </row>
    <row r="12" spans="1:22" ht="19.2" customHeight="1" x14ac:dyDescent="0.3">
      <c r="A12" s="1025"/>
      <c r="B12" s="776">
        <v>10</v>
      </c>
      <c r="C12" s="777"/>
      <c r="D12" s="778"/>
      <c r="E12" s="779"/>
      <c r="F12" s="80"/>
      <c r="G12" s="80"/>
      <c r="H12" s="80"/>
      <c r="I12" s="596">
        <v>286.5</v>
      </c>
      <c r="J12" s="585">
        <f t="shared" si="0"/>
        <v>358.125</v>
      </c>
      <c r="K12" s="177">
        <f t="shared" si="1"/>
        <v>214.875</v>
      </c>
      <c r="L12" s="597">
        <f t="shared" si="2"/>
        <v>143.25</v>
      </c>
      <c r="M12" s="587"/>
      <c r="N12" s="1023"/>
      <c r="O12" s="152">
        <v>10</v>
      </c>
      <c r="P12" s="294">
        <v>24025.703324145445</v>
      </c>
      <c r="Q12" s="590">
        <v>129.08381432015861</v>
      </c>
      <c r="R12" s="590">
        <v>231.92373420740969</v>
      </c>
      <c r="S12" s="780">
        <f t="shared" si="3"/>
        <v>361.0075485275683</v>
      </c>
      <c r="T12" s="780">
        <f t="shared" si="4"/>
        <v>451.25943565946039</v>
      </c>
      <c r="U12" s="780">
        <f t="shared" si="5"/>
        <v>270.75566139567621</v>
      </c>
      <c r="V12" s="780">
        <f t="shared" si="6"/>
        <v>180.50377426378418</v>
      </c>
    </row>
    <row r="13" spans="1:22" ht="19.2" customHeight="1" x14ac:dyDescent="0.3">
      <c r="A13" s="1025"/>
      <c r="B13" s="776">
        <v>11</v>
      </c>
      <c r="C13" s="777"/>
      <c r="D13" s="778"/>
      <c r="E13" s="779"/>
      <c r="F13" s="80"/>
      <c r="G13" s="80"/>
      <c r="H13" s="80"/>
      <c r="I13" s="596">
        <v>286.5</v>
      </c>
      <c r="J13" s="585">
        <f t="shared" si="0"/>
        <v>358.125</v>
      </c>
      <c r="K13" s="177">
        <f t="shared" si="1"/>
        <v>214.875</v>
      </c>
      <c r="L13" s="597">
        <f t="shared" si="2"/>
        <v>143.25</v>
      </c>
      <c r="M13" s="587"/>
      <c r="N13" s="1023"/>
      <c r="O13" s="152">
        <v>11</v>
      </c>
      <c r="P13" s="294">
        <v>8514.5666141905203</v>
      </c>
      <c r="Q13" s="590">
        <v>141.13316598515738</v>
      </c>
      <c r="R13" s="590">
        <v>172.39687990856154</v>
      </c>
      <c r="S13" s="780">
        <f t="shared" si="3"/>
        <v>313.53004589371892</v>
      </c>
      <c r="T13" s="780">
        <f t="shared" si="4"/>
        <v>391.91255736714868</v>
      </c>
      <c r="U13" s="780">
        <f t="shared" si="5"/>
        <v>235.14753442028919</v>
      </c>
      <c r="V13" s="780">
        <f t="shared" si="6"/>
        <v>156.76502294685949</v>
      </c>
    </row>
    <row r="14" spans="1:22" ht="19.2" customHeight="1" x14ac:dyDescent="0.3">
      <c r="A14" s="1025"/>
      <c r="B14" s="776">
        <v>12</v>
      </c>
      <c r="C14" s="777"/>
      <c r="D14" s="778"/>
      <c r="E14" s="779"/>
      <c r="F14" s="80"/>
      <c r="G14" s="80"/>
      <c r="H14" s="80"/>
      <c r="I14" s="596">
        <v>286.5</v>
      </c>
      <c r="J14" s="585">
        <f t="shared" si="0"/>
        <v>358.125</v>
      </c>
      <c r="K14" s="177">
        <f t="shared" si="1"/>
        <v>214.875</v>
      </c>
      <c r="L14" s="597">
        <f t="shared" si="2"/>
        <v>143.25</v>
      </c>
      <c r="M14" s="587"/>
      <c r="N14" s="1023"/>
      <c r="O14" s="152">
        <v>12</v>
      </c>
      <c r="P14" s="294">
        <v>37639.220350511998</v>
      </c>
      <c r="Q14" s="590">
        <v>145.52445498182462</v>
      </c>
      <c r="R14" s="590">
        <v>191.73773864813649</v>
      </c>
      <c r="S14" s="780">
        <f t="shared" si="3"/>
        <v>337.26219362996108</v>
      </c>
      <c r="T14" s="780">
        <f t="shared" si="4"/>
        <v>421.57774203745134</v>
      </c>
      <c r="U14" s="780">
        <f t="shared" si="5"/>
        <v>252.94664522247081</v>
      </c>
      <c r="V14" s="780">
        <f t="shared" si="6"/>
        <v>168.63109681498054</v>
      </c>
    </row>
    <row r="15" spans="1:22" ht="19.2" customHeight="1" x14ac:dyDescent="0.3">
      <c r="A15" s="1025"/>
      <c r="B15" s="776">
        <v>13</v>
      </c>
      <c r="C15" s="777"/>
      <c r="D15" s="778"/>
      <c r="E15" s="779"/>
      <c r="F15" s="80"/>
      <c r="G15" s="80"/>
      <c r="H15" s="80"/>
      <c r="I15" s="596">
        <v>286.5</v>
      </c>
      <c r="J15" s="585">
        <f t="shared" si="0"/>
        <v>358.125</v>
      </c>
      <c r="K15" s="177">
        <f t="shared" si="1"/>
        <v>214.875</v>
      </c>
      <c r="L15" s="597">
        <f t="shared" si="2"/>
        <v>143.25</v>
      </c>
      <c r="M15" s="587"/>
      <c r="N15" s="1023"/>
      <c r="O15" s="152">
        <v>13</v>
      </c>
      <c r="P15" s="294">
        <v>12120.121471824446</v>
      </c>
      <c r="Q15" s="590">
        <v>147.93231721130871</v>
      </c>
      <c r="R15" s="590">
        <v>194.1850066127044</v>
      </c>
      <c r="S15" s="780">
        <f t="shared" si="3"/>
        <v>342.11732382401311</v>
      </c>
      <c r="T15" s="780">
        <f t="shared" si="4"/>
        <v>427.64665478001638</v>
      </c>
      <c r="U15" s="780">
        <f t="shared" si="5"/>
        <v>256.58799286800985</v>
      </c>
      <c r="V15" s="780">
        <f t="shared" si="6"/>
        <v>171.05866191200653</v>
      </c>
    </row>
    <row r="16" spans="1:22" ht="19.2" customHeight="1" x14ac:dyDescent="0.3">
      <c r="A16" s="1025"/>
      <c r="B16" s="776">
        <v>14</v>
      </c>
      <c r="C16" s="777"/>
      <c r="D16" s="778"/>
      <c r="E16" s="779"/>
      <c r="F16" s="80"/>
      <c r="G16" s="80"/>
      <c r="H16" s="80"/>
      <c r="I16" s="596">
        <v>286.5</v>
      </c>
      <c r="J16" s="585">
        <f t="shared" si="0"/>
        <v>358.125</v>
      </c>
      <c r="K16" s="177">
        <f t="shared" si="1"/>
        <v>214.875</v>
      </c>
      <c r="L16" s="597">
        <f t="shared" si="2"/>
        <v>143.25</v>
      </c>
      <c r="M16" s="587"/>
      <c r="N16" s="1023"/>
      <c r="O16" s="152">
        <v>14</v>
      </c>
      <c r="P16" s="294">
        <v>6251.7396423401924</v>
      </c>
      <c r="Q16" s="590">
        <v>119.76581800490224</v>
      </c>
      <c r="R16" s="590">
        <v>215.32540861567716</v>
      </c>
      <c r="S16" s="780">
        <f t="shared" si="3"/>
        <v>335.09122662057939</v>
      </c>
      <c r="T16" s="780">
        <f t="shared" si="4"/>
        <v>418.86403327572424</v>
      </c>
      <c r="U16" s="780">
        <f t="shared" si="5"/>
        <v>251.31841996543454</v>
      </c>
      <c r="V16" s="780">
        <f t="shared" si="6"/>
        <v>167.5456133102897</v>
      </c>
    </row>
    <row r="17" spans="1:22" ht="19.2" customHeight="1" x14ac:dyDescent="0.3">
      <c r="A17" s="1025"/>
      <c r="B17" s="776">
        <v>15</v>
      </c>
      <c r="C17" s="777"/>
      <c r="D17" s="778"/>
      <c r="E17" s="779"/>
      <c r="F17" s="80"/>
      <c r="G17" s="80"/>
      <c r="H17" s="80"/>
      <c r="I17" s="596">
        <v>286.5</v>
      </c>
      <c r="J17" s="585">
        <f t="shared" si="0"/>
        <v>358.125</v>
      </c>
      <c r="K17" s="177">
        <f t="shared" si="1"/>
        <v>214.875</v>
      </c>
      <c r="L17" s="597">
        <f t="shared" si="2"/>
        <v>143.25</v>
      </c>
      <c r="M17" s="587"/>
      <c r="N17" s="1023"/>
      <c r="O17" s="152">
        <v>15</v>
      </c>
      <c r="P17" s="294">
        <v>12622.504869331902</v>
      </c>
      <c r="Q17" s="590">
        <v>139.19634494603389</v>
      </c>
      <c r="R17" s="590">
        <v>260.79219260027367</v>
      </c>
      <c r="S17" s="780">
        <f t="shared" si="3"/>
        <v>399.98853754630755</v>
      </c>
      <c r="T17" s="780">
        <f t="shared" si="4"/>
        <v>499.98567193288443</v>
      </c>
      <c r="U17" s="780">
        <f t="shared" si="5"/>
        <v>299.99140315973068</v>
      </c>
      <c r="V17" s="780">
        <f t="shared" si="6"/>
        <v>199.99426877315375</v>
      </c>
    </row>
    <row r="18" spans="1:22" ht="19.2" customHeight="1" x14ac:dyDescent="0.3">
      <c r="A18" s="1026"/>
      <c r="B18" s="781">
        <v>16</v>
      </c>
      <c r="C18" s="782"/>
      <c r="D18" s="783"/>
      <c r="E18" s="784"/>
      <c r="F18" s="608"/>
      <c r="G18" s="608"/>
      <c r="H18" s="608"/>
      <c r="I18" s="598">
        <v>286.5</v>
      </c>
      <c r="J18" s="599">
        <f t="shared" si="0"/>
        <v>358.125</v>
      </c>
      <c r="K18" s="600">
        <f t="shared" si="1"/>
        <v>214.875</v>
      </c>
      <c r="L18" s="601">
        <f t="shared" si="2"/>
        <v>143.25</v>
      </c>
      <c r="M18" s="587"/>
      <c r="N18" s="1024"/>
      <c r="O18" s="152">
        <v>16</v>
      </c>
      <c r="P18" s="294">
        <v>23693.285258809548</v>
      </c>
      <c r="Q18" s="590">
        <v>127.46411521096162</v>
      </c>
      <c r="R18" s="590">
        <v>198.83728167839649</v>
      </c>
      <c r="S18" s="780">
        <f t="shared" si="3"/>
        <v>326.3013968893581</v>
      </c>
      <c r="T18" s="780">
        <f t="shared" si="4"/>
        <v>407.87674611169763</v>
      </c>
      <c r="U18" s="780">
        <f t="shared" si="5"/>
        <v>244.72604766701858</v>
      </c>
      <c r="V18" s="780">
        <f t="shared" si="6"/>
        <v>163.15069844467905</v>
      </c>
    </row>
    <row r="19" spans="1:22" x14ac:dyDescent="0.25">
      <c r="I19" s="124" t="s">
        <v>873</v>
      </c>
      <c r="P19" s="181"/>
    </row>
    <row r="20" spans="1:22" x14ac:dyDescent="0.25">
      <c r="N20" s="124" t="s">
        <v>874</v>
      </c>
    </row>
    <row r="21" spans="1:22" ht="14.4" x14ac:dyDescent="0.3">
      <c r="N21" s="124" t="s">
        <v>875</v>
      </c>
      <c r="Q21" s="589"/>
      <c r="R21" s="45"/>
    </row>
    <row r="22" spans="1:22" ht="14.4" x14ac:dyDescent="0.3">
      <c r="N22" s="124" t="s">
        <v>876</v>
      </c>
      <c r="Q22" s="589"/>
      <c r="R22" s="45"/>
    </row>
    <row r="23" spans="1:22" ht="14.4" x14ac:dyDescent="0.3">
      <c r="Q23" s="589"/>
      <c r="R23" s="45"/>
    </row>
    <row r="24" spans="1:22" ht="14.4" x14ac:dyDescent="0.3">
      <c r="B24"/>
      <c r="Q24" s="589"/>
      <c r="R24" s="45"/>
    </row>
    <row r="25" spans="1:22" ht="14.4" x14ac:dyDescent="0.3">
      <c r="Q25" s="589"/>
      <c r="R25" s="45"/>
    </row>
    <row r="26" spans="1:22" ht="14.4" x14ac:dyDescent="0.3">
      <c r="Q26" s="589"/>
      <c r="R26" s="45"/>
    </row>
    <row r="27" spans="1:22" ht="14.4" x14ac:dyDescent="0.3">
      <c r="Q27" s="589"/>
      <c r="R27" s="45"/>
    </row>
    <row r="28" spans="1:22" ht="14.4" x14ac:dyDescent="0.3">
      <c r="Q28" s="589"/>
      <c r="R28" s="45"/>
    </row>
    <row r="29" spans="1:22" ht="14.4" x14ac:dyDescent="0.3">
      <c r="Q29" s="589"/>
      <c r="R29" s="45"/>
    </row>
    <row r="30" spans="1:22" ht="14.4" x14ac:dyDescent="0.3">
      <c r="Q30" s="589"/>
      <c r="R30" s="45"/>
    </row>
    <row r="31" spans="1:22" ht="14.4" x14ac:dyDescent="0.3">
      <c r="Q31" s="589"/>
      <c r="R31" s="45"/>
    </row>
    <row r="32" spans="1:22" ht="14.4" x14ac:dyDescent="0.3">
      <c r="Q32" s="589"/>
      <c r="R32" s="45"/>
    </row>
    <row r="33" spans="17:18" ht="14.4" x14ac:dyDescent="0.3">
      <c r="Q33" s="589"/>
      <c r="R33" s="45"/>
    </row>
    <row r="34" spans="17:18" ht="14.4" x14ac:dyDescent="0.3">
      <c r="Q34" s="589"/>
      <c r="R34" s="45"/>
    </row>
    <row r="35" spans="17:18" ht="14.4" x14ac:dyDescent="0.3">
      <c r="Q35" s="589"/>
      <c r="R35" s="45"/>
    </row>
    <row r="36" spans="17:18" ht="14.4" x14ac:dyDescent="0.3">
      <c r="Q36" s="589"/>
      <c r="R36" s="45"/>
    </row>
    <row r="54" spans="1:24" s="141" customFormat="1" hidden="1" x14ac:dyDescent="0.25">
      <c r="A54" s="141" t="s">
        <v>520</v>
      </c>
      <c r="R54" s="142"/>
      <c r="S54" s="142"/>
      <c r="T54" s="142"/>
      <c r="U54" s="142"/>
      <c r="V54" s="142"/>
      <c r="W54" s="143"/>
      <c r="X54" s="144"/>
    </row>
    <row r="55" spans="1:24" s="125" customFormat="1" hidden="1" x14ac:dyDescent="0.25">
      <c r="R55" s="289"/>
      <c r="S55" s="289"/>
      <c r="T55" s="289"/>
      <c r="U55" s="289"/>
      <c r="V55" s="289"/>
      <c r="W55" s="290"/>
      <c r="X55" s="291"/>
    </row>
    <row r="56" spans="1:24" s="125" customFormat="1" ht="14.4" hidden="1" x14ac:dyDescent="0.3">
      <c r="N56" s="125" t="s">
        <v>877</v>
      </c>
      <c r="O56" s="230" t="s">
        <v>44</v>
      </c>
      <c r="P56" s="124"/>
      <c r="Q56" s="124"/>
      <c r="R56" s="289"/>
      <c r="S56" s="289"/>
      <c r="T56" s="289"/>
      <c r="U56" s="289"/>
      <c r="V56" s="289"/>
      <c r="W56" s="290"/>
      <c r="X56" s="291"/>
    </row>
    <row r="57" spans="1:24" hidden="1" x14ac:dyDescent="0.25">
      <c r="B57" s="124" t="s">
        <v>878</v>
      </c>
    </row>
    <row r="58" spans="1:24" hidden="1" x14ac:dyDescent="0.25">
      <c r="B58" s="124" t="s">
        <v>879</v>
      </c>
    </row>
    <row r="59" spans="1:24" hidden="1" x14ac:dyDescent="0.25"/>
    <row r="60" spans="1:24" hidden="1" x14ac:dyDescent="0.25">
      <c r="C60" s="125" t="s">
        <v>880</v>
      </c>
    </row>
    <row r="61" spans="1:24" ht="14.4" hidden="1" x14ac:dyDescent="0.3">
      <c r="C61" s="230" t="s">
        <v>881</v>
      </c>
    </row>
    <row r="62" spans="1:24" hidden="1" x14ac:dyDescent="0.25"/>
    <row r="63" spans="1:24" hidden="1" x14ac:dyDescent="0.25"/>
    <row r="64" spans="1:2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sheetData>
  <mergeCells count="5">
    <mergeCell ref="N3:N18"/>
    <mergeCell ref="A3:A18"/>
    <mergeCell ref="N1:V1"/>
    <mergeCell ref="A1:H1"/>
    <mergeCell ref="I1:L1"/>
  </mergeCells>
  <hyperlinks>
    <hyperlink ref="O56" r:id="rId1" display="https://www.eia.gov/consumption/commercial/pba/food-service.php" xr:uid="{9069EF0D-67DD-43E6-B31B-C965F6A51904}"/>
    <hyperlink ref="C61" r:id="rId2" display="https://portfoliomanager.energystar.gov/pm/targetFinder?execution=e1s1" xr:uid="{AE44D662-19D0-43D5-BB7F-86D354ADD147}"/>
  </hyperlinks>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sqref="A1:G1"/>
    </sheetView>
  </sheetViews>
  <sheetFormatPr defaultColWidth="8.6640625" defaultRowHeight="13.2" x14ac:dyDescent="0.25"/>
  <cols>
    <col min="1" max="1" width="18.109375" style="124" customWidth="1"/>
    <col min="2" max="2" width="12" style="124" customWidth="1"/>
    <col min="3" max="6" width="13.6640625" style="124" customWidth="1"/>
    <col min="7" max="7" width="13.33203125" style="124" customWidth="1"/>
    <col min="8" max="8" width="12.6640625" style="124" bestFit="1" customWidth="1"/>
    <col min="9" max="9" width="8.6640625" style="124"/>
    <col min="10" max="10" width="19" style="124" customWidth="1"/>
    <col min="11" max="11" width="14.109375" style="124" customWidth="1"/>
    <col min="12" max="12" width="10.33203125" style="124" customWidth="1"/>
    <col min="13" max="27" width="5.6640625" style="124" customWidth="1"/>
    <col min="28" max="16384" width="8.6640625" style="124"/>
  </cols>
  <sheetData>
    <row r="1" spans="1:28" ht="28.95" customHeight="1" x14ac:dyDescent="0.25">
      <c r="A1" s="807" t="str">
        <f>"% of Floor Area per CZ and Vintage Bin - Restaurant"</f>
        <v>% of Floor Area per CZ and Vintage Bin - Restaurant</v>
      </c>
      <c r="B1" s="807"/>
      <c r="C1" s="807"/>
      <c r="D1" s="807"/>
      <c r="E1" s="807"/>
      <c r="F1" s="807"/>
      <c r="G1" s="807"/>
      <c r="J1" s="807" t="str">
        <f>"% of Floor Area per CZ and Vintage Bin - Restaurant"</f>
        <v>% of Floor Area per CZ and Vintage Bin - Restaurant</v>
      </c>
      <c r="K1" s="807"/>
      <c r="L1" s="807"/>
      <c r="M1" s="807"/>
      <c r="N1" s="807"/>
      <c r="O1" s="807"/>
      <c r="P1" s="807"/>
      <c r="Q1" s="807"/>
      <c r="R1" s="807"/>
      <c r="S1" s="807"/>
      <c r="T1" s="807"/>
      <c r="U1" s="807"/>
      <c r="V1" s="807"/>
      <c r="W1" s="807"/>
      <c r="X1" s="807"/>
      <c r="Y1" s="807"/>
      <c r="Z1" s="807"/>
      <c r="AA1" s="807"/>
    </row>
    <row r="2" spans="1:28" ht="21" customHeight="1" x14ac:dyDescent="0.25">
      <c r="A2" s="1031" t="s">
        <v>7</v>
      </c>
      <c r="B2" s="1031" t="s">
        <v>856</v>
      </c>
      <c r="C2" s="1031" t="s">
        <v>882</v>
      </c>
      <c r="D2" s="1031"/>
      <c r="E2" s="1031"/>
      <c r="F2" s="1031"/>
      <c r="G2" s="1031"/>
      <c r="J2" s="1031" t="s">
        <v>7</v>
      </c>
      <c r="K2" s="1031" t="s">
        <v>882</v>
      </c>
      <c r="L2" s="1031" t="s">
        <v>856</v>
      </c>
      <c r="M2" s="1031"/>
      <c r="N2" s="1031"/>
      <c r="O2" s="1031"/>
      <c r="P2" s="1031"/>
      <c r="Q2" s="1031"/>
      <c r="R2" s="1031"/>
      <c r="S2" s="1031"/>
      <c r="T2" s="1031"/>
      <c r="U2" s="1031"/>
      <c r="V2" s="1031"/>
      <c r="W2" s="1031"/>
      <c r="X2" s="1031"/>
      <c r="Y2" s="1031"/>
      <c r="Z2" s="1031"/>
      <c r="AA2" s="1031"/>
    </row>
    <row r="3" spans="1:28" ht="21" customHeight="1" x14ac:dyDescent="0.25">
      <c r="A3" s="1031"/>
      <c r="B3" s="1031"/>
      <c r="C3" s="719" t="s">
        <v>883</v>
      </c>
      <c r="D3" s="719" t="s">
        <v>214</v>
      </c>
      <c r="E3" s="719" t="s">
        <v>217</v>
      </c>
      <c r="F3" s="719" t="s">
        <v>219</v>
      </c>
      <c r="G3" s="719" t="s">
        <v>884</v>
      </c>
      <c r="J3" s="1031"/>
      <c r="K3" s="1031"/>
      <c r="L3" s="719">
        <v>1</v>
      </c>
      <c r="M3" s="719">
        <v>2</v>
      </c>
      <c r="N3" s="719">
        <v>3</v>
      </c>
      <c r="O3" s="719">
        <v>4</v>
      </c>
      <c r="P3" s="719">
        <v>5</v>
      </c>
      <c r="Q3" s="719">
        <v>6</v>
      </c>
      <c r="R3" s="719">
        <v>7</v>
      </c>
      <c r="S3" s="719">
        <v>8</v>
      </c>
      <c r="T3" s="719">
        <v>9</v>
      </c>
      <c r="U3" s="719">
        <v>10</v>
      </c>
      <c r="V3" s="719">
        <v>11</v>
      </c>
      <c r="W3" s="719">
        <v>12</v>
      </c>
      <c r="X3" s="719">
        <v>13</v>
      </c>
      <c r="Y3" s="719">
        <v>14</v>
      </c>
      <c r="Z3" s="719">
        <v>15</v>
      </c>
      <c r="AA3" s="719">
        <v>16</v>
      </c>
    </row>
    <row r="4" spans="1:28" ht="16.95" customHeight="1" x14ac:dyDescent="0.25">
      <c r="A4" s="809" t="s">
        <v>173</v>
      </c>
      <c r="B4" s="260">
        <v>1</v>
      </c>
      <c r="C4" s="292"/>
      <c r="D4" s="292"/>
      <c r="E4" s="292"/>
      <c r="F4" s="292"/>
      <c r="G4" s="293"/>
      <c r="H4" s="175">
        <f>SUM(C4:G4)</f>
        <v>0</v>
      </c>
      <c r="J4" s="1030" t="s">
        <v>173</v>
      </c>
      <c r="K4" s="718" t="s">
        <v>883</v>
      </c>
      <c r="L4" s="718"/>
      <c r="M4" s="718"/>
      <c r="N4" s="718"/>
      <c r="O4" s="718"/>
      <c r="P4" s="718"/>
      <c r="Q4" s="718"/>
      <c r="R4" s="718"/>
      <c r="S4" s="718"/>
      <c r="T4" s="718"/>
      <c r="U4" s="718"/>
      <c r="V4" s="718"/>
      <c r="W4" s="718"/>
      <c r="X4" s="718"/>
      <c r="Y4" s="718"/>
      <c r="Z4" s="718"/>
      <c r="AA4" s="718"/>
      <c r="AB4" s="175">
        <f t="shared" ref="AB4:AB9" si="0">SUM(L4:AA4)</f>
        <v>0</v>
      </c>
    </row>
    <row r="5" spans="1:28" ht="16.95" customHeight="1" x14ac:dyDescent="0.25">
      <c r="A5" s="809"/>
      <c r="B5" s="260">
        <v>2</v>
      </c>
      <c r="C5" s="292"/>
      <c r="D5" s="292"/>
      <c r="E5" s="292"/>
      <c r="F5" s="292"/>
      <c r="G5" s="293"/>
      <c r="H5" s="175">
        <f t="shared" ref="H5:H20" si="1">SUM(C5:G5)</f>
        <v>0</v>
      </c>
      <c r="J5" s="1030"/>
      <c r="K5" s="718" t="s">
        <v>214</v>
      </c>
      <c r="L5" s="718"/>
      <c r="M5" s="718"/>
      <c r="N5" s="718"/>
      <c r="O5" s="718"/>
      <c r="P5" s="718"/>
      <c r="Q5" s="718"/>
      <c r="R5" s="718"/>
      <c r="S5" s="718"/>
      <c r="T5" s="718"/>
      <c r="U5" s="718"/>
      <c r="V5" s="718"/>
      <c r="W5" s="718"/>
      <c r="X5" s="718"/>
      <c r="Y5" s="718"/>
      <c r="Z5" s="718"/>
      <c r="AA5" s="718"/>
      <c r="AB5" s="175">
        <f t="shared" si="0"/>
        <v>0</v>
      </c>
    </row>
    <row r="6" spans="1:28" ht="16.95" customHeight="1" x14ac:dyDescent="0.25">
      <c r="A6" s="809"/>
      <c r="B6" s="260">
        <v>3</v>
      </c>
      <c r="C6" s="292"/>
      <c r="D6" s="292"/>
      <c r="E6" s="292"/>
      <c r="F6" s="292"/>
      <c r="G6" s="293"/>
      <c r="H6" s="175">
        <f t="shared" si="1"/>
        <v>0</v>
      </c>
      <c r="J6" s="1030"/>
      <c r="K6" s="718" t="s">
        <v>217</v>
      </c>
      <c r="L6" s="718"/>
      <c r="M6" s="718"/>
      <c r="N6" s="718"/>
      <c r="O6" s="718"/>
      <c r="P6" s="718"/>
      <c r="Q6" s="718"/>
      <c r="R6" s="718"/>
      <c r="S6" s="718"/>
      <c r="T6" s="718"/>
      <c r="U6" s="718"/>
      <c r="V6" s="718"/>
      <c r="W6" s="718"/>
      <c r="X6" s="718"/>
      <c r="Y6" s="718"/>
      <c r="Z6" s="718"/>
      <c r="AA6" s="718"/>
      <c r="AB6" s="175">
        <f t="shared" si="0"/>
        <v>0</v>
      </c>
    </row>
    <row r="7" spans="1:28" ht="16.95" customHeight="1" x14ac:dyDescent="0.25">
      <c r="A7" s="809"/>
      <c r="B7" s="260">
        <v>4</v>
      </c>
      <c r="C7" s="292"/>
      <c r="D7" s="292"/>
      <c r="E7" s="292"/>
      <c r="F7" s="292"/>
      <c r="G7" s="293"/>
      <c r="H7" s="175">
        <f t="shared" si="1"/>
        <v>0</v>
      </c>
      <c r="J7" s="1030"/>
      <c r="K7" s="718" t="s">
        <v>219</v>
      </c>
      <c r="L7" s="718"/>
      <c r="M7" s="718"/>
      <c r="N7" s="718"/>
      <c r="O7" s="718"/>
      <c r="P7" s="718"/>
      <c r="Q7" s="718"/>
      <c r="R7" s="718"/>
      <c r="S7" s="718"/>
      <c r="T7" s="718"/>
      <c r="U7" s="718"/>
      <c r="V7" s="718"/>
      <c r="W7" s="718"/>
      <c r="X7" s="718"/>
      <c r="Y7" s="718"/>
      <c r="Z7" s="718"/>
      <c r="AA7" s="718"/>
      <c r="AB7" s="175">
        <f t="shared" si="0"/>
        <v>0</v>
      </c>
    </row>
    <row r="8" spans="1:28" ht="16.95" customHeight="1" x14ac:dyDescent="0.25">
      <c r="A8" s="809"/>
      <c r="B8" s="260">
        <v>5</v>
      </c>
      <c r="C8" s="292"/>
      <c r="D8" s="292"/>
      <c r="E8" s="292"/>
      <c r="F8" s="292"/>
      <c r="G8" s="293"/>
      <c r="H8" s="175">
        <f t="shared" si="1"/>
        <v>0</v>
      </c>
      <c r="J8" s="1030"/>
      <c r="K8" s="718" t="s">
        <v>884</v>
      </c>
      <c r="L8" s="718"/>
      <c r="M8" s="718"/>
      <c r="N8" s="718"/>
      <c r="O8" s="718"/>
      <c r="P8" s="718"/>
      <c r="Q8" s="718"/>
      <c r="R8" s="718"/>
      <c r="S8" s="718"/>
      <c r="T8" s="718"/>
      <c r="U8" s="718"/>
      <c r="V8" s="718"/>
      <c r="W8" s="718"/>
      <c r="X8" s="718"/>
      <c r="Y8" s="718"/>
      <c r="Z8" s="718"/>
      <c r="AA8" s="718"/>
      <c r="AB8" s="175">
        <f t="shared" si="0"/>
        <v>0</v>
      </c>
    </row>
    <row r="9" spans="1:28" ht="16.95" customHeight="1" x14ac:dyDescent="0.25">
      <c r="A9" s="809"/>
      <c r="B9" s="260">
        <v>6</v>
      </c>
      <c r="C9" s="292"/>
      <c r="D9" s="292"/>
      <c r="E9" s="292"/>
      <c r="F9" s="292"/>
      <c r="G9" s="293"/>
      <c r="H9" s="175">
        <f t="shared" si="1"/>
        <v>0</v>
      </c>
      <c r="J9" s="1030"/>
      <c r="K9" s="718" t="s">
        <v>85</v>
      </c>
      <c r="L9" s="718"/>
      <c r="M9" s="718"/>
      <c r="N9" s="718"/>
      <c r="O9" s="718"/>
      <c r="P9" s="718"/>
      <c r="Q9" s="718"/>
      <c r="R9" s="718"/>
      <c r="S9" s="718"/>
      <c r="T9" s="718"/>
      <c r="U9" s="718"/>
      <c r="V9" s="718"/>
      <c r="W9" s="718"/>
      <c r="X9" s="718"/>
      <c r="Y9" s="718"/>
      <c r="Z9" s="718"/>
      <c r="AA9" s="718"/>
      <c r="AB9" s="175">
        <f t="shared" si="0"/>
        <v>0</v>
      </c>
    </row>
    <row r="10" spans="1:28" ht="16.95" customHeight="1" x14ac:dyDescent="0.25">
      <c r="A10" s="809"/>
      <c r="B10" s="260">
        <v>7</v>
      </c>
      <c r="C10" s="292"/>
      <c r="D10" s="292"/>
      <c r="E10" s="292"/>
      <c r="F10" s="292"/>
      <c r="G10" s="293"/>
      <c r="H10" s="175">
        <f t="shared" si="1"/>
        <v>0</v>
      </c>
      <c r="J10" s="127"/>
      <c r="K10" s="173"/>
      <c r="L10" s="145"/>
      <c r="M10" s="145"/>
      <c r="N10" s="145"/>
      <c r="O10" s="145"/>
      <c r="P10" s="174"/>
    </row>
    <row r="11" spans="1:28" ht="16.95" customHeight="1" x14ac:dyDescent="0.25">
      <c r="A11" s="809"/>
      <c r="B11" s="260">
        <v>8</v>
      </c>
      <c r="C11" s="292"/>
      <c r="D11" s="292"/>
      <c r="E11" s="292"/>
      <c r="F11" s="292"/>
      <c r="G11" s="293"/>
      <c r="H11" s="175">
        <f t="shared" si="1"/>
        <v>0</v>
      </c>
      <c r="J11" s="127"/>
      <c r="K11" s="173"/>
      <c r="L11" s="145"/>
      <c r="M11" s="145"/>
      <c r="N11" s="145"/>
      <c r="O11" s="145"/>
      <c r="P11" s="174"/>
    </row>
    <row r="12" spans="1:28" ht="16.95" customHeight="1" x14ac:dyDescent="0.25">
      <c r="A12" s="809"/>
      <c r="B12" s="260">
        <v>9</v>
      </c>
      <c r="C12" s="292"/>
      <c r="D12" s="292"/>
      <c r="E12" s="292"/>
      <c r="F12" s="292"/>
      <c r="G12" s="293"/>
      <c r="H12" s="175">
        <f t="shared" si="1"/>
        <v>0</v>
      </c>
      <c r="J12" s="127"/>
      <c r="K12" s="173"/>
      <c r="L12" s="145"/>
      <c r="M12" s="145"/>
      <c r="N12" s="145"/>
      <c r="O12" s="145"/>
      <c r="P12" s="174"/>
    </row>
    <row r="13" spans="1:28" ht="16.95" customHeight="1" x14ac:dyDescent="0.25">
      <c r="A13" s="809"/>
      <c r="B13" s="260">
        <v>10</v>
      </c>
      <c r="C13" s="292"/>
      <c r="D13" s="292"/>
      <c r="E13" s="292"/>
      <c r="F13" s="292"/>
      <c r="G13" s="293"/>
      <c r="H13" s="175">
        <f t="shared" si="1"/>
        <v>0</v>
      </c>
      <c r="J13" s="127"/>
      <c r="K13" s="173"/>
      <c r="L13" s="145"/>
      <c r="M13" s="145"/>
      <c r="N13" s="145"/>
      <c r="O13" s="145"/>
      <c r="P13" s="174"/>
    </row>
    <row r="14" spans="1:28" ht="16.95" customHeight="1" x14ac:dyDescent="0.25">
      <c r="A14" s="809"/>
      <c r="B14" s="260">
        <v>11</v>
      </c>
      <c r="C14" s="292"/>
      <c r="D14" s="292"/>
      <c r="E14" s="292"/>
      <c r="F14" s="292"/>
      <c r="G14" s="293"/>
      <c r="H14" s="175">
        <f t="shared" si="1"/>
        <v>0</v>
      </c>
      <c r="J14" s="127"/>
      <c r="K14" s="173"/>
      <c r="L14" s="145"/>
      <c r="M14" s="145"/>
      <c r="N14" s="145"/>
      <c r="O14" s="145"/>
      <c r="P14" s="174"/>
    </row>
    <row r="15" spans="1:28" ht="16.95" customHeight="1" x14ac:dyDescent="0.25">
      <c r="A15" s="809"/>
      <c r="B15" s="260">
        <v>12</v>
      </c>
      <c r="C15" s="292"/>
      <c r="D15" s="292"/>
      <c r="E15" s="292"/>
      <c r="F15" s="292"/>
      <c r="G15" s="293"/>
      <c r="H15" s="175">
        <f t="shared" si="1"/>
        <v>0</v>
      </c>
      <c r="J15" s="127"/>
      <c r="K15" s="173"/>
      <c r="L15" s="145"/>
      <c r="M15" s="145"/>
      <c r="N15" s="145"/>
      <c r="O15" s="145"/>
      <c r="P15" s="174"/>
    </row>
    <row r="16" spans="1:28" ht="16.95" customHeight="1" x14ac:dyDescent="0.25">
      <c r="A16" s="809"/>
      <c r="B16" s="260">
        <v>13</v>
      </c>
      <c r="C16" s="292"/>
      <c r="D16" s="292"/>
      <c r="E16" s="292"/>
      <c r="F16" s="292"/>
      <c r="G16" s="293"/>
      <c r="H16" s="175">
        <f t="shared" si="1"/>
        <v>0</v>
      </c>
      <c r="J16" s="127"/>
      <c r="K16" s="173"/>
      <c r="L16" s="145"/>
      <c r="M16" s="145"/>
      <c r="N16" s="145"/>
      <c r="O16" s="145"/>
      <c r="P16" s="174"/>
    </row>
    <row r="17" spans="1:16" ht="16.95" customHeight="1" x14ac:dyDescent="0.25">
      <c r="A17" s="809"/>
      <c r="B17" s="260">
        <v>14</v>
      </c>
      <c r="C17" s="292"/>
      <c r="D17" s="292"/>
      <c r="E17" s="292"/>
      <c r="F17" s="292"/>
      <c r="G17" s="293"/>
      <c r="H17" s="175">
        <f t="shared" si="1"/>
        <v>0</v>
      </c>
      <c r="J17" s="127"/>
      <c r="K17" s="173"/>
      <c r="L17" s="145"/>
      <c r="M17" s="145"/>
      <c r="N17" s="145"/>
      <c r="O17" s="145"/>
      <c r="P17" s="174"/>
    </row>
    <row r="18" spans="1:16" ht="16.95" customHeight="1" x14ac:dyDescent="0.25">
      <c r="A18" s="809"/>
      <c r="B18" s="260">
        <v>15</v>
      </c>
      <c r="C18" s="292"/>
      <c r="D18" s="292"/>
      <c r="E18" s="292"/>
      <c r="F18" s="292"/>
      <c r="G18" s="293"/>
      <c r="H18" s="175">
        <f t="shared" si="1"/>
        <v>0</v>
      </c>
      <c r="J18" s="127"/>
      <c r="K18" s="173"/>
      <c r="L18" s="145"/>
      <c r="M18" s="145"/>
      <c r="N18" s="145"/>
      <c r="O18" s="145"/>
      <c r="P18" s="174"/>
    </row>
    <row r="19" spans="1:16" ht="16.95" customHeight="1" x14ac:dyDescent="0.25">
      <c r="A19" s="809"/>
      <c r="B19" s="260">
        <v>16</v>
      </c>
      <c r="C19" s="293"/>
      <c r="D19" s="293"/>
      <c r="E19" s="293"/>
      <c r="F19" s="293"/>
      <c r="G19" s="293"/>
      <c r="H19" s="175">
        <f t="shared" si="1"/>
        <v>0</v>
      </c>
      <c r="J19" s="127"/>
      <c r="K19" s="173"/>
      <c r="L19" s="145"/>
      <c r="M19" s="145"/>
      <c r="N19" s="145"/>
      <c r="O19" s="145"/>
      <c r="P19" s="174"/>
    </row>
    <row r="20" spans="1:16" x14ac:dyDescent="0.25">
      <c r="A20" s="809"/>
      <c r="B20" s="259" t="s">
        <v>325</v>
      </c>
      <c r="C20" s="293"/>
      <c r="D20" s="293"/>
      <c r="E20" s="293"/>
      <c r="F20" s="293"/>
      <c r="G20" s="293"/>
      <c r="H20" s="175">
        <f t="shared" si="1"/>
        <v>0</v>
      </c>
    </row>
    <row r="22" spans="1:16" x14ac:dyDescent="0.25">
      <c r="A22" s="124" t="s">
        <v>885</v>
      </c>
    </row>
    <row r="23" spans="1:16" x14ac:dyDescent="0.25">
      <c r="A23" s="124" t="s">
        <v>875</v>
      </c>
    </row>
    <row r="24" spans="1:16" x14ac:dyDescent="0.25">
      <c r="A24" s="124" t="s">
        <v>876</v>
      </c>
    </row>
    <row r="29" spans="1:16" s="141" customFormat="1" hidden="1" x14ac:dyDescent="0.25">
      <c r="A29" s="141" t="s">
        <v>520</v>
      </c>
      <c r="E29" s="142"/>
      <c r="F29" s="143"/>
      <c r="G29" s="144"/>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x14ac:dyDescent="0.3"/>
  <sheetData>
    <row r="1" spans="1:10" ht="22.95" customHeight="1" x14ac:dyDescent="0.3">
      <c r="A1" s="807" t="str">
        <f>"PV - "&amp;Prototype!A2</f>
        <v>PV - RestaurantSitDown</v>
      </c>
      <c r="B1" s="807"/>
      <c r="C1" s="807"/>
      <c r="D1" s="807"/>
      <c r="E1" s="807"/>
      <c r="F1" s="807"/>
      <c r="G1" s="807"/>
      <c r="H1" s="807"/>
      <c r="I1" s="807"/>
      <c r="J1" s="807"/>
    </row>
    <row r="2" spans="1:10" x14ac:dyDescent="0.3">
      <c r="A2" s="124" t="s">
        <v>886</v>
      </c>
      <c r="B2" s="122"/>
      <c r="C2" s="122"/>
      <c r="D2" s="122"/>
      <c r="E2" s="122"/>
      <c r="F2" s="122"/>
      <c r="G2" s="122"/>
      <c r="H2" s="122"/>
      <c r="I2" s="122"/>
      <c r="J2" s="122"/>
    </row>
  </sheetData>
  <mergeCells count="1">
    <mergeCell ref="A1:J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3"/>
  <sheetViews>
    <sheetView zoomScaleNormal="70" workbookViewId="0">
      <selection sqref="A1:H1"/>
    </sheetView>
  </sheetViews>
  <sheetFormatPr defaultColWidth="8.6640625" defaultRowHeight="13.2" x14ac:dyDescent="0.25"/>
  <cols>
    <col min="1" max="1" width="21" style="124" customWidth="1"/>
    <col min="2" max="2" width="14.33203125" style="124" customWidth="1"/>
    <col min="3" max="3" width="14.5546875" style="124" customWidth="1"/>
    <col min="4" max="8" width="8.6640625" style="124"/>
    <col min="9" max="9" width="13.6640625" style="124" customWidth="1"/>
    <col min="10" max="10" width="14.44140625" style="124" customWidth="1"/>
    <col min="11" max="16384" width="8.6640625" style="124"/>
  </cols>
  <sheetData>
    <row r="1" spans="1:8" ht="21.6" customHeight="1" x14ac:dyDescent="0.25">
      <c r="A1" s="807" t="str">
        <f>"EV Charger - "&amp;Prototype!A2</f>
        <v>EV Charger - RestaurantSitDown</v>
      </c>
      <c r="B1" s="807"/>
      <c r="C1" s="807"/>
      <c r="D1" s="807"/>
      <c r="E1" s="807"/>
      <c r="F1" s="807"/>
      <c r="G1" s="807"/>
      <c r="H1" s="807"/>
    </row>
    <row r="2" spans="1:8" x14ac:dyDescent="0.25">
      <c r="A2" s="124" t="s">
        <v>886</v>
      </c>
      <c r="B2" s="159"/>
      <c r="C2" s="160"/>
      <c r="D2" s="161"/>
      <c r="E2" s="161"/>
    </row>
    <row r="3" spans="1:8" x14ac:dyDescent="0.25">
      <c r="A3" s="183"/>
      <c r="B3" s="269"/>
      <c r="C3" s="231"/>
      <c r="D3" s="162"/>
      <c r="E3" s="162"/>
    </row>
  </sheetData>
  <mergeCells count="1">
    <mergeCell ref="A1:H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EF52-0B0C-49BB-9B9D-0B2F6270AA35}">
  <sheetPr codeName="Sheet16"/>
  <dimension ref="A1:G83"/>
  <sheetViews>
    <sheetView workbookViewId="0">
      <selection activeCell="C1" sqref="C1"/>
    </sheetView>
  </sheetViews>
  <sheetFormatPr defaultRowHeight="14.4" x14ac:dyDescent="0.3"/>
  <cols>
    <col min="1" max="1" width="58.6640625" customWidth="1"/>
    <col min="2" max="2" width="30.88671875" customWidth="1"/>
    <col min="3" max="3" width="30.33203125" customWidth="1"/>
  </cols>
  <sheetData>
    <row r="1" spans="1:7" x14ac:dyDescent="0.3">
      <c r="A1" t="s">
        <v>887</v>
      </c>
      <c r="B1" t="s">
        <v>888</v>
      </c>
      <c r="C1" t="s">
        <v>888</v>
      </c>
      <c r="D1" s="1032" t="s">
        <v>889</v>
      </c>
      <c r="E1" s="1032"/>
      <c r="F1" s="1032"/>
      <c r="G1" s="1032"/>
    </row>
    <row r="2" spans="1:7" x14ac:dyDescent="0.3">
      <c r="A2" s="705" t="s">
        <v>890</v>
      </c>
      <c r="D2">
        <v>2013</v>
      </c>
      <c r="E2">
        <v>2016</v>
      </c>
      <c r="F2">
        <v>2019</v>
      </c>
      <c r="G2">
        <v>2025</v>
      </c>
    </row>
    <row r="3" spans="1:7" x14ac:dyDescent="0.3">
      <c r="A3" s="705" t="s">
        <v>891</v>
      </c>
    </row>
    <row r="4" spans="1:7" x14ac:dyDescent="0.3">
      <c r="A4" t="s">
        <v>892</v>
      </c>
    </row>
    <row r="5" spans="1:7" x14ac:dyDescent="0.3">
      <c r="A5" t="s">
        <v>893</v>
      </c>
    </row>
    <row r="6" spans="1:7" x14ac:dyDescent="0.3">
      <c r="A6" t="s">
        <v>894</v>
      </c>
    </row>
    <row r="7" spans="1:7" x14ac:dyDescent="0.3">
      <c r="A7" t="s">
        <v>895</v>
      </c>
    </row>
    <row r="8" spans="1:7" x14ac:dyDescent="0.3">
      <c r="A8" t="s">
        <v>896</v>
      </c>
    </row>
    <row r="9" spans="1:7" x14ac:dyDescent="0.3">
      <c r="A9" t="s">
        <v>897</v>
      </c>
    </row>
    <row r="10" spans="1:7" x14ac:dyDescent="0.3">
      <c r="A10" t="s">
        <v>898</v>
      </c>
    </row>
    <row r="11" spans="1:7" x14ac:dyDescent="0.3">
      <c r="A11" t="s">
        <v>899</v>
      </c>
    </row>
    <row r="12" spans="1:7" x14ac:dyDescent="0.3">
      <c r="A12" t="s">
        <v>900</v>
      </c>
    </row>
    <row r="13" spans="1:7" x14ac:dyDescent="0.3">
      <c r="A13" t="s">
        <v>901</v>
      </c>
    </row>
    <row r="14" spans="1:7" x14ac:dyDescent="0.3">
      <c r="A14" t="s">
        <v>902</v>
      </c>
    </row>
    <row r="15" spans="1:7" x14ac:dyDescent="0.3">
      <c r="A15" t="s">
        <v>903</v>
      </c>
    </row>
    <row r="16" spans="1:7" x14ac:dyDescent="0.3">
      <c r="A16" t="s">
        <v>904</v>
      </c>
    </row>
    <row r="17" spans="1:1" x14ac:dyDescent="0.3">
      <c r="A17" t="s">
        <v>905</v>
      </c>
    </row>
    <row r="18" spans="1:1" x14ac:dyDescent="0.3">
      <c r="A18" t="s">
        <v>906</v>
      </c>
    </row>
    <row r="19" spans="1:1" x14ac:dyDescent="0.3">
      <c r="A19" t="s">
        <v>907</v>
      </c>
    </row>
    <row r="20" spans="1:1" x14ac:dyDescent="0.3">
      <c r="A20" t="s">
        <v>171</v>
      </c>
    </row>
    <row r="21" spans="1:1" x14ac:dyDescent="0.3">
      <c r="A21" t="s">
        <v>908</v>
      </c>
    </row>
    <row r="22" spans="1:1" x14ac:dyDescent="0.3">
      <c r="A22" t="s">
        <v>909</v>
      </c>
    </row>
    <row r="23" spans="1:1" x14ac:dyDescent="0.3">
      <c r="A23" t="s">
        <v>910</v>
      </c>
    </row>
    <row r="24" spans="1:1" x14ac:dyDescent="0.3">
      <c r="A24" t="s">
        <v>911</v>
      </c>
    </row>
    <row r="25" spans="1:1" x14ac:dyDescent="0.3">
      <c r="A25" t="s">
        <v>912</v>
      </c>
    </row>
    <row r="26" spans="1:1" x14ac:dyDescent="0.3">
      <c r="A26" t="s">
        <v>913</v>
      </c>
    </row>
    <row r="27" spans="1:1" x14ac:dyDescent="0.3">
      <c r="A27" t="s">
        <v>914</v>
      </c>
    </row>
    <row r="28" spans="1:1" x14ac:dyDescent="0.3">
      <c r="A28" t="s">
        <v>915</v>
      </c>
    </row>
    <row r="29" spans="1:1" x14ac:dyDescent="0.3">
      <c r="A29" t="s">
        <v>916</v>
      </c>
    </row>
    <row r="30" spans="1:1" x14ac:dyDescent="0.3">
      <c r="A30" t="s">
        <v>917</v>
      </c>
    </row>
    <row r="31" spans="1:1" x14ac:dyDescent="0.3">
      <c r="A31" t="s">
        <v>918</v>
      </c>
    </row>
    <row r="32" spans="1:1" x14ac:dyDescent="0.3">
      <c r="A32" t="s">
        <v>919</v>
      </c>
    </row>
    <row r="33" spans="1:1" x14ac:dyDescent="0.3">
      <c r="A33" t="s">
        <v>920</v>
      </c>
    </row>
    <row r="34" spans="1:1" x14ac:dyDescent="0.3">
      <c r="A34" t="s">
        <v>921</v>
      </c>
    </row>
    <row r="35" spans="1:1" x14ac:dyDescent="0.3">
      <c r="A35" t="s">
        <v>922</v>
      </c>
    </row>
    <row r="36" spans="1:1" x14ac:dyDescent="0.3">
      <c r="A36" t="s">
        <v>175</v>
      </c>
    </row>
    <row r="37" spans="1:1" x14ac:dyDescent="0.3">
      <c r="A37" t="s">
        <v>923</v>
      </c>
    </row>
    <row r="38" spans="1:1" x14ac:dyDescent="0.3">
      <c r="A38" t="s">
        <v>924</v>
      </c>
    </row>
    <row r="39" spans="1:1" x14ac:dyDescent="0.3">
      <c r="A39" t="s">
        <v>925</v>
      </c>
    </row>
    <row r="40" spans="1:1" x14ac:dyDescent="0.3">
      <c r="A40" t="s">
        <v>926</v>
      </c>
    </row>
    <row r="41" spans="1:1" x14ac:dyDescent="0.3">
      <c r="A41" t="s">
        <v>927</v>
      </c>
    </row>
    <row r="42" spans="1:1" x14ac:dyDescent="0.3">
      <c r="A42" t="s">
        <v>928</v>
      </c>
    </row>
    <row r="43" spans="1:1" x14ac:dyDescent="0.3">
      <c r="A43" t="s">
        <v>929</v>
      </c>
    </row>
    <row r="44" spans="1:1" x14ac:dyDescent="0.3">
      <c r="A44" t="s">
        <v>930</v>
      </c>
    </row>
    <row r="45" spans="1:1" x14ac:dyDescent="0.3">
      <c r="A45" t="s">
        <v>931</v>
      </c>
    </row>
    <row r="46" spans="1:1" x14ac:dyDescent="0.3">
      <c r="A46" t="s">
        <v>932</v>
      </c>
    </row>
    <row r="47" spans="1:1" x14ac:dyDescent="0.3">
      <c r="A47" t="s">
        <v>933</v>
      </c>
    </row>
    <row r="48" spans="1:1" x14ac:dyDescent="0.3">
      <c r="A48" t="s">
        <v>934</v>
      </c>
    </row>
    <row r="49" spans="1:1" x14ac:dyDescent="0.3">
      <c r="A49" t="s">
        <v>935</v>
      </c>
    </row>
    <row r="50" spans="1:1" x14ac:dyDescent="0.3">
      <c r="A50" t="s">
        <v>936</v>
      </c>
    </row>
    <row r="51" spans="1:1" x14ac:dyDescent="0.3">
      <c r="A51" t="s">
        <v>937</v>
      </c>
    </row>
    <row r="52" spans="1:1" x14ac:dyDescent="0.3">
      <c r="A52" t="s">
        <v>938</v>
      </c>
    </row>
    <row r="53" spans="1:1" x14ac:dyDescent="0.3">
      <c r="A53" t="s">
        <v>939</v>
      </c>
    </row>
    <row r="54" spans="1:1" x14ac:dyDescent="0.3">
      <c r="A54" t="s">
        <v>940</v>
      </c>
    </row>
    <row r="55" spans="1:1" x14ac:dyDescent="0.3">
      <c r="A55" t="s">
        <v>941</v>
      </c>
    </row>
    <row r="56" spans="1:1" x14ac:dyDescent="0.3">
      <c r="A56" t="s">
        <v>942</v>
      </c>
    </row>
    <row r="57" spans="1:1" x14ac:dyDescent="0.3">
      <c r="A57" t="s">
        <v>943</v>
      </c>
    </row>
    <row r="58" spans="1:1" x14ac:dyDescent="0.3">
      <c r="A58" t="s">
        <v>944</v>
      </c>
    </row>
    <row r="59" spans="1:1" x14ac:dyDescent="0.3">
      <c r="A59" t="s">
        <v>945</v>
      </c>
    </row>
    <row r="60" spans="1:1" x14ac:dyDescent="0.3">
      <c r="A60" t="s">
        <v>946</v>
      </c>
    </row>
    <row r="61" spans="1:1" x14ac:dyDescent="0.3">
      <c r="A61" t="s">
        <v>947</v>
      </c>
    </row>
    <row r="62" spans="1:1" x14ac:dyDescent="0.3">
      <c r="A62" t="s">
        <v>948</v>
      </c>
    </row>
    <row r="63" spans="1:1" x14ac:dyDescent="0.3">
      <c r="A63" t="s">
        <v>949</v>
      </c>
    </row>
    <row r="64" spans="1:1" x14ac:dyDescent="0.3">
      <c r="A64" t="s">
        <v>950</v>
      </c>
    </row>
    <row r="65" spans="1:1" x14ac:dyDescent="0.3">
      <c r="A65" t="s">
        <v>951</v>
      </c>
    </row>
    <row r="66" spans="1:1" x14ac:dyDescent="0.3">
      <c r="A66" t="s">
        <v>952</v>
      </c>
    </row>
    <row r="67" spans="1:1" x14ac:dyDescent="0.3">
      <c r="A67" t="s">
        <v>953</v>
      </c>
    </row>
    <row r="68" spans="1:1" x14ac:dyDescent="0.3">
      <c r="A68" t="s">
        <v>954</v>
      </c>
    </row>
    <row r="69" spans="1:1" x14ac:dyDescent="0.3">
      <c r="A69" t="s">
        <v>955</v>
      </c>
    </row>
    <row r="70" spans="1:1" x14ac:dyDescent="0.3">
      <c r="A70" t="s">
        <v>956</v>
      </c>
    </row>
    <row r="71" spans="1:1" x14ac:dyDescent="0.3">
      <c r="A71" t="s">
        <v>957</v>
      </c>
    </row>
    <row r="72" spans="1:1" x14ac:dyDescent="0.3">
      <c r="A72" t="s">
        <v>958</v>
      </c>
    </row>
    <row r="73" spans="1:1" x14ac:dyDescent="0.3">
      <c r="A73" t="s">
        <v>959</v>
      </c>
    </row>
    <row r="74" spans="1:1" x14ac:dyDescent="0.3">
      <c r="A74" t="s">
        <v>960</v>
      </c>
    </row>
    <row r="75" spans="1:1" x14ac:dyDescent="0.3">
      <c r="A75" t="s">
        <v>961</v>
      </c>
    </row>
    <row r="76" spans="1:1" x14ac:dyDescent="0.3">
      <c r="A76" t="s">
        <v>962</v>
      </c>
    </row>
    <row r="77" spans="1:1" x14ac:dyDescent="0.3">
      <c r="A77" t="s">
        <v>177</v>
      </c>
    </row>
    <row r="78" spans="1:1" x14ac:dyDescent="0.3">
      <c r="A78" t="s">
        <v>963</v>
      </c>
    </row>
    <row r="79" spans="1:1" x14ac:dyDescent="0.3">
      <c r="A79" t="s">
        <v>964</v>
      </c>
    </row>
    <row r="80" spans="1:1" x14ac:dyDescent="0.3">
      <c r="A80" t="s">
        <v>965</v>
      </c>
    </row>
    <row r="81" spans="1:1" x14ac:dyDescent="0.3">
      <c r="A81" t="s">
        <v>966</v>
      </c>
    </row>
    <row r="82" spans="1:1" x14ac:dyDescent="0.3">
      <c r="A82" t="s">
        <v>967</v>
      </c>
    </row>
    <row r="83" spans="1:1" x14ac:dyDescent="0.3">
      <c r="A83" t="s">
        <v>968</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D857916-31BE-42E3-83B4-52C4ECD442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Notes</vt:lpstr>
      <vt:lpstr>Prototype</vt:lpstr>
      <vt:lpstr>Zones</vt:lpstr>
      <vt:lpstr>Envelope</vt:lpstr>
      <vt:lpstr>HVAC System</vt:lpstr>
      <vt:lpstr>Heating-No area used to convert</vt:lpstr>
      <vt:lpstr>Thermostat</vt:lpstr>
      <vt:lpstr>Ventilation</vt:lpstr>
      <vt:lpstr>Interior Lights</vt:lpstr>
      <vt:lpstr>Cooking Euipment</vt:lpstr>
      <vt:lpstr>Air compressor</vt:lpstr>
      <vt:lpstr>Refrigerated</vt:lpstr>
      <vt:lpstr>Water Heater</vt:lpstr>
      <vt:lpstr>Equipment</vt:lpstr>
      <vt:lpstr>Ext Lighting</vt:lpstr>
      <vt:lpstr>Schedules</vt:lpstr>
      <vt:lpstr>Occupnacy</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