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8.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chart18.xml" ContentType="application/vnd.openxmlformats-officedocument.drawingml.chart+xml"/>
  <Override PartName="/xl/charts/style15.xml" ContentType="application/vnd.ms-office.chartstyle+xml"/>
  <Override PartName="/xl/charts/colors15.xml" ContentType="application/vnd.ms-office.chartcolorstyle+xml"/>
  <Override PartName="/xl/charts/chart19.xml" ContentType="application/vnd.openxmlformats-officedocument.drawingml.chart+xml"/>
  <Override PartName="/xl/charts/style16.xml" ContentType="application/vnd.ms-office.chartstyle+xml"/>
  <Override PartName="/xl/charts/colors16.xml" ContentType="application/vnd.ms-office.chartcolorstyle+xml"/>
  <Override PartName="/xl/charts/chart20.xml" ContentType="application/vnd.openxmlformats-officedocument.drawingml.chart+xml"/>
  <Override PartName="/xl/charts/style17.xml" ContentType="application/vnd.ms-office.chartstyle+xml"/>
  <Override PartName="/xl/charts/colors17.xml" ContentType="application/vnd.ms-office.chartcolorstyle+xml"/>
  <Override PartName="/xl/charts/chart21.xml" ContentType="application/vnd.openxmlformats-officedocument.drawingml.chart+xml"/>
  <Override PartName="/xl/charts/style18.xml" ContentType="application/vnd.ms-office.chartstyle+xml"/>
  <Override PartName="/xl/charts/colors18.xml" ContentType="application/vnd.ms-office.chartcolorstyle+xml"/>
  <Override PartName="/xl/charts/chart22.xml" ContentType="application/vnd.openxmlformats-officedocument.drawingml.chart+xml"/>
  <Override PartName="/xl/charts/style19.xml" ContentType="application/vnd.ms-office.chartstyle+xml"/>
  <Override PartName="/xl/charts/colors19.xml" ContentType="application/vnd.ms-office.chartcolorstyle+xml"/>
  <Override PartName="/xl/charts/chart23.xml" ContentType="application/vnd.openxmlformats-officedocument.drawingml.chart+xml"/>
  <Override PartName="/xl/charts/chart24.xml" ContentType="application/vnd.openxmlformats-officedocument.drawingml.chart+xml"/>
  <Override PartName="/xl/charts/style20.xml" ContentType="application/vnd.ms-office.chartstyle+xml"/>
  <Override PartName="/xl/charts/colors20.xml" ContentType="application/vnd.ms-office.chartcolorstyle+xml"/>
  <Override PartName="/xl/charts/chart25.xml" ContentType="application/vnd.openxmlformats-officedocument.drawingml.chart+xml"/>
  <Override PartName="/xl/charts/style21.xml" ContentType="application/vnd.ms-office.chartstyle+xml"/>
  <Override PartName="/xl/charts/colors21.xml" ContentType="application/vnd.ms-office.chartcolorstyle+xml"/>
  <Override PartName="/xl/charts/chart26.xml" ContentType="application/vnd.openxmlformats-officedocument.drawingml.chart+xml"/>
  <Override PartName="/xl/charts/style22.xml" ContentType="application/vnd.ms-office.chartstyle+xml"/>
  <Override PartName="/xl/charts/colors22.xml" ContentType="application/vnd.ms-office.chartcolorstyle+xml"/>
  <Override PartName="/xl/charts/chart27.xml" ContentType="application/vnd.openxmlformats-officedocument.drawingml.chart+xml"/>
  <Override PartName="/xl/charts/style23.xml" ContentType="application/vnd.ms-office.chartstyle+xml"/>
  <Override PartName="/xl/charts/colors23.xml" ContentType="application/vnd.ms-office.chartcolorstyle+xml"/>
  <Override PartName="/xl/charts/chart28.xml" ContentType="application/vnd.openxmlformats-officedocument.drawingml.chart+xml"/>
  <Override PartName="/xl/charts/style24.xml" ContentType="application/vnd.ms-office.chartstyle+xml"/>
  <Override PartName="/xl/charts/colors24.xml" ContentType="application/vnd.ms-office.chartcolorstyle+xml"/>
  <Override PartName="/xl/charts/chart29.xml" ContentType="application/vnd.openxmlformats-officedocument.drawingml.chart+xml"/>
  <Override PartName="/xl/charts/style25.xml" ContentType="application/vnd.ms-office.chartstyle+xml"/>
  <Override PartName="/xl/charts/colors25.xml" ContentType="application/vnd.ms-office.chartcolorstyle+xml"/>
  <Override PartName="/xl/charts/chart30.xml" ContentType="application/vnd.openxmlformats-officedocument.drawingml.chart+xml"/>
  <Override PartName="/xl/charts/style26.xml" ContentType="application/vnd.ms-office.chartstyle+xml"/>
  <Override PartName="/xl/charts/colors26.xml" ContentType="application/vnd.ms-office.chartcolorstyle+xml"/>
  <Override PartName="/xl/charts/chart31.xml" ContentType="application/vnd.openxmlformats-officedocument.drawingml.chart+xml"/>
  <Override PartName="/xl/charts/style27.xml" ContentType="application/vnd.ms-office.chartstyle+xml"/>
  <Override PartName="/xl/charts/colors27.xml" ContentType="application/vnd.ms-office.chartcolorstyle+xml"/>
  <Override PartName="/xl/charts/chart32.xml" ContentType="application/vnd.openxmlformats-officedocument.drawingml.chart+xml"/>
  <Override PartName="/xl/charts/style28.xml" ContentType="application/vnd.ms-office.chartstyle+xml"/>
  <Override PartName="/xl/charts/colors28.xml" ContentType="application/vnd.ms-office.chartcolorstyle+xml"/>
  <Override PartName="/xl/charts/chart33.xml" ContentType="application/vnd.openxmlformats-officedocument.drawingml.chart+xml"/>
  <Override PartName="/xl/charts/style29.xml" ContentType="application/vnd.ms-office.chartstyle+xml"/>
  <Override PartName="/xl/charts/colors29.xml" ContentType="application/vnd.ms-office.chartcolorstyle+xml"/>
  <Override PartName="/xl/charts/chart34.xml" ContentType="application/vnd.openxmlformats-officedocument.drawingml.chart+xml"/>
  <Override PartName="/xl/charts/style30.xml" ContentType="application/vnd.ms-office.chartstyle+xml"/>
  <Override PartName="/xl/charts/colors30.xml" ContentType="application/vnd.ms-office.chartcolorstyle+xml"/>
  <Override PartName="/xl/charts/chart35.xml" ContentType="application/vnd.openxmlformats-officedocument.drawingml.chart+xml"/>
  <Override PartName="/xl/charts/style31.xml" ContentType="application/vnd.ms-office.chartstyle+xml"/>
  <Override PartName="/xl/charts/colors31.xml" ContentType="application/vnd.ms-office.chartcolorstyle+xml"/>
  <Override PartName="/xl/charts/chart36.xml" ContentType="application/vnd.openxmlformats-officedocument.drawingml.chart+xml"/>
  <Override PartName="/xl/charts/style32.xml" ContentType="application/vnd.ms-office.chartstyle+xml"/>
  <Override PartName="/xl/charts/colors32.xml" ContentType="application/vnd.ms-office.chartcolorstyle+xml"/>
  <Override PartName="/xl/charts/chart37.xml" ContentType="application/vnd.openxmlformats-officedocument.drawingml.chart+xml"/>
  <Override PartName="/xl/charts/style33.xml" ContentType="application/vnd.ms-office.chartstyle+xml"/>
  <Override PartName="/xl/charts/colors33.xml" ContentType="application/vnd.ms-office.chartcolorstyle+xml"/>
  <Override PartName="/xl/charts/chart38.xml" ContentType="application/vnd.openxmlformats-officedocument.drawingml.chart+xml"/>
  <Override PartName="/xl/charts/style34.xml" ContentType="application/vnd.ms-office.chartstyle+xml"/>
  <Override PartName="/xl/charts/colors34.xml" ContentType="application/vnd.ms-office.chartcolorstyle+xml"/>
  <Override PartName="/xl/charts/chart39.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9.xml" ContentType="application/vnd.openxmlformats-officedocument.drawing+xml"/>
  <Override PartName="/xl/comments2.xml" ContentType="application/vnd.openxmlformats-officedocument.spreadsheetml.comments+xml"/>
  <Override PartName="/xl/charts/chart40.xml" ContentType="application/vnd.openxmlformats-officedocument.drawingml.chart+xml"/>
  <Override PartName="/xl/charts/style36.xml" ContentType="application/vnd.ms-office.chartstyle+xml"/>
  <Override PartName="/xl/charts/colors36.xml" ContentType="application/vnd.ms-office.chartcolorstyle+xml"/>
  <Override PartName="/xl/charts/chart41.xml" ContentType="application/vnd.openxmlformats-officedocument.drawingml.chart+xml"/>
  <Override PartName="/xl/charts/style37.xml" ContentType="application/vnd.ms-office.chartstyle+xml"/>
  <Override PartName="/xl/charts/colors37.xml" ContentType="application/vnd.ms-office.chartcolorstyle+xml"/>
  <Override PartName="/xl/charts/chart42.xml" ContentType="application/vnd.openxmlformats-officedocument.drawingml.chart+xml"/>
  <Override PartName="/xl/charts/style38.xml" ContentType="application/vnd.ms-office.chartstyle+xml"/>
  <Override PartName="/xl/charts/colors3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codeName="ThisWorkbook" defaultThemeVersion="166925"/>
  <mc:AlternateContent xmlns:mc="http://schemas.openxmlformats.org/markup-compatibility/2006">
    <mc:Choice Requires="x15">
      <x15ac:absPath xmlns:x15ac="http://schemas.microsoft.com/office/spreadsheetml/2010/11/ac" url="https://carcglgov.sharepoint.com/sites/NYStretchCoordination/Shared Documents/Prototypes/Prototypes/Scorecards/"/>
    </mc:Choice>
  </mc:AlternateContent>
  <xr:revisionPtr revIDLastSave="3600" documentId="8_{79FCD4E1-19CE-47B1-97AA-DC217EDFC30A}" xr6:coauthVersionLast="47" xr6:coauthVersionMax="47" xr10:uidLastSave="{776493B1-D3C8-4858-AA61-468A62C81B25}"/>
  <bookViews>
    <workbookView xWindow="-108" yWindow="-108" windowWidth="23256" windowHeight="13896" tabRatio="767" firstSheet="1" activeTab="1" xr2:uid="{EAC23EE3-0CA0-4FF8-990D-9B21A59FA3E0}"/>
  </bookViews>
  <sheets>
    <sheet name="Notes" sheetId="23" r:id="rId1"/>
    <sheet name="Prototype" sheetId="2" r:id="rId2"/>
    <sheet name="Zones" sheetId="13" r:id="rId3"/>
    <sheet name="HVAC System" sheetId="14" r:id="rId4"/>
    <sheet name="Envelope" sheetId="1" r:id="rId5"/>
    <sheet name="Thermostat" sheetId="30" r:id="rId6"/>
    <sheet name="Ventilation" sheetId="18" r:id="rId7"/>
    <sheet name="Water Heater" sheetId="7" r:id="rId8"/>
    <sheet name="Ext Lighting" sheetId="9" r:id="rId9"/>
    <sheet name="Interior Lights" sheetId="25" r:id="rId10"/>
    <sheet name="Equipment" sheetId="29" r:id="rId11"/>
    <sheet name="Schedules" sheetId="28" r:id="rId12"/>
    <sheet name="Energy Usage" sheetId="20" r:id="rId13"/>
    <sheet name="Weights" sheetId="21" r:id="rId14"/>
    <sheet name="PV" sheetId="27" state="hidden" r:id="rId15"/>
    <sheet name="EV Charger" sheetId="22" state="hidden" r:id="rId16"/>
    <sheet name="Data" sheetId="31" state="hidden" r:id="rId17"/>
  </sheets>
  <definedNames>
    <definedName name="_xlnm._FilterDatabase" localSheetId="7" hidden="1">'Water Heater'!$A$7:$AL$56</definedName>
    <definedName name="_xlnm._FilterDatabase" localSheetId="2" hidden="1">Zones!$B$2:$M$51</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 l="1"/>
  <c r="T4" i="20" l="1"/>
  <c r="U4" i="20"/>
  <c r="T5" i="20"/>
  <c r="U5" i="20"/>
  <c r="T6" i="20"/>
  <c r="V6" i="20" s="1"/>
  <c r="U6" i="20"/>
  <c r="T7" i="20"/>
  <c r="V7" i="20" s="1"/>
  <c r="U7" i="20"/>
  <c r="T8" i="20"/>
  <c r="V8" i="20" s="1"/>
  <c r="U8" i="20"/>
  <c r="T9" i="20"/>
  <c r="V9" i="20" s="1"/>
  <c r="U9" i="20"/>
  <c r="T10" i="20"/>
  <c r="U10" i="20"/>
  <c r="T11" i="20"/>
  <c r="U11" i="20"/>
  <c r="T12" i="20"/>
  <c r="U12" i="20"/>
  <c r="T13" i="20"/>
  <c r="U13" i="20"/>
  <c r="V13" i="20" s="1"/>
  <c r="T14" i="20"/>
  <c r="V14" i="20" s="1"/>
  <c r="U14" i="20"/>
  <c r="T15" i="20"/>
  <c r="U15" i="20"/>
  <c r="T16" i="20"/>
  <c r="U16" i="20"/>
  <c r="T17" i="20"/>
  <c r="U17" i="20"/>
  <c r="T18" i="20"/>
  <c r="U18" i="20"/>
  <c r="U3" i="20"/>
  <c r="T3" i="20"/>
  <c r="V18" i="20"/>
  <c r="V17" i="20"/>
  <c r="V16" i="20"/>
  <c r="V15" i="20"/>
  <c r="V12" i="20"/>
  <c r="V11" i="20"/>
  <c r="V10" i="20"/>
  <c r="V5" i="20"/>
  <c r="V4" i="20"/>
  <c r="V3" i="20"/>
  <c r="K18" i="20"/>
  <c r="J18" i="20"/>
  <c r="L18" i="20" s="1"/>
  <c r="K17" i="20"/>
  <c r="J17" i="20"/>
  <c r="K16" i="20"/>
  <c r="J16" i="20"/>
  <c r="L16" i="20" s="1"/>
  <c r="K15" i="20"/>
  <c r="J15" i="20"/>
  <c r="L15" i="20" s="1"/>
  <c r="K14" i="20"/>
  <c r="J14" i="20"/>
  <c r="K13" i="20"/>
  <c r="J13" i="20"/>
  <c r="L13" i="20" s="1"/>
  <c r="K12" i="20"/>
  <c r="J12" i="20"/>
  <c r="L12" i="20" s="1"/>
  <c r="K11" i="20"/>
  <c r="J11" i="20"/>
  <c r="L11" i="20" s="1"/>
  <c r="K10" i="20"/>
  <c r="J10" i="20"/>
  <c r="L10" i="20" s="1"/>
  <c r="K9" i="20"/>
  <c r="J9" i="20"/>
  <c r="L9" i="20" s="1"/>
  <c r="K8" i="20"/>
  <c r="J8" i="20"/>
  <c r="K7" i="20"/>
  <c r="J7" i="20"/>
  <c r="L7" i="20" s="1"/>
  <c r="K6" i="20"/>
  <c r="J6" i="20"/>
  <c r="K5" i="20"/>
  <c r="J5" i="20"/>
  <c r="L5" i="20" s="1"/>
  <c r="K4" i="20"/>
  <c r="J4" i="20"/>
  <c r="K3" i="20"/>
  <c r="J3" i="20"/>
  <c r="L3" i="20" s="1"/>
  <c r="H3" i="20"/>
  <c r="H4" i="20"/>
  <c r="H5" i="20"/>
  <c r="H6" i="20"/>
  <c r="H7" i="20"/>
  <c r="H8" i="20"/>
  <c r="H9" i="20"/>
  <c r="H10" i="20"/>
  <c r="H11" i="20"/>
  <c r="H12" i="20"/>
  <c r="H13" i="20"/>
  <c r="H14" i="20"/>
  <c r="H15" i="20"/>
  <c r="H16" i="20"/>
  <c r="H17" i="20"/>
  <c r="H18" i="20"/>
  <c r="S3" i="20"/>
  <c r="L14" i="20" l="1"/>
  <c r="L6" i="20"/>
  <c r="L17" i="20"/>
  <c r="L4" i="20"/>
  <c r="L8" i="20"/>
  <c r="S4" i="20"/>
  <c r="S5" i="20"/>
  <c r="S6" i="20"/>
  <c r="S7" i="20"/>
  <c r="S8" i="20"/>
  <c r="S9" i="20"/>
  <c r="S10" i="20"/>
  <c r="S11" i="20"/>
  <c r="S12" i="20"/>
  <c r="S13" i="20"/>
  <c r="S14" i="20"/>
  <c r="S15" i="20"/>
  <c r="S16" i="20"/>
  <c r="S17" i="20"/>
  <c r="S18" i="20"/>
  <c r="A7" i="25" l="1"/>
  <c r="A4" i="25"/>
  <c r="C210" i="29"/>
  <c r="I33" i="1"/>
  <c r="A3" i="18"/>
  <c r="B73" i="7" l="1"/>
  <c r="A78" i="28" l="1"/>
  <c r="A75" i="28"/>
  <c r="A72" i="28"/>
  <c r="A69" i="28"/>
  <c r="A66" i="28"/>
  <c r="A63" i="28"/>
  <c r="A60" i="28"/>
  <c r="G100" i="28"/>
  <c r="H100" i="28"/>
  <c r="I100" i="28"/>
  <c r="J100" i="28"/>
  <c r="K100" i="28"/>
  <c r="L100" i="28"/>
  <c r="M100" i="28"/>
  <c r="N100" i="28"/>
  <c r="O100" i="28"/>
  <c r="P100" i="28"/>
  <c r="Q100" i="28"/>
  <c r="R100" i="28"/>
  <c r="S100" i="28"/>
  <c r="T100" i="28"/>
  <c r="U100" i="28"/>
  <c r="V100" i="28"/>
  <c r="W100" i="28"/>
  <c r="X100" i="28"/>
  <c r="Y100" i="28"/>
  <c r="Z100" i="28"/>
  <c r="AA100" i="28"/>
  <c r="AB100" i="28"/>
  <c r="AC100" i="28"/>
  <c r="G101" i="28"/>
  <c r="H101" i="28"/>
  <c r="I101" i="28"/>
  <c r="J101" i="28"/>
  <c r="K101" i="28"/>
  <c r="L101" i="28"/>
  <c r="M101" i="28"/>
  <c r="N101" i="28"/>
  <c r="O101" i="28"/>
  <c r="P101" i="28"/>
  <c r="Q101" i="28"/>
  <c r="R101" i="28"/>
  <c r="S101" i="28"/>
  <c r="T101" i="28"/>
  <c r="U101" i="28"/>
  <c r="V101" i="28"/>
  <c r="W101" i="28"/>
  <c r="X101" i="28"/>
  <c r="Y101" i="28"/>
  <c r="Z101" i="28"/>
  <c r="AA101" i="28"/>
  <c r="AB101" i="28"/>
  <c r="AC101" i="28"/>
  <c r="G102" i="28"/>
  <c r="H102" i="28"/>
  <c r="I102" i="28"/>
  <c r="J102" i="28"/>
  <c r="K102" i="28"/>
  <c r="L102" i="28"/>
  <c r="M102" i="28"/>
  <c r="N102" i="28"/>
  <c r="O102" i="28"/>
  <c r="P102" i="28"/>
  <c r="Q102" i="28"/>
  <c r="R102" i="28"/>
  <c r="S102" i="28"/>
  <c r="T102" i="28"/>
  <c r="U102" i="28"/>
  <c r="V102" i="28"/>
  <c r="W102" i="28"/>
  <c r="X102" i="28"/>
  <c r="Y102" i="28"/>
  <c r="Z102" i="28"/>
  <c r="AA102" i="28"/>
  <c r="AB102" i="28"/>
  <c r="AC102" i="28"/>
  <c r="G103" i="28"/>
  <c r="H103" i="28"/>
  <c r="I103" i="28"/>
  <c r="J103" i="28"/>
  <c r="K103" i="28"/>
  <c r="L103" i="28"/>
  <c r="M103" i="28"/>
  <c r="N103" i="28"/>
  <c r="O103" i="28"/>
  <c r="P103" i="28"/>
  <c r="Q103" i="28"/>
  <c r="R103" i="28"/>
  <c r="S103" i="28"/>
  <c r="T103" i="28"/>
  <c r="U103" i="28"/>
  <c r="V103" i="28"/>
  <c r="W103" i="28"/>
  <c r="X103" i="28"/>
  <c r="Y103" i="28"/>
  <c r="Z103" i="28"/>
  <c r="AA103" i="28"/>
  <c r="AB103" i="28"/>
  <c r="AC103" i="28"/>
  <c r="G104" i="28"/>
  <c r="H104" i="28"/>
  <c r="I104" i="28"/>
  <c r="J104" i="28"/>
  <c r="K104" i="28"/>
  <c r="L104" i="28"/>
  <c r="M104" i="28"/>
  <c r="N104" i="28"/>
  <c r="O104" i="28"/>
  <c r="P104" i="28"/>
  <c r="Q104" i="28"/>
  <c r="R104" i="28"/>
  <c r="S104" i="28"/>
  <c r="T104" i="28"/>
  <c r="U104" i="28"/>
  <c r="V104" i="28"/>
  <c r="W104" i="28"/>
  <c r="X104" i="28"/>
  <c r="Y104" i="28"/>
  <c r="Z104" i="28"/>
  <c r="AA104" i="28"/>
  <c r="AB104" i="28"/>
  <c r="AC104" i="28"/>
  <c r="G105" i="28"/>
  <c r="H105" i="28"/>
  <c r="I105" i="28"/>
  <c r="J105" i="28"/>
  <c r="K105" i="28"/>
  <c r="L105" i="28"/>
  <c r="M105" i="28"/>
  <c r="N105" i="28"/>
  <c r="O105" i="28"/>
  <c r="P105" i="28"/>
  <c r="Q105" i="28"/>
  <c r="R105" i="28"/>
  <c r="S105" i="28"/>
  <c r="T105" i="28"/>
  <c r="U105" i="28"/>
  <c r="V105" i="28"/>
  <c r="W105" i="28"/>
  <c r="X105" i="28"/>
  <c r="Y105" i="28"/>
  <c r="Z105" i="28"/>
  <c r="AA105" i="28"/>
  <c r="AB105" i="28"/>
  <c r="AC105" i="28"/>
  <c r="F105" i="28"/>
  <c r="F104" i="28"/>
  <c r="F103" i="28"/>
  <c r="F102" i="28"/>
  <c r="F101" i="28"/>
  <c r="F100" i="28"/>
  <c r="G50" i="28"/>
  <c r="H50" i="28"/>
  <c r="I50" i="28"/>
  <c r="J50" i="28"/>
  <c r="K50" i="28"/>
  <c r="L50" i="28"/>
  <c r="M50" i="28"/>
  <c r="N50" i="28"/>
  <c r="O50" i="28"/>
  <c r="P50" i="28"/>
  <c r="Q50" i="28"/>
  <c r="R50" i="28"/>
  <c r="S50" i="28"/>
  <c r="T50" i="28"/>
  <c r="U50" i="28"/>
  <c r="V50" i="28"/>
  <c r="W50" i="28"/>
  <c r="X50" i="28"/>
  <c r="Y50" i="28"/>
  <c r="Z50" i="28"/>
  <c r="AA50" i="28"/>
  <c r="AB50" i="28"/>
  <c r="AC50" i="28"/>
  <c r="G51" i="28"/>
  <c r="H51" i="28"/>
  <c r="I51" i="28"/>
  <c r="J51" i="28"/>
  <c r="K51" i="28"/>
  <c r="L51" i="28"/>
  <c r="M51" i="28"/>
  <c r="N51" i="28"/>
  <c r="O51" i="28"/>
  <c r="P51" i="28"/>
  <c r="Q51" i="28"/>
  <c r="R51" i="28"/>
  <c r="S51" i="28"/>
  <c r="T51" i="28"/>
  <c r="U51" i="28"/>
  <c r="V51" i="28"/>
  <c r="W51" i="28"/>
  <c r="X51" i="28"/>
  <c r="Y51" i="28"/>
  <c r="Z51" i="28"/>
  <c r="AA51" i="28"/>
  <c r="AB51" i="28"/>
  <c r="AC51" i="28"/>
  <c r="G52" i="28"/>
  <c r="H52" i="28"/>
  <c r="I52" i="28"/>
  <c r="J52" i="28"/>
  <c r="K52" i="28"/>
  <c r="L52" i="28"/>
  <c r="M52" i="28"/>
  <c r="N52" i="28"/>
  <c r="O52" i="28"/>
  <c r="P52" i="28"/>
  <c r="Q52" i="28"/>
  <c r="R52" i="28"/>
  <c r="S52" i="28"/>
  <c r="T52" i="28"/>
  <c r="U52" i="28"/>
  <c r="V52" i="28"/>
  <c r="W52" i="28"/>
  <c r="X52" i="28"/>
  <c r="Y52" i="28"/>
  <c r="Z52" i="28"/>
  <c r="AA52" i="28"/>
  <c r="AB52" i="28"/>
  <c r="AC52" i="28"/>
  <c r="G53" i="28"/>
  <c r="H53" i="28"/>
  <c r="I53" i="28"/>
  <c r="J53" i="28"/>
  <c r="K53" i="28"/>
  <c r="L53" i="28"/>
  <c r="M53" i="28"/>
  <c r="N53" i="28"/>
  <c r="O53" i="28"/>
  <c r="P53" i="28"/>
  <c r="Q53" i="28"/>
  <c r="R53" i="28"/>
  <c r="S53" i="28"/>
  <c r="T53" i="28"/>
  <c r="U53" i="28"/>
  <c r="V53" i="28"/>
  <c r="W53" i="28"/>
  <c r="X53" i="28"/>
  <c r="Y53" i="28"/>
  <c r="Z53" i="28"/>
  <c r="AA53" i="28"/>
  <c r="AB53" i="28"/>
  <c r="AC53" i="28"/>
  <c r="G54" i="28"/>
  <c r="H54" i="28"/>
  <c r="I54" i="28"/>
  <c r="J54" i="28"/>
  <c r="K54" i="28"/>
  <c r="L54" i="28"/>
  <c r="M54" i="28"/>
  <c r="N54" i="28"/>
  <c r="O54" i="28"/>
  <c r="P54" i="28"/>
  <c r="Q54" i="28"/>
  <c r="R54" i="28"/>
  <c r="S54" i="28"/>
  <c r="T54" i="28"/>
  <c r="U54" i="28"/>
  <c r="V54" i="28"/>
  <c r="W54" i="28"/>
  <c r="X54" i="28"/>
  <c r="Y54" i="28"/>
  <c r="Z54" i="28"/>
  <c r="AA54" i="28"/>
  <c r="AB54" i="28"/>
  <c r="AC54" i="28"/>
  <c r="G55" i="28"/>
  <c r="H55" i="28"/>
  <c r="I55" i="28"/>
  <c r="J55" i="28"/>
  <c r="K55" i="28"/>
  <c r="L55" i="28"/>
  <c r="M55" i="28"/>
  <c r="N55" i="28"/>
  <c r="O55" i="28"/>
  <c r="P55" i="28"/>
  <c r="Q55" i="28"/>
  <c r="R55" i="28"/>
  <c r="S55" i="28"/>
  <c r="T55" i="28"/>
  <c r="U55" i="28"/>
  <c r="V55" i="28"/>
  <c r="W55" i="28"/>
  <c r="X55" i="28"/>
  <c r="Y55" i="28"/>
  <c r="Z55" i="28"/>
  <c r="AA55" i="28"/>
  <c r="AB55" i="28"/>
  <c r="AC55" i="28"/>
  <c r="F55" i="28"/>
  <c r="F54" i="28"/>
  <c r="F53" i="28"/>
  <c r="AC75" i="28"/>
  <c r="AC76" i="28"/>
  <c r="AC77" i="28"/>
  <c r="AC78" i="28"/>
  <c r="AC79" i="28"/>
  <c r="AC80" i="28"/>
  <c r="G75" i="28"/>
  <c r="H75" i="28"/>
  <c r="I75" i="28"/>
  <c r="J75" i="28"/>
  <c r="K75" i="28"/>
  <c r="L75" i="28"/>
  <c r="M75" i="28"/>
  <c r="N75" i="28"/>
  <c r="O75" i="28"/>
  <c r="P75" i="28"/>
  <c r="Q75" i="28"/>
  <c r="R75" i="28"/>
  <c r="S75" i="28"/>
  <c r="T75" i="28"/>
  <c r="U75" i="28"/>
  <c r="V75" i="28"/>
  <c r="W75" i="28"/>
  <c r="X75" i="28"/>
  <c r="Y75" i="28"/>
  <c r="Z75" i="28"/>
  <c r="AA75" i="28"/>
  <c r="AB75" i="28"/>
  <c r="G76" i="28"/>
  <c r="H76" i="28"/>
  <c r="I76" i="28"/>
  <c r="J76" i="28"/>
  <c r="K76" i="28"/>
  <c r="L76" i="28"/>
  <c r="M76" i="28"/>
  <c r="N76" i="28"/>
  <c r="O76" i="28"/>
  <c r="P76" i="28"/>
  <c r="Q76" i="28"/>
  <c r="R76" i="28"/>
  <c r="S76" i="28"/>
  <c r="T76" i="28"/>
  <c r="U76" i="28"/>
  <c r="V76" i="28"/>
  <c r="W76" i="28"/>
  <c r="X76" i="28"/>
  <c r="Y76" i="28"/>
  <c r="Z76" i="28"/>
  <c r="AA76" i="28"/>
  <c r="AB76" i="28"/>
  <c r="G77" i="28"/>
  <c r="H77" i="28"/>
  <c r="I77" i="28"/>
  <c r="J77" i="28"/>
  <c r="K77" i="28"/>
  <c r="L77" i="28"/>
  <c r="M77" i="28"/>
  <c r="N77" i="28"/>
  <c r="O77" i="28"/>
  <c r="P77" i="28"/>
  <c r="Q77" i="28"/>
  <c r="R77" i="28"/>
  <c r="S77" i="28"/>
  <c r="T77" i="28"/>
  <c r="U77" i="28"/>
  <c r="V77" i="28"/>
  <c r="W77" i="28"/>
  <c r="X77" i="28"/>
  <c r="Y77" i="28"/>
  <c r="Z77" i="28"/>
  <c r="AA77" i="28"/>
  <c r="AB77" i="28"/>
  <c r="G78" i="28"/>
  <c r="H78" i="28"/>
  <c r="I78" i="28"/>
  <c r="J78" i="28"/>
  <c r="K78" i="28"/>
  <c r="L78" i="28"/>
  <c r="M78" i="28"/>
  <c r="N78" i="28"/>
  <c r="O78" i="28"/>
  <c r="P78" i="28"/>
  <c r="Q78" i="28"/>
  <c r="R78" i="28"/>
  <c r="S78" i="28"/>
  <c r="T78" i="28"/>
  <c r="U78" i="28"/>
  <c r="V78" i="28"/>
  <c r="W78" i="28"/>
  <c r="X78" i="28"/>
  <c r="Y78" i="28"/>
  <c r="Z78" i="28"/>
  <c r="AA78" i="28"/>
  <c r="AB78" i="28"/>
  <c r="G79" i="28"/>
  <c r="H79" i="28"/>
  <c r="I79" i="28"/>
  <c r="J79" i="28"/>
  <c r="K79" i="28"/>
  <c r="L79" i="28"/>
  <c r="M79" i="28"/>
  <c r="N79" i="28"/>
  <c r="O79" i="28"/>
  <c r="P79" i="28"/>
  <c r="Q79" i="28"/>
  <c r="R79" i="28"/>
  <c r="S79" i="28"/>
  <c r="T79" i="28"/>
  <c r="U79" i="28"/>
  <c r="V79" i="28"/>
  <c r="W79" i="28"/>
  <c r="X79" i="28"/>
  <c r="Y79" i="28"/>
  <c r="Z79" i="28"/>
  <c r="AA79" i="28"/>
  <c r="AB79" i="28"/>
  <c r="G80" i="28"/>
  <c r="H80" i="28"/>
  <c r="I80" i="28"/>
  <c r="J80" i="28"/>
  <c r="K80" i="28"/>
  <c r="L80" i="28"/>
  <c r="M80" i="28"/>
  <c r="N80" i="28"/>
  <c r="O80" i="28"/>
  <c r="P80" i="28"/>
  <c r="Q80" i="28"/>
  <c r="R80" i="28"/>
  <c r="S80" i="28"/>
  <c r="T80" i="28"/>
  <c r="U80" i="28"/>
  <c r="V80" i="28"/>
  <c r="W80" i="28"/>
  <c r="X80" i="28"/>
  <c r="Y80" i="28"/>
  <c r="Z80" i="28"/>
  <c r="AA80" i="28"/>
  <c r="AB80" i="28"/>
  <c r="F80" i="28"/>
  <c r="F79" i="28"/>
  <c r="F78" i="28"/>
  <c r="F77" i="28"/>
  <c r="F76" i="28"/>
  <c r="F75" i="28"/>
  <c r="J18" i="1" l="1"/>
  <c r="K18" i="1"/>
  <c r="L18" i="1"/>
  <c r="M18" i="1"/>
  <c r="N18" i="1"/>
  <c r="O18" i="1"/>
  <c r="P18" i="1"/>
  <c r="Q18" i="1"/>
  <c r="R18" i="1"/>
  <c r="S18" i="1"/>
  <c r="T18" i="1"/>
  <c r="U18" i="1"/>
  <c r="V18" i="1"/>
  <c r="W18" i="1"/>
  <c r="X18" i="1"/>
  <c r="J19" i="1"/>
  <c r="K19" i="1"/>
  <c r="L19" i="1"/>
  <c r="M19" i="1"/>
  <c r="N19" i="1"/>
  <c r="O19" i="1"/>
  <c r="P19" i="1"/>
  <c r="Q19" i="1"/>
  <c r="R19" i="1"/>
  <c r="S19" i="1"/>
  <c r="T19" i="1"/>
  <c r="U19" i="1"/>
  <c r="V19" i="1"/>
  <c r="W19" i="1"/>
  <c r="X19" i="1"/>
  <c r="I19" i="1"/>
  <c r="I18" i="1"/>
  <c r="I23" i="1"/>
  <c r="I4" i="1"/>
  <c r="I16" i="18"/>
  <c r="I17" i="18" l="1"/>
  <c r="F51" i="28" l="1"/>
  <c r="F52" i="28"/>
  <c r="F50" i="28"/>
  <c r="G28" i="28" l="1"/>
  <c r="H28" i="28"/>
  <c r="I28" i="28"/>
  <c r="J28" i="28"/>
  <c r="K28" i="28"/>
  <c r="L28" i="28"/>
  <c r="M28" i="28"/>
  <c r="N28" i="28"/>
  <c r="O28" i="28"/>
  <c r="P28" i="28"/>
  <c r="Q28" i="28"/>
  <c r="R28" i="28"/>
  <c r="S28" i="28"/>
  <c r="T28" i="28"/>
  <c r="U28" i="28"/>
  <c r="V28" i="28"/>
  <c r="W28" i="28"/>
  <c r="X28" i="28"/>
  <c r="Y28" i="28"/>
  <c r="Z28" i="28"/>
  <c r="AA28" i="28"/>
  <c r="AB28" i="28"/>
  <c r="AC28" i="28"/>
  <c r="G29" i="28"/>
  <c r="H29" i="28"/>
  <c r="I29" i="28"/>
  <c r="J29" i="28"/>
  <c r="K29" i="28"/>
  <c r="L29" i="28"/>
  <c r="M29" i="28"/>
  <c r="N29" i="28"/>
  <c r="O29" i="28"/>
  <c r="P29" i="28"/>
  <c r="Q29" i="28"/>
  <c r="R29" i="28"/>
  <c r="S29" i="28"/>
  <c r="T29" i="28"/>
  <c r="U29" i="28"/>
  <c r="V29" i="28"/>
  <c r="W29" i="28"/>
  <c r="X29" i="28"/>
  <c r="Y29" i="28"/>
  <c r="Z29" i="28"/>
  <c r="AA29" i="28"/>
  <c r="AB29" i="28"/>
  <c r="AC29" i="28"/>
  <c r="G30" i="28"/>
  <c r="H30" i="28"/>
  <c r="I30" i="28"/>
  <c r="J30" i="28"/>
  <c r="K30" i="28"/>
  <c r="L30" i="28"/>
  <c r="M30" i="28"/>
  <c r="N30" i="28"/>
  <c r="O30" i="28"/>
  <c r="P30" i="28"/>
  <c r="Q30" i="28"/>
  <c r="R30" i="28"/>
  <c r="S30" i="28"/>
  <c r="T30" i="28"/>
  <c r="U30" i="28"/>
  <c r="V30" i="28"/>
  <c r="W30" i="28"/>
  <c r="X30" i="28"/>
  <c r="Y30" i="28"/>
  <c r="Z30" i="28"/>
  <c r="AA30" i="28"/>
  <c r="AB30" i="28"/>
  <c r="AC30" i="28"/>
  <c r="F29" i="28"/>
  <c r="F30" i="28"/>
  <c r="F28" i="28"/>
  <c r="F26" i="28"/>
  <c r="G26" i="28"/>
  <c r="H26" i="28"/>
  <c r="I26" i="28"/>
  <c r="J26" i="28"/>
  <c r="K26" i="28"/>
  <c r="L26" i="28"/>
  <c r="M26" i="28"/>
  <c r="N26" i="28"/>
  <c r="O26" i="28"/>
  <c r="P26" i="28"/>
  <c r="Q26" i="28"/>
  <c r="R26" i="28"/>
  <c r="S26" i="28"/>
  <c r="T26" i="28"/>
  <c r="U26" i="28"/>
  <c r="V26" i="28"/>
  <c r="W26" i="28"/>
  <c r="X26" i="28"/>
  <c r="Y26" i="28"/>
  <c r="Z26" i="28"/>
  <c r="AA26" i="28"/>
  <c r="AB26" i="28"/>
  <c r="AC26" i="28"/>
  <c r="F27" i="28"/>
  <c r="G27" i="28"/>
  <c r="H27" i="28"/>
  <c r="I27" i="28"/>
  <c r="J27" i="28"/>
  <c r="K27" i="28"/>
  <c r="L27" i="28"/>
  <c r="M27" i="28"/>
  <c r="N27" i="28"/>
  <c r="O27" i="28"/>
  <c r="P27" i="28"/>
  <c r="Q27" i="28"/>
  <c r="R27" i="28"/>
  <c r="S27" i="28"/>
  <c r="T27" i="28"/>
  <c r="U27" i="28"/>
  <c r="V27" i="28"/>
  <c r="W27" i="28"/>
  <c r="X27" i="28"/>
  <c r="Y27" i="28"/>
  <c r="Z27" i="28"/>
  <c r="AA27" i="28"/>
  <c r="AB27" i="28"/>
  <c r="AC27" i="28"/>
  <c r="G25" i="28"/>
  <c r="H25" i="28"/>
  <c r="I25" i="28"/>
  <c r="J25" i="28"/>
  <c r="K25" i="28"/>
  <c r="L25" i="28"/>
  <c r="M25" i="28"/>
  <c r="N25" i="28"/>
  <c r="O25" i="28"/>
  <c r="P25" i="28"/>
  <c r="Q25" i="28"/>
  <c r="R25" i="28"/>
  <c r="S25" i="28"/>
  <c r="T25" i="28"/>
  <c r="U25" i="28"/>
  <c r="V25" i="28"/>
  <c r="W25" i="28"/>
  <c r="X25" i="28"/>
  <c r="Y25" i="28"/>
  <c r="Z25" i="28"/>
  <c r="AA25" i="28"/>
  <c r="AB25" i="28"/>
  <c r="AC25" i="28"/>
  <c r="F25" i="28"/>
  <c r="A3" i="29" l="1"/>
  <c r="A14" i="25"/>
  <c r="A13" i="25"/>
  <c r="A12" i="25"/>
  <c r="A11" i="25"/>
  <c r="A10" i="25"/>
  <c r="A9" i="25"/>
  <c r="A8" i="25"/>
  <c r="A6" i="25"/>
  <c r="A5" i="25"/>
  <c r="D30" i="14"/>
  <c r="D29" i="14"/>
  <c r="I18" i="18" l="1"/>
  <c r="I19" i="18"/>
  <c r="I20" i="18"/>
  <c r="I21" i="18"/>
  <c r="A1" i="14" l="1"/>
  <c r="A1" i="27"/>
  <c r="A1" i="22"/>
  <c r="AC65" i="28"/>
  <c r="AB65" i="28"/>
  <c r="AA65" i="28"/>
  <c r="Z65" i="28"/>
  <c r="Y65" i="28"/>
  <c r="X65" i="28"/>
  <c r="W65" i="28"/>
  <c r="V65" i="28"/>
  <c r="U65" i="28"/>
  <c r="T65" i="28"/>
  <c r="S65" i="28"/>
  <c r="R65" i="28"/>
  <c r="Q65" i="28"/>
  <c r="P65" i="28"/>
  <c r="O65" i="28"/>
  <c r="N65" i="28"/>
  <c r="M65" i="28"/>
  <c r="L65" i="28"/>
  <c r="K65" i="28"/>
  <c r="J65" i="28"/>
  <c r="I65" i="28"/>
  <c r="H65" i="28"/>
  <c r="G65" i="28"/>
  <c r="F65" i="28"/>
  <c r="AC64" i="28"/>
  <c r="AB64" i="28"/>
  <c r="AA64" i="28"/>
  <c r="Z64" i="28"/>
  <c r="Y64" i="28"/>
  <c r="X64" i="28"/>
  <c r="W64" i="28"/>
  <c r="V64" i="28"/>
  <c r="U64" i="28"/>
  <c r="T64" i="28"/>
  <c r="S64" i="28"/>
  <c r="R64" i="28"/>
  <c r="Q64" i="28"/>
  <c r="P64" i="28"/>
  <c r="O64" i="28"/>
  <c r="N64" i="28"/>
  <c r="M64" i="28"/>
  <c r="L64" i="28"/>
  <c r="K64" i="28"/>
  <c r="J64" i="28"/>
  <c r="I64" i="28"/>
  <c r="H64" i="28"/>
  <c r="G64" i="28"/>
  <c r="F64" i="28"/>
  <c r="B22" i="9"/>
  <c r="C14" i="9" s="1"/>
  <c r="G14" i="9" l="1"/>
  <c r="G12" i="9"/>
  <c r="C12" i="9"/>
  <c r="G10" i="9"/>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8" i="7"/>
  <c r="A53" i="7"/>
  <c r="A54" i="7"/>
  <c r="A55" i="7"/>
  <c r="A37" i="7"/>
  <c r="A38" i="7"/>
  <c r="A39" i="7"/>
  <c r="A40" i="7"/>
  <c r="A41" i="7"/>
  <c r="A42" i="7"/>
  <c r="A43" i="7"/>
  <c r="A44" i="7"/>
  <c r="A45" i="7"/>
  <c r="A46" i="7"/>
  <c r="A47" i="7"/>
  <c r="A48" i="7"/>
  <c r="A49" i="7"/>
  <c r="A50" i="7"/>
  <c r="A51" i="7"/>
  <c r="A52" i="7"/>
  <c r="A28" i="7"/>
  <c r="A29" i="7"/>
  <c r="A30" i="7"/>
  <c r="A31" i="7"/>
  <c r="A32" i="7"/>
  <c r="A33" i="7"/>
  <c r="A34" i="7"/>
  <c r="A35" i="7"/>
  <c r="A36" i="7"/>
  <c r="A9" i="7"/>
  <c r="A10" i="7"/>
  <c r="A11" i="7"/>
  <c r="A12" i="7"/>
  <c r="A13" i="7"/>
  <c r="A14" i="7"/>
  <c r="A15" i="7"/>
  <c r="A16" i="7"/>
  <c r="A17" i="7"/>
  <c r="A18" i="7"/>
  <c r="A19" i="7"/>
  <c r="A20" i="7"/>
  <c r="A21" i="7"/>
  <c r="A22" i="7"/>
  <c r="A23" i="7"/>
  <c r="A24" i="7"/>
  <c r="A25" i="7"/>
  <c r="A26" i="7"/>
  <c r="A27" i="7"/>
  <c r="A8" i="7"/>
  <c r="C33" i="18"/>
  <c r="H33" i="18" s="1"/>
  <c r="C34" i="18"/>
  <c r="H34" i="18" s="1"/>
  <c r="C35" i="18"/>
  <c r="H35" i="18" s="1"/>
  <c r="C36" i="18"/>
  <c r="H36" i="18" s="1"/>
  <c r="C37" i="18"/>
  <c r="H37" i="18" s="1"/>
  <c r="C38" i="18"/>
  <c r="H38" i="18" s="1"/>
  <c r="C39" i="18"/>
  <c r="H39" i="18" s="1"/>
  <c r="C40" i="18"/>
  <c r="H40" i="18" s="1"/>
  <c r="C41" i="18"/>
  <c r="I41" i="18" s="1"/>
  <c r="C42" i="18"/>
  <c r="H42" i="18" s="1"/>
  <c r="C43" i="18"/>
  <c r="H43" i="18" s="1"/>
  <c r="C44" i="18"/>
  <c r="H44" i="18" s="1"/>
  <c r="C45" i="18"/>
  <c r="H45" i="18" s="1"/>
  <c r="C46" i="18"/>
  <c r="H46" i="18" s="1"/>
  <c r="C47" i="18"/>
  <c r="H47" i="18" s="1"/>
  <c r="C48" i="18"/>
  <c r="H48" i="18" s="1"/>
  <c r="C49" i="18"/>
  <c r="H49" i="18" s="1"/>
  <c r="C50" i="18"/>
  <c r="H50" i="18" s="1"/>
  <c r="C17" i="18"/>
  <c r="H17" i="18" s="1"/>
  <c r="C18" i="18"/>
  <c r="H18" i="18" s="1"/>
  <c r="C19" i="18"/>
  <c r="H19" i="18" s="1"/>
  <c r="C20" i="18"/>
  <c r="H20" i="18" s="1"/>
  <c r="C21" i="18"/>
  <c r="H21" i="18" s="1"/>
  <c r="C22" i="18"/>
  <c r="H22" i="18" s="1"/>
  <c r="C23" i="18"/>
  <c r="H23" i="18" s="1"/>
  <c r="C24" i="18"/>
  <c r="H24" i="18" s="1"/>
  <c r="C25" i="18"/>
  <c r="H25" i="18" s="1"/>
  <c r="C26" i="18"/>
  <c r="H26" i="18" s="1"/>
  <c r="C27" i="18"/>
  <c r="H27" i="18" s="1"/>
  <c r="C28" i="18"/>
  <c r="H28" i="18" s="1"/>
  <c r="C29" i="18"/>
  <c r="H29" i="18" s="1"/>
  <c r="C30" i="18"/>
  <c r="H30" i="18" s="1"/>
  <c r="C31" i="18"/>
  <c r="H31" i="18" s="1"/>
  <c r="C32" i="18"/>
  <c r="H32" i="18" s="1"/>
  <c r="C4" i="18"/>
  <c r="H4" i="18"/>
  <c r="C5" i="18"/>
  <c r="H5" i="18" s="1"/>
  <c r="C6" i="18"/>
  <c r="H6" i="18" s="1"/>
  <c r="C7" i="18"/>
  <c r="H7" i="18" s="1"/>
  <c r="C8" i="18"/>
  <c r="H8" i="18" s="1"/>
  <c r="C9" i="18"/>
  <c r="H9" i="18" s="1"/>
  <c r="C10" i="18"/>
  <c r="H10" i="18" s="1"/>
  <c r="C11" i="18"/>
  <c r="H11" i="18" s="1"/>
  <c r="C12" i="18"/>
  <c r="H12" i="18" s="1"/>
  <c r="C13" i="18"/>
  <c r="H13" i="18" s="1"/>
  <c r="C14" i="18"/>
  <c r="H14" i="18" s="1"/>
  <c r="C15" i="18"/>
  <c r="H15" i="18" s="1"/>
  <c r="C16" i="18"/>
  <c r="H16" i="18" s="1"/>
  <c r="A49" i="18"/>
  <c r="A50" i="18"/>
  <c r="A46" i="18"/>
  <c r="A47" i="18"/>
  <c r="A48" i="18"/>
  <c r="A4" i="18"/>
  <c r="A5" i="18"/>
  <c r="A6" i="18"/>
  <c r="A7" i="18"/>
  <c r="A8" i="18"/>
  <c r="A9" i="18"/>
  <c r="A10" i="18"/>
  <c r="A11" i="18"/>
  <c r="A12" i="18"/>
  <c r="A13" i="18"/>
  <c r="A14" i="18"/>
  <c r="A15" i="18"/>
  <c r="A16" i="18"/>
  <c r="A17" i="18"/>
  <c r="A18" i="18"/>
  <c r="A19" i="18"/>
  <c r="A20" i="18"/>
  <c r="A21" i="18"/>
  <c r="A22" i="18"/>
  <c r="A23" i="18"/>
  <c r="A24" i="18"/>
  <c r="A25" i="18"/>
  <c r="A26" i="18"/>
  <c r="A27" i="18"/>
  <c r="A28" i="18"/>
  <c r="A29" i="18"/>
  <c r="A30" i="18"/>
  <c r="A31" i="18"/>
  <c r="A32" i="18"/>
  <c r="A33" i="18"/>
  <c r="A34" i="18"/>
  <c r="A35" i="18"/>
  <c r="A36" i="18"/>
  <c r="A37" i="18"/>
  <c r="A38" i="18"/>
  <c r="A39" i="18"/>
  <c r="A40" i="18"/>
  <c r="A41" i="18"/>
  <c r="A42" i="18"/>
  <c r="A43" i="18"/>
  <c r="A44" i="18"/>
  <c r="A45" i="18"/>
  <c r="C3" i="18"/>
  <c r="H3" i="18" s="1"/>
  <c r="H41" i="18" l="1"/>
  <c r="C56" i="7"/>
  <c r="J33" i="1" l="1"/>
  <c r="K33" i="1"/>
  <c r="L33" i="1"/>
  <c r="M33" i="1"/>
  <c r="N33" i="1"/>
  <c r="O33" i="1"/>
  <c r="P33" i="1"/>
  <c r="Q33" i="1"/>
  <c r="R33" i="1"/>
  <c r="S33" i="1"/>
  <c r="T33" i="1"/>
  <c r="U33" i="1"/>
  <c r="V33" i="1"/>
  <c r="W33" i="1"/>
  <c r="X33" i="1"/>
  <c r="J34" i="1"/>
  <c r="K34" i="1"/>
  <c r="L34" i="1"/>
  <c r="M34" i="1"/>
  <c r="N34" i="1"/>
  <c r="O34" i="1"/>
  <c r="P34" i="1"/>
  <c r="Q34" i="1"/>
  <c r="R34" i="1"/>
  <c r="S34" i="1"/>
  <c r="T34" i="1"/>
  <c r="U34" i="1"/>
  <c r="V34" i="1"/>
  <c r="W34" i="1"/>
  <c r="X34" i="1"/>
  <c r="I34" i="1"/>
  <c r="X29" i="1"/>
  <c r="W29" i="1"/>
  <c r="V29" i="1"/>
  <c r="U29" i="1"/>
  <c r="T29" i="1"/>
  <c r="S29" i="1"/>
  <c r="R29" i="1"/>
  <c r="Q29" i="1"/>
  <c r="P29" i="1"/>
  <c r="O29" i="1"/>
  <c r="N29" i="1"/>
  <c r="M29" i="1"/>
  <c r="L29" i="1"/>
  <c r="K29" i="1"/>
  <c r="J29" i="1"/>
  <c r="I29" i="1"/>
  <c r="X28" i="1"/>
  <c r="W28" i="1"/>
  <c r="V28" i="1"/>
  <c r="U28" i="1"/>
  <c r="T28" i="1"/>
  <c r="S28" i="1"/>
  <c r="R28" i="1"/>
  <c r="Q28" i="1"/>
  <c r="P28" i="1"/>
  <c r="O28" i="1"/>
  <c r="N28" i="1"/>
  <c r="M28" i="1"/>
  <c r="L28" i="1"/>
  <c r="K28" i="1"/>
  <c r="J28" i="1"/>
  <c r="I28" i="1"/>
  <c r="X4" i="1"/>
  <c r="W4" i="1"/>
  <c r="V4" i="1"/>
  <c r="U4" i="1"/>
  <c r="T4" i="1"/>
  <c r="S4" i="1"/>
  <c r="R4" i="1"/>
  <c r="Q4" i="1"/>
  <c r="P4" i="1"/>
  <c r="O4" i="1"/>
  <c r="N4" i="1"/>
  <c r="M4" i="1"/>
  <c r="L4" i="1"/>
  <c r="K4" i="1"/>
  <c r="J4" i="1"/>
  <c r="C209" i="29" l="1"/>
  <c r="B17" i="29"/>
  <c r="B18" i="29"/>
  <c r="X24" i="1"/>
  <c r="W24" i="1"/>
  <c r="V24" i="1"/>
  <c r="U24" i="1"/>
  <c r="T24" i="1"/>
  <c r="S24" i="1"/>
  <c r="R24" i="1"/>
  <c r="Q24" i="1"/>
  <c r="P24" i="1"/>
  <c r="O24" i="1"/>
  <c r="N24" i="1"/>
  <c r="M24" i="1"/>
  <c r="L24" i="1"/>
  <c r="K24" i="1"/>
  <c r="J24" i="1"/>
  <c r="I24" i="1"/>
  <c r="J23" i="1"/>
  <c r="K23" i="1"/>
  <c r="L23" i="1"/>
  <c r="M23" i="1"/>
  <c r="N23" i="1"/>
  <c r="O23" i="1"/>
  <c r="P23" i="1"/>
  <c r="Q23" i="1"/>
  <c r="R23" i="1"/>
  <c r="S23" i="1"/>
  <c r="T23" i="1"/>
  <c r="U23" i="1"/>
  <c r="V23" i="1"/>
  <c r="W23" i="1"/>
  <c r="X23" i="1"/>
  <c r="A13" i="29" l="1"/>
  <c r="A12" i="29"/>
  <c r="A11" i="29"/>
  <c r="A10" i="29"/>
  <c r="A9" i="29"/>
  <c r="A8" i="29"/>
  <c r="A7" i="29"/>
  <c r="A6" i="29"/>
  <c r="A5" i="29"/>
  <c r="A4" i="29"/>
  <c r="J8" i="13" l="1"/>
  <c r="J4" i="13"/>
  <c r="J5" i="13"/>
  <c r="J6" i="13"/>
  <c r="J7" i="13"/>
  <c r="J9" i="13"/>
  <c r="J10" i="13"/>
  <c r="J11" i="13"/>
  <c r="J12" i="13"/>
  <c r="J13" i="13"/>
  <c r="J14" i="13"/>
  <c r="J15" i="13"/>
  <c r="J16" i="13"/>
  <c r="J17" i="13"/>
  <c r="J18" i="13"/>
  <c r="J19" i="13"/>
  <c r="J20" i="13"/>
  <c r="J21" i="13"/>
  <c r="J22" i="13"/>
  <c r="J23" i="13"/>
  <c r="J24" i="13"/>
  <c r="J25" i="13"/>
  <c r="J26" i="13"/>
  <c r="J27" i="13"/>
  <c r="J28" i="13"/>
  <c r="J29" i="13"/>
  <c r="J30" i="13"/>
  <c r="J31" i="13"/>
  <c r="J32" i="13"/>
  <c r="J33" i="13"/>
  <c r="J34" i="13"/>
  <c r="J35" i="13"/>
  <c r="J36" i="13"/>
  <c r="J37" i="13"/>
  <c r="J38" i="13"/>
  <c r="J39" i="13"/>
  <c r="J40" i="13"/>
  <c r="J41" i="13"/>
  <c r="J42" i="13"/>
  <c r="J43" i="13"/>
  <c r="J44" i="13"/>
  <c r="J45" i="13"/>
  <c r="J46" i="13"/>
  <c r="J47" i="13"/>
  <c r="J48" i="13"/>
  <c r="J49" i="13"/>
  <c r="J50" i="13"/>
  <c r="J3" i="13"/>
  <c r="D8" i="7" s="1"/>
  <c r="G51" i="13"/>
  <c r="D44" i="7" l="1"/>
  <c r="F44" i="7" s="1"/>
  <c r="G44" i="7" s="1"/>
  <c r="B39" i="18"/>
  <c r="B16" i="18"/>
  <c r="G16" i="18" s="1"/>
  <c r="J16" i="18" s="1"/>
  <c r="D21" i="7"/>
  <c r="F21" i="7" s="1"/>
  <c r="G21" i="7" s="1"/>
  <c r="D52" i="7"/>
  <c r="F52" i="7" s="1"/>
  <c r="G52" i="7" s="1"/>
  <c r="B47" i="18"/>
  <c r="G47" i="18" s="1"/>
  <c r="J47" i="18" s="1"/>
  <c r="B25" i="18"/>
  <c r="D30" i="7"/>
  <c r="F30" i="7" s="1"/>
  <c r="G30" i="7" s="1"/>
  <c r="B46" i="18"/>
  <c r="G46" i="18" s="1"/>
  <c r="J46" i="18" s="1"/>
  <c r="D51" i="7"/>
  <c r="F51" i="7" s="1"/>
  <c r="G51" i="7" s="1"/>
  <c r="B24" i="18"/>
  <c r="D29" i="7"/>
  <c r="F29" i="7" s="1"/>
  <c r="G29" i="7" s="1"/>
  <c r="B45" i="18"/>
  <c r="G45" i="18" s="1"/>
  <c r="J45" i="18" s="1"/>
  <c r="D50" i="7"/>
  <c r="F50" i="7" s="1"/>
  <c r="G50" i="7" s="1"/>
  <c r="D28" i="7"/>
  <c r="F28" i="7" s="1"/>
  <c r="G28" i="7" s="1"/>
  <c r="B23" i="18"/>
  <c r="D49" i="7"/>
  <c r="F49" i="7" s="1"/>
  <c r="G49" i="7" s="1"/>
  <c r="B44" i="18"/>
  <c r="G44" i="18" s="1"/>
  <c r="J44" i="18" s="1"/>
  <c r="B22" i="18"/>
  <c r="D27" i="7"/>
  <c r="F27" i="7" s="1"/>
  <c r="G27" i="7" s="1"/>
  <c r="B43" i="18"/>
  <c r="G43" i="18" s="1"/>
  <c r="J43" i="18" s="1"/>
  <c r="D48" i="7"/>
  <c r="F48" i="7" s="1"/>
  <c r="G48" i="7" s="1"/>
  <c r="B21" i="18"/>
  <c r="G21" i="18" s="1"/>
  <c r="J21" i="18" s="1"/>
  <c r="D26" i="7"/>
  <c r="F26" i="7" s="1"/>
  <c r="G26" i="7" s="1"/>
  <c r="B42" i="18"/>
  <c r="G42" i="18" s="1"/>
  <c r="J42" i="18" s="1"/>
  <c r="D47" i="7"/>
  <c r="F47" i="7" s="1"/>
  <c r="G47" i="7" s="1"/>
  <c r="D25" i="7"/>
  <c r="F25" i="7" s="1"/>
  <c r="G25" i="7" s="1"/>
  <c r="B20" i="18"/>
  <c r="G20" i="18" s="1"/>
  <c r="J20" i="18" s="1"/>
  <c r="B41" i="18"/>
  <c r="D46" i="7"/>
  <c r="F46" i="7" s="1"/>
  <c r="G46" i="7" s="1"/>
  <c r="B19" i="18"/>
  <c r="G19" i="18" s="1"/>
  <c r="J19" i="18" s="1"/>
  <c r="D24" i="7"/>
  <c r="F24" i="7" s="1"/>
  <c r="G24" i="7" s="1"/>
  <c r="D45" i="7"/>
  <c r="F45" i="7" s="1"/>
  <c r="G45" i="7" s="1"/>
  <c r="B40" i="18"/>
  <c r="D23" i="7"/>
  <c r="F23" i="7" s="1"/>
  <c r="G23" i="7" s="1"/>
  <c r="B18" i="18"/>
  <c r="G18" i="18" s="1"/>
  <c r="J18" i="18" s="1"/>
  <c r="D22" i="7"/>
  <c r="F22" i="7" s="1"/>
  <c r="G22" i="7" s="1"/>
  <c r="B17" i="18"/>
  <c r="G17" i="18" s="1"/>
  <c r="J17" i="18" s="1"/>
  <c r="B38" i="18"/>
  <c r="D43" i="7"/>
  <c r="F43" i="7" s="1"/>
  <c r="G43" i="7" s="1"/>
  <c r="B37" i="18"/>
  <c r="D42" i="7"/>
  <c r="F42" i="7" s="1"/>
  <c r="G42" i="7" s="1"/>
  <c r="B15" i="18"/>
  <c r="G15" i="18" s="1"/>
  <c r="J15" i="18" s="1"/>
  <c r="D20" i="7"/>
  <c r="F20" i="7" s="1"/>
  <c r="G20" i="7" s="1"/>
  <c r="B36" i="18"/>
  <c r="D41" i="7"/>
  <c r="F41" i="7" s="1"/>
  <c r="G41" i="7" s="1"/>
  <c r="B14" i="18"/>
  <c r="G14" i="18" s="1"/>
  <c r="J14" i="18" s="1"/>
  <c r="D19" i="7"/>
  <c r="F19" i="7" s="1"/>
  <c r="G19" i="7" s="1"/>
  <c r="D40" i="7"/>
  <c r="F40" i="7" s="1"/>
  <c r="G40" i="7" s="1"/>
  <c r="B35" i="18"/>
  <c r="B13" i="18"/>
  <c r="G13" i="18" s="1"/>
  <c r="J13" i="18" s="1"/>
  <c r="D18" i="7"/>
  <c r="F18" i="7" s="1"/>
  <c r="G18" i="7" s="1"/>
  <c r="D39" i="7"/>
  <c r="F39" i="7" s="1"/>
  <c r="G39" i="7" s="1"/>
  <c r="B34" i="18"/>
  <c r="B12" i="18"/>
  <c r="G12" i="18" s="1"/>
  <c r="J12" i="18" s="1"/>
  <c r="D17" i="7"/>
  <c r="F17" i="7" s="1"/>
  <c r="G17" i="7" s="1"/>
  <c r="D38" i="7"/>
  <c r="F38" i="7" s="1"/>
  <c r="G38" i="7" s="1"/>
  <c r="B33" i="18"/>
  <c r="B11" i="18"/>
  <c r="G11" i="18" s="1"/>
  <c r="J11" i="18" s="1"/>
  <c r="D16" i="7"/>
  <c r="F16" i="7" s="1"/>
  <c r="G16" i="7" s="1"/>
  <c r="D37" i="7"/>
  <c r="F37" i="7" s="1"/>
  <c r="G37" i="7" s="1"/>
  <c r="B32" i="18"/>
  <c r="B10" i="18"/>
  <c r="G10" i="18" s="1"/>
  <c r="J10" i="18" s="1"/>
  <c r="D15" i="7"/>
  <c r="F15" i="7" s="1"/>
  <c r="G15" i="7" s="1"/>
  <c r="B31" i="18"/>
  <c r="D36" i="7"/>
  <c r="F36" i="7" s="1"/>
  <c r="G36" i="7" s="1"/>
  <c r="B9" i="18"/>
  <c r="G9" i="18" s="1"/>
  <c r="J9" i="18" s="1"/>
  <c r="D14" i="7"/>
  <c r="F14" i="7" s="1"/>
  <c r="F19" i="13"/>
  <c r="F26" i="13"/>
  <c r="F21" i="13"/>
  <c r="F50" i="13"/>
  <c r="F49" i="13"/>
  <c r="F48" i="13"/>
  <c r="F24" i="13"/>
  <c r="F47" i="13"/>
  <c r="F3" i="13"/>
  <c r="F42" i="13"/>
  <c r="F46" i="13"/>
  <c r="F4" i="13"/>
  <c r="F41" i="13"/>
  <c r="F45" i="13"/>
  <c r="F5" i="13"/>
  <c r="F40" i="13"/>
  <c r="F6" i="13"/>
  <c r="F43" i="13"/>
  <c r="F7" i="13"/>
  <c r="F8" i="13"/>
  <c r="F36" i="13"/>
  <c r="F10" i="13"/>
  <c r="F34" i="13"/>
  <c r="F12" i="13"/>
  <c r="F32" i="13"/>
  <c r="F14" i="13"/>
  <c r="F16" i="13"/>
  <c r="F29" i="13"/>
  <c r="F17" i="13"/>
  <c r="F28" i="13"/>
  <c r="F20" i="13"/>
  <c r="F25" i="13"/>
  <c r="F23" i="13"/>
  <c r="F44" i="13"/>
  <c r="F39" i="13"/>
  <c r="F38" i="13"/>
  <c r="F37" i="13"/>
  <c r="F9" i="13"/>
  <c r="F35" i="13"/>
  <c r="F11" i="13"/>
  <c r="F33" i="13"/>
  <c r="F13" i="13"/>
  <c r="F31" i="13"/>
  <c r="B23" i="9"/>
  <c r="F18" i="13"/>
  <c r="F22" i="13"/>
  <c r="F30" i="13"/>
  <c r="F27" i="13"/>
  <c r="F15" i="13"/>
  <c r="D35" i="7"/>
  <c r="F35" i="7" s="1"/>
  <c r="G35" i="7" s="1"/>
  <c r="B30" i="18"/>
  <c r="B7" i="18"/>
  <c r="G7" i="18" s="1"/>
  <c r="J7" i="18" s="1"/>
  <c r="D12" i="7"/>
  <c r="F12" i="7" s="1"/>
  <c r="G12" i="7" s="1"/>
  <c r="J51" i="13"/>
  <c r="B3" i="18"/>
  <c r="G3" i="18" s="1"/>
  <c r="J3" i="18" s="1"/>
  <c r="B29" i="18"/>
  <c r="D34" i="7"/>
  <c r="F34" i="7" s="1"/>
  <c r="G34" i="7" s="1"/>
  <c r="B6" i="18"/>
  <c r="G6" i="18" s="1"/>
  <c r="J6" i="18" s="1"/>
  <c r="D11" i="7"/>
  <c r="F11" i="7" s="1"/>
  <c r="B50" i="18"/>
  <c r="I50" i="18" s="1"/>
  <c r="D55" i="7"/>
  <c r="F55" i="7" s="1"/>
  <c r="G55" i="7" s="1"/>
  <c r="B28" i="18"/>
  <c r="D33" i="7"/>
  <c r="F33" i="7" s="1"/>
  <c r="G33" i="7" s="1"/>
  <c r="B5" i="18"/>
  <c r="G5" i="18" s="1"/>
  <c r="J5" i="18" s="1"/>
  <c r="D10" i="7"/>
  <c r="F10" i="7" s="1"/>
  <c r="G10" i="7" s="1"/>
  <c r="D54" i="7"/>
  <c r="F54" i="7" s="1"/>
  <c r="G54" i="7" s="1"/>
  <c r="B49" i="18"/>
  <c r="G49" i="18" s="1"/>
  <c r="J49" i="18" s="1"/>
  <c r="D32" i="7"/>
  <c r="F32" i="7" s="1"/>
  <c r="G32" i="7" s="1"/>
  <c r="B27" i="18"/>
  <c r="B4" i="18"/>
  <c r="G4" i="18" s="1"/>
  <c r="J4" i="18" s="1"/>
  <c r="D9" i="7"/>
  <c r="F9" i="7" s="1"/>
  <c r="G9" i="7" s="1"/>
  <c r="B48" i="18"/>
  <c r="G48" i="18" s="1"/>
  <c r="J48" i="18" s="1"/>
  <c r="D53" i="7"/>
  <c r="F53" i="7" s="1"/>
  <c r="G53" i="7" s="1"/>
  <c r="B26" i="18"/>
  <c r="D31" i="7"/>
  <c r="F31" i="7" s="1"/>
  <c r="G31" i="7" s="1"/>
  <c r="B8" i="18"/>
  <c r="G8" i="18" s="1"/>
  <c r="J8" i="18" s="1"/>
  <c r="D13" i="7"/>
  <c r="F13" i="7" s="1"/>
  <c r="G13" i="7" s="1"/>
  <c r="AB4" i="21"/>
  <c r="AB5" i="21"/>
  <c r="AB6" i="21"/>
  <c r="AB7" i="21"/>
  <c r="AB8" i="21"/>
  <c r="H5" i="21"/>
  <c r="H6" i="21"/>
  <c r="H7" i="21"/>
  <c r="H8" i="21"/>
  <c r="H9" i="21"/>
  <c r="H10" i="21"/>
  <c r="H11" i="21"/>
  <c r="H12" i="21"/>
  <c r="H13" i="21"/>
  <c r="H14" i="21"/>
  <c r="H15" i="21"/>
  <c r="H16" i="21"/>
  <c r="H17" i="21"/>
  <c r="H18" i="21"/>
  <c r="H19" i="21"/>
  <c r="H4" i="21"/>
  <c r="L33" i="21"/>
  <c r="P64" i="21"/>
  <c r="Q64" i="21"/>
  <c r="R64" i="21"/>
  <c r="S64" i="21"/>
  <c r="T64" i="21"/>
  <c r="P65" i="21"/>
  <c r="Q65" i="21"/>
  <c r="R65" i="21"/>
  <c r="S65" i="21"/>
  <c r="T65" i="21"/>
  <c r="P66" i="21"/>
  <c r="Q66" i="21"/>
  <c r="R66" i="21"/>
  <c r="S66" i="21"/>
  <c r="T66" i="21"/>
  <c r="P67" i="21"/>
  <c r="Q67" i="21"/>
  <c r="R67" i="21"/>
  <c r="S67" i="21"/>
  <c r="T67" i="21"/>
  <c r="P68" i="21"/>
  <c r="Q68" i="21"/>
  <c r="R68" i="21"/>
  <c r="S68" i="21"/>
  <c r="T68" i="21"/>
  <c r="P69" i="21"/>
  <c r="Q69" i="21"/>
  <c r="R69" i="21"/>
  <c r="S69" i="21"/>
  <c r="T69" i="21"/>
  <c r="P70" i="21"/>
  <c r="Q70" i="21"/>
  <c r="R70" i="21"/>
  <c r="S70" i="21"/>
  <c r="T70" i="21"/>
  <c r="P71" i="21"/>
  <c r="Q71" i="21"/>
  <c r="R71" i="21"/>
  <c r="S71" i="21"/>
  <c r="T71" i="21"/>
  <c r="P72" i="21"/>
  <c r="Q72" i="21"/>
  <c r="R72" i="21"/>
  <c r="S72" i="21"/>
  <c r="T72" i="21"/>
  <c r="P73" i="21"/>
  <c r="Q73" i="21"/>
  <c r="R73" i="21"/>
  <c r="S73" i="21"/>
  <c r="T73" i="21"/>
  <c r="P74" i="21"/>
  <c r="Q74" i="21"/>
  <c r="R74" i="21"/>
  <c r="S74" i="21"/>
  <c r="T74" i="21"/>
  <c r="P75" i="21"/>
  <c r="Q75" i="21"/>
  <c r="R75" i="21"/>
  <c r="S75" i="21"/>
  <c r="T75" i="21"/>
  <c r="P76" i="21"/>
  <c r="Q76" i="21"/>
  <c r="R76" i="21"/>
  <c r="S76" i="21"/>
  <c r="T76" i="21"/>
  <c r="P77" i="21"/>
  <c r="Q77" i="21"/>
  <c r="R77" i="21"/>
  <c r="S77" i="21"/>
  <c r="T77" i="21"/>
  <c r="P78" i="21"/>
  <c r="Q78" i="21"/>
  <c r="R78" i="21"/>
  <c r="S78" i="21"/>
  <c r="T78" i="21"/>
  <c r="P79" i="21"/>
  <c r="Q79" i="21"/>
  <c r="R79" i="21"/>
  <c r="S79" i="21"/>
  <c r="T79" i="21"/>
  <c r="P80" i="21"/>
  <c r="Q80" i="21"/>
  <c r="R80" i="21"/>
  <c r="S80" i="21"/>
  <c r="T80" i="21"/>
  <c r="O65" i="21"/>
  <c r="O66" i="21"/>
  <c r="O67" i="21"/>
  <c r="O68" i="21"/>
  <c r="O69" i="21"/>
  <c r="O70" i="21"/>
  <c r="O71" i="21"/>
  <c r="O72" i="21"/>
  <c r="O73" i="21"/>
  <c r="O74" i="21"/>
  <c r="O75" i="21"/>
  <c r="O76" i="21"/>
  <c r="O77" i="21"/>
  <c r="O78" i="21"/>
  <c r="O79" i="21"/>
  <c r="O80" i="21"/>
  <c r="O64" i="21"/>
  <c r="G37" i="18" l="1"/>
  <c r="I37" i="18"/>
  <c r="G50" i="18"/>
  <c r="G38" i="18"/>
  <c r="I38" i="18"/>
  <c r="G40" i="18"/>
  <c r="I40" i="18"/>
  <c r="G28" i="18"/>
  <c r="I28" i="18"/>
  <c r="G34" i="18"/>
  <c r="I34" i="18"/>
  <c r="G29" i="18"/>
  <c r="I29" i="18"/>
  <c r="G33" i="18"/>
  <c r="I33" i="18"/>
  <c r="G24" i="18"/>
  <c r="I24" i="18"/>
  <c r="G30" i="18"/>
  <c r="I30" i="18"/>
  <c r="G22" i="18"/>
  <c r="I22" i="18"/>
  <c r="G23" i="18"/>
  <c r="I23" i="18"/>
  <c r="G25" i="18"/>
  <c r="I25" i="18"/>
  <c r="G35" i="18"/>
  <c r="I35" i="18"/>
  <c r="G31" i="18"/>
  <c r="I31" i="18"/>
  <c r="G32" i="18"/>
  <c r="I32" i="18"/>
  <c r="G26" i="18"/>
  <c r="I26" i="18"/>
  <c r="G27" i="18"/>
  <c r="I27" i="18"/>
  <c r="G39" i="18"/>
  <c r="I39" i="18"/>
  <c r="G36" i="18"/>
  <c r="I36" i="18"/>
  <c r="G41" i="18"/>
  <c r="J41" i="18" s="1"/>
  <c r="D56" i="7"/>
  <c r="F8" i="7"/>
  <c r="G11" i="7"/>
  <c r="F51" i="13"/>
  <c r="C15" i="9"/>
  <c r="G15" i="9" s="1"/>
  <c r="C13" i="9"/>
  <c r="G13" i="9" s="1"/>
  <c r="G17" i="9" s="1"/>
  <c r="B3" i="9" s="1"/>
  <c r="C11" i="9"/>
  <c r="G11" i="9" s="1"/>
  <c r="B63" i="7"/>
  <c r="G14" i="7"/>
  <c r="F31" i="29"/>
  <c r="F25" i="29"/>
  <c r="F26" i="29"/>
  <c r="F27" i="29"/>
  <c r="F28" i="29"/>
  <c r="F29" i="29"/>
  <c r="F30" i="29"/>
  <c r="F32" i="29"/>
  <c r="F33" i="29"/>
  <c r="F24" i="29"/>
  <c r="B83" i="29"/>
  <c r="B62" i="7" l="1"/>
  <c r="B64" i="7" s="1"/>
  <c r="F64" i="7" s="1"/>
  <c r="D3" i="7" s="1"/>
  <c r="J40" i="18"/>
  <c r="J31" i="18"/>
  <c r="J23" i="18"/>
  <c r="J30" i="18"/>
  <c r="J24" i="18"/>
  <c r="J39" i="18"/>
  <c r="J27" i="18"/>
  <c r="J26" i="18"/>
  <c r="J34" i="18"/>
  <c r="J32" i="18"/>
  <c r="J35" i="18"/>
  <c r="J38" i="18"/>
  <c r="J25" i="18"/>
  <c r="J50" i="18"/>
  <c r="J22" i="18"/>
  <c r="J36" i="18"/>
  <c r="J33" i="18"/>
  <c r="J29" i="18"/>
  <c r="J28" i="18"/>
  <c r="J37" i="18"/>
  <c r="G56" i="7"/>
  <c r="F56" i="7"/>
  <c r="G16" i="9"/>
  <c r="A3" i="9" s="1"/>
  <c r="C3" i="9" s="1"/>
  <c r="C63" i="7"/>
  <c r="F34" i="29"/>
  <c r="C62" i="7" l="1"/>
  <c r="F62" i="7"/>
  <c r="D4" i="7" s="1"/>
  <c r="F63" i="7"/>
  <c r="D62" i="7"/>
  <c r="E62" i="7" s="1"/>
  <c r="D63" i="7"/>
  <c r="G18" i="9"/>
  <c r="C83" i="29"/>
  <c r="K83" i="29"/>
  <c r="L83" i="29"/>
  <c r="M83" i="29"/>
  <c r="F83" i="29"/>
  <c r="G83" i="29"/>
  <c r="I83" i="29"/>
  <c r="D83" i="29"/>
  <c r="A60" i="29"/>
  <c r="A61" i="29" s="1"/>
  <c r="A62" i="29" s="1"/>
  <c r="A63" i="29" s="1"/>
  <c r="A64" i="29" s="1"/>
  <c r="A65" i="29" s="1"/>
  <c r="A66" i="29" s="1"/>
  <c r="A67" i="29" s="1"/>
  <c r="A68" i="29" s="1"/>
  <c r="A69" i="29" s="1"/>
  <c r="A70" i="29" s="1"/>
  <c r="A71" i="29" s="1"/>
  <c r="A72" i="29" s="1"/>
  <c r="A73" i="29" s="1"/>
  <c r="A74" i="29" s="1"/>
  <c r="A75" i="29" s="1"/>
  <c r="A76" i="29" s="1"/>
  <c r="A77" i="29" s="1"/>
  <c r="A78" i="29" s="1"/>
  <c r="A79" i="29" s="1"/>
  <c r="A80" i="29" s="1"/>
  <c r="A81" i="29" s="1"/>
  <c r="A82" i="29" s="1"/>
  <c r="G66" i="7" l="1"/>
  <c r="E4" i="7" s="1"/>
  <c r="I63" i="7"/>
  <c r="G62" i="7"/>
  <c r="E3" i="7" s="1"/>
  <c r="C40" i="29"/>
  <c r="E40" i="29"/>
  <c r="L40" i="29" s="1"/>
  <c r="M84" i="29"/>
  <c r="D40" i="29"/>
  <c r="K40" i="29" s="1"/>
  <c r="K34" i="21"/>
  <c r="K35" i="21"/>
  <c r="K36" i="21"/>
  <c r="K37" i="21"/>
  <c r="K38" i="21"/>
  <c r="K39" i="21"/>
  <c r="K40" i="21"/>
  <c r="K41" i="21"/>
  <c r="K42" i="21"/>
  <c r="K43" i="21"/>
  <c r="K44" i="21"/>
  <c r="K45" i="21"/>
  <c r="K46" i="21"/>
  <c r="K47" i="21"/>
  <c r="K48" i="21"/>
  <c r="K49" i="21"/>
  <c r="K33" i="21"/>
  <c r="I66" i="7" l="1"/>
  <c r="I62" i="7"/>
  <c r="E57" i="21" l="1"/>
  <c r="E59" i="2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Mohsen Abrishami</author>
  </authors>
  <commentList>
    <comment ref="V54" authorId="0" shapeId="0" xr:uid="{108CE483-BD68-455B-A054-AEA15D666A76}">
      <text>
        <r>
          <rPr>
            <b/>
            <sz val="9"/>
            <color indexed="81"/>
            <rFont val="Tahoma"/>
            <family val="2"/>
          </rPr>
          <t xml:space="preserve">
</t>
        </r>
        <r>
          <rPr>
            <b/>
            <sz val="12"/>
            <color indexed="81"/>
            <rFont val="Tahoma"/>
            <family val="2"/>
          </rPr>
          <t>Saturation is defined as the % of total floorspace for each combination of end-use and fuel-type.</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Mohsen Abrishami</author>
  </authors>
  <commentList>
    <comment ref="D46" authorId="0" shapeId="0" xr:uid="{77E1ADFB-E079-4C65-A206-4B99F6D9DD36}">
      <text>
        <r>
          <rPr>
            <b/>
            <sz val="9"/>
            <color indexed="81"/>
            <rFont val="Tahoma"/>
            <family val="2"/>
          </rPr>
          <t xml:space="preserve">
</t>
        </r>
        <r>
          <rPr>
            <b/>
            <sz val="12"/>
            <color indexed="81"/>
            <rFont val="Tahoma"/>
            <family val="2"/>
          </rPr>
          <t>Weighted &amp; scaled to 2022 economy</t>
        </r>
      </text>
    </comment>
    <comment ref="N46" authorId="0" shapeId="0" xr:uid="{19EB706C-35B4-4A61-8404-D36AEC510B31}">
      <text>
        <r>
          <rPr>
            <b/>
            <sz val="9"/>
            <color indexed="81"/>
            <rFont val="Tahoma"/>
            <family val="2"/>
          </rPr>
          <t xml:space="preserve">
</t>
        </r>
        <r>
          <rPr>
            <b/>
            <sz val="12"/>
            <color indexed="81"/>
            <rFont val="Tahoma"/>
            <family val="2"/>
          </rPr>
          <t>Weighted &amp; scaled to 2022 economy</t>
        </r>
      </text>
    </comment>
    <comment ref="Z46" authorId="0" shapeId="0" xr:uid="{4B1226B5-3C2A-4C74-BCEF-2CC501A797DE}">
      <text>
        <r>
          <rPr>
            <b/>
            <sz val="9"/>
            <color indexed="81"/>
            <rFont val="Tahoma"/>
            <family val="2"/>
          </rPr>
          <t>Mohsen Abrishami:
Reported in Appdx K</t>
        </r>
      </text>
    </comment>
    <comment ref="E70" authorId="0" shapeId="0" xr:uid="{5902BBB0-8A82-440D-B5D0-2A9748115F33}">
      <text>
        <r>
          <rPr>
            <b/>
            <sz val="9"/>
            <color indexed="81"/>
            <rFont val="Tahoma"/>
            <family val="2"/>
          </rPr>
          <t>The saturations here are the % of total floorspace for each combination of end-use and fuel.</t>
        </r>
        <r>
          <rPr>
            <sz val="9"/>
            <color indexed="81"/>
            <rFont val="Tahoma"/>
            <family val="2"/>
          </rPr>
          <t xml:space="preserve">
</t>
        </r>
      </text>
    </comment>
    <comment ref="I70" authorId="0" shapeId="0" xr:uid="{727FD7A1-3A2F-4637-883F-C2B7A6551625}">
      <text>
        <r>
          <rPr>
            <b/>
            <sz val="9"/>
            <color indexed="81"/>
            <rFont val="Tahoma"/>
            <family val="2"/>
          </rPr>
          <t>The saturations here are the % of total floorspace for each combination of end-use and fuel.</t>
        </r>
        <r>
          <rPr>
            <sz val="9"/>
            <color indexed="81"/>
            <rFont val="Tahoma"/>
            <family val="2"/>
          </rPr>
          <t xml:space="preserve">
</t>
        </r>
      </text>
    </comment>
    <comment ref="M70" authorId="0" shapeId="0" xr:uid="{A1572544-0C8F-47E2-B8C0-FD9BC5A11052}">
      <text>
        <r>
          <rPr>
            <b/>
            <sz val="9"/>
            <color indexed="81"/>
            <rFont val="Tahoma"/>
            <family val="2"/>
          </rPr>
          <t>The saturations here are the % of total floorspace for each combination of end-use and fuel.</t>
        </r>
        <r>
          <rPr>
            <sz val="9"/>
            <color indexed="81"/>
            <rFont val="Tahoma"/>
            <family val="2"/>
          </rPr>
          <t xml:space="preserve">
</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<sst xmlns="http://schemas.openxmlformats.org/spreadsheetml/2006/main" count="2095" uniqueCount="875">
  <si>
    <t>Data Sources</t>
  </si>
  <si>
    <t>Dataset</t>
  </si>
  <si>
    <t>Dodge 2023</t>
  </si>
  <si>
    <t>CEUS 2022</t>
  </si>
  <si>
    <t>CBECS 2018</t>
  </si>
  <si>
    <t>ComStock 2023</t>
  </si>
  <si>
    <t>Prototype</t>
  </si>
  <si>
    <t>CEC Small Hotel prototype (CBECC 2022.3.1)</t>
  </si>
  <si>
    <t>https://bees.noresco.com/software2022.html</t>
  </si>
  <si>
    <t xml:space="preserve"> </t>
  </si>
  <si>
    <t>PNNL Small Hotel prototype (90.1-2022, 2019)</t>
  </si>
  <si>
    <t>https://www.energycodes.gov/prototype-building-models#Commercial</t>
  </si>
  <si>
    <t>DEER Small Hotel prototype (June 2023)</t>
  </si>
  <si>
    <t>https://github.com/sound-data/DEER-Prototypes-EnergyPlus</t>
  </si>
  <si>
    <t>Codes</t>
  </si>
  <si>
    <t>Title 24, part 6, referred to as T24 (1984, 2001, 2007, 2013, 2022, 2025)</t>
  </si>
  <si>
    <t>ASHRAE 90.1 (2022)</t>
  </si>
  <si>
    <t>CFR Title 10 (2009)</t>
  </si>
  <si>
    <t>https://www.govinfo.gov/content/pkg/FR-2009-03-23/pdf/FR-2009-03-23.pdf</t>
  </si>
  <si>
    <t>CFR Title 10 ( 2013)</t>
  </si>
  <si>
    <t>https://www.govinfo.gov/content/pkg/CFR-2013-title10-vol3/pdf/CFR-2013-title10-vol3-part431.pdf</t>
  </si>
  <si>
    <t>CFR Title 10 ( 2024)</t>
  </si>
  <si>
    <t>https://www.govinfo.gov/content/pkg/CFR-2024-title10-vol3/pdf/CFR-2024-title10-vol3-part431-subpartF.pdf</t>
  </si>
  <si>
    <t>Others</t>
  </si>
  <si>
    <t>ACM (2022)</t>
  </si>
  <si>
    <t>Title 24, 2022 - Appendix 5.4A and Appendix 5.4B</t>
  </si>
  <si>
    <t>https://www.energy.ca.gov/publications/2022/2022-nonresidential-and-multifamily-alternative-calculation-method-reference</t>
  </si>
  <si>
    <t xml:space="preserve">2022 Reduced infiltration CASE report </t>
  </si>
  <si>
    <t>https://title24stakeholders.com/wp-content/uploads/2020/10/2022-T24-Final-CASE-Report_Reduce-Infiltration.pdf</t>
  </si>
  <si>
    <t>Honeywell, INNCOM e7 Thermostat User Guide, 2017</t>
  </si>
  <si>
    <t>https://prod-edam.honeywell.com/content/dam/honeywell-edam/hbt/en-us/documents/manuals-and-guides/installation-guides/inncom/hbt-bms-INNCOM-e7-USER-GUIDE.pdf?download=false</t>
  </si>
  <si>
    <t>2019 Outdoor Lighting CASE Report</t>
  </si>
  <si>
    <t>https://title24stakeholders.com/wp-content/uploads/2016/10/T24-2019-CASE-Study-Results-Report-Outdoor-Sources_Final_with-Attachments.pdf</t>
  </si>
  <si>
    <t>2025 State of the Industry Report</t>
  </si>
  <si>
    <t>https://www.ahla.com/sites/default/files/25_SOTI.pdf</t>
  </si>
  <si>
    <t>PNNL 20405, 2010</t>
  </si>
  <si>
    <t>https://www.pnnl.gov/main/publications/external/technical_reports/PNNL-20405.pdf</t>
  </si>
  <si>
    <t>Air leakage Memo, NORESCO, 2025</t>
  </si>
  <si>
    <t>Infiltration_rate_report_14May2025-Short-Version.docx</t>
  </si>
  <si>
    <t>Proposed Updates to Equipment Power Densities and Building Schedules for the 2028 Energy Code, referred to as "Plug load and schedules project with CEC, 2025" (Docket Number =25-BSTD-03  &amp; TN=265693)</t>
  </si>
  <si>
    <t>https://efiling.energy.ca.gov/GetDocument.aspx?tn=265693&amp;DocumentContentId=102545</t>
  </si>
  <si>
    <t>Construction Rate</t>
  </si>
  <si>
    <t>Notes</t>
  </si>
  <si>
    <t xml:space="preserve">Small Hotel </t>
  </si>
  <si>
    <t>is defined as any hotel with floor area below 60,000 ft² , no matter of their number of stories.</t>
  </si>
  <si>
    <t>EIA, 2018 CBECS</t>
  </si>
  <si>
    <t>Approximately 42% of lodging buildings were between 1,001 ft² and 10,000 ft². On average, lodging buildings were among the largest commercial building types (33,700 ft² per building). More than one-half (56%) of lodging buildings were on a campus or complex. The majority of lodging buildings were not tall—only 2% of lodging buildings had 10 or more floors. Buildings that had one or two floors accounted for 71% of all lodging buildings.</t>
  </si>
  <si>
    <t>NORESCO, Updated August 2025</t>
  </si>
  <si>
    <t>HotelSmall</t>
  </si>
  <si>
    <t>Characteristic</t>
  </si>
  <si>
    <t>Value</t>
  </si>
  <si>
    <t>Building Type</t>
  </si>
  <si>
    <t>Small Hotel</t>
  </si>
  <si>
    <t>Building Category</t>
  </si>
  <si>
    <t>Nonresidential</t>
  </si>
  <si>
    <t>Vintages</t>
  </si>
  <si>
    <t>4 Vintages: Pre-1978 , 1978-1997 ,1998-2007 , 2008-2018
New Construction (2019+)</t>
  </si>
  <si>
    <t xml:space="preserve">Based on the vintage bin analysis
</t>
  </si>
  <si>
    <t>NonRes-Vintage bins-Draft Report-30Nov2023-Final.docx</t>
  </si>
  <si>
    <t>Shape</t>
  </si>
  <si>
    <t>Same as CEC and PNNL, except CalBEM is three stories whereas CEC and PNNL have four stories</t>
  </si>
  <si>
    <t>Total Floor Area (ft²)</t>
  </si>
  <si>
    <t>32,400 (180 ft x 60 ft)</t>
  </si>
  <si>
    <t>Footprint same as CEC and PNNL, but total floor area based on Dodge 2023 data</t>
  </si>
  <si>
    <t>Aspect Ratio</t>
  </si>
  <si>
    <t>Same as CEC and PNNL</t>
  </si>
  <si>
    <t>Number of Floors</t>
  </si>
  <si>
    <t>Based on Dodge 2023 data (Median number of stories)</t>
  </si>
  <si>
    <t>Roof type</t>
  </si>
  <si>
    <t>Flat Wood-Framed Roof for Guest rooms of Hotel/Motel</t>
  </si>
  <si>
    <t>WWR</t>
  </si>
  <si>
    <t xml:space="preserve">South: 15.2%, East: 3.1%, North: 11.4%, West: 4.0%
Average Total: 10.9%
</t>
  </si>
  <si>
    <t>Shading Geometry</t>
  </si>
  <si>
    <t xml:space="preserve">No Shades </t>
  </si>
  <si>
    <t>Floor to floor height (ft)</t>
  </si>
  <si>
    <t>Ground floor: 11 ft 
Upper floors:  9 ft</t>
  </si>
  <si>
    <t>Floor to ceiling height (ft)</t>
  </si>
  <si>
    <t>Same as above</t>
  </si>
  <si>
    <t>Glazing sill height (ft)</t>
  </si>
  <si>
    <t>3 ft in ground floor, 2 ft. in upper floors</t>
  </si>
  <si>
    <t>Existing prototypes:</t>
  </si>
  <si>
    <t>DEER motel model</t>
  </si>
  <si>
    <t>PNNL</t>
  </si>
  <si>
    <t>Proposed Layout - HotelSmall</t>
  </si>
  <si>
    <t>Space/Thermal Zone</t>
  </si>
  <si>
    <t>Space Type</t>
  </si>
  <si>
    <t>HVAC Zone</t>
  </si>
  <si>
    <t>Schedule Category</t>
  </si>
  <si>
    <t>Conditioned [Y/N]</t>
  </si>
  <si>
    <t>Area Fraction</t>
  </si>
  <si>
    <t>Area (ft²)</t>
  </si>
  <si>
    <t>Volume
 [ft³]</t>
  </si>
  <si>
    <t>Multipliers</t>
  </si>
  <si>
    <t>People</t>
  </si>
  <si>
    <t xml:space="preserve">People 
(Persons/1,000 ft²)
[T24, 2025,Table 120.1-A] </t>
  </si>
  <si>
    <t>Corridor_FloorG</t>
  </si>
  <si>
    <t>Corridor Area</t>
  </si>
  <si>
    <t>BaseAirSys5</t>
  </si>
  <si>
    <t>ResidentialCommon</t>
  </si>
  <si>
    <t>Yes</t>
  </si>
  <si>
    <t>Corridor_FloorM</t>
  </si>
  <si>
    <t>BaseAirSys5-2</t>
  </si>
  <si>
    <t>Corridor_FloorT</t>
  </si>
  <si>
    <t>BaseAirSys5-3</t>
  </si>
  <si>
    <t>Lounge_FloorG</t>
  </si>
  <si>
    <t>Lounge, Breakroom, or Waiting Area</t>
  </si>
  <si>
    <t>Gym_FloorG</t>
  </si>
  <si>
    <t>Exercise/Fitness Center and Gymnasium Areas</t>
  </si>
  <si>
    <t>Assembly</t>
  </si>
  <si>
    <t>Front_Lounge_FloorG</t>
  </si>
  <si>
    <t>Front_Office_FloorG</t>
  </si>
  <si>
    <t>Office Area (&gt;250 square feet)</t>
  </si>
  <si>
    <t>Office</t>
  </si>
  <si>
    <t>Front_Stair_FloorG</t>
  </si>
  <si>
    <t>Stairwell</t>
  </si>
  <si>
    <t>Front_Stair_FloorM</t>
  </si>
  <si>
    <t>Front_Stair_FloorT</t>
  </si>
  <si>
    <t>Front_Storage_FloorG</t>
  </si>
  <si>
    <t>Storage (General)</t>
  </si>
  <si>
    <t>Front_Storage_FloorM</t>
  </si>
  <si>
    <t>Front_Storage_FloorT</t>
  </si>
  <si>
    <t>GuestRoom_1_FloorG</t>
  </si>
  <si>
    <t>Hotel/Motel Guest Room</t>
  </si>
  <si>
    <t>BaseZnSys1</t>
  </si>
  <si>
    <t>ResidentialLiving</t>
  </si>
  <si>
    <t>GuestRoom_2_FloorG</t>
  </si>
  <si>
    <t>BaseZnSys1-2</t>
  </si>
  <si>
    <t>GuestRoom_3_FloorG</t>
  </si>
  <si>
    <t>BaseZnSys1-3</t>
  </si>
  <si>
    <t>GuestRoom_4_FloorG</t>
  </si>
  <si>
    <t>BaseZnSys1-4</t>
  </si>
  <si>
    <t>GuestRoom_5_FloorG</t>
  </si>
  <si>
    <t>BaseZnSys1-5</t>
  </si>
  <si>
    <t>GuestRoom_1_FloorM</t>
  </si>
  <si>
    <t>BaseZnSys1-6</t>
  </si>
  <si>
    <t>GuestRoom_2_5_FloorM</t>
  </si>
  <si>
    <t>BaseZnSys1-7</t>
  </si>
  <si>
    <t>GuestRoom_6_8_FloorM</t>
  </si>
  <si>
    <t>BaseZnSys1-8</t>
  </si>
  <si>
    <t>GuestRoom_9_12_FloorM</t>
  </si>
  <si>
    <t>BaseZnSys1-9</t>
  </si>
  <si>
    <t>GuestRoom_13_FloorM</t>
  </si>
  <si>
    <t>BaseZnSys1-10</t>
  </si>
  <si>
    <t>GuestRoom_14_FloorM</t>
  </si>
  <si>
    <t>BaseZnSys1-11</t>
  </si>
  <si>
    <t>GuestRoom_15_18_FloorM</t>
  </si>
  <si>
    <t>BaseZnSys1-12</t>
  </si>
  <si>
    <t>GuestRoom_19_FloorM</t>
  </si>
  <si>
    <t>BaseZnSys1-13</t>
  </si>
  <si>
    <t>GuestRoom_20_23_FloorM</t>
  </si>
  <si>
    <t>BaseZnSys1-14</t>
  </si>
  <si>
    <t>GuestRoom_24_FloorM</t>
  </si>
  <si>
    <t>BaseZnSys1-15</t>
  </si>
  <si>
    <t>GuestRoom_1_FloorT</t>
  </si>
  <si>
    <t>BaseZnSys1-16</t>
  </si>
  <si>
    <t>GuestRoom_2_5_FloorT</t>
  </si>
  <si>
    <t>BaseZnSys1-17</t>
  </si>
  <si>
    <t>GuestRoom_6_8_FloorT</t>
  </si>
  <si>
    <t>BaseZnSys1-18</t>
  </si>
  <si>
    <t>GuestRoom_9_12_FloorT</t>
  </si>
  <si>
    <t>BaseZnSys1-19</t>
  </si>
  <si>
    <t>GuestRoom_13_FloorT</t>
  </si>
  <si>
    <t>BaseZnSys1-20</t>
  </si>
  <si>
    <t>GuestRoom_14_FloorT</t>
  </si>
  <si>
    <t>BaseZnSys1-21</t>
  </si>
  <si>
    <t>GuestRoom_15_18_FloorT</t>
  </si>
  <si>
    <t>BaseZnSys1-22</t>
  </si>
  <si>
    <t>GuestRoom_19_FloorT</t>
  </si>
  <si>
    <t>BaseZnSys1-23</t>
  </si>
  <si>
    <t>GuestRoom_20_23_FloorT</t>
  </si>
  <si>
    <t>BaseZnSys1-24</t>
  </si>
  <si>
    <t>GuestRoom_24_FloorT</t>
  </si>
  <si>
    <t>BaseZnSys1-25</t>
  </si>
  <si>
    <t>Laundry_FloorG</t>
  </si>
  <si>
    <t xml:space="preserve">Laundry Area </t>
  </si>
  <si>
    <t>Mech_FloorG</t>
  </si>
  <si>
    <t>Electrical, Mechanical, Telephone Rooms</t>
  </si>
  <si>
    <t>Conference_FloorG</t>
  </si>
  <si>
    <t>Convention, Conference, Multipurpose and Meeting Area</t>
  </si>
  <si>
    <t>Rear_Stair_FloorG</t>
  </si>
  <si>
    <t>Rear_Stair_FloorT</t>
  </si>
  <si>
    <t>Rear_Stair_FloorM</t>
  </si>
  <si>
    <t>Rear_Storage_FloorG</t>
  </si>
  <si>
    <t>Rear_Storage_FloorM</t>
  </si>
  <si>
    <t>Rear_Storage_FloorT</t>
  </si>
  <si>
    <t>Restroom_FloorG</t>
  </si>
  <si>
    <t>Restrooms</t>
  </si>
  <si>
    <t>Total (48 spaces/Thermal zones)</t>
  </si>
  <si>
    <t>Total (11 Space types)</t>
  </si>
  <si>
    <t>Total (28 HVAC Zones)</t>
  </si>
  <si>
    <t>Total (3 Schedule Categories)</t>
  </si>
  <si>
    <t xml:space="preserve"> Total (48 Conditioned zones)</t>
  </si>
  <si>
    <r>
      <t>Ref:</t>
    </r>
    <r>
      <rPr>
        <sz val="10"/>
        <color theme="1"/>
        <rFont val="Arial"/>
        <family val="2"/>
      </rPr>
      <t xml:space="preserve"> Geometry and zones: PNNL 2022 small hotel prototype</t>
    </r>
  </si>
  <si>
    <t>Background Data [To be deleted prior to publication]</t>
  </si>
  <si>
    <t>Vintage</t>
  </si>
  <si>
    <t>Zones</t>
  </si>
  <si>
    <t xml:space="preserve">Heating </t>
  </si>
  <si>
    <t>Cooling</t>
  </si>
  <si>
    <t>Air Distribution</t>
  </si>
  <si>
    <t>Source</t>
  </si>
  <si>
    <t>Note</t>
  </si>
  <si>
    <t xml:space="preserve">Existing </t>
  </si>
  <si>
    <t>Guest Rooms</t>
  </si>
  <si>
    <t>Electric resistance</t>
  </si>
  <si>
    <t>PTAC</t>
  </si>
  <si>
    <t xml:space="preserve">CAV </t>
  </si>
  <si>
    <t>All other conditioned zones</t>
  </si>
  <si>
    <t>CAV</t>
  </si>
  <si>
    <t>New Construction</t>
  </si>
  <si>
    <t>PTHP</t>
  </si>
  <si>
    <t xml:space="preserve">PTAC </t>
  </si>
  <si>
    <t>T24 2025</t>
  </si>
  <si>
    <t>Residential air 
conditioner- System1-RAC</t>
  </si>
  <si>
    <t>Gas Boiler</t>
  </si>
  <si>
    <t xml:space="preserve"> PVAV</t>
  </si>
  <si>
    <t>VAV + Hydronic Reheat</t>
  </si>
  <si>
    <t>Packaged VAV-System5</t>
  </si>
  <si>
    <r>
      <t xml:space="preserve">   Efficiency of HVAC system
</t>
    </r>
    <r>
      <rPr>
        <sz val="10"/>
        <color theme="0"/>
        <rFont val="Arial"/>
        <family val="2"/>
      </rPr>
      <t>(Efficiency is capacity-dependent. The following Table provides a general estimate of system efficiency based on what we saw in the existing prototype runs, or assuming cooling load based on rule of thumb)</t>
    </r>
    <r>
      <rPr>
        <sz val="12"/>
        <color theme="0"/>
        <rFont val="Arial"/>
        <family val="2"/>
      </rPr>
      <t xml:space="preserve">  </t>
    </r>
    <r>
      <rPr>
        <b/>
        <sz val="12"/>
        <color theme="0"/>
        <rFont val="Arial"/>
        <family val="2"/>
      </rPr>
      <t xml:space="preserve">   </t>
    </r>
  </si>
  <si>
    <t>Upgrade/Installed year</t>
  </si>
  <si>
    <t>DX Cooling-Guest Rooms</t>
  </si>
  <si>
    <t>DX Cooling-All Other Conditioned Zones</t>
  </si>
  <si>
    <t>Gas Boiler- Guest rooms and All Other Conditioned Zones</t>
  </si>
  <si>
    <t xml:space="preserve">Sources </t>
  </si>
  <si>
    <t>Pre 1978</t>
  </si>
  <si>
    <t>EER=9 (&lt;65,000 Btu/h)</t>
  </si>
  <si>
    <t>-</t>
  </si>
  <si>
    <t xml:space="preserve">CFR Energy 2008 (for DX Cooling) </t>
  </si>
  <si>
    <t>1978-1997</t>
  </si>
  <si>
    <t>1998-2007</t>
  </si>
  <si>
    <t>2008-2018</t>
  </si>
  <si>
    <t>CFR Energy 2010:Title 10- Table 9 (for DX Cooling)</t>
  </si>
  <si>
    <t>EER=10 (≥ 240,000 Btu/h and &lt; 760,000 Btu/h) and EER=9 (&lt;65,000 Btu/h)</t>
  </si>
  <si>
    <t xml:space="preserve">Thermal Efficiency (Et) of 84% </t>
  </si>
  <si>
    <t>CFR Energy 2025, Table 12 (for DX Coils)
T24, 2022 ,Table 110.2-J (for Boiler thermal efficiency)</t>
  </si>
  <si>
    <t xml:space="preserve"> Deduct 0.2 from the required EERs and IEERs for units with a heating section other than electric resistance heat. </t>
  </si>
  <si>
    <t>Fan power</t>
  </si>
  <si>
    <t>Approach</t>
  </si>
  <si>
    <t>System</t>
  </si>
  <si>
    <t>Total Static Pressure (TSP)
(in w.c.)
[PNNL 20405, 2010, Table 5.11]</t>
  </si>
  <si>
    <t>Fan Efficiency
[ACM 2025]</t>
  </si>
  <si>
    <t>Fan Motor and Drive Efficiency 
[ACM 2025, Table 13]</t>
  </si>
  <si>
    <t>W/cfm
[ACM 2025, Table 14 and 15]</t>
  </si>
  <si>
    <t>Data Source</t>
  </si>
  <si>
    <t>Existing</t>
  </si>
  <si>
    <t>PNNL TSP</t>
  </si>
  <si>
    <t>PTAC, PTHP</t>
  </si>
  <si>
    <t>~0.9 (The full-load efficiency of the motor serving the fan- will be determined based on ACM 2025, Table 13)</t>
  </si>
  <si>
    <t>PNNL 20405, 2010, Table 5.11</t>
  </si>
  <si>
    <t>Brake horse power (bhp)=(Supply cfm*TSP in w.c.)/(6356*Fan efficiency)</t>
  </si>
  <si>
    <t>Fan power (w/cfm) = bhp/motor and drive efficiency *746</t>
  </si>
  <si>
    <t>cfm = supply fan airflow as determined by EnergyPlus sizing runs</t>
  </si>
  <si>
    <t>Nameplate horsepower = brake horsepower × (1+10% oversizing factor)</t>
  </si>
  <si>
    <t>Motor nameplate horsepower will be determined based of NEMA standards</t>
  </si>
  <si>
    <t>ACM 2025</t>
  </si>
  <si>
    <t>System 3b-SZHP, &lt;5000</t>
  </si>
  <si>
    <t xml:space="preserve"> ACM 2025</t>
  </si>
  <si>
    <t>PVAV System &gt;10,000 cfm</t>
  </si>
  <si>
    <t>* 0.9 is an average fan efficiency according to ACM 2025, Table 13</t>
  </si>
  <si>
    <t>Fan total eff (E+ input) = 0.65 x Motor_eff</t>
  </si>
  <si>
    <t>TSP (E+ input) in w.c. = Motor_eff/746 x (6356 x Fan_eff) x W/cfm</t>
  </si>
  <si>
    <t>Fan_eff=0.65</t>
  </si>
  <si>
    <t>Water Heater</t>
  </si>
  <si>
    <t>Floorspace Heated</t>
  </si>
  <si>
    <r>
      <t xml:space="preserve">Primary Heating
</t>
    </r>
    <r>
      <rPr>
        <sz val="8"/>
        <color theme="1"/>
        <rFont val="Calibri"/>
        <family val="2"/>
        <scheme val="minor"/>
      </rPr>
      <t>The default is the floorspace method unless otherwise specified</t>
    </r>
  </si>
  <si>
    <t>Fuel Type</t>
  </si>
  <si>
    <t>Floorspace Cooled</t>
  </si>
  <si>
    <r>
      <t xml:space="preserve">Primary Cooling
</t>
    </r>
    <r>
      <rPr>
        <sz val="8"/>
        <color theme="1"/>
        <rFont val="Calibri"/>
        <family val="2"/>
        <scheme val="minor"/>
      </rPr>
      <t>The default is the floorspace method unless otherwise specified</t>
    </r>
  </si>
  <si>
    <r>
      <t xml:space="preserve">Primary Air Dis 
</t>
    </r>
    <r>
      <rPr>
        <sz val="8"/>
        <color theme="1"/>
        <rFont val="Calibri"/>
        <family val="2"/>
        <scheme val="minor"/>
      </rPr>
      <t xml:space="preserve">The default is the floorspace method unless otherwise specified </t>
    </r>
  </si>
  <si>
    <t>Elec</t>
  </si>
  <si>
    <t>Gas</t>
  </si>
  <si>
    <t>Lodging</t>
  </si>
  <si>
    <t xml:space="preserve">Floorspace method:
Package System / Heat Pump (37.5%)
Boiler/ Hydronic (30.5%) 
Site method:
Package System / Heat Pump (53.3%)
Boiler/ Hydronic (8.8%) </t>
  </si>
  <si>
    <t xml:space="preserve">Floorspace method:
Package System / Heat Pump (37.4%)
Central Plant (Chiller) (29.8%) 
Site method: 
Package System / Heat Pump (53.2%)
Central Plant (Chiller) (6.8%) </t>
  </si>
  <si>
    <t>Single Duct CAV (53.9%)
Fan Coil Unit/Ventilator (33.2%)</t>
  </si>
  <si>
    <t>Envelope - HotelSmall</t>
  </si>
  <si>
    <t>Element</t>
  </si>
  <si>
    <t xml:space="preserve"> Assembly Type</t>
  </si>
  <si>
    <t>Construction</t>
  </si>
  <si>
    <t>Thermal Properties</t>
  </si>
  <si>
    <t>Selected T24</t>
  </si>
  <si>
    <t>CZ1</t>
  </si>
  <si>
    <t>CZ2</t>
  </si>
  <si>
    <t>CZ3</t>
  </si>
  <si>
    <t>CZ4</t>
  </si>
  <si>
    <t>CZ5</t>
  </si>
  <si>
    <t>CZ6</t>
  </si>
  <si>
    <t>CZ7</t>
  </si>
  <si>
    <t>CZ8</t>
  </si>
  <si>
    <t>CZ9</t>
  </si>
  <si>
    <t>CZ10</t>
  </si>
  <si>
    <t>CZ11</t>
  </si>
  <si>
    <t>CZ12</t>
  </si>
  <si>
    <t>CZ13</t>
  </si>
  <si>
    <t>CZ14</t>
  </si>
  <si>
    <t>CZ15</t>
  </si>
  <si>
    <t>CZ16</t>
  </si>
  <si>
    <t>External Wall_Guest Room</t>
  </si>
  <si>
    <t>ExtWall_MetalFramed_GuestRooms</t>
  </si>
  <si>
    <t>Stucco + Metal-frame (2x4 16 in. OC) + insulation + Gypsum board</t>
  </si>
  <si>
    <t>U-factor IP</t>
  </si>
  <si>
    <t>N/A</t>
  </si>
  <si>
    <t>ASHRAE 90.1, 2022, Table A3.3.3.1, 3.5", R-0</t>
  </si>
  <si>
    <t>Copied from High-rise office alternative requirements (Table 2-53W): Package A with heat capacity between 10-14.99 (Btu/F-ft²)
*T24, 1986, Table 2-53BB presents U-factors less than the next vintage (for wall density of 26-40 lb/ft² &amp; Degree day&lt;3500)!</t>
  </si>
  <si>
    <t>Table 1-I-Guest rooms of Hotel/Motel</t>
  </si>
  <si>
    <t>Table 140.3-C-Guest rooms of Hotel/Motel</t>
  </si>
  <si>
    <t>2019+</t>
  </si>
  <si>
    <t>External Wall_Nonres</t>
  </si>
  <si>
    <t>ExtWall_MetalFramed_NonRes</t>
  </si>
  <si>
    <t>Stucco + Metal frame (2x4 16 in. OC) + insulation + Gypsum board</t>
  </si>
  <si>
    <t>Table 1-H-NonRes Bldgs</t>
  </si>
  <si>
    <t>Table 140.3-B-NonRes Bldgs</t>
  </si>
  <si>
    <t>Roof_Guest Room</t>
  </si>
  <si>
    <t>FlatRoof_WoodFramedAndOther_GuestRooms</t>
  </si>
  <si>
    <t>Roof membrane or shingles + roof insulation + wood decking/sheathing + wood framing</t>
  </si>
  <si>
    <t>Considering 30 years for roof/ insulation replacement.</t>
  </si>
  <si>
    <t>Windows_ Guest Room</t>
  </si>
  <si>
    <t>FixedWindow_GuestRoom</t>
  </si>
  <si>
    <t xml:space="preserve">Single pane </t>
  </si>
  <si>
    <t>ASHRAE Handbook of Fundamentals (Table 4-Ch15) for single pane &amp; T24, 2013  for double pane(33%-67%)*</t>
  </si>
  <si>
    <t>Double pane</t>
  </si>
  <si>
    <t>SHGC</t>
  </si>
  <si>
    <t>ASHRAE Handbook of Fundamentals (Table 10-Ch15) for single pane &amp; T24, 2013  for double pane(33%-67%)*</t>
  </si>
  <si>
    <t>Table 1-I-Guest rooms of Hotel/Motel  (WWR:10-20% / SHGC Non-north)</t>
  </si>
  <si>
    <t>Windows_ Nonres</t>
  </si>
  <si>
    <t>FixedWindow_NonRes</t>
  </si>
  <si>
    <t>Table 1-H-NonRes Bldgs  (WWR:10-20% / SHGC Non-north)</t>
  </si>
  <si>
    <t>Infiltration</t>
  </si>
  <si>
    <t>I_75 (cfm/ft²)
6-sdied Infiltration rate @ 75 pa</t>
  </si>
  <si>
    <t xml:space="preserve"> I-design (cfm/ft²)
(4-sided Infiltration rate at normal pressure) 
(Design flow rate approach and Flow/Exterior Wall Area calculation method) </t>
  </si>
  <si>
    <t>2022 CASE report (Table 38)</t>
  </si>
  <si>
    <t>1*</t>
  </si>
  <si>
    <t>2022 CASE report (Table 38) &amp;
T24, 2008-2016 (Table 140.3-C)</t>
  </si>
  <si>
    <t>0.6**</t>
  </si>
  <si>
    <t>2022 CASE report (Table 38) &amp;  T24,140.3(a)9Cii &amp; T24, 2025 (Table 140.3-C)</t>
  </si>
  <si>
    <t>* An air barrier was not required for guest rooms under T24, until the 2019 edition. However, to reflect typical construction practices, we assumed that all exterior walls are equipped with an air barrier where it was required for nonresidential walls.</t>
  </si>
  <si>
    <t>*** T24  require 0.4 cfm/ft² for tested condition but it also in section 140.3(a)9Cii says that if the air leakage requirements are not met, a visual inspection and diagnostic evaluation shall be completed , all observed leaks shall be sealed where such sealing can be made without destruction of existing building components, and buildings where the tested leakage rate exceeded 0.6 cfm/ft² of building shell area at 75 Pa have been retested to confirm leakage is below 0.6 cfm/ft² of building shell at 75 Pa.
Although T24,2025 does not require guest rooms in Climate Zone 7 to have an air barrier, we assumed that all CZs are equipped with one. According to Dodge 2023 CAS data CZ 7 accounts for ~ 6% of hotel floor area in CA. Therefore, we have decided to ignore the exemption for CZ7 and treated all CZs as having an air barrier for consistency and ease of simulation.</t>
  </si>
  <si>
    <t>ACM 2025, 5.4.2: For Standard Design, I-design shall be 0.2352 cfm/ft². .Hotel/Motel Buildings in climate zone 7 and for relocatable public school buildings I-design shall be 0.3696 cfm/ft²</t>
  </si>
  <si>
    <t>Thermostat Setpoints - HotelSmall</t>
  </si>
  <si>
    <t>Setpoint</t>
  </si>
  <si>
    <t>Assembly and Office Heating Setpoint (F)</t>
  </si>
  <si>
    <t>T24 2022 - Appendix 5.4B</t>
  </si>
  <si>
    <t>Assembly and Office Heating Setback (F)</t>
  </si>
  <si>
    <t>Assembly and Office Cooling Setpoint (F)</t>
  </si>
  <si>
    <t>Assembly and Office Cooling Setback (F)</t>
  </si>
  <si>
    <t>ResidentialCommon Heating Setpoint (F)</t>
  </si>
  <si>
    <t>ResidentialCommon Heating Setback (F)</t>
  </si>
  <si>
    <t>ResidentialCommon Cooling Setpoint (F)</t>
  </si>
  <si>
    <r>
      <t>ResidentialCommon</t>
    </r>
    <r>
      <rPr>
        <b/>
        <sz val="10"/>
        <color theme="1"/>
        <rFont val="Arial"/>
        <family val="2"/>
      </rPr>
      <t xml:space="preserve"> </t>
    </r>
    <r>
      <rPr>
        <sz val="10"/>
        <color theme="1"/>
        <rFont val="Arial"/>
        <family val="2"/>
      </rPr>
      <t>Cooling Setback (F)</t>
    </r>
  </si>
  <si>
    <t>ResidentialLiving Heating Setpoint (F)</t>
  </si>
  <si>
    <t>ResidentialLiving Heating Setback (F)</t>
  </si>
  <si>
    <t>ResidentialLiving Cooling Setpoint (F)</t>
  </si>
  <si>
    <t>Honeywell-INNCOM e7 Thermostat User Guide</t>
  </si>
  <si>
    <t>ResidentialLiving Cooling Setback (F)</t>
  </si>
  <si>
    <t>&amp; Engineering Judgment</t>
  </si>
  <si>
    <t>PNNL had 70F for both cooling and heating setpoint without setback.</t>
  </si>
  <si>
    <t xml:space="preserve">72F is the default setting for one of the most prominent thermostats (Inncom) in California hotels. </t>
  </si>
  <si>
    <t>It has a limit by which a hotel guest can override the default setting.  For instance:  if the default cooling setpoint is 72, the coolest that a user can set the cooling setpoint is 72-5 = 67F.</t>
  </si>
  <si>
    <t>Ref: https://prod-edam.honeywell.com/content/dam/honeywell-edam/hbt/en-us/documents/manuals-and-guides/installation-guides/inncom/hbt-bms-INNCOM-e7-USER-GUIDE.pdf</t>
  </si>
  <si>
    <t>Heating</t>
  </si>
  <si>
    <t>Weekday</t>
  </si>
  <si>
    <t>Saturday</t>
  </si>
  <si>
    <t>Sunday</t>
  </si>
  <si>
    <t xml:space="preserve">Weekday </t>
  </si>
  <si>
    <t>DEER</t>
  </si>
  <si>
    <t>0:00 to 5:00</t>
  </si>
  <si>
    <t>0:00 to 24:00</t>
  </si>
  <si>
    <t>5:00 to 24:00</t>
  </si>
  <si>
    <t>5:00 to 19:00</t>
  </si>
  <si>
    <t>T24, Appendix JA5-4 : Occupant Controlled Smart Thermostat (OCST)</t>
  </si>
  <si>
    <t>Outdoor Airflow Rate - HotelSmall</t>
  </si>
  <si>
    <t>Space</t>
  </si>
  <si>
    <t>Number of People</t>
  </si>
  <si>
    <t>Floor Area (ft²)</t>
  </si>
  <si>
    <t>cfm/person
(T24, 2025, Equation 120.1-F and Table 120.1-A)</t>
  </si>
  <si>
    <t>cfm/ft²  
(T24, 2025, Equation 120.1-F and Table 120.1-A)</t>
  </si>
  <si>
    <t>Required Exhaust Rate
 (T24,  2025, Table 120.1-B – Minimum Exhaust Rates)</t>
  </si>
  <si>
    <t>Total cfm 
Driven by People</t>
  </si>
  <si>
    <t>Total cfm 
Driven by Area</t>
  </si>
  <si>
    <t>Total cfm 
Driven by Exhaust</t>
  </si>
  <si>
    <t>Total cfm</t>
  </si>
  <si>
    <t xml:space="preserve">20/50 cfm/unit per shower head </t>
  </si>
  <si>
    <t>Ventilation air for this occupancy category shall be permitted to be reduced to zero when the space is in occupied-standby mode</t>
  </si>
  <si>
    <t>1 cfm/ft2 for Soiled laundry storage rooms</t>
  </si>
  <si>
    <t>Only 20% of the laundry space is assumed as "Solied laundry storage room"</t>
  </si>
  <si>
    <t>50/70 cfm/unit</t>
  </si>
  <si>
    <t>The CEC model has separate exhaust fans for each guest room with no minimum outdoor air requirement. However, PNNL and DEER specify an outdoor air requirement for each zone, which is the approach we follow here.</t>
  </si>
  <si>
    <t>Water Heater - HotelSmall</t>
  </si>
  <si>
    <t>WH Type</t>
  </si>
  <si>
    <t xml:space="preserve"> Efficiency</t>
  </si>
  <si>
    <t>Tank volume (gal)</t>
  </si>
  <si>
    <t>Tank Loss</t>
  </si>
  <si>
    <t xml:space="preserve">Existing  </t>
  </si>
  <si>
    <t>(Btu/hr)</t>
  </si>
  <si>
    <t> </t>
  </si>
  <si>
    <t>Peak Hot Water Consumption</t>
  </si>
  <si>
    <t>Space Name</t>
  </si>
  <si>
    <t>Baseline WH Type 
[CEUS 2022]</t>
  </si>
  <si>
    <t>Total Area (ft²)</t>
  </si>
  <si>
    <t>Hot Water Usage Specification
(gal/hr per person)  
[T24, 2022, Appendix 5.4A , sheet: "2022 SpaceFuncData-Input"]</t>
  </si>
  <si>
    <t>Peak Hot Water Usage
(gal/hr)</t>
  </si>
  <si>
    <t>Peak Hot Water Usage
(gal/min)</t>
  </si>
  <si>
    <t>Total</t>
  </si>
  <si>
    <t xml:space="preserve">Water Heater Capacity, Tank Capacity, and Tank Loss </t>
  </si>
  <si>
    <t>Heat Output (Btu/hr)
[ACM, 2025, 5.9.2: Rated capacity section]</t>
  </si>
  <si>
    <t>WH Capacity (Btu/hr)
[ACM, 2025, 5.9.2: Rated capacity section]</t>
  </si>
  <si>
    <t>Required Energy Input (Btu/hr)</t>
  </si>
  <si>
    <t>Storage Volume (gal)</t>
  </si>
  <si>
    <t xml:space="preserve">Standby Loss </t>
  </si>
  <si>
    <t>Unit</t>
  </si>
  <si>
    <t>Off/On Cycle Loss Coefficient to Ambient Temp (Btu/h-F)</t>
  </si>
  <si>
    <t>Gas storage WH</t>
  </si>
  <si>
    <t>Btu/hr</t>
  </si>
  <si>
    <t>Standby loss equation: Title 20, §1605.1 Table F-4 
WH capacity equation: ACM, 2025, 5.9.2: Rated capacity section)</t>
  </si>
  <si>
    <t xml:space="preserve">Electric resistance WH </t>
  </si>
  <si>
    <t>%/hr</t>
  </si>
  <si>
    <t>Design supply temperature (F)</t>
  </si>
  <si>
    <t>Ref: T24 2022 - Appendix 5.4B</t>
  </si>
  <si>
    <t>Standby Loss for Existing</t>
  </si>
  <si>
    <t>Cold Water supply temperature (F)</t>
  </si>
  <si>
    <t>Ref: ACM, 2025, 5.9.2: Rated capacity section</t>
  </si>
  <si>
    <t>WH system factor</t>
  </si>
  <si>
    <t>Reheat multiplier</t>
  </si>
  <si>
    <t>Ref: ACM, 2025, 5.9.2: Storage Volume</t>
  </si>
  <si>
    <t xml:space="preserve">* The 0.40 multiplier is a storage sizing factor used to account for the fact that the water heater doesn't need to store the full peak hour demand—it can reheat water during that time. This factor assumes that the heater will recover part of the hot water used during the peak hour, so only 40% of the peak hour demand needs to be stored at any given moment. </t>
  </si>
  <si>
    <t>Ambient temp</t>
  </si>
  <si>
    <t>Delta T</t>
  </si>
  <si>
    <t>** For Electric Water Heater: UA(Btu/h-°F)​= 0.0834 *SL​ (%/hr)*V gal</t>
  </si>
  <si>
    <t>Exterior Lighting - HotelSmall</t>
  </si>
  <si>
    <t>Motion Controlled Luminaires (W)</t>
  </si>
  <si>
    <t>Non-motion Controlled Luminaires (W)</t>
  </si>
  <si>
    <t>Total (W)</t>
  </si>
  <si>
    <t>T24, 2025</t>
  </si>
  <si>
    <t>Exterior Lighting</t>
  </si>
  <si>
    <t>Items (Assume LZ2)</t>
  </si>
  <si>
    <t>Assumptions
[2019 Outdoor Lighting CASE Report &amp; PNNL 90.1-2010 TSD]</t>
  </si>
  <si>
    <t>Lighting Power Allowance 
[T24, 2025, Table 140.7-A &amp; 140.7-B]</t>
  </si>
  <si>
    <t>Exterior Lighting Power (W)</t>
  </si>
  <si>
    <t>IWA (Initial Wage Allowance)</t>
  </si>
  <si>
    <t>(W)</t>
  </si>
  <si>
    <t>Parking area</t>
  </si>
  <si>
    <t xml:space="preserve"> 400 ft² for every parking space 
1 parking space per 360 ft² of gross building area </t>
  </si>
  <si>
    <t>(ft²)</t>
  </si>
  <si>
    <t>(W/ft²)</t>
  </si>
  <si>
    <t>Building Entrance</t>
  </si>
  <si>
    <t>2 building entrance (1 per 10,000 ft² footprint)</t>
  </si>
  <si>
    <t>(count)</t>
  </si>
  <si>
    <t>(W/ea)</t>
  </si>
  <si>
    <t>Hardscape Ornamental Light</t>
  </si>
  <si>
    <t>0.1 ft² per 1 ft² of gross building area for hardscape ornamental light</t>
  </si>
  <si>
    <t>Building façade</t>
  </si>
  <si>
    <t>0.1 W per 1 ft² of facade area 
Façade Area = Perimeter × 0.5 × 29 ft (30 ft is the max height that is lit) * 
The 0.5 factor assumes that only half of the perimeter walls are lit.
-Formula ia developed based on the 2019 Outdoor Lighting CASE report</t>
  </si>
  <si>
    <t>Non-sales canopy</t>
  </si>
  <si>
    <t>Motion controlled Luminaires</t>
  </si>
  <si>
    <t>Non-motion-controlled Luminaires</t>
  </si>
  <si>
    <t>*Developed based on 2019 Outdoor Lighting CASE Report</t>
  </si>
  <si>
    <t>Perimeter (ft)</t>
  </si>
  <si>
    <t>Total floor area (ft²)</t>
  </si>
  <si>
    <t>Floors</t>
  </si>
  <si>
    <t>Interior Lighting - HotelSmall</t>
  </si>
  <si>
    <t xml:space="preserve">New Construction </t>
  </si>
  <si>
    <t>LPD (W/ft²)</t>
  </si>
  <si>
    <t>Additional LPD for Portable Lighting (W/ft²)</t>
  </si>
  <si>
    <t xml:space="preserve">LPD (W/ft²) </t>
  </si>
  <si>
    <t xml:space="preserve">T24, 2025, Table 140.6-C
PNNL ASHRAE 90.1 2022 for Guest Room
(Area category method) </t>
  </si>
  <si>
    <t xml:space="preserve">T24, 2019, Table 140.6-C 
CBECC 2019 for Guest Room
 (Area category method) </t>
  </si>
  <si>
    <t>Comply with 130.1(c)8: Hotel/motel guest rooms shall be controlled with one of the following controls such that, no longer than 20 minutes after the guest room has been vacated, lighting power is switched off: 
i. Captive card key controls; or 
ii. Occupant sensing controls; or 
iii. Other automatic controls.</t>
  </si>
  <si>
    <t>Equipment - HotelSmall</t>
  </si>
  <si>
    <t>Plug load Power Density (W/ft²)</t>
  </si>
  <si>
    <t>Gas Power Density (Btu/hr-ft²)</t>
  </si>
  <si>
    <t>Refrigeration Power Density (W/ft²)</t>
  </si>
  <si>
    <t>T24 2022 - Appendix 5.4A</t>
  </si>
  <si>
    <t>Plug load and schedules project with CEC, 2025</t>
  </si>
  <si>
    <t xml:space="preserve"> Appendix 5.4A: Gas equipment=0.75 Btu/hr-ft² (CEC model (small Hotel) has the Gas equipment for 3.6 Btu/hr-ft²)</t>
  </si>
  <si>
    <t>Elevator-Hotel Small</t>
  </si>
  <si>
    <t>No. of Elevators</t>
  </si>
  <si>
    <t>Cab Lighting Power Limit</t>
  </si>
  <si>
    <t>Lighting Shutoff</t>
  </si>
  <si>
    <t>Cab Fan Control</t>
  </si>
  <si>
    <t>Fan Power Limit</t>
  </si>
  <si>
    <t>Regenerative Drive Threshold</t>
  </si>
  <si>
    <t>Design load (W)</t>
  </si>
  <si>
    <t>n/a</t>
  </si>
  <si>
    <t>Design Load based on PNNL ASHRAE 90.1 2013 Small Hotel prototype</t>
  </si>
  <si>
    <t>≤ 0.6 W/ft² of cab floor area- Exempt (covered process)</t>
  </si>
  <si>
    <t>Automatic shut‑off after ≤ 5 min no‑occupancy</t>
  </si>
  <si>
    <t>When the elevator cab is stopped and unoccupied with doors closed for over 15 minutes, the cab interior lighting and ventilation fans shall be switched off until elevator cab operation resumes.</t>
  </si>
  <si>
    <t>≤ 0.33 W per cfm of fan airflow</t>
  </si>
  <si>
    <t>Design Load based on PNNL ASHRAE 90.1 2022 Small Hotel prototype --- per T24 2025 §120.6 (f)</t>
  </si>
  <si>
    <t>Equipment (Plug load)</t>
  </si>
  <si>
    <t>floor area (ft²)</t>
  </si>
  <si>
    <t>Plug load Intensity (W/ft²)</t>
  </si>
  <si>
    <t>Total equipment load (W)</t>
  </si>
  <si>
    <t>Open_Office_N</t>
  </si>
  <si>
    <t>Closed_Office_W</t>
  </si>
  <si>
    <t>Closed_Office_E</t>
  </si>
  <si>
    <t>Conference</t>
  </si>
  <si>
    <t>Lobby + Lounge</t>
  </si>
  <si>
    <t>Storage</t>
  </si>
  <si>
    <t>Mechanical/Electrical</t>
  </si>
  <si>
    <t>Restroom</t>
  </si>
  <si>
    <t>Break/Copy Room</t>
  </si>
  <si>
    <t>Corridor</t>
  </si>
  <si>
    <t>Equipment (Plug Load )- Prototypes comparison</t>
  </si>
  <si>
    <t>CEC OffSml</t>
  </si>
  <si>
    <t xml:space="preserve">DEER  OFS </t>
  </si>
  <si>
    <t xml:space="preserve">PNNL </t>
  </si>
  <si>
    <t>ComStock</t>
  </si>
  <si>
    <t>W/m2</t>
  </si>
  <si>
    <t xml:space="preserve"> PNNL considers higher load for electric equipment</t>
  </si>
  <si>
    <t xml:space="preserve">Yearly Load multiplier </t>
  </si>
  <si>
    <t>PNNL 2022</t>
  </si>
  <si>
    <t>DEER 2024</t>
  </si>
  <si>
    <t>CEC-Weekday</t>
  </si>
  <si>
    <t>CEC-Saturday</t>
  </si>
  <si>
    <t>CEC-Sunday</t>
  </si>
  <si>
    <t>PNNL-Weekday</t>
  </si>
  <si>
    <t>PNNL-Saturday</t>
  </si>
  <si>
    <t>PNNL-Sunday</t>
  </si>
  <si>
    <t>DEER-Weekday</t>
  </si>
  <si>
    <t>DEER-Saturday</t>
  </si>
  <si>
    <t>DEER-OtherDays</t>
  </si>
  <si>
    <t>DEER 2024 (Old model rebuilt in E+)</t>
  </si>
  <si>
    <t>Schedule:Compact,</t>
  </si>
  <si>
    <t>EL1</t>
  </si>
  <si>
    <t>Interval,</t>
  </si>
  <si>
    <t>12/31,</t>
  </si>
  <si>
    <t>SummerDesignDay,</t>
  </si>
  <si>
    <t>24:00,1.0,</t>
  </si>
  <si>
    <t>WinterDesignDay,</t>
  </si>
  <si>
    <t>24:00,0.0,</t>
  </si>
  <si>
    <t>Weekdays,</t>
  </si>
  <si>
    <t>05:00,0.05,</t>
  </si>
  <si>
    <t>07:00,0.10,</t>
  </si>
  <si>
    <t>08:00,0.30,</t>
  </si>
  <si>
    <t>17:00,0.90,</t>
  </si>
  <si>
    <t>18:00,0.50,</t>
  </si>
  <si>
    <t>20:00,0.30,</t>
  </si>
  <si>
    <t>22:00,0.20,</t>
  </si>
  <si>
    <t>23:00,0.10,</t>
  </si>
  <si>
    <t>24:00,0.05,</t>
  </si>
  <si>
    <t>Saturday,</t>
  </si>
  <si>
    <t>06:00,0.05,</t>
  </si>
  <si>
    <t>08:00,0.10,</t>
  </si>
  <si>
    <t>12:00,0.30,</t>
  </si>
  <si>
    <t>17:00,0.15,</t>
  </si>
  <si>
    <t>AllOtherDays,</t>
  </si>
  <si>
    <t>24:00,0.05;</t>
  </si>
  <si>
    <t xml:space="preserve">    BLDG_EQUIP_SCH,          !- Name</t>
  </si>
  <si>
    <t xml:space="preserve">    Fraction,                !- Schedule Type Limits Name</t>
  </si>
  <si>
    <t xml:space="preserve">    Through: 12/31,          !- Field 1</t>
  </si>
  <si>
    <t xml:space="preserve">    For: WeekDays,           !- Field 2</t>
  </si>
  <si>
    <t xml:space="preserve">    Until: 6:00,0.4094775565,!- Field 3</t>
  </si>
  <si>
    <t xml:space="preserve">    Until: 8:00,0.4797526335,!- Field 5</t>
  </si>
  <si>
    <t xml:space="preserve">    Until: 12:00,0.959505267,!- Field 7</t>
  </si>
  <si>
    <t xml:space="preserve">    Until: 13:00,0.90193495098, !- Field 9</t>
  </si>
  <si>
    <t xml:space="preserve">    Until: 17:00,0.959505267,!- Field 11</t>
  </si>
  <si>
    <t xml:space="preserve">    Until: 18:00,0.4797526335, !- Field 13</t>
  </si>
  <si>
    <t xml:space="preserve">    Until: 23:00,0.1919010534, !- Field 15</t>
  </si>
  <si>
    <t xml:space="preserve">    Until: 24:00,0.1637910226, !- Field 17</t>
  </si>
  <si>
    <t xml:space="preserve">    For: Weekends,           !- Field 19</t>
  </si>
  <si>
    <t xml:space="preserve">    Until: 24:00,0.1637910226, !- Field 20</t>
  </si>
  <si>
    <t xml:space="preserve">    For: Holiday,            !- Field 22</t>
  </si>
  <si>
    <t xml:space="preserve">    Until: 24:00,0.1637910226, !- Field 23</t>
  </si>
  <si>
    <t xml:space="preserve">    For: WinterDesignDay,    !- Field 25</t>
  </si>
  <si>
    <t xml:space="preserve">    Until: 24:00,0.0,        !- Field 26</t>
  </si>
  <si>
    <t xml:space="preserve">    For: SummerDesignDay,    !- Field 28</t>
  </si>
  <si>
    <t xml:space="preserve">    Until: 24:00,1.0,        !- Field 29</t>
  </si>
  <si>
    <t xml:space="preserve">    For: CustomDay1,         !- Field 31</t>
  </si>
  <si>
    <t xml:space="preserve">    Until: 24:00,0.0,        !- Field 32</t>
  </si>
  <si>
    <t xml:space="preserve">    For: CustomDay2,         !- Field 34</t>
  </si>
  <si>
    <t xml:space="preserve">    Until: 24:00,0.0;        !- Field 35</t>
  </si>
  <si>
    <t>CBECC 2023</t>
  </si>
  <si>
    <t>Schedule:Day:Interval,</t>
  </si>
  <si>
    <t>OfficeReceptacleWD,</t>
  </si>
  <si>
    <t>OfficeReceptacleSat,</t>
  </si>
  <si>
    <t>OfficeReceptacleSun,</t>
  </si>
  <si>
    <t>Fraction,</t>
  </si>
  <si>
    <t>No,</t>
  </si>
  <si>
    <t>01:00,</t>
  </si>
  <si>
    <t>0.05,</t>
  </si>
  <si>
    <t>02:00,</t>
  </si>
  <si>
    <t>03:00,</t>
  </si>
  <si>
    <t>04:00,</t>
  </si>
  <si>
    <t>05:00,</t>
  </si>
  <si>
    <t>06:00,</t>
  </si>
  <si>
    <t>0.1,</t>
  </si>
  <si>
    <t>07:00,</t>
  </si>
  <si>
    <t>08:00,</t>
  </si>
  <si>
    <t>0.3,</t>
  </si>
  <si>
    <t>09:00,</t>
  </si>
  <si>
    <t>0.9,</t>
  </si>
  <si>
    <t>10:00,</t>
  </si>
  <si>
    <t>11:00,</t>
  </si>
  <si>
    <t>12:00,</t>
  </si>
  <si>
    <t>13:00,</t>
  </si>
  <si>
    <t>0.15,</t>
  </si>
  <si>
    <t>14:00,</t>
  </si>
  <si>
    <t>15:00,</t>
  </si>
  <si>
    <t>16:00,</t>
  </si>
  <si>
    <t>17:00,</t>
  </si>
  <si>
    <t>18:00,</t>
  </si>
  <si>
    <t>0.5,</t>
  </si>
  <si>
    <t>19:00,</t>
  </si>
  <si>
    <t>20:00,</t>
  </si>
  <si>
    <t>21:00,</t>
  </si>
  <si>
    <t>0.2,</t>
  </si>
  <si>
    <t>22:00,</t>
  </si>
  <si>
    <t>23:00,</t>
  </si>
  <si>
    <t>24:00,</t>
  </si>
  <si>
    <t>0.05;</t>
  </si>
  <si>
    <t>Assumptions for elevators:</t>
  </si>
  <si>
    <t xml:space="preserve">One elevator for approximately 50,000 ft² in use. </t>
  </si>
  <si>
    <t>For every two floors or two and a half floors, one more elevator was added.</t>
  </si>
  <si>
    <t>An in-use rate of 70% for the floor area was assumed, based on engineering judgment.</t>
  </si>
  <si>
    <t xml:space="preserve">Calculated number of Elevators: </t>
  </si>
  <si>
    <t>Same as PNNL assumptions</t>
  </si>
  <si>
    <t>Calculate Elevator load (kw)based on ACM 2022:</t>
  </si>
  <si>
    <t>8.8 kw is PNNL ASHRE 90.1 2022 elevator load  (Lift,light and Fan)</t>
  </si>
  <si>
    <t>ACM 2022 suggestion for elevator load (kw):</t>
  </si>
  <si>
    <t>Elevator load will be defined as exterior load not equipment load  (Same as PNNL ASHRAE 90.1 Large Hotel prototype).</t>
  </si>
  <si>
    <t>Schedules - HotelSmall</t>
  </si>
  <si>
    <t>Zone</t>
  </si>
  <si>
    <t>Schedule</t>
  </si>
  <si>
    <t>Day</t>
  </si>
  <si>
    <t>Hour</t>
  </si>
  <si>
    <t>Gym,Storage,Laundry,Mech,Conferences</t>
  </si>
  <si>
    <t>Occupancy</t>
  </si>
  <si>
    <t>T24 2022 - Appendix 5.4B, [Assembly]</t>
  </si>
  <si>
    <t>Gym,Laundry,Mech,Conference</t>
  </si>
  <si>
    <t>Lights</t>
  </si>
  <si>
    <t>Gym,Storage,Laundry,Mech,Conference</t>
  </si>
  <si>
    <t>ElecEquipment</t>
  </si>
  <si>
    <t>HVACAvail</t>
  </si>
  <si>
    <t>ServiceHotWater</t>
  </si>
  <si>
    <t>Laundry</t>
  </si>
  <si>
    <t>GasEquipment</t>
  </si>
  <si>
    <t>HtgSetpt</t>
  </si>
  <si>
    <t>Honeywell-INNCOM e7 Thermostat User Guide 
&amp; Engineering Judgement</t>
  </si>
  <si>
    <t>ClgSetpt</t>
  </si>
  <si>
    <t>Corridors, Stairwells, Lounges,Restrooms</t>
  </si>
  <si>
    <t>T24 2022 - Appendix 5.4B, [ResidentialCommon]</t>
  </si>
  <si>
    <t>Guest rooms</t>
  </si>
  <si>
    <t>T24 2022 - Appendix 5.4B, [ResidentialLiving]</t>
  </si>
  <si>
    <t xml:space="preserve">ElecEquipment </t>
  </si>
  <si>
    <t>Other</t>
  </si>
  <si>
    <t>T24 2022 - Appendix 5.4B, [Office]</t>
  </si>
  <si>
    <t>Building</t>
  </si>
  <si>
    <t>Elevator</t>
  </si>
  <si>
    <t>T24 2022 - Appendix 5.4B, [ResintialCommon] same as [ResidentialLiving]</t>
  </si>
  <si>
    <t>ExtLightingNonMotionCtrl</t>
  </si>
  <si>
    <t>PNNL Small Hotel Prototype (2022)</t>
  </si>
  <si>
    <t>ExtLightingMotionCtrl</t>
  </si>
  <si>
    <t>PNNL Small Hotel Prototype (2022) Modified to 0 for 11 pm to 5 am during weekday and 12 am to 5 am during weekend</t>
  </si>
  <si>
    <t xml:space="preserve">All zones except GuestRoom, Conference, and Office </t>
  </si>
  <si>
    <t>CommonAreaPeopleActivityLevel</t>
  </si>
  <si>
    <t>CEC Small Hotel Prototype</t>
  </si>
  <si>
    <t>GuestRoom</t>
  </si>
  <si>
    <t>GuestRoomPeopleActivityLevel</t>
  </si>
  <si>
    <t>Conference  and Office</t>
  </si>
  <si>
    <t>FunctionalAreaPeopleActivityLevel</t>
  </si>
  <si>
    <t>Equipment</t>
  </si>
  <si>
    <t xml:space="preserve">Office Zones		</t>
  </si>
  <si>
    <t>BuildingExtLighting</t>
  </si>
  <si>
    <t>CalBEM Energy Consumption - HotelSmall</t>
  </si>
  <si>
    <t>Energy Consumption - Lodging</t>
  </si>
  <si>
    <t>CZ</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</si>
  <si>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</si>
  <si>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</si>
  <si>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</si>
  <si>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</si>
  <si>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</si>
  <si>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</si>
  <si>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</si>
  <si>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 (25% Higher)</t>
  </si>
  <si>
    <t>Acceptable Range (25% Lower)</t>
  </si>
  <si>
    <t>National Average Acceptable EUI Range</t>
  </si>
  <si>
    <t>Total Floorspace (Thousand of ft²)</t>
  </si>
  <si>
    <t>CEUS 2023 Electricity EUI (kWh/ft²)</t>
  </si>
  <si>
    <t>CEUS 2023 Gas EUI (kWh/ft²)</t>
  </si>
  <si>
    <t>CEUS 2023 Total EUI (kBtu/ft²)</t>
  </si>
  <si>
    <t xml:space="preserve">CEUS 2022 Acceptable EUI Range </t>
  </si>
  <si>
    <r>
      <rPr>
        <b/>
        <sz val="10"/>
        <color theme="1"/>
        <rFont val="Arial"/>
        <family val="2"/>
      </rPr>
      <t xml:space="preserve">Ref: </t>
    </r>
    <r>
      <rPr>
        <sz val="10"/>
        <color theme="1"/>
        <rFont val="Arial"/>
        <family val="2"/>
      </rPr>
      <t xml:space="preserve">CEUS 2022 Report </t>
    </r>
  </si>
  <si>
    <t xml:space="preserve">And converted FZ level data to CZ level </t>
  </si>
  <si>
    <t>CEUS has only one category for Lodging buildings</t>
  </si>
  <si>
    <t>Building-type</t>
  </si>
  <si>
    <t>Planning Area</t>
  </si>
  <si>
    <t>Percent of Total</t>
  </si>
  <si>
    <t>Annual Gas Intensity (kBtu/ft²)</t>
  </si>
  <si>
    <t>Gas Usage (Therms)</t>
  </si>
  <si>
    <t>Percent of Therms</t>
  </si>
  <si>
    <t>Office, Small</t>
  </si>
  <si>
    <t>Statewide</t>
  </si>
  <si>
    <t>FCZ1</t>
  </si>
  <si>
    <t>FCZ2</t>
  </si>
  <si>
    <t>FCZ3</t>
  </si>
  <si>
    <t>FCZ4</t>
  </si>
  <si>
    <t>FCZ5</t>
  </si>
  <si>
    <t>FCZ6</t>
  </si>
  <si>
    <t>FCZ7</t>
  </si>
  <si>
    <t>FCZ8</t>
  </si>
  <si>
    <t>FCZ9</t>
  </si>
  <si>
    <t>FCZ10</t>
  </si>
  <si>
    <t>FCZ11</t>
  </si>
  <si>
    <t>FCZ12c</t>
  </si>
  <si>
    <t>FCZ12i</t>
  </si>
  <si>
    <t>FCZ13</t>
  </si>
  <si>
    <t>FCZ16</t>
  </si>
  <si>
    <t>FCZ17</t>
  </si>
  <si>
    <t>Annual Electric Usage (GWh)</t>
  </si>
  <si>
    <t>Annual Gas Usage (MTherms)</t>
  </si>
  <si>
    <t>Annual Electric Intensity (kWh/ft²)</t>
  </si>
  <si>
    <t>Planning Area
&amp;
Forecast Zone</t>
  </si>
  <si>
    <t>Participating Utilities Only</t>
  </si>
  <si>
    <t>Nonparticipating Utilities</t>
  </si>
  <si>
    <t>na</t>
  </si>
  <si>
    <t>End Use</t>
  </si>
  <si>
    <t>Planning Are</t>
  </si>
  <si>
    <t>Gas Fuel Share</t>
  </si>
  <si>
    <t>Other Fuel Share</t>
  </si>
  <si>
    <t>Saturation (Elect)</t>
  </si>
  <si>
    <t>Saturations (Gas)</t>
  </si>
  <si>
    <t>Saturations
(Other Fuels)</t>
  </si>
  <si>
    <t>&lt;= The saturations here are the % of total floorspace with for each combination of end-use and fuel type.</t>
  </si>
  <si>
    <t>Air Compressors</t>
  </si>
  <si>
    <t>NA</t>
  </si>
  <si>
    <t>Cooking, Major</t>
  </si>
  <si>
    <t>Cooking, Minor</t>
  </si>
  <si>
    <t>Freezers, Commercial</t>
  </si>
  <si>
    <t>Frozen Floor Space</t>
  </si>
  <si>
    <t>43=40/(40+51+1)</t>
  </si>
  <si>
    <t>Miscellaneous</t>
  </si>
  <si>
    <t>Motors</t>
  </si>
  <si>
    <t>Office Equipment</t>
  </si>
  <si>
    <t>Refrigerated Floor Space</t>
  </si>
  <si>
    <t>Refrigerators, Commercial</t>
  </si>
  <si>
    <t>Refrigerators, Residential</t>
  </si>
  <si>
    <t>Ventilation</t>
  </si>
  <si>
    <t>Water Heating</t>
  </si>
  <si>
    <t>Utility &amp; Forecast Zone</t>
  </si>
  <si>
    <t>2008-2017</t>
  </si>
  <si>
    <t xml:space="preserve">
Year-Built Not Available</t>
  </si>
  <si>
    <t>12c</t>
  </si>
  <si>
    <t>12i</t>
  </si>
  <si>
    <t>% of floor area per CZ and vintage bin - Lodging</t>
  </si>
  <si>
    <t>% of floor area per CZ and vintage bin - Large Hotel</t>
  </si>
  <si>
    <t>Vintage Bin</t>
  </si>
  <si>
    <t>Pre-1978</t>
  </si>
  <si>
    <t>Not available</t>
  </si>
  <si>
    <t>Hotel</t>
  </si>
  <si>
    <t>Ref: CEUS 2022 dataset</t>
  </si>
  <si>
    <t>FZ</t>
  </si>
  <si>
    <t>Total floor area of the CA stock (kft²)</t>
  </si>
  <si>
    <t>Floor area</t>
  </si>
  <si>
    <t>STC 7:305,405  
Area/Project&gt;&lt;25
Constructed after 1967 before 1978</t>
  </si>
  <si>
    <t xml:space="preserve">STC 7:305,405  
Area/Project&gt;&lt;25
Constructed after 1967 </t>
  </si>
  <si>
    <t>Total Floor are for small office(&lt;30 k ft²)</t>
  </si>
  <si>
    <t>Total Floor area for small office (&lt;30 k ft²) Pre-1978</t>
  </si>
  <si>
    <t>Small office (1967-1977)/All Pre 1878</t>
  </si>
  <si>
    <t>Conditioned (k SqFt)</t>
  </si>
  <si>
    <t>Unconditioned (k SqFt)</t>
  </si>
  <si>
    <t>Statewide/  Utility/ FCZ</t>
  </si>
  <si>
    <t>Not Available</t>
  </si>
  <si>
    <t>FCZ01 Tot</t>
  </si>
  <si>
    <t>FCZ02 Tot</t>
  </si>
  <si>
    <t>FCZ03 Tot</t>
  </si>
  <si>
    <t>FCZ04 Tot</t>
  </si>
  <si>
    <t>FCZ05 Tot</t>
  </si>
  <si>
    <t>FCZ06 Tot</t>
  </si>
  <si>
    <t>FCZ07 Tot</t>
  </si>
  <si>
    <t>FCZ08 Tot</t>
  </si>
  <si>
    <t>FCZ09 Tot</t>
  </si>
  <si>
    <t>FCZ10 Tot</t>
  </si>
  <si>
    <t>FCZ11 Tot</t>
  </si>
  <si>
    <t>FCZ12c Tot</t>
  </si>
  <si>
    <t>FCZ12i Tot</t>
  </si>
  <si>
    <t>FCZ13 Tot</t>
  </si>
  <si>
    <t>FCZ16 Tot</t>
  </si>
  <si>
    <t>FCZ17 Tot</t>
  </si>
  <si>
    <t>TBD</t>
  </si>
  <si>
    <t>CEUS 2022 (Base on Survey 2018)</t>
  </si>
  <si>
    <t>The data presented in this worksheet represents the projected number of EV charger ports, or the number of cars that can be charged at the same time, for the year 2022 (last year of CEUC)</t>
  </si>
  <si>
    <t>Has EV Chargers</t>
  </si>
  <si>
    <t>Level 1,  120 volt Charger     (No. ports/SqFT)</t>
  </si>
  <si>
    <t>Level 2,  240 volt Charger    (No. ports/SqFT)</t>
  </si>
  <si>
    <t>Level 3,  DC fast     (No. ports/SqFT)</t>
  </si>
  <si>
    <t>Charger Type Unkown  (No. ports/SqFT)</t>
  </si>
  <si>
    <t>All Chargers Totals   (No. ports/SqFT)</t>
  </si>
  <si>
    <t>Calculation Method</t>
  </si>
  <si>
    <t xml:space="preserve">No </t>
  </si>
  <si>
    <t>Public Only</t>
  </si>
  <si>
    <t>Public &amp; Employee</t>
  </si>
  <si>
    <t>Public &amp; Fleet</t>
  </si>
  <si>
    <t>Employee Only</t>
  </si>
  <si>
    <t>Employee &amp; Fleet</t>
  </si>
  <si>
    <t>Fleet Only</t>
  </si>
  <si>
    <t>All 3 Types</t>
  </si>
  <si>
    <t>Unknown</t>
  </si>
  <si>
    <t>Level 1 Total</t>
  </si>
  <si>
    <t>Level 2 Total</t>
  </si>
  <si>
    <t>Level 3 Total</t>
  </si>
  <si>
    <t>Unkonwn Total</t>
  </si>
  <si>
    <t>Floorspace-Based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</si>
  <si>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</si>
  <si>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</si>
  <si>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</si>
  <si>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</si>
  <si>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</si>
  <si>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</si>
  <si>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</si>
  <si>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</si>
  <si>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</si>
  <si>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</si>
  <si>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</si>
  <si>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</si>
  <si>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</si>
  <si>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</si>
  <si>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</si>
  <si>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</si>
  <si>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</si>
  <si>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</si>
  <si>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Copy Room</t>
  </si>
  <si>
    <t>Dining Area (Bar/Lounge and Fine Dining)</t>
  </si>
  <si>
    <t>Dining Area (Cafeteria/Fast Food)</t>
  </si>
  <si>
    <t>Dining Area (Family and Leisure)</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</si>
  <si>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</si>
  <si>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</si>
  <si>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</si>
  <si>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</si>
  <si>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</si>
  <si>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</si>
  <si>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</si>
  <si>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</si>
  <si>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</si>
  <si>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</si>
  <si>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</si>
  <si>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Kitchen/Food Preparation Area</t>
  </si>
  <si>
    <t>Kitchenette or Residential Kitchen</t>
  </si>
  <si>
    <t>Laboratory, Scientific</t>
  </si>
  <si>
    <t>Library (Reading Area)</t>
  </si>
  <si>
    <t>Library (Stacks Area)</t>
  </si>
  <si>
    <t>Lobby, Main Entry</t>
  </si>
  <si>
    <t>Locker Room</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</si>
  <si>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</si>
  <si>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</si>
  <si>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</si>
  <si>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</si>
  <si>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</si>
  <si>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(&lt;250 square feet)</t>
  </si>
  <si>
    <t>Parking Garage Area (Parking Zone and Ramps)</t>
  </si>
  <si>
    <t>Parking Garage Area (Daylight Adaptation Zones)</t>
  </si>
  <si>
    <t>Pharmacy Area</t>
  </si>
  <si>
    <t>Retail Sales Area (Grocery Sales)</t>
  </si>
  <si>
    <t>Retail Sales Area (Retail Merchandise Sales)</t>
  </si>
  <si>
    <t>Retail Sales Area (Fitting Room)</t>
  </si>
  <si>
    <t>Religious Worship Area</t>
  </si>
  <si>
    <t>Storage, Commercial/Industrial (Warehouse)</t>
  </si>
  <si>
    <t>Storage, Commercial/Industrial (Refrigerated)</t>
  </si>
  <si>
    <t>Storage, Commercial/Industrial (Shipping &amp; Handling)</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</si>
  <si>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</si>
  <si>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</si>
  <si>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</si>
  <si>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</si>
  <si>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</si>
  <si>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</si>
  <si>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</si>
  <si>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</si>
  <si>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</si>
  <si>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</si>
  <si>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All other</t>
  </si>
  <si>
    <t>Attic</t>
  </si>
  <si>
    <t>Reception Area</t>
  </si>
  <si>
    <t>Plenum</t>
  </si>
  <si>
    <t>IT Room (EPD 12)</t>
  </si>
  <si>
    <t>Computer Room (EPD 20)</t>
  </si>
  <si>
    <t>Server Room (EPD 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</si>
</sst>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3" formatCode="_(* #,##0.00_);_(* \(#,##0.00\);_(* &quot;-&quot;??_);_(@_)"/>
    <numFmt numFmtId="164" formatCode="0.0%"/>
    <numFmt numFmtId="165" formatCode="0.0"/>
    <numFmt numFmtId="166" formatCode="#,##0.0"/>
    <numFmt numFmtId="168" formatCode="0.000"/>
    <numFmt numFmtId="169" formatCode="_(* #,##0.0_);_(* \(#,##0.0\);_(* &quot;-&quot;??_);_(@_)"/>
    <numFmt numFmtId="170" formatCode="_(* #,##0_);_(* \(#,##0\);_(* &quot;-&quot;??_);_(@_)"/>
    <numFmt numFmtId="171" formatCode="_(* #,##0.000_);_(* \(#,##0.000\);_(* &quot;-&quot;??_);_(@_)"/>
    <numFmt numFmtId="172" formatCode="#,##0;\-0;[Color15]0"/>
    <numFmt numFmtId="173" formatCode="_(* #,##0.0_);_(* \(#,##0.0\);_(* &quot;-&quot;?????_);_(@_)"/>
  </numFmts>
  <fonts count="51">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b/>
      <sz val="9"/>
      <color indexed="81"/>
      <name val="Tahoma"/>
      <family val="2"/>
    </font>
    <font>
      <b/>
      <sz val="12"/>
      <color indexed="81"/>
      <name val="Tahoma"/>
      <family val="2"/>
    </font>
    <font>
      <sz val="9"/>
      <color indexed="81"/>
      <name val="Tahoma"/>
      <family val="2"/>
    </font>
    <font>
      <sz val="8"/>
      <color indexed="8"/>
      <name val="MS Sans Serif"/>
      <family val="2"/>
    </font>
    <font>
      <sz val="8"/>
      <name val="Calibri"/>
      <family val="2"/>
      <scheme val="minor"/>
    </font>
    <font>
      <sz val="10"/>
      <color theme="1"/>
      <name val="Arial"/>
      <family val="2"/>
    </font>
    <font>
      <b/>
      <sz val="12"/>
      <name val="Calibri"/>
      <family val="2"/>
      <scheme val="minor"/>
    </font>
    <font>
      <b/>
      <sz val="10"/>
      <color theme="1"/>
      <name val="Arial"/>
      <family val="2"/>
    </font>
    <font>
      <u/>
      <sz val="11"/>
      <color theme="10"/>
      <name val="Calibri"/>
      <family val="2"/>
      <scheme val="minor"/>
    </font>
    <font>
      <b/>
      <sz val="12"/>
      <color theme="1"/>
      <name val="Calibri"/>
      <family val="2"/>
      <scheme val="minor"/>
    </font>
    <font>
      <sz val="10"/>
      <color indexed="8"/>
      <name val="Arial"/>
      <family val="2"/>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theme="1"/>
      <name val="Calibri"/>
      <family val="2"/>
      <scheme val="minor"/>
    </font>
    <font>
      <b/>
      <sz val="10"/>
      <color theme="0"/>
      <name val="Arial"/>
      <family val="2"/>
    </font>
    <font>
      <sz val="11"/>
      <color rgb="FF0070C0"/>
      <name val="Arial"/>
      <family val="2"/>
    </font>
    <font>
      <b/>
      <sz val="10"/>
      <name val="Arial"/>
      <family val="2"/>
    </font>
    <font>
      <b/>
      <sz val="10"/>
      <color indexed="8"/>
      <name val="Arial"/>
      <family val="2"/>
    </font>
    <font>
      <sz val="10"/>
      <color theme="1" tint="0.499984740745262"/>
      <name val="Arial"/>
      <family val="2"/>
    </font>
    <font>
      <sz val="10"/>
      <color theme="0" tint="-0.249977111117893"/>
      <name val="Arial"/>
      <family val="2"/>
    </font>
    <font>
      <sz val="10"/>
      <color rgb="FFC00000"/>
      <name val="Arial"/>
      <family val="2"/>
    </font>
    <font>
      <sz val="9"/>
      <color theme="1"/>
      <name val="Arial"/>
      <family val="2"/>
    </font>
    <font>
      <sz val="10"/>
      <color rgb="FF000000"/>
      <name val="Arial"/>
      <family val="2"/>
    </font>
    <font>
      <sz val="10"/>
      <color theme="0"/>
      <name val="Arial"/>
      <family val="2"/>
    </font>
    <font>
      <b/>
      <sz val="10"/>
      <color rgb="FF000000"/>
      <name val="Arial"/>
      <family val="2"/>
    </font>
    <font>
      <b/>
      <sz val="9"/>
      <color theme="0"/>
      <name val="Arial"/>
      <family val="2"/>
    </font>
    <font>
      <sz val="11"/>
      <color theme="1"/>
      <name val="Arial"/>
      <family val="2"/>
    </font>
    <font>
      <sz val="10"/>
      <color theme="1"/>
      <name val="Arial"/>
      <family val="2"/>
    </font>
    <font>
      <b/>
      <sz val="10"/>
      <color rgb="FF0070C0"/>
      <name val="Arial"/>
      <family val="2"/>
    </font>
    <font>
      <b/>
      <sz val="14"/>
      <color rgb="FF000000"/>
      <name val="Calibri"/>
      <family val="2"/>
      <scheme val="minor"/>
    </font>
    <font>
      <b/>
      <sz val="11"/>
      <color rgb="FF000000"/>
      <name val="Arial"/>
      <family val="2"/>
    </font>
    <font>
      <sz val="11"/>
      <color rgb="FF000000"/>
      <name val="Arial"/>
      <family val="2"/>
    </font>
    <font>
      <b/>
      <sz val="10"/>
      <color rgb="FF002F8E"/>
      <name val="Arial"/>
      <family val="2"/>
    </font>
    <font>
      <sz val="12"/>
      <color theme="0"/>
      <name val="Arial"/>
      <family val="2"/>
    </font>
    <font>
      <sz val="11"/>
      <color rgb="FFFF0000"/>
      <name val="Arial"/>
      <family val="2"/>
    </font>
    <font>
      <b/>
      <sz val="12"/>
      <color rgb="FFFFFFFF"/>
      <name val="Arial"/>
      <family val="2"/>
    </font>
    <font>
      <sz val="11"/>
      <name val="Arial"/>
      <family val="2"/>
    </font>
    <font>
      <sz val="12"/>
      <name val="Calibri"/>
      <family val="2"/>
      <scheme val="minor"/>
    </font>
    <font>
      <sz val="8"/>
      <color theme="1"/>
      <name val="Calibri"/>
      <family val="2"/>
      <scheme val="minor"/>
    </font>
    <font>
      <b/>
      <sz val="11"/>
      <color theme="1"/>
      <name val="Arial"/>
      <family val="2"/>
    </font>
    <font>
      <sz val="11"/>
      <name val="Calibri"/>
      <family val="2"/>
      <scheme val="minor"/>
    </font>
    <font>
      <sz val="9"/>
      <color rgb="FF000000"/>
      <name val="Arial"/>
      <family val="2"/>
    </font>
    <font>
      <sz val="10"/>
      <color rgb="FF0070C0"/>
      <name val="Arial"/>
      <family val="2"/>
    </font>
    <font>
      <sz val="9"/>
      <color rgb="FF0070C0"/>
      <name val="Arial"/>
      <family val="2"/>
    </font>
  </fonts>
  <fills count="21">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14996795556505021"/>
        <bgColor indexed="64"/>
      </patternFill>
    </fill>
    <fill>
      <patternFill patternType="solid">
        <fgColor theme="1" tint="0.249977111117893"/>
        <bgColor indexed="64"/>
      </patternFill>
    </fill>
    <fill>
      <patternFill patternType="solid">
        <fgColor theme="4" tint="-0.499984740745262"/>
        <bgColor indexed="64"/>
      </patternFill>
    </fill>
    <fill>
      <patternFill patternType="solid">
        <fgColor theme="0" tint="-0.34998626667073579"/>
        <bgColor indexed="64"/>
      </patternFill>
    </fill>
    <fill>
      <patternFill patternType="solid">
        <fgColor rgb="FF203764"/>
        <bgColor rgb="FF000000"/>
      </patternFill>
    </fill>
    <fill>
      <patternFill patternType="solid">
        <fgColor rgb="FFD9E1F2"/>
        <bgColor rgb="FF000000"/>
      </patternFill>
    </fill>
    <fill>
      <patternFill patternType="lightUp"/>
    </fill>
    <fill>
      <patternFill patternType="solid">
        <fgColor rgb="FFFFFFFF"/>
        <bgColor rgb="FF000000"/>
      </patternFill>
    </fill>
    <fill>
      <patternFill patternType="solid">
        <fgColor rgb="FFFFF2CC"/>
        <bgColor rgb="FF000000"/>
      </patternFill>
    </fill>
  </fills>
  <borders count="188">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style="thin">
        <color rgb="FF000000"/>
      </left>
      <right style="thin">
        <color rgb="FF000000"/>
      </right>
      <top style="thin">
        <color rgb="FF000000"/>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indexed="64"/>
      </left>
      <right style="thin">
        <color indexed="64"/>
      </right>
      <top style="thin">
        <color indexed="64"/>
      </top>
      <bottom style="medium">
        <color indexed="64"/>
      </bottom>
      <diagonal/>
    </border>
    <border>
      <left/>
      <right/>
      <top/>
      <bottom style="thin">
        <color theme="0" tint="-0.499984740745262"/>
      </bottom>
      <diagonal/>
    </border>
    <border>
      <left style="thin">
        <color auto="1"/>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theme="0" tint="-0.499984740745262"/>
      </left>
      <right style="thin">
        <color theme="0" tint="-0.499984740745262"/>
      </right>
      <top style="thin">
        <color indexed="64"/>
      </top>
      <bottom/>
      <diagonal/>
    </border>
    <border>
      <left style="medium">
        <color indexed="64"/>
      </left>
      <right style="thin">
        <color indexed="64"/>
      </right>
      <top style="thin">
        <color indexed="64"/>
      </top>
      <bottom/>
      <diagonal/>
    </border>
    <border>
      <left style="thin">
        <color theme="0" tint="-0.499984740745262"/>
      </left>
      <right style="thin">
        <color rgb="FF808080"/>
      </right>
      <top style="thin">
        <color theme="0" tint="-0.499984740745262"/>
      </top>
      <bottom/>
      <diagonal/>
    </border>
    <border>
      <left style="thin">
        <color rgb="FF808080"/>
      </left>
      <right style="thin">
        <color rgb="FF808080"/>
      </right>
      <top style="thin">
        <color rgb="FF808080"/>
      </top>
      <bottom/>
      <diagonal/>
    </border>
    <border>
      <left style="thin">
        <color rgb="FF808080"/>
      </left>
      <right style="thin">
        <color rgb="FF808080"/>
      </right>
      <top style="thin">
        <color theme="0" tint="-0.499984740745262"/>
      </top>
      <bottom/>
      <diagonal/>
    </border>
    <border>
      <left style="thin">
        <color rgb="FF808080"/>
      </left>
      <right style="thin">
        <color rgb="FF808080"/>
      </right>
      <top/>
      <bottom/>
      <diagonal/>
    </border>
    <border>
      <left style="thin">
        <color rgb="FF808080"/>
      </left>
      <right style="thin">
        <color rgb="FF808080"/>
      </right>
      <top/>
      <bottom style="thin">
        <color rgb="FF808080"/>
      </bottom>
      <diagonal/>
    </border>
    <border>
      <left style="thin">
        <color rgb="FF808080"/>
      </left>
      <right style="thin">
        <color rgb="FF808080"/>
      </right>
      <top style="thin">
        <color rgb="FF808080"/>
      </top>
      <bottom style="thin">
        <color rgb="FF80808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medium">
        <color indexed="64"/>
      </right>
      <top style="medium">
        <color indexed="64"/>
      </top>
      <bottom/>
      <diagonal/>
    </border>
    <border>
      <left/>
      <right style="thin">
        <color rgb="FF808080"/>
      </right>
      <top style="thin">
        <color indexed="64"/>
      </top>
      <bottom/>
      <diagonal/>
    </border>
    <border>
      <left/>
      <right style="thin">
        <color rgb="FF808080"/>
      </right>
      <top/>
      <bottom/>
      <diagonal/>
    </border>
    <border>
      <left style="thin">
        <color rgb="FF808080"/>
      </left>
      <right style="thin">
        <color rgb="FF808080"/>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theme="0" tint="-0.499984740745262"/>
      </left>
      <right/>
      <top style="thin">
        <color theme="0" tint="-0.499984740745262"/>
      </top>
      <bottom style="thin">
        <color rgb="FF000000"/>
      </bottom>
      <diagonal/>
    </border>
    <border>
      <left/>
      <right/>
      <top style="thin">
        <color theme="0" tint="-0.499984740745262"/>
      </top>
      <bottom style="thin">
        <color rgb="FF000000"/>
      </bottom>
      <diagonal/>
    </border>
    <border>
      <left/>
      <right style="thin">
        <color theme="0" tint="-0.499984740745262"/>
      </right>
      <top style="thin">
        <color theme="0" tint="-0.499984740745262"/>
      </top>
      <bottom style="thin">
        <color rgb="FF000000"/>
      </bottom>
      <diagonal/>
    </border>
    <border>
      <left style="thin">
        <color theme="1" tint="0.34998626667073579"/>
      </left>
      <right style="thin">
        <color theme="1" tint="0.34998626667073579"/>
      </right>
      <top/>
      <bottom style="thin">
        <color theme="1" tint="0.34998626667073579"/>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style="thin">
        <color theme="1" tint="0.34998626667073579"/>
      </right>
      <top/>
      <bottom/>
      <diagonal/>
    </border>
    <border>
      <left/>
      <right/>
      <top/>
      <bottom style="thin">
        <color theme="1" tint="0.34998626667073579"/>
      </bottom>
      <diagonal/>
    </border>
    <border>
      <left/>
      <right style="thin">
        <color theme="1" tint="0.34998626667073579"/>
      </right>
      <top style="thin">
        <color theme="1" tint="0.34998626667073579"/>
      </top>
      <bottom/>
      <diagonal/>
    </border>
    <border>
      <left/>
      <right style="thin">
        <color theme="1" tint="0.34998626667073579"/>
      </right>
      <top/>
      <bottom/>
      <diagonal/>
    </border>
    <border>
      <left style="thin">
        <color theme="1" tint="0.34998626667073579"/>
      </left>
      <right/>
      <top/>
      <bottom/>
      <diagonal/>
    </border>
    <border>
      <left style="thin">
        <color theme="1" tint="0.34998626667073579"/>
      </left>
      <right/>
      <top style="thin">
        <color theme="1" tint="0.34998626667073579"/>
      </top>
      <bottom style="thin">
        <color theme="1" tint="0.34998626667073579"/>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thin">
        <color theme="1" tint="0.34998626667073579"/>
      </left>
      <right style="medium">
        <color theme="1" tint="0.34998626667073579"/>
      </right>
      <top style="thin">
        <color theme="1" tint="0.34998626667073579"/>
      </top>
      <bottom/>
      <diagonal/>
    </border>
    <border>
      <left style="thin">
        <color theme="1" tint="0.34998626667073579"/>
      </left>
      <right style="medium">
        <color theme="1" tint="0.34998626667073579"/>
      </right>
      <top/>
      <bottom style="thin">
        <color theme="1" tint="0.34998626667073579"/>
      </bottom>
      <diagonal/>
    </border>
    <border>
      <left/>
      <right style="thin">
        <color theme="1" tint="0.34998626667073579"/>
      </right>
      <top style="medium">
        <color theme="1" tint="0.34998626667073579"/>
      </top>
      <bottom style="thin">
        <color theme="1" tint="0.34998626667073579"/>
      </bottom>
      <diagonal/>
    </border>
    <border>
      <left/>
      <right style="thin">
        <color theme="1" tint="0.34998626667073579"/>
      </right>
      <top style="thin">
        <color theme="1" tint="0.34998626667073579"/>
      </top>
      <bottom style="medium">
        <color theme="1" tint="0.34998626667073579"/>
      </bottom>
      <diagonal/>
    </border>
    <border>
      <left/>
      <right style="thin">
        <color theme="1" tint="0.34998626667073579"/>
      </right>
      <top/>
      <bottom style="thin">
        <color theme="1" tint="0.34998626667073579"/>
      </bottom>
      <diagonal/>
    </border>
    <border>
      <left style="thin">
        <color indexed="64"/>
      </left>
      <right style="medium">
        <color indexed="64"/>
      </right>
      <top/>
      <bottom style="medium">
        <color indexed="64"/>
      </bottom>
      <diagonal/>
    </border>
    <border>
      <left style="thin">
        <color theme="1" tint="0.34998626667073579"/>
      </left>
      <right style="thin">
        <color theme="1" tint="0.34998626667073579"/>
      </right>
      <top style="thin">
        <color theme="1" tint="0.34998626667073579"/>
      </top>
      <bottom style="thin">
        <color rgb="FF000000"/>
      </bottom>
      <diagonal/>
    </border>
    <border>
      <left style="thin">
        <color theme="1" tint="0.34998626667073579"/>
      </left>
      <right/>
      <top/>
      <bottom style="thin">
        <color theme="1" tint="0.34998626667073579"/>
      </bottom>
      <diagonal/>
    </border>
    <border>
      <left style="thin">
        <color indexed="64"/>
      </left>
      <right/>
      <top style="thin">
        <color indexed="64"/>
      </top>
      <bottom style="thin">
        <color rgb="FF000000"/>
      </bottom>
      <diagonal/>
    </border>
    <border>
      <left/>
      <right style="thin">
        <color rgb="FF000000"/>
      </right>
      <top style="thin">
        <color indexed="64"/>
      </top>
      <bottom style="thin">
        <color rgb="FF000000"/>
      </bottom>
      <diagonal/>
    </border>
    <border>
      <left/>
      <right style="thin">
        <color rgb="FF000000"/>
      </right>
      <top/>
      <bottom style="thin">
        <color rgb="FF000000"/>
      </bottom>
      <diagonal/>
    </border>
    <border>
      <left style="thin">
        <color theme="1" tint="0.34998626667073579"/>
      </left>
      <right style="medium">
        <color theme="1" tint="0.34998626667073579"/>
      </right>
      <top/>
      <bottom/>
      <diagonal/>
    </border>
    <border>
      <left style="thin">
        <color theme="1" tint="0.34998626667073579"/>
      </left>
      <right style="medium">
        <color theme="1" tint="0.34998626667073579"/>
      </right>
      <top/>
      <bottom style="medium">
        <color theme="1" tint="0.34998626667073579"/>
      </bottom>
      <diagonal/>
    </border>
    <border>
      <left style="thin">
        <color theme="1" tint="0.34998626667073579"/>
      </left>
      <right style="thin">
        <color theme="1" tint="0.34998626667073579"/>
      </right>
      <top style="medium">
        <color theme="1" tint="0.34998626667073579"/>
      </top>
      <bottom/>
      <diagonal/>
    </border>
    <border>
      <left style="medium">
        <color indexed="64"/>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style="medium">
        <color indexed="64"/>
      </top>
      <bottom style="thin">
        <color theme="1" tint="0.34998626667073579"/>
      </bottom>
      <diagonal/>
    </border>
    <border>
      <left style="medium">
        <color indexed="64"/>
      </left>
      <right style="thin">
        <color theme="1" tint="0.34998626667073579"/>
      </right>
      <top style="thin">
        <color theme="1" tint="0.34998626667073579"/>
      </top>
      <bottom style="thin">
        <color theme="1" tint="0.34998626667073579"/>
      </bottom>
      <diagonal/>
    </border>
    <border>
      <left style="medium">
        <color indexed="64"/>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indexed="64"/>
      </left>
      <right style="medium">
        <color indexed="64"/>
      </right>
      <top style="thin">
        <color indexed="64"/>
      </top>
      <bottom style="medium">
        <color indexed="64"/>
      </bottom>
      <diagonal/>
    </border>
    <border>
      <left style="thin">
        <color theme="1" tint="0.34998626667073579"/>
      </left>
      <right style="thin">
        <color theme="1" tint="0.34998626667073579"/>
      </right>
      <top/>
      <bottom style="medium">
        <color theme="1" tint="0.34998626667073579"/>
      </bottom>
      <diagonal/>
    </border>
    <border>
      <left style="medium">
        <color theme="1" tint="0.34998626667073579"/>
      </left>
      <right style="thin">
        <color theme="1" tint="0.34998626667073579"/>
      </right>
      <top/>
      <bottom/>
      <diagonal/>
    </border>
    <border>
      <left style="medium">
        <color theme="1" tint="0.34998626667073579"/>
      </left>
      <right style="thin">
        <color theme="1" tint="0.34998626667073579"/>
      </right>
      <top/>
      <bottom style="medium">
        <color theme="1" tint="0.34998626667073579"/>
      </bottom>
      <diagonal/>
    </border>
    <border>
      <left/>
      <right/>
      <top/>
      <bottom style="medium">
        <color theme="1" tint="0.34998626667073579"/>
      </bottom>
      <diagonal/>
    </border>
    <border>
      <left/>
      <right style="thin">
        <color theme="1" tint="0.34998626667073579"/>
      </right>
      <top/>
      <bottom style="medium">
        <color theme="1" tint="0.34998626667073579"/>
      </bottom>
      <diagonal/>
    </border>
    <border>
      <left/>
      <right/>
      <top style="thin">
        <color indexed="64"/>
      </top>
      <bottom style="medium">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style="thin">
        <color theme="1" tint="0.34998626667073579"/>
      </left>
      <right style="medium">
        <color indexed="64"/>
      </right>
      <top style="thin">
        <color theme="1" tint="0.34998626667073579"/>
      </top>
      <bottom style="thin">
        <color theme="1" tint="0.34998626667073579"/>
      </bottom>
      <diagonal/>
    </border>
    <border>
      <left style="thin">
        <color theme="1" tint="0.34998626667073579"/>
      </left>
      <right style="medium">
        <color indexed="64"/>
      </right>
      <top style="thin">
        <color theme="1" tint="0.34998626667073579"/>
      </top>
      <bottom style="medium">
        <color indexed="64"/>
      </bottom>
      <diagonal/>
    </border>
    <border>
      <left/>
      <right/>
      <top style="thin">
        <color theme="1" tint="0.34998626667073579"/>
      </top>
      <bottom style="thin">
        <color theme="1" tint="0.34998626667073579"/>
      </bottom>
      <diagonal/>
    </border>
    <border>
      <left/>
      <right/>
      <top style="thin">
        <color theme="1" tint="0.34998626667073579"/>
      </top>
      <bottom style="medium">
        <color theme="1" tint="0.34998626667073579"/>
      </bottom>
      <diagonal/>
    </border>
    <border>
      <left style="thin">
        <color theme="1" tint="0.34998626667073579"/>
      </left>
      <right style="medium">
        <color indexed="64"/>
      </right>
      <top style="thin">
        <color theme="1" tint="0.34998626667073579"/>
      </top>
      <bottom/>
      <diagonal/>
    </border>
    <border>
      <left style="thin">
        <color theme="1" tint="0.34998626667073579"/>
      </left>
      <right style="medium">
        <color indexed="64"/>
      </right>
      <top style="medium">
        <color theme="1" tint="0.34998626667073579"/>
      </top>
      <bottom style="thin">
        <color theme="1" tint="0.34998626667073579"/>
      </bottom>
      <diagonal/>
    </border>
    <border>
      <left style="thin">
        <color theme="1" tint="0.34998626667073579"/>
      </left>
      <right style="medium">
        <color indexed="64"/>
      </right>
      <top style="thin">
        <color theme="1" tint="0.34998626667073579"/>
      </top>
      <bottom style="medium">
        <color theme="1" tint="0.34998626667073579"/>
      </bottom>
      <diagonal/>
    </border>
    <border>
      <left style="thin">
        <color theme="1" tint="0.34998626667073579"/>
      </left>
      <right style="medium">
        <color indexed="64"/>
      </right>
      <top/>
      <bottom style="thin">
        <color theme="1" tint="0.34998626667073579"/>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top style="thin">
        <color theme="1" tint="0.34998626667073579"/>
      </top>
      <bottom style="medium">
        <color indexed="64"/>
      </bottom>
      <diagonal/>
    </border>
    <border>
      <left style="thin">
        <color theme="1" tint="0.34998626667073579"/>
      </left>
      <right style="thin">
        <color theme="1" tint="0.34998626667073579"/>
      </right>
      <top style="medium">
        <color indexed="64"/>
      </top>
      <bottom/>
      <diagonal/>
    </border>
    <border>
      <left style="medium">
        <color indexed="64"/>
      </left>
      <right style="thin">
        <color theme="1" tint="0.34998626667073579"/>
      </right>
      <top style="thin">
        <color theme="1" tint="0.34998626667073579"/>
      </top>
      <bottom style="medium">
        <color theme="1" tint="0.34998626667073579"/>
      </bottom>
      <diagonal/>
    </border>
    <border>
      <left style="medium">
        <color indexed="64"/>
      </left>
      <right style="thin">
        <color theme="1" tint="0.34998626667073579"/>
      </right>
      <top style="medium">
        <color theme="1" tint="0.34998626667073579"/>
      </top>
      <bottom style="thin">
        <color theme="1" tint="0.34998626667073579"/>
      </bottom>
      <diagonal/>
    </border>
    <border>
      <left style="medium">
        <color indexed="64"/>
      </left>
      <right style="thin">
        <color theme="1" tint="0.34998626667073579"/>
      </right>
      <top/>
      <bottom style="thin">
        <color theme="1" tint="0.34998626667073579"/>
      </bottom>
      <diagonal/>
    </border>
    <border>
      <left style="medium">
        <color indexed="64"/>
      </left>
      <right style="thin">
        <color theme="1" tint="0.34998626667073579"/>
      </right>
      <top style="thin">
        <color theme="1" tint="0.34998626667073579"/>
      </top>
      <bottom/>
      <diagonal/>
    </border>
    <border>
      <left style="medium">
        <color indexed="64"/>
      </left>
      <right style="thin">
        <color theme="1" tint="0.34998626667073579"/>
      </right>
      <top/>
      <bottom/>
      <diagonal/>
    </border>
    <border>
      <left style="medium">
        <color indexed="64"/>
      </left>
      <right style="thin">
        <color theme="1" tint="0.34998626667073579"/>
      </right>
      <top/>
      <bottom style="medium">
        <color theme="1" tint="0.34998626667073579"/>
      </bottom>
      <diagonal/>
    </border>
    <border>
      <left style="medium">
        <color indexed="64"/>
      </left>
      <right style="thin">
        <color indexed="64"/>
      </right>
      <top style="medium">
        <color indexed="64"/>
      </top>
      <bottom style="thin">
        <color theme="1" tint="0.34998626667073579"/>
      </bottom>
      <diagonal/>
    </border>
    <border>
      <left style="thin">
        <color indexed="64"/>
      </left>
      <right style="thin">
        <color indexed="64"/>
      </right>
      <top style="medium">
        <color indexed="64"/>
      </top>
      <bottom style="thin">
        <color theme="1" tint="0.34998626667073579"/>
      </bottom>
      <diagonal/>
    </border>
    <border>
      <left style="thin">
        <color indexed="64"/>
      </left>
      <right style="medium">
        <color indexed="64"/>
      </right>
      <top style="medium">
        <color indexed="64"/>
      </top>
      <bottom style="thin">
        <color theme="1" tint="0.34998626667073579"/>
      </bottom>
      <diagonal/>
    </border>
    <border>
      <left style="medium">
        <color indexed="64"/>
      </left>
      <right style="thin">
        <color indexed="64"/>
      </right>
      <top style="thin">
        <color theme="1" tint="0.34998626667073579"/>
      </top>
      <bottom style="thin">
        <color theme="1" tint="0.34998626667073579"/>
      </bottom>
      <diagonal/>
    </border>
    <border>
      <left style="thin">
        <color indexed="64"/>
      </left>
      <right style="thin">
        <color indexed="64"/>
      </right>
      <top style="thin">
        <color theme="1" tint="0.34998626667073579"/>
      </top>
      <bottom style="thin">
        <color theme="1" tint="0.34998626667073579"/>
      </bottom>
      <diagonal/>
    </border>
    <border>
      <left style="thin">
        <color indexed="64"/>
      </left>
      <right style="medium">
        <color indexed="64"/>
      </right>
      <top style="thin">
        <color theme="1" tint="0.34998626667073579"/>
      </top>
      <bottom style="thin">
        <color theme="1" tint="0.34998626667073579"/>
      </bottom>
      <diagonal/>
    </border>
    <border>
      <left style="medium">
        <color indexed="64"/>
      </left>
      <right style="thin">
        <color indexed="64"/>
      </right>
      <top style="thin">
        <color theme="1" tint="0.34998626667073579"/>
      </top>
      <bottom/>
      <diagonal/>
    </border>
    <border>
      <left style="thin">
        <color indexed="64"/>
      </left>
      <right style="thin">
        <color indexed="64"/>
      </right>
      <top style="thin">
        <color theme="1" tint="0.34998626667073579"/>
      </top>
      <bottom style="medium">
        <color theme="1" tint="0.34998626667073579"/>
      </bottom>
      <diagonal/>
    </border>
    <border>
      <left style="thin">
        <color indexed="64"/>
      </left>
      <right style="thin">
        <color indexed="64"/>
      </right>
      <top style="thin">
        <color theme="1" tint="0.34998626667073579"/>
      </top>
      <bottom/>
      <diagonal/>
    </border>
    <border>
      <left style="thin">
        <color indexed="64"/>
      </left>
      <right style="medium">
        <color indexed="64"/>
      </right>
      <top style="thin">
        <color theme="1" tint="0.34998626667073579"/>
      </top>
      <bottom/>
      <diagonal/>
    </border>
    <border>
      <left style="medium">
        <color indexed="64"/>
      </left>
      <right style="thin">
        <color indexed="64"/>
      </right>
      <top style="medium">
        <color theme="1" tint="0.34998626667073579"/>
      </top>
      <bottom style="thin">
        <color theme="1" tint="0.34998626667073579"/>
      </bottom>
      <diagonal/>
    </border>
    <border>
      <left style="thin">
        <color indexed="64"/>
      </left>
      <right style="thin">
        <color indexed="64"/>
      </right>
      <top style="medium">
        <color theme="1" tint="0.34998626667073579"/>
      </top>
      <bottom style="thin">
        <color theme="1" tint="0.34998626667073579"/>
      </bottom>
      <diagonal/>
    </border>
    <border>
      <left style="thin">
        <color indexed="64"/>
      </left>
      <right style="medium">
        <color indexed="64"/>
      </right>
      <top style="medium">
        <color theme="1" tint="0.34998626667073579"/>
      </top>
      <bottom style="thin">
        <color theme="1" tint="0.34998626667073579"/>
      </bottom>
      <diagonal/>
    </border>
    <border>
      <left style="thin">
        <color indexed="64"/>
      </left>
      <right style="medium">
        <color indexed="64"/>
      </right>
      <top style="thin">
        <color theme="1" tint="0.34998626667073579"/>
      </top>
      <bottom style="medium">
        <color theme="1" tint="0.34998626667073579"/>
      </bottom>
      <diagonal/>
    </border>
    <border>
      <left style="thin">
        <color indexed="64"/>
      </left>
      <right style="thin">
        <color indexed="64"/>
      </right>
      <top/>
      <bottom style="thin">
        <color theme="1" tint="0.34998626667073579"/>
      </bottom>
      <diagonal/>
    </border>
    <border>
      <left style="medium">
        <color indexed="64"/>
      </left>
      <right style="thin">
        <color indexed="64"/>
      </right>
      <top style="thin">
        <color theme="1" tint="0.34998626667073579"/>
      </top>
      <bottom style="medium">
        <color indexed="64"/>
      </bottom>
      <diagonal/>
    </border>
    <border>
      <left style="thin">
        <color indexed="64"/>
      </left>
      <right style="thin">
        <color indexed="64"/>
      </right>
      <top style="thin">
        <color theme="1" tint="0.34998626667073579"/>
      </top>
      <bottom style="medium">
        <color indexed="64"/>
      </bottom>
      <diagonal/>
    </border>
    <border>
      <left style="thin">
        <color indexed="64"/>
      </left>
      <right style="medium">
        <color indexed="64"/>
      </right>
      <top style="thin">
        <color theme="1" tint="0.34998626667073579"/>
      </top>
      <bottom style="medium">
        <color indexed="64"/>
      </bottom>
      <diagonal/>
    </border>
    <border>
      <left style="thin">
        <color theme="1" tint="0.34998626667073579"/>
      </left>
      <right style="thin">
        <color theme="1" tint="0.34998626667073579"/>
      </right>
      <top style="medium">
        <color indexed="64"/>
      </top>
      <bottom style="thin">
        <color indexed="64"/>
      </bottom>
      <diagonal/>
    </border>
    <border>
      <left style="thin">
        <color theme="1" tint="0.34998626667073579"/>
      </left>
      <right style="thin">
        <color theme="1" tint="0.34998626667073579"/>
      </right>
      <top style="thin">
        <color indexed="64"/>
      </top>
      <bottom style="thin">
        <color indexed="64"/>
      </bottom>
      <diagonal/>
    </border>
    <border>
      <left style="thin">
        <color theme="1" tint="0.34998626667073579"/>
      </left>
      <right style="thin">
        <color theme="1" tint="0.34998626667073579"/>
      </right>
      <top style="thin">
        <color indexed="64"/>
      </top>
      <bottom/>
      <diagonal/>
    </border>
    <border>
      <left style="thin">
        <color theme="1" tint="0.34998626667073579"/>
      </left>
      <right style="thin">
        <color theme="1" tint="0.34998626667073579"/>
      </right>
      <top style="thin">
        <color indexed="64"/>
      </top>
      <bottom style="medium">
        <color indexed="64"/>
      </bottom>
      <diagonal/>
    </border>
    <border>
      <left style="medium">
        <color indexed="64"/>
      </left>
      <right style="thin">
        <color theme="1" tint="0.34998626667073579"/>
      </right>
      <top style="medium">
        <color indexed="64"/>
      </top>
      <bottom style="thin">
        <color indexed="64"/>
      </bottom>
      <diagonal/>
    </border>
    <border>
      <left style="thin">
        <color theme="1" tint="0.34998626667073579"/>
      </left>
      <right style="medium">
        <color indexed="64"/>
      </right>
      <top style="medium">
        <color indexed="64"/>
      </top>
      <bottom style="thin">
        <color indexed="64"/>
      </bottom>
      <diagonal/>
    </border>
    <border>
      <left style="medium">
        <color indexed="64"/>
      </left>
      <right style="thin">
        <color theme="1" tint="0.34998626667073579"/>
      </right>
      <top style="thin">
        <color indexed="64"/>
      </top>
      <bottom style="thin">
        <color indexed="64"/>
      </bottom>
      <diagonal/>
    </border>
    <border>
      <left style="thin">
        <color theme="1" tint="0.34998626667073579"/>
      </left>
      <right style="medium">
        <color indexed="64"/>
      </right>
      <top style="thin">
        <color indexed="64"/>
      </top>
      <bottom style="thin">
        <color indexed="64"/>
      </bottom>
      <diagonal/>
    </border>
    <border>
      <left style="medium">
        <color indexed="64"/>
      </left>
      <right style="thin">
        <color theme="1" tint="0.34998626667073579"/>
      </right>
      <top style="thin">
        <color indexed="64"/>
      </top>
      <bottom/>
      <diagonal/>
    </border>
    <border>
      <left style="thin">
        <color theme="1" tint="0.34998626667073579"/>
      </left>
      <right style="medium">
        <color indexed="64"/>
      </right>
      <top style="thin">
        <color indexed="64"/>
      </top>
      <bottom/>
      <diagonal/>
    </border>
    <border>
      <left style="medium">
        <color indexed="64"/>
      </left>
      <right style="thin">
        <color theme="1" tint="0.34998626667073579"/>
      </right>
      <top style="thin">
        <color indexed="64"/>
      </top>
      <bottom style="medium">
        <color indexed="64"/>
      </bottom>
      <diagonal/>
    </border>
    <border>
      <left style="thin">
        <color theme="1" tint="0.34998626667073579"/>
      </left>
      <right style="medium">
        <color indexed="64"/>
      </right>
      <top style="thin">
        <color indexed="64"/>
      </top>
      <bottom style="medium">
        <color indexed="64"/>
      </bottom>
      <diagonal/>
    </border>
    <border>
      <left style="thin">
        <color theme="1" tint="0.34998626667073579"/>
      </left>
      <right style="medium">
        <color indexed="64"/>
      </right>
      <top style="medium">
        <color theme="1" tint="0.34998626667073579"/>
      </top>
      <bottom/>
      <diagonal/>
    </border>
    <border>
      <left style="thin">
        <color theme="1" tint="0.34998626667073579"/>
      </left>
      <right style="medium">
        <color indexed="64"/>
      </right>
      <top/>
      <bottom/>
      <diagonal/>
    </border>
    <border>
      <left style="thin">
        <color theme="1" tint="0.34998626667073579"/>
      </left>
      <right style="medium">
        <color indexed="64"/>
      </right>
      <top/>
      <bottom style="medium">
        <color theme="1" tint="0.34998626667073579"/>
      </bottom>
      <diagonal/>
    </border>
    <border>
      <left style="medium">
        <color indexed="64"/>
      </left>
      <right style="thin">
        <color theme="1" tint="0.34998626667073579"/>
      </right>
      <top/>
      <bottom style="medium">
        <color indexed="64"/>
      </bottom>
      <diagonal/>
    </border>
    <border>
      <left style="thin">
        <color theme="1" tint="0.34998626667073579"/>
      </left>
      <right style="thin">
        <color theme="1" tint="0.34998626667073579"/>
      </right>
      <top/>
      <bottom style="medium">
        <color indexed="64"/>
      </bottom>
      <diagonal/>
    </border>
    <border>
      <left style="thin">
        <color theme="1" tint="0.34998626667073579"/>
      </left>
      <right style="medium">
        <color indexed="64"/>
      </right>
      <top/>
      <bottom style="medium">
        <color indexed="64"/>
      </bottom>
      <diagonal/>
    </border>
    <border>
      <left/>
      <right style="thin">
        <color theme="1" tint="0.34998626667073579"/>
      </right>
      <top style="medium">
        <color indexed="64"/>
      </top>
      <bottom style="thin">
        <color theme="1" tint="0.34998626667073579"/>
      </bottom>
      <diagonal/>
    </border>
    <border>
      <left/>
      <right style="thin">
        <color theme="1" tint="0.34998626667073579"/>
      </right>
      <top style="thin">
        <color theme="1" tint="0.34998626667073579"/>
      </top>
      <bottom style="medium">
        <color indexed="64"/>
      </bottom>
      <diagonal/>
    </border>
    <border>
      <left style="thin">
        <color indexed="64"/>
      </left>
      <right style="medium">
        <color indexed="64"/>
      </right>
      <top style="thin">
        <color indexed="64"/>
      </top>
      <bottom/>
      <diagonal/>
    </border>
    <border>
      <left style="thin">
        <color theme="1" tint="0.499984740745262"/>
      </left>
      <right style="thin">
        <color theme="1" tint="0.499984740745262"/>
      </right>
      <top style="medium">
        <color indexed="64"/>
      </top>
      <bottom style="thin">
        <color theme="1" tint="0.499984740745262"/>
      </bottom>
      <diagonal/>
    </border>
    <border>
      <left style="thin">
        <color theme="1" tint="0.499984740745262"/>
      </left>
      <right style="medium">
        <color indexed="64"/>
      </right>
      <top style="medium">
        <color indexed="64"/>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medium">
        <color indexed="64"/>
      </right>
      <top style="thin">
        <color theme="1" tint="0.499984740745262"/>
      </top>
      <bottom style="medium">
        <color indexed="64"/>
      </bottom>
      <diagonal/>
    </border>
    <border>
      <left style="thin">
        <color theme="1" tint="0.34998626667073579"/>
      </left>
      <right style="thin">
        <color theme="1" tint="0.34998626667073579"/>
      </right>
      <top/>
      <bottom style="thin">
        <color indexed="64"/>
      </bottom>
      <diagonal/>
    </border>
    <border>
      <left style="thin">
        <color theme="1" tint="0.34998626667073579"/>
      </left>
      <right style="medium">
        <color indexed="64"/>
      </right>
      <top/>
      <bottom style="thin">
        <color indexed="64"/>
      </bottom>
      <diagonal/>
    </border>
    <border>
      <left/>
      <right/>
      <top style="medium">
        <color indexed="64"/>
      </top>
      <bottom style="thin">
        <color indexed="64"/>
      </bottom>
      <diagonal/>
    </border>
    <border>
      <left/>
      <right/>
      <top style="thin">
        <color indexed="64"/>
      </top>
      <bottom style="medium">
        <color indexed="64"/>
      </bottom>
      <diagonal/>
    </border>
    <border>
      <left/>
      <right/>
      <top style="medium">
        <color indexed="64"/>
      </top>
      <bottom style="thin">
        <color theme="1" tint="0.34998626667073579"/>
      </bottom>
      <diagonal/>
    </border>
  </borders>
  <cellStyleXfs count="13">
    <xf numFmtId="0" fontId="0" fillId="0" borderId="0"/>
    <xf numFmtId="0" fontId="1" fillId="0" borderId="0"/>
    <xf numFmtId="9" fontId="2" fillId="0" borderId="0" applyFont="0" applyFill="0" applyBorder="0" applyAlignment="0" applyProtection="0"/>
    <xf numFmtId="0" fontId="7" fillId="0" borderId="0" applyNumberFormat="0" applyFill="0" applyBorder="0" applyAlignment="0" applyProtection="0"/>
    <xf numFmtId="0" fontId="9" fillId="0" borderId="0"/>
    <xf numFmtId="0" fontId="12" fillId="0" borderId="0" applyNumberFormat="0" applyFill="0" applyBorder="0" applyAlignment="0" applyProtection="0"/>
    <xf numFmtId="43" fontId="2" fillId="0" borderId="0" applyFont="0" applyFill="0" applyBorder="0" applyAlignment="0" applyProtection="0"/>
    <xf numFmtId="0" fontId="2" fillId="0" borderId="0"/>
    <xf numFmtId="9" fontId="9" fillId="0" borderId="0" applyFont="0" applyFill="0" applyBorder="0" applyAlignment="0" applyProtection="0"/>
    <xf numFmtId="0" fontId="17" fillId="0" borderId="0"/>
    <xf numFmtId="0" fontId="19" fillId="0" borderId="0" applyNumberFormat="0" applyFill="0" applyBorder="0" applyAlignment="0" applyProtection="0"/>
    <xf numFmtId="0" fontId="9" fillId="0" borderId="0"/>
    <xf numFmtId="0" fontId="9" fillId="0" borderId="0"/>
  </cellStyleXfs>
  <cellXfs count="807">
    <xf numFmtId="0" fontId="0" fillId="0" borderId="0" xfId="0"/>
    <xf numFmtId="0" fontId="3" fillId="0" borderId="0" xfId="0" applyFont="1"/>
    <xf numFmtId="0" fontId="0" fillId="0" borderId="0" xfId="0" applyAlignment="1">
      <alignment horizontal="left"/>
    </xf>
    <xf numFmtId="0" fontId="15" fillId="0" borderId="0" xfId="0" applyFont="1"/>
    <xf numFmtId="0" fontId="15" fillId="0" borderId="0" xfId="0" applyFont="1" applyAlignment="1">
      <alignment horizontal="center" vertical="center"/>
    </xf>
    <xf numFmtId="0" fontId="9" fillId="0" borderId="0" xfId="0" applyFont="1"/>
    <xf numFmtId="0" fontId="11" fillId="0" borderId="0" xfId="0" applyFont="1"/>
    <xf numFmtId="0" fontId="9" fillId="0" borderId="0" xfId="0" applyFont="1" applyAlignment="1">
      <alignment horizontal="center" vertical="center"/>
    </xf>
    <xf numFmtId="0" fontId="9" fillId="0" borderId="0" xfId="0" applyFont="1" applyAlignment="1">
      <alignment vertical="center"/>
    </xf>
    <xf numFmtId="168" fontId="9" fillId="0" borderId="0" xfId="0" applyNumberFormat="1" applyFont="1"/>
    <xf numFmtId="165" fontId="9" fillId="0" borderId="0" xfId="0" applyNumberFormat="1" applyFont="1"/>
    <xf numFmtId="0" fontId="19" fillId="0" borderId="0" xfId="5" applyFont="1"/>
    <xf numFmtId="0" fontId="9" fillId="0" borderId="0" xfId="0" applyFont="1" applyAlignment="1">
      <alignment wrapText="1"/>
    </xf>
    <xf numFmtId="0" fontId="18" fillId="0" borderId="0" xfId="0" applyFont="1" applyAlignment="1">
      <alignment vertical="center"/>
    </xf>
    <xf numFmtId="0" fontId="1" fillId="0" borderId="2" xfId="1" applyBorder="1" applyAlignment="1">
      <alignment vertical="center" wrapText="1"/>
    </xf>
    <xf numFmtId="0" fontId="1" fillId="0" borderId="2" xfId="1" applyBorder="1" applyAlignment="1">
      <alignment vertical="center"/>
    </xf>
    <xf numFmtId="0" fontId="1" fillId="0" borderId="2" xfId="1" applyBorder="1" applyAlignment="1">
      <alignment horizontal="center" vertical="center" wrapText="1"/>
    </xf>
    <xf numFmtId="0" fontId="9" fillId="0" borderId="2" xfId="0" applyFont="1" applyBorder="1" applyAlignment="1">
      <alignment vertical="center"/>
    </xf>
    <xf numFmtId="0" fontId="9" fillId="0" borderId="2" xfId="0" applyFont="1" applyBorder="1" applyAlignment="1">
      <alignment vertical="center" wrapText="1"/>
    </xf>
    <xf numFmtId="0" fontId="23" fillId="10" borderId="2" xfId="0" applyFont="1" applyFill="1" applyBorder="1" applyAlignment="1">
      <alignment vertical="center"/>
    </xf>
    <xf numFmtId="0" fontId="11" fillId="10" borderId="0" xfId="0" applyFont="1" applyFill="1" applyAlignment="1">
      <alignment horizontal="center" vertical="center"/>
    </xf>
    <xf numFmtId="0" fontId="23" fillId="10" borderId="2" xfId="0" applyFont="1" applyFill="1" applyBorder="1" applyAlignment="1">
      <alignment horizontal="left" vertical="center"/>
    </xf>
    <xf numFmtId="3" fontId="9" fillId="0" borderId="2" xfId="7" applyNumberFormat="1" applyFont="1" applyBorder="1" applyAlignment="1">
      <alignment horizontal="center" vertical="center"/>
    </xf>
    <xf numFmtId="0" fontId="14" fillId="0" borderId="2" xfId="3" applyFont="1" applyBorder="1" applyAlignment="1">
      <alignment horizontal="center" vertical="center" wrapText="1"/>
    </xf>
    <xf numFmtId="3" fontId="14" fillId="0" borderId="2" xfId="3" applyNumberFormat="1" applyFont="1" applyFill="1" applyBorder="1" applyAlignment="1">
      <alignment horizontal="center" vertical="center" wrapText="1"/>
    </xf>
    <xf numFmtId="165" fontId="9" fillId="0" borderId="0" xfId="0" applyNumberFormat="1" applyFont="1" applyAlignment="1">
      <alignment horizontal="center" vertical="center"/>
    </xf>
    <xf numFmtId="0" fontId="1" fillId="0" borderId="0" xfId="0" applyFont="1" applyAlignment="1">
      <alignment vertical="top"/>
    </xf>
    <xf numFmtId="0" fontId="9" fillId="0" borderId="0" xfId="0" applyFont="1" applyAlignment="1">
      <alignment horizontal="center" vertical="top" wrapText="1"/>
    </xf>
    <xf numFmtId="0" fontId="11" fillId="0" borderId="0" xfId="0" applyFont="1" applyAlignment="1">
      <alignment horizontal="center" vertical="top" wrapText="1"/>
    </xf>
    <xf numFmtId="168" fontId="19" fillId="0" borderId="0" xfId="5" applyNumberFormat="1" applyFont="1" applyAlignment="1">
      <alignment horizontal="left" vertical="top"/>
    </xf>
    <xf numFmtId="0" fontId="11" fillId="2" borderId="0" xfId="0" applyFont="1" applyFill="1"/>
    <xf numFmtId="0" fontId="11" fillId="2" borderId="0" xfId="0" applyFont="1" applyFill="1" applyAlignment="1">
      <alignment wrapText="1"/>
    </xf>
    <xf numFmtId="0" fontId="11" fillId="2" borderId="0" xfId="0" applyFont="1" applyFill="1" applyAlignment="1">
      <alignment horizontal="left"/>
    </xf>
    <xf numFmtId="0" fontId="11" fillId="2" borderId="0" xfId="0" applyFont="1" applyFill="1" applyAlignment="1">
      <alignment horizontal="center"/>
    </xf>
    <xf numFmtId="0" fontId="24" fillId="10" borderId="2" xfId="0" applyFont="1" applyFill="1" applyBorder="1" applyAlignment="1">
      <alignment horizontal="center" vertical="center" wrapText="1"/>
    </xf>
    <xf numFmtId="0" fontId="23" fillId="10" borderId="2" xfId="0" applyFont="1" applyFill="1" applyBorder="1" applyAlignment="1">
      <alignment horizontal="center" vertical="center"/>
    </xf>
    <xf numFmtId="0" fontId="9" fillId="0" borderId="3" xfId="0" applyFont="1" applyBorder="1" applyAlignment="1">
      <alignment vertical="center"/>
    </xf>
    <xf numFmtId="0" fontId="9" fillId="0" borderId="2" xfId="0" applyFont="1" applyBorder="1" applyAlignment="1">
      <alignment horizontal="left" vertical="center" wrapText="1"/>
    </xf>
    <xf numFmtId="0" fontId="9" fillId="0" borderId="2" xfId="0" applyFont="1" applyBorder="1"/>
    <xf numFmtId="9" fontId="9" fillId="0" borderId="0" xfId="2" applyFont="1" applyFill="1" applyBorder="1" applyAlignment="1">
      <alignment horizontal="center" vertical="center"/>
    </xf>
    <xf numFmtId="0" fontId="21" fillId="13" borderId="0" xfId="0" applyFont="1" applyFill="1"/>
    <xf numFmtId="0" fontId="30" fillId="13" borderId="0" xfId="0" applyFont="1" applyFill="1"/>
    <xf numFmtId="0" fontId="11" fillId="0" borderId="0" xfId="0" applyFont="1" applyAlignment="1">
      <alignment horizontal="left" vertical="center" wrapText="1"/>
    </xf>
    <xf numFmtId="164" fontId="9" fillId="0" borderId="0" xfId="2" applyNumberFormat="1" applyFont="1" applyFill="1" applyBorder="1" applyAlignment="1">
      <alignment horizontal="center"/>
    </xf>
    <xf numFmtId="1" fontId="9" fillId="0" borderId="0" xfId="0" applyNumberFormat="1" applyFont="1"/>
    <xf numFmtId="9" fontId="9" fillId="0" borderId="0" xfId="2" applyFont="1" applyFill="1" applyBorder="1"/>
    <xf numFmtId="9" fontId="9" fillId="0" borderId="0" xfId="0" applyNumberFormat="1" applyFont="1"/>
    <xf numFmtId="0" fontId="11" fillId="3" borderId="2" xfId="0" applyFont="1" applyFill="1" applyBorder="1" applyAlignment="1">
      <alignment horizontal="left" vertical="center" wrapText="1"/>
    </xf>
    <xf numFmtId="0" fontId="31" fillId="12" borderId="2" xfId="0" applyFont="1" applyFill="1" applyBorder="1" applyAlignment="1">
      <alignment horizontal="left" vertical="center" wrapText="1"/>
    </xf>
    <xf numFmtId="0" fontId="31" fillId="12" borderId="2" xfId="0" applyFont="1" applyFill="1" applyBorder="1" applyAlignment="1">
      <alignment horizontal="left" vertical="center"/>
    </xf>
    <xf numFmtId="0" fontId="31" fillId="12" borderId="2" xfId="0" applyFont="1" applyFill="1" applyBorder="1" applyAlignment="1">
      <alignment horizontal="center" vertical="center" wrapText="1"/>
    </xf>
    <xf numFmtId="1" fontId="29" fillId="0" borderId="19" xfId="0" applyNumberFormat="1" applyFont="1" applyBorder="1" applyAlignment="1">
      <alignment horizontal="left"/>
    </xf>
    <xf numFmtId="0" fontId="29" fillId="0" borderId="19" xfId="0" applyFont="1" applyBorder="1" applyAlignment="1">
      <alignment horizontal="left"/>
    </xf>
    <xf numFmtId="0" fontId="9" fillId="0" borderId="19" xfId="0" applyFont="1" applyBorder="1" applyAlignment="1">
      <alignment horizontal="left"/>
    </xf>
    <xf numFmtId="10" fontId="9" fillId="0" borderId="19" xfId="8" applyNumberFormat="1" applyFont="1" applyBorder="1" applyAlignment="1">
      <alignment horizontal="center"/>
    </xf>
    <xf numFmtId="10" fontId="9" fillId="0" borderId="0" xfId="8" applyNumberFormat="1" applyFont="1" applyBorder="1" applyAlignment="1">
      <alignment horizontal="center"/>
    </xf>
    <xf numFmtId="10" fontId="9" fillId="0" borderId="20" xfId="8" applyNumberFormat="1" applyFont="1" applyBorder="1" applyAlignment="1">
      <alignment horizontal="center"/>
    </xf>
    <xf numFmtId="164" fontId="9" fillId="0" borderId="0" xfId="2" applyNumberFormat="1" applyFont="1"/>
    <xf numFmtId="9" fontId="11" fillId="0" borderId="0" xfId="2" applyFont="1" applyFill="1" applyBorder="1"/>
    <xf numFmtId="164" fontId="9" fillId="0" borderId="0" xfId="0" applyNumberFormat="1" applyFont="1"/>
    <xf numFmtId="0" fontId="11" fillId="10" borderId="33" xfId="0" applyFont="1" applyFill="1" applyBorder="1" applyAlignment="1">
      <alignment horizontal="center" vertical="center"/>
    </xf>
    <xf numFmtId="0" fontId="9" fillId="0" borderId="33" xfId="0" applyFont="1" applyBorder="1"/>
    <xf numFmtId="9" fontId="9" fillId="0" borderId="0" xfId="2" applyFont="1" applyFill="1" applyBorder="1" applyAlignment="1">
      <alignment horizontal="left" vertical="center"/>
    </xf>
    <xf numFmtId="11" fontId="9" fillId="0" borderId="0" xfId="0" applyNumberFormat="1" applyFont="1"/>
    <xf numFmtId="0" fontId="9" fillId="10" borderId="33" xfId="0" applyFont="1" applyFill="1" applyBorder="1" applyAlignment="1">
      <alignment horizontal="center" vertical="center"/>
    </xf>
    <xf numFmtId="2" fontId="9" fillId="0" borderId="33" xfId="0" applyNumberFormat="1" applyFont="1" applyBorder="1" applyAlignment="1">
      <alignment horizontal="center" vertical="center"/>
    </xf>
    <xf numFmtId="2" fontId="9" fillId="0" borderId="33" xfId="0" applyNumberFormat="1" applyFont="1" applyBorder="1" applyAlignment="1">
      <alignment horizontal="center" vertical="center" wrapText="1"/>
    </xf>
    <xf numFmtId="0" fontId="11" fillId="0" borderId="33" xfId="0" applyFont="1" applyBorder="1" applyAlignment="1">
      <alignment horizontal="center" vertical="center"/>
    </xf>
    <xf numFmtId="165" fontId="9" fillId="0" borderId="33" xfId="0" applyNumberFormat="1" applyFont="1" applyBorder="1" applyAlignment="1">
      <alignment horizontal="center" vertical="center"/>
    </xf>
    <xf numFmtId="11" fontId="9" fillId="0" borderId="0" xfId="0" applyNumberFormat="1" applyFont="1" applyAlignment="1">
      <alignment horizontal="center" vertical="center"/>
    </xf>
    <xf numFmtId="11" fontId="9" fillId="0" borderId="0" xfId="0" applyNumberFormat="1" applyFont="1" applyAlignment="1">
      <alignment horizontal="center" vertical="center" wrapText="1"/>
    </xf>
    <xf numFmtId="0" fontId="28" fillId="0" borderId="0" xfId="0" applyFont="1" applyAlignment="1">
      <alignment horizontal="center" vertical="center"/>
    </xf>
    <xf numFmtId="168" fontId="28" fillId="0" borderId="40" xfId="0" applyNumberFormat="1" applyFont="1" applyBorder="1" applyAlignment="1">
      <alignment horizontal="center" vertical="center"/>
    </xf>
    <xf numFmtId="168" fontId="28" fillId="0" borderId="42" xfId="0" applyNumberFormat="1" applyFont="1" applyBorder="1" applyAlignment="1">
      <alignment horizontal="center" vertical="center"/>
    </xf>
    <xf numFmtId="168" fontId="28" fillId="0" borderId="43" xfId="0" applyNumberFormat="1" applyFont="1" applyBorder="1" applyAlignment="1">
      <alignment horizontal="center" vertical="center"/>
    </xf>
    <xf numFmtId="168" fontId="28" fillId="0" borderId="45" xfId="0" applyNumberFormat="1" applyFont="1" applyBorder="1" applyAlignment="1">
      <alignment horizontal="center" vertical="center"/>
    </xf>
    <xf numFmtId="168" fontId="28" fillId="0" borderId="47" xfId="0" applyNumberFormat="1" applyFont="1" applyBorder="1" applyAlignment="1">
      <alignment horizontal="center" vertical="center"/>
    </xf>
    <xf numFmtId="168" fontId="28" fillId="0" borderId="48" xfId="0" applyNumberFormat="1" applyFont="1" applyBorder="1" applyAlignment="1">
      <alignment horizontal="center" vertical="center"/>
    </xf>
    <xf numFmtId="0" fontId="32" fillId="6" borderId="0" xfId="0" applyFont="1" applyFill="1" applyAlignment="1">
      <alignment vertical="center" wrapText="1"/>
    </xf>
    <xf numFmtId="0" fontId="28" fillId="6" borderId="0" xfId="0" applyFont="1" applyFill="1" applyAlignment="1">
      <alignment horizontal="center" vertical="center"/>
    </xf>
    <xf numFmtId="165" fontId="28" fillId="6" borderId="0" xfId="0" applyNumberFormat="1" applyFont="1" applyFill="1" applyAlignment="1">
      <alignment horizontal="center" vertical="center"/>
    </xf>
    <xf numFmtId="0" fontId="9" fillId="0" borderId="30" xfId="0" applyFont="1" applyBorder="1" applyAlignment="1">
      <alignment horizontal="center" vertical="center" wrapText="1"/>
    </xf>
    <xf numFmtId="3" fontId="9" fillId="0" borderId="6" xfId="6" applyNumberFormat="1" applyFont="1" applyFill="1" applyBorder="1" applyAlignment="1">
      <alignment horizontal="center"/>
    </xf>
    <xf numFmtId="3" fontId="9" fillId="0" borderId="2" xfId="6" applyNumberFormat="1" applyFont="1" applyFill="1" applyBorder="1" applyAlignment="1">
      <alignment horizontal="center"/>
    </xf>
    <xf numFmtId="3" fontId="9" fillId="0" borderId="7" xfId="6" applyNumberFormat="1" applyFont="1" applyFill="1" applyBorder="1" applyAlignment="1">
      <alignment horizontal="center"/>
    </xf>
    <xf numFmtId="3" fontId="9" fillId="0" borderId="0" xfId="6" applyNumberFormat="1" applyFont="1" applyFill="1" applyBorder="1" applyAlignment="1">
      <alignment horizontal="center"/>
    </xf>
    <xf numFmtId="166" fontId="9" fillId="0" borderId="6" xfId="6" applyNumberFormat="1" applyFont="1" applyFill="1" applyBorder="1" applyAlignment="1">
      <alignment horizontal="center"/>
    </xf>
    <xf numFmtId="166" fontId="9" fillId="0" borderId="2" xfId="6" applyNumberFormat="1" applyFont="1" applyFill="1" applyBorder="1" applyAlignment="1">
      <alignment horizontal="center"/>
    </xf>
    <xf numFmtId="166" fontId="9" fillId="0" borderId="7" xfId="6" applyNumberFormat="1" applyFont="1" applyFill="1" applyBorder="1" applyAlignment="1">
      <alignment horizontal="center"/>
    </xf>
    <xf numFmtId="0" fontId="11" fillId="3" borderId="2" xfId="0" applyFont="1" applyFill="1" applyBorder="1" applyAlignment="1">
      <alignment horizontal="left" vertical="center"/>
    </xf>
    <xf numFmtId="0" fontId="11" fillId="5" borderId="2" xfId="0" applyFont="1" applyFill="1" applyBorder="1" applyAlignment="1">
      <alignment horizontal="left" vertical="center" wrapText="1"/>
    </xf>
    <xf numFmtId="0" fontId="9" fillId="0" borderId="2" xfId="0" applyFont="1" applyBorder="1" applyAlignment="1">
      <alignment horizontal="left"/>
    </xf>
    <xf numFmtId="3" fontId="9" fillId="0" borderId="2" xfId="0" applyNumberFormat="1" applyFont="1" applyBorder="1" applyAlignment="1">
      <alignment horizontal="left"/>
    </xf>
    <xf numFmtId="164" fontId="9" fillId="0" borderId="2" xfId="2" applyNumberFormat="1" applyFont="1" applyBorder="1" applyAlignment="1">
      <alignment horizontal="left"/>
    </xf>
    <xf numFmtId="166" fontId="9" fillId="0" borderId="2" xfId="0" applyNumberFormat="1" applyFont="1" applyBorder="1" applyAlignment="1">
      <alignment horizontal="left"/>
    </xf>
    <xf numFmtId="3" fontId="9" fillId="0" borderId="0" xfId="0" applyNumberFormat="1" applyFont="1" applyAlignment="1">
      <alignment horizontal="left"/>
    </xf>
    <xf numFmtId="164" fontId="9" fillId="0" borderId="0" xfId="2" applyNumberFormat="1" applyFont="1" applyFill="1" applyBorder="1" applyAlignment="1">
      <alignment horizontal="left"/>
    </xf>
    <xf numFmtId="166" fontId="9" fillId="0" borderId="0" xfId="0" applyNumberFormat="1" applyFont="1" applyAlignment="1">
      <alignment horizontal="left"/>
    </xf>
    <xf numFmtId="170" fontId="9" fillId="0" borderId="0" xfId="6" applyNumberFormat="1" applyFont="1"/>
    <xf numFmtId="0" fontId="11" fillId="6" borderId="0" xfId="0" applyFont="1" applyFill="1" applyAlignment="1">
      <alignment vertical="top" wrapText="1"/>
    </xf>
    <xf numFmtId="0" fontId="11" fillId="0" borderId="2" xfId="0" applyFont="1" applyBorder="1" applyAlignment="1">
      <alignment horizontal="center" vertical="center" wrapText="1"/>
    </xf>
    <xf numFmtId="0" fontId="11" fillId="0" borderId="3" xfId="0" applyFont="1" applyBorder="1" applyAlignment="1">
      <alignment vertical="center" wrapText="1"/>
    </xf>
    <xf numFmtId="0" fontId="11" fillId="0" borderId="30" xfId="0" applyFont="1" applyBorder="1" applyAlignment="1">
      <alignment horizontal="center" vertical="center" wrapText="1"/>
    </xf>
    <xf numFmtId="9" fontId="9" fillId="0" borderId="2" xfId="2" applyFont="1" applyBorder="1" applyAlignment="1">
      <alignment horizontal="left"/>
    </xf>
    <xf numFmtId="0" fontId="9" fillId="8" borderId="2" xfId="0" applyFont="1" applyFill="1" applyBorder="1" applyAlignment="1">
      <alignment horizontal="left"/>
    </xf>
    <xf numFmtId="0" fontId="9" fillId="4" borderId="0" xfId="0" applyFont="1" applyFill="1"/>
    <xf numFmtId="0" fontId="31" fillId="12" borderId="2" xfId="0" applyFont="1" applyFill="1" applyBorder="1" applyAlignment="1">
      <alignment horizontal="left" wrapText="1"/>
    </xf>
    <xf numFmtId="0" fontId="31" fillId="12" borderId="2" xfId="0" applyFont="1" applyFill="1" applyBorder="1" applyAlignment="1">
      <alignment horizontal="left"/>
    </xf>
    <xf numFmtId="0" fontId="29" fillId="0" borderId="18" xfId="0" applyFont="1" applyBorder="1" applyAlignment="1">
      <alignment horizontal="left"/>
    </xf>
    <xf numFmtId="10" fontId="9" fillId="0" borderId="0" xfId="8" applyNumberFormat="1" applyFont="1" applyAlignment="1">
      <alignment horizontal="left"/>
    </xf>
    <xf numFmtId="0" fontId="31" fillId="12" borderId="2" xfId="0" applyFont="1" applyFill="1" applyBorder="1" applyAlignment="1">
      <alignment horizontal="center" vertical="center"/>
    </xf>
    <xf numFmtId="9" fontId="9" fillId="0" borderId="0" xfId="8" applyFont="1" applyAlignment="1">
      <alignment horizontal="left" vertical="center"/>
    </xf>
    <xf numFmtId="9" fontId="9" fillId="0" borderId="0" xfId="8" applyFont="1" applyAlignment="1">
      <alignment horizontal="left"/>
    </xf>
    <xf numFmtId="10" fontId="9" fillId="0" borderId="0" xfId="0" applyNumberFormat="1" applyFont="1"/>
    <xf numFmtId="3" fontId="9" fillId="0" borderId="33" xfId="0" applyNumberFormat="1" applyFont="1" applyBorder="1"/>
    <xf numFmtId="170" fontId="9" fillId="0" borderId="33" xfId="6" applyNumberFormat="1" applyFont="1" applyBorder="1"/>
    <xf numFmtId="3" fontId="9" fillId="0" borderId="33" xfId="0" applyNumberFormat="1" applyFont="1" applyBorder="1" applyAlignment="1">
      <alignment horizontal="left"/>
    </xf>
    <xf numFmtId="9" fontId="9" fillId="0" borderId="33" xfId="2" applyFont="1" applyBorder="1"/>
    <xf numFmtId="0" fontId="9" fillId="0" borderId="0" xfId="12"/>
    <xf numFmtId="0" fontId="31" fillId="0" borderId="0" xfId="0" applyFont="1" applyAlignment="1">
      <alignment horizontal="left" vertical="center" wrapText="1"/>
    </xf>
    <xf numFmtId="0" fontId="31" fillId="0" borderId="0" xfId="0" applyFont="1" applyAlignment="1">
      <alignment horizontal="left" vertical="center"/>
    </xf>
    <xf numFmtId="0" fontId="31" fillId="0" borderId="0" xfId="0" applyFont="1" applyAlignment="1">
      <alignment horizontal="center" vertical="center" wrapText="1"/>
    </xf>
    <xf numFmtId="10" fontId="9" fillId="0" borderId="0" xfId="8" applyNumberFormat="1" applyFont="1" applyFill="1" applyBorder="1" applyAlignment="1">
      <alignment horizontal="center"/>
    </xf>
    <xf numFmtId="0" fontId="21" fillId="14" borderId="0" xfId="0" applyFont="1" applyFill="1"/>
    <xf numFmtId="0" fontId="30" fillId="14" borderId="0" xfId="0" applyFont="1" applyFill="1"/>
    <xf numFmtId="0" fontId="31" fillId="0" borderId="0" xfId="12" applyFont="1"/>
    <xf numFmtId="0" fontId="31" fillId="12" borderId="21" xfId="0" applyFont="1" applyFill="1" applyBorder="1" applyAlignment="1">
      <alignment horizontal="center" vertical="center" wrapText="1"/>
    </xf>
    <xf numFmtId="0" fontId="31" fillId="12" borderId="2" xfId="12" applyFont="1" applyFill="1" applyBorder="1" applyAlignment="1">
      <alignment horizontal="left" vertical="center" wrapText="1"/>
    </xf>
    <xf numFmtId="0" fontId="31" fillId="12" borderId="3" xfId="12" applyFont="1" applyFill="1" applyBorder="1" applyAlignment="1">
      <alignment horizontal="left" vertical="center"/>
    </xf>
    <xf numFmtId="0" fontId="31" fillId="12" borderId="31" xfId="12" applyFont="1" applyFill="1" applyBorder="1" applyAlignment="1">
      <alignment horizontal="center" vertical="center" wrapText="1"/>
    </xf>
    <xf numFmtId="0" fontId="31" fillId="12" borderId="21" xfId="12" applyFont="1" applyFill="1" applyBorder="1" applyAlignment="1">
      <alignment horizontal="center" vertical="center" wrapText="1"/>
    </xf>
    <xf numFmtId="0" fontId="31" fillId="12" borderId="32" xfId="12" applyFont="1" applyFill="1" applyBorder="1" applyAlignment="1">
      <alignment horizontal="center" vertical="center" wrapText="1"/>
    </xf>
    <xf numFmtId="0" fontId="31" fillId="12" borderId="24" xfId="12" applyFont="1" applyFill="1" applyBorder="1" applyAlignment="1">
      <alignment horizontal="center" vertical="center" wrapText="1"/>
    </xf>
    <xf numFmtId="3" fontId="9" fillId="0" borderId="28" xfId="8" applyNumberFormat="1" applyFont="1" applyBorder="1" applyAlignment="1">
      <alignment horizontal="left"/>
    </xf>
    <xf numFmtId="3" fontId="9" fillId="0" borderId="0" xfId="8" applyNumberFormat="1" applyFont="1" applyBorder="1" applyAlignment="1">
      <alignment horizontal="left"/>
    </xf>
    <xf numFmtId="3" fontId="9" fillId="0" borderId="25" xfId="8" applyNumberFormat="1" applyFont="1" applyBorder="1" applyAlignment="1">
      <alignment horizontal="left"/>
    </xf>
    <xf numFmtId="1" fontId="9" fillId="0" borderId="0" xfId="2" applyNumberFormat="1" applyFont="1" applyFill="1" applyBorder="1" applyAlignment="1">
      <alignment horizontal="left" vertical="center"/>
    </xf>
    <xf numFmtId="0" fontId="11" fillId="0" borderId="0" xfId="4" applyFont="1" applyAlignment="1">
      <alignment horizontal="center"/>
    </xf>
    <xf numFmtId="9" fontId="9" fillId="0" borderId="0" xfId="2" applyFont="1" applyFill="1" applyBorder="1" applyAlignment="1">
      <alignment horizontal="left"/>
    </xf>
    <xf numFmtId="1" fontId="9" fillId="0" borderId="0" xfId="2" applyNumberFormat="1" applyFont="1" applyFill="1" applyBorder="1"/>
    <xf numFmtId="1" fontId="9" fillId="0" borderId="2" xfId="0" applyNumberFormat="1" applyFont="1" applyBorder="1" applyAlignment="1">
      <alignment horizontal="center" vertical="center"/>
    </xf>
    <xf numFmtId="9" fontId="9" fillId="0" borderId="0" xfId="0" applyNumberFormat="1" applyFont="1" applyAlignment="1">
      <alignment horizontal="center"/>
    </xf>
    <xf numFmtId="3" fontId="9" fillId="0" borderId="0" xfId="0" applyNumberFormat="1" applyFont="1" applyAlignment="1">
      <alignment horizontal="center" vertical="center"/>
    </xf>
    <xf numFmtId="0" fontId="9" fillId="0" borderId="0" xfId="0" applyFont="1" applyAlignment="1">
      <alignment horizontal="right"/>
    </xf>
    <xf numFmtId="3" fontId="9" fillId="0" borderId="0" xfId="0" applyNumberFormat="1" applyFont="1"/>
    <xf numFmtId="165" fontId="9" fillId="0" borderId="2" xfId="0" applyNumberFormat="1" applyFont="1" applyBorder="1" applyAlignment="1">
      <alignment horizontal="center" vertical="center"/>
    </xf>
    <xf numFmtId="2" fontId="9" fillId="0" borderId="37" xfId="0" applyNumberFormat="1" applyFont="1" applyBorder="1"/>
    <xf numFmtId="0" fontId="9" fillId="0" borderId="37" xfId="0" applyFont="1" applyBorder="1"/>
    <xf numFmtId="0" fontId="11" fillId="2" borderId="0" xfId="0" applyFont="1" applyFill="1" applyAlignment="1">
      <alignment horizontal="center" vertical="center"/>
    </xf>
    <xf numFmtId="168" fontId="28" fillId="0" borderId="0" xfId="0" applyNumberFormat="1" applyFont="1" applyAlignment="1">
      <alignment horizontal="center" vertical="center"/>
    </xf>
    <xf numFmtId="3" fontId="9" fillId="0" borderId="0" xfId="7" applyNumberFormat="1" applyFont="1" applyAlignment="1">
      <alignment horizontal="center" vertical="center"/>
    </xf>
    <xf numFmtId="0" fontId="9" fillId="10" borderId="2" xfId="0" applyFont="1" applyFill="1" applyBorder="1" applyAlignment="1">
      <alignment horizontal="center" vertical="center"/>
    </xf>
    <xf numFmtId="0" fontId="14" fillId="0" borderId="2" xfId="3" applyFont="1" applyFill="1" applyBorder="1" applyAlignment="1">
      <alignment horizontal="center" vertical="center" wrapText="1"/>
    </xf>
    <xf numFmtId="168" fontId="9" fillId="0" borderId="2" xfId="0" applyNumberFormat="1" applyFont="1" applyBorder="1" applyAlignment="1">
      <alignment horizontal="center" vertical="center"/>
    </xf>
    <xf numFmtId="0" fontId="9" fillId="10" borderId="2" xfId="0" applyFont="1" applyFill="1" applyBorder="1" applyAlignment="1">
      <alignment horizontal="center" vertical="center" wrapText="1"/>
    </xf>
    <xf numFmtId="0" fontId="33" fillId="0" borderId="0" xfId="0" applyFont="1"/>
    <xf numFmtId="0" fontId="34" fillId="0" borderId="0" xfId="0" applyFont="1"/>
    <xf numFmtId="0" fontId="33" fillId="0" borderId="0" xfId="0" applyFont="1" applyAlignment="1">
      <alignment wrapText="1"/>
    </xf>
    <xf numFmtId="0" fontId="33" fillId="0" borderId="0" xfId="0" applyFont="1" applyAlignment="1">
      <alignment horizontal="center"/>
    </xf>
    <xf numFmtId="166" fontId="1" fillId="0" borderId="2" xfId="1" applyNumberFormat="1" applyBorder="1" applyAlignment="1">
      <alignment horizontal="center" vertical="center" wrapText="1"/>
    </xf>
    <xf numFmtId="0" fontId="12" fillId="0" borderId="0" xfId="5" applyAlignment="1">
      <alignment vertical="center"/>
    </xf>
    <xf numFmtId="0" fontId="37" fillId="12" borderId="1" xfId="0" applyFont="1" applyFill="1" applyBorder="1" applyAlignment="1">
      <alignment horizontal="left" vertical="center" wrapText="1"/>
    </xf>
    <xf numFmtId="0" fontId="37" fillId="12" borderId="5" xfId="0" applyFont="1" applyFill="1" applyBorder="1" applyAlignment="1">
      <alignment horizontal="left" vertical="center"/>
    </xf>
    <xf numFmtId="0" fontId="37" fillId="12" borderId="26" xfId="0" applyFont="1" applyFill="1" applyBorder="1" applyAlignment="1">
      <alignment horizontal="left" vertical="center"/>
    </xf>
    <xf numFmtId="0" fontId="37" fillId="12" borderId="27" xfId="0" applyFont="1" applyFill="1" applyBorder="1" applyAlignment="1">
      <alignment horizontal="left" vertical="center"/>
    </xf>
    <xf numFmtId="0" fontId="37" fillId="12" borderId="27" xfId="0" applyFont="1" applyFill="1" applyBorder="1" applyAlignment="1">
      <alignment horizontal="center" vertical="center"/>
    </xf>
    <xf numFmtId="0" fontId="37" fillId="12" borderId="27" xfId="0" applyFont="1" applyFill="1" applyBorder="1" applyAlignment="1">
      <alignment horizontal="center" vertical="center" wrapText="1"/>
    </xf>
    <xf numFmtId="0" fontId="37" fillId="12" borderId="29" xfId="0" applyFont="1" applyFill="1" applyBorder="1" applyAlignment="1">
      <alignment horizontal="center" vertical="center" wrapText="1"/>
    </xf>
    <xf numFmtId="0" fontId="38" fillId="0" borderId="19" xfId="0" applyFont="1" applyBorder="1" applyAlignment="1">
      <alignment horizontal="left"/>
    </xf>
    <xf numFmtId="0" fontId="15" fillId="0" borderId="51" xfId="0" applyFont="1" applyBorder="1" applyAlignment="1">
      <alignment horizontal="left"/>
    </xf>
    <xf numFmtId="3" fontId="15" fillId="0" borderId="28" xfId="8" applyNumberFormat="1" applyFont="1" applyBorder="1" applyAlignment="1">
      <alignment horizontal="center"/>
    </xf>
    <xf numFmtId="3" fontId="15" fillId="0" borderId="0" xfId="8" applyNumberFormat="1" applyFont="1" applyBorder="1" applyAlignment="1">
      <alignment horizontal="center"/>
    </xf>
    <xf numFmtId="3" fontId="15" fillId="0" borderId="25" xfId="8" applyNumberFormat="1" applyFont="1" applyBorder="1" applyAlignment="1">
      <alignment horizontal="center"/>
    </xf>
    <xf numFmtId="0" fontId="9" fillId="0" borderId="52" xfId="0" applyFont="1" applyBorder="1"/>
    <xf numFmtId="0" fontId="9" fillId="0" borderId="53" xfId="0" applyFont="1" applyBorder="1"/>
    <xf numFmtId="0" fontId="9" fillId="0" borderId="0" xfId="4" applyAlignment="1">
      <alignment horizontal="center" vertical="center"/>
    </xf>
    <xf numFmtId="9" fontId="9" fillId="0" borderId="0" xfId="0" applyNumberFormat="1" applyFont="1" applyAlignment="1">
      <alignment horizontal="left"/>
    </xf>
    <xf numFmtId="0" fontId="1" fillId="0" borderId="2" xfId="0" applyFont="1" applyBorder="1" applyAlignment="1">
      <alignment horizontal="left" vertical="center" wrapText="1"/>
    </xf>
    <xf numFmtId="0" fontId="0" fillId="0" borderId="22" xfId="0" applyBorder="1"/>
    <xf numFmtId="0" fontId="0" fillId="0" borderId="23" xfId="0" applyBorder="1"/>
    <xf numFmtId="0" fontId="0" fillId="0" borderId="24" xfId="0" applyBorder="1"/>
    <xf numFmtId="0" fontId="0" fillId="0" borderId="19" xfId="0" applyBorder="1"/>
    <xf numFmtId="0" fontId="0" fillId="0" borderId="20" xfId="0" applyBorder="1"/>
    <xf numFmtId="16" fontId="0" fillId="0" borderId="19" xfId="0" applyNumberFormat="1" applyBorder="1"/>
    <xf numFmtId="0" fontId="15" fillId="0" borderId="2" xfId="0" applyFont="1" applyBorder="1" applyAlignment="1">
      <alignment horizontal="center" vertical="center"/>
    </xf>
    <xf numFmtId="1" fontId="1" fillId="0" borderId="2" xfId="0" applyNumberFormat="1" applyFont="1" applyBorder="1" applyAlignment="1">
      <alignment horizontal="center" vertical="center"/>
    </xf>
    <xf numFmtId="0" fontId="14" fillId="0" borderId="2" xfId="0" applyFont="1" applyBorder="1" applyAlignment="1">
      <alignment horizontal="center" vertical="center" wrapText="1"/>
    </xf>
    <xf numFmtId="0" fontId="27" fillId="0" borderId="0" xfId="0" applyFont="1" applyAlignment="1">
      <alignment horizontal="left" vertical="center" wrapText="1"/>
    </xf>
    <xf numFmtId="0" fontId="11" fillId="0" borderId="0" xfId="0" applyFont="1" applyAlignment="1">
      <alignment horizontal="center"/>
    </xf>
    <xf numFmtId="0" fontId="9" fillId="0" borderId="0" xfId="0" applyFont="1" applyAlignment="1">
      <alignment vertical="top" wrapText="1"/>
    </xf>
    <xf numFmtId="170" fontId="9" fillId="0" borderId="0" xfId="6" applyNumberFormat="1" applyFont="1" applyFill="1" applyBorder="1" applyAlignment="1">
      <alignment horizontal="center"/>
    </xf>
    <xf numFmtId="0" fontId="25" fillId="0" borderId="0" xfId="0" applyFont="1" applyAlignment="1">
      <alignment horizontal="center" vertical="center"/>
    </xf>
    <xf numFmtId="169" fontId="26" fillId="0" borderId="0" xfId="6" applyNumberFormat="1" applyFont="1" applyFill="1" applyBorder="1" applyAlignment="1">
      <alignment horizontal="center" vertical="center"/>
    </xf>
    <xf numFmtId="0" fontId="9" fillId="0" borderId="1" xfId="0" applyFont="1" applyBorder="1" applyAlignment="1">
      <alignment horizontal="center" vertical="center"/>
    </xf>
    <xf numFmtId="0" fontId="23" fillId="10" borderId="14" xfId="0" applyFont="1" applyFill="1" applyBorder="1" applyAlignment="1">
      <alignment horizontal="center" vertical="center" wrapText="1"/>
    </xf>
    <xf numFmtId="0" fontId="11" fillId="10" borderId="36" xfId="0" applyFont="1" applyFill="1" applyBorder="1" applyAlignment="1">
      <alignment horizontal="center" vertical="center"/>
    </xf>
    <xf numFmtId="0" fontId="9" fillId="0" borderId="4" xfId="0" applyFont="1" applyBorder="1" applyAlignment="1">
      <alignment horizontal="left" vertical="center"/>
    </xf>
    <xf numFmtId="0" fontId="9" fillId="0" borderId="6" xfId="0" applyFont="1" applyBorder="1" applyAlignment="1">
      <alignment horizontal="left" vertical="center"/>
    </xf>
    <xf numFmtId="0" fontId="9" fillId="0" borderId="8" xfId="0" applyFont="1" applyBorder="1" applyAlignment="1">
      <alignment horizontal="left" vertical="center"/>
    </xf>
    <xf numFmtId="0" fontId="9" fillId="0" borderId="55" xfId="0" applyFont="1" applyBorder="1" applyAlignment="1">
      <alignment horizontal="left" vertical="center"/>
    </xf>
    <xf numFmtId="0" fontId="35" fillId="0" borderId="0" xfId="0" applyFont="1" applyAlignment="1">
      <alignment horizontal="left" vertical="center"/>
    </xf>
    <xf numFmtId="0" fontId="14" fillId="0" borderId="0" xfId="3" applyFont="1" applyBorder="1" applyAlignment="1">
      <alignment horizontal="center" vertical="center" wrapText="1"/>
    </xf>
    <xf numFmtId="0" fontId="11" fillId="10" borderId="36" xfId="0" applyFont="1" applyFill="1" applyBorder="1" applyAlignment="1">
      <alignment horizontal="center" vertical="center" wrapText="1"/>
    </xf>
    <xf numFmtId="170" fontId="14" fillId="0" borderId="2" xfId="6" applyNumberFormat="1" applyFont="1" applyBorder="1" applyAlignment="1">
      <alignment horizontal="center" vertical="center" wrapText="1"/>
    </xf>
    <xf numFmtId="1" fontId="9" fillId="0" borderId="0" xfId="0" applyNumberFormat="1" applyFont="1" applyAlignment="1">
      <alignment horizontal="center" vertical="center"/>
    </xf>
    <xf numFmtId="0" fontId="23" fillId="0" borderId="0" xfId="0" applyFont="1" applyAlignment="1">
      <alignment horizontal="center" wrapText="1"/>
    </xf>
    <xf numFmtId="0" fontId="21" fillId="0" borderId="0" xfId="0" applyFont="1" applyAlignment="1">
      <alignment wrapText="1"/>
    </xf>
    <xf numFmtId="0" fontId="9" fillId="0" borderId="0" xfId="4" applyAlignment="1">
      <alignment horizontal="center"/>
    </xf>
    <xf numFmtId="9" fontId="9" fillId="0" borderId="0" xfId="0" applyNumberFormat="1" applyFont="1" applyAlignment="1">
      <alignment horizontal="left" vertical="center"/>
    </xf>
    <xf numFmtId="0" fontId="1" fillId="0" borderId="33" xfId="0" applyFont="1" applyBorder="1" applyAlignment="1">
      <alignment horizontal="center" vertical="center"/>
    </xf>
    <xf numFmtId="0" fontId="1" fillId="0" borderId="61" xfId="0" applyFont="1" applyBorder="1" applyAlignment="1">
      <alignment horizontal="center" vertical="center" wrapText="1"/>
    </xf>
    <xf numFmtId="0" fontId="29" fillId="0" borderId="61" xfId="0" applyFont="1" applyBorder="1" applyAlignment="1">
      <alignment horizontal="center" vertical="center" wrapText="1"/>
    </xf>
    <xf numFmtId="0" fontId="21" fillId="0" borderId="0" xfId="0" applyFont="1" applyAlignment="1">
      <alignment horizontal="center"/>
    </xf>
    <xf numFmtId="0" fontId="11" fillId="10" borderId="37" xfId="0" applyFont="1" applyFill="1" applyBorder="1" applyAlignment="1">
      <alignment horizontal="center" vertical="center" wrapText="1"/>
    </xf>
    <xf numFmtId="0" fontId="29" fillId="0" borderId="0" xfId="0" applyFont="1" applyAlignment="1">
      <alignment horizontal="center" vertical="center"/>
    </xf>
    <xf numFmtId="1" fontId="14" fillId="0" borderId="0" xfId="3" applyNumberFormat="1" applyFont="1" applyBorder="1" applyAlignment="1">
      <alignment horizontal="left" vertical="center" wrapText="1"/>
    </xf>
    <xf numFmtId="0" fontId="15" fillId="0" borderId="0" xfId="0" applyFont="1" applyAlignment="1">
      <alignment vertical="center"/>
    </xf>
    <xf numFmtId="171" fontId="14" fillId="0" borderId="0" xfId="3" applyNumberFormat="1" applyFont="1" applyBorder="1" applyAlignment="1">
      <alignment horizontal="center" vertical="center" wrapText="1"/>
    </xf>
    <xf numFmtId="0" fontId="41" fillId="0" borderId="0" xfId="0" applyFont="1"/>
    <xf numFmtId="0" fontId="0" fillId="0" borderId="0" xfId="0" applyAlignment="1">
      <alignment horizontal="left" vertical="center" indent="1"/>
    </xf>
    <xf numFmtId="0" fontId="3" fillId="0" borderId="0" xfId="0" applyFont="1" applyAlignment="1">
      <alignment horizontal="left" vertical="center" indent="1"/>
    </xf>
    <xf numFmtId="0" fontId="0" fillId="0" borderId="0" xfId="0" applyAlignment="1">
      <alignment horizontal="left" vertical="center" indent="2"/>
    </xf>
    <xf numFmtId="0" fontId="14" fillId="0" borderId="0" xfId="3" applyFont="1" applyBorder="1" applyAlignment="1">
      <alignment horizontal="left" vertical="center" wrapText="1"/>
    </xf>
    <xf numFmtId="170" fontId="9" fillId="0" borderId="0" xfId="6" applyNumberFormat="1" applyFont="1" applyBorder="1" applyAlignment="1">
      <alignment horizontal="left" vertical="center"/>
    </xf>
    <xf numFmtId="170" fontId="14" fillId="0" borderId="2" xfId="6" applyNumberFormat="1" applyFont="1" applyFill="1" applyBorder="1" applyAlignment="1">
      <alignment horizontal="center" vertical="center" wrapText="1"/>
    </xf>
    <xf numFmtId="0" fontId="16" fillId="0" borderId="0" xfId="0" applyFont="1" applyAlignment="1">
      <alignment vertical="center" wrapText="1"/>
    </xf>
    <xf numFmtId="0" fontId="29" fillId="0" borderId="0" xfId="0" applyFont="1" applyAlignment="1">
      <alignment vertical="center" wrapText="1"/>
    </xf>
    <xf numFmtId="0" fontId="9" fillId="6" borderId="0" xfId="0" applyFont="1" applyFill="1"/>
    <xf numFmtId="165" fontId="15" fillId="0" borderId="0" xfId="0" applyNumberFormat="1" applyFont="1" applyAlignment="1">
      <alignment horizontal="center" vertical="center"/>
    </xf>
    <xf numFmtId="0" fontId="15" fillId="0" borderId="0" xfId="0" applyFont="1" applyAlignment="1">
      <alignment horizontal="center" vertical="center" wrapText="1"/>
    </xf>
    <xf numFmtId="3" fontId="9" fillId="0" borderId="0" xfId="8" applyNumberFormat="1" applyFont="1" applyFill="1" applyBorder="1" applyAlignment="1">
      <alignment horizontal="center"/>
    </xf>
    <xf numFmtId="0" fontId="31" fillId="0" borderId="0" xfId="0" applyFont="1" applyAlignment="1">
      <alignment horizontal="center" vertical="center"/>
    </xf>
    <xf numFmtId="1" fontId="29" fillId="0" borderId="0" xfId="0" applyNumberFormat="1" applyFont="1" applyAlignment="1">
      <alignment horizontal="left"/>
    </xf>
    <xf numFmtId="3" fontId="9" fillId="0" borderId="0" xfId="8" applyNumberFormat="1" applyFont="1" applyFill="1" applyBorder="1" applyAlignment="1">
      <alignment horizontal="left"/>
    </xf>
    <xf numFmtId="0" fontId="11" fillId="2" borderId="0" xfId="0" applyFont="1" applyFill="1" applyAlignment="1">
      <alignment vertical="center"/>
    </xf>
    <xf numFmtId="0" fontId="15" fillId="0" borderId="0" xfId="0" applyFont="1" applyAlignment="1">
      <alignment wrapText="1"/>
    </xf>
    <xf numFmtId="0" fontId="11" fillId="0" borderId="0" xfId="0" applyFont="1" applyAlignment="1">
      <alignment horizontal="center" vertical="center"/>
    </xf>
    <xf numFmtId="0" fontId="46" fillId="0" borderId="0" xfId="0" applyFont="1" applyAlignment="1">
      <alignment vertical="center"/>
    </xf>
    <xf numFmtId="0" fontId="29" fillId="0" borderId="61" xfId="0" applyFont="1" applyBorder="1" applyAlignment="1">
      <alignment horizontal="center" vertical="center"/>
    </xf>
    <xf numFmtId="0" fontId="31" fillId="17" borderId="2" xfId="0" applyFont="1" applyFill="1" applyBorder="1" applyAlignment="1">
      <alignment horizontal="center" vertical="center"/>
    </xf>
    <xf numFmtId="9" fontId="29" fillId="0" borderId="60" xfId="0" applyNumberFormat="1" applyFont="1" applyBorder="1" applyAlignment="1">
      <alignment horizontal="center" vertical="center"/>
    </xf>
    <xf numFmtId="9" fontId="29" fillId="0" borderId="60" xfId="0" applyNumberFormat="1" applyFont="1" applyBorder="1" applyAlignment="1">
      <alignment horizontal="center"/>
    </xf>
    <xf numFmtId="9" fontId="29" fillId="0" borderId="61" xfId="0" applyNumberFormat="1" applyFont="1" applyBorder="1" applyAlignment="1">
      <alignment horizontal="center" vertical="center"/>
    </xf>
    <xf numFmtId="9" fontId="29" fillId="0" borderId="61" xfId="0" applyNumberFormat="1" applyFont="1" applyBorder="1" applyAlignment="1">
      <alignment horizontal="center"/>
    </xf>
    <xf numFmtId="0" fontId="29" fillId="0" borderId="0" xfId="0" applyFont="1"/>
    <xf numFmtId="0" fontId="29" fillId="0" borderId="0" xfId="0" applyFont="1" applyAlignment="1">
      <alignment vertical="center"/>
    </xf>
    <xf numFmtId="0" fontId="23" fillId="0" borderId="0" xfId="0" applyFont="1" applyAlignment="1">
      <alignment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29" fillId="0" borderId="0" xfId="0" applyFont="1" applyAlignment="1">
      <alignment horizontal="center" vertical="center" wrapText="1"/>
    </xf>
    <xf numFmtId="0" fontId="0" fillId="0" borderId="0" xfId="0" applyAlignment="1">
      <alignment horizontal="left" vertical="center"/>
    </xf>
    <xf numFmtId="0" fontId="9" fillId="0" borderId="33" xfId="0" applyFont="1" applyBorder="1" applyAlignment="1">
      <alignment horizontal="center" vertical="center"/>
    </xf>
    <xf numFmtId="0" fontId="9" fillId="0" borderId="2" xfId="0" applyFont="1" applyBorder="1" applyAlignment="1">
      <alignment horizontal="center" vertical="center" wrapText="1"/>
    </xf>
    <xf numFmtId="0" fontId="11" fillId="10" borderId="39" xfId="0" applyFont="1" applyFill="1" applyBorder="1" applyAlignment="1">
      <alignment horizontal="center" vertical="center"/>
    </xf>
    <xf numFmtId="168" fontId="9" fillId="0" borderId="40" xfId="0" applyNumberFormat="1" applyFont="1" applyBorder="1" applyAlignment="1">
      <alignment horizontal="center" vertical="center"/>
    </xf>
    <xf numFmtId="0" fontId="9" fillId="11" borderId="40" xfId="0" applyFont="1" applyFill="1" applyBorder="1" applyAlignment="1">
      <alignment horizontal="center" vertical="center"/>
    </xf>
    <xf numFmtId="168" fontId="9" fillId="11" borderId="40" xfId="0" applyNumberFormat="1" applyFont="1" applyFill="1" applyBorder="1" applyAlignment="1">
      <alignment horizontal="center" vertical="center"/>
    </xf>
    <xf numFmtId="0" fontId="9" fillId="7" borderId="40" xfId="0" applyFont="1" applyFill="1" applyBorder="1" applyAlignment="1">
      <alignment horizontal="center" vertical="center"/>
    </xf>
    <xf numFmtId="168" fontId="9" fillId="7" borderId="40" xfId="0" applyNumberFormat="1" applyFont="1" applyFill="1" applyBorder="1" applyAlignment="1">
      <alignment horizontal="center" vertical="center"/>
    </xf>
    <xf numFmtId="0" fontId="9" fillId="3" borderId="40" xfId="0" applyFont="1" applyFill="1" applyBorder="1" applyAlignment="1">
      <alignment horizontal="center" vertical="center"/>
    </xf>
    <xf numFmtId="0" fontId="9" fillId="15" borderId="40" xfId="0" applyFont="1" applyFill="1" applyBorder="1" applyAlignment="1">
      <alignment horizontal="center" vertical="center"/>
    </xf>
    <xf numFmtId="0" fontId="1" fillId="15" borderId="40" xfId="0" applyFont="1" applyFill="1" applyBorder="1" applyAlignment="1">
      <alignment horizontal="center" vertical="center"/>
    </xf>
    <xf numFmtId="168" fontId="1" fillId="15" borderId="40" xfId="0" applyNumberFormat="1" applyFont="1" applyFill="1" applyBorder="1" applyAlignment="1">
      <alignment horizontal="center" vertical="center"/>
    </xf>
    <xf numFmtId="0" fontId="9" fillId="6" borderId="40" xfId="0" applyFont="1" applyFill="1" applyBorder="1" applyAlignment="1">
      <alignment horizontal="center" vertical="center"/>
    </xf>
    <xf numFmtId="2" fontId="9" fillId="0" borderId="40" xfId="0" applyNumberFormat="1" applyFont="1" applyBorder="1" applyAlignment="1">
      <alignment horizontal="center" vertical="center"/>
    </xf>
    <xf numFmtId="2" fontId="9" fillId="7" borderId="40" xfId="0" applyNumberFormat="1" applyFont="1" applyFill="1" applyBorder="1" applyAlignment="1">
      <alignment horizontal="center" vertical="center"/>
    </xf>
    <xf numFmtId="0" fontId="9" fillId="0" borderId="63" xfId="0" applyFont="1" applyBorder="1" applyAlignment="1">
      <alignment horizontal="center" vertical="center"/>
    </xf>
    <xf numFmtId="0" fontId="9" fillId="11" borderId="63" xfId="0" applyFont="1" applyFill="1" applyBorder="1" applyAlignment="1">
      <alignment horizontal="center" vertical="center"/>
    </xf>
    <xf numFmtId="0" fontId="9" fillId="7" borderId="63" xfId="0" applyFont="1" applyFill="1" applyBorder="1" applyAlignment="1">
      <alignment horizontal="center" vertical="center"/>
    </xf>
    <xf numFmtId="0" fontId="12" fillId="0" borderId="40" xfId="5" applyBorder="1" applyAlignment="1">
      <alignment horizontal="center" vertical="center"/>
    </xf>
    <xf numFmtId="43" fontId="1" fillId="0" borderId="3" xfId="6" applyFont="1" applyBorder="1" applyAlignment="1">
      <alignment horizontal="center" vertical="center" wrapText="1"/>
    </xf>
    <xf numFmtId="0" fontId="9" fillId="0" borderId="14" xfId="0" applyFont="1" applyBorder="1" applyAlignment="1">
      <alignment vertical="center" wrapText="1"/>
    </xf>
    <xf numFmtId="0" fontId="9" fillId="0" borderId="21" xfId="0" applyFont="1" applyBorder="1" applyAlignment="1">
      <alignment horizontal="left" vertical="center"/>
    </xf>
    <xf numFmtId="0" fontId="11" fillId="10" borderId="33" xfId="0" applyFont="1" applyFill="1" applyBorder="1" applyAlignment="1">
      <alignment horizontal="center" vertical="center" wrapText="1"/>
    </xf>
    <xf numFmtId="0" fontId="9" fillId="0" borderId="40" xfId="0" applyFont="1" applyBorder="1" applyAlignment="1">
      <alignment vertical="center" wrapText="1"/>
    </xf>
    <xf numFmtId="0" fontId="9" fillId="3" borderId="63" xfId="0" applyFont="1" applyFill="1" applyBorder="1" applyAlignment="1">
      <alignment vertical="center"/>
    </xf>
    <xf numFmtId="0" fontId="9" fillId="3" borderId="40" xfId="0" applyFont="1" applyFill="1" applyBorder="1" applyAlignment="1">
      <alignment vertical="center"/>
    </xf>
    <xf numFmtId="0" fontId="9" fillId="7" borderId="40" xfId="0" applyFont="1" applyFill="1" applyBorder="1" applyAlignment="1">
      <alignment vertical="center"/>
    </xf>
    <xf numFmtId="0" fontId="9" fillId="7" borderId="63" xfId="0" applyFont="1" applyFill="1" applyBorder="1" applyAlignment="1">
      <alignment vertical="center"/>
    </xf>
    <xf numFmtId="0" fontId="9" fillId="15" borderId="63" xfId="0" applyFont="1" applyFill="1" applyBorder="1" applyAlignment="1">
      <alignment vertical="center"/>
    </xf>
    <xf numFmtId="168" fontId="1" fillId="11" borderId="33" xfId="0" applyNumberFormat="1" applyFont="1" applyFill="1" applyBorder="1" applyAlignment="1">
      <alignment horizontal="center" vertical="center"/>
    </xf>
    <xf numFmtId="0" fontId="9" fillId="15" borderId="40" xfId="0" applyFont="1" applyFill="1" applyBorder="1" applyAlignment="1">
      <alignment vertical="center"/>
    </xf>
    <xf numFmtId="0" fontId="15" fillId="0" borderId="0" xfId="0" applyFont="1" applyAlignment="1">
      <alignment vertical="center" wrapText="1"/>
    </xf>
    <xf numFmtId="0" fontId="9" fillId="7" borderId="62" xfId="0" applyFont="1" applyFill="1" applyBorder="1" applyAlignment="1">
      <alignment vertical="center" wrapText="1"/>
    </xf>
    <xf numFmtId="0" fontId="9" fillId="11" borderId="40" xfId="0" applyFont="1" applyFill="1" applyBorder="1" applyAlignment="1">
      <alignment vertical="center" wrapText="1"/>
    </xf>
    <xf numFmtId="0" fontId="9" fillId="0" borderId="75" xfId="0" applyFont="1" applyBorder="1" applyAlignment="1">
      <alignment vertical="center"/>
    </xf>
    <xf numFmtId="0" fontId="11" fillId="10" borderId="75" xfId="0" applyFont="1" applyFill="1" applyBorder="1" applyAlignment="1">
      <alignment horizontal="center" vertical="center"/>
    </xf>
    <xf numFmtId="0" fontId="11" fillId="17" borderId="75" xfId="0" applyFont="1" applyFill="1" applyBorder="1" applyAlignment="1">
      <alignment horizontal="center" vertical="center" wrapText="1"/>
    </xf>
    <xf numFmtId="0" fontId="49" fillId="6" borderId="81" xfId="0" applyFont="1" applyFill="1" applyBorder="1" applyAlignment="1">
      <alignment horizontal="left" vertical="center"/>
    </xf>
    <xf numFmtId="0" fontId="0" fillId="6" borderId="81" xfId="0" applyFill="1" applyBorder="1" applyAlignment="1">
      <alignment horizontal="left"/>
    </xf>
    <xf numFmtId="0" fontId="9" fillId="6" borderId="81" xfId="0" applyFont="1" applyFill="1" applyBorder="1" applyAlignment="1">
      <alignment horizontal="left" vertical="center"/>
    </xf>
    <xf numFmtId="0" fontId="9" fillId="6" borderId="0" xfId="0" applyFont="1" applyFill="1" applyAlignment="1">
      <alignment vertical="center"/>
    </xf>
    <xf numFmtId="0" fontId="29" fillId="6" borderId="0" xfId="0" applyFont="1" applyFill="1" applyAlignment="1">
      <alignment horizontal="center" vertical="center"/>
    </xf>
    <xf numFmtId="0" fontId="11" fillId="17" borderId="75" xfId="0" applyFont="1" applyFill="1" applyBorder="1" applyAlignment="1">
      <alignment horizontal="center" vertical="center"/>
    </xf>
    <xf numFmtId="0" fontId="9" fillId="0" borderId="75" xfId="0" applyFont="1" applyBorder="1" applyAlignment="1">
      <alignment vertical="center" wrapText="1"/>
    </xf>
    <xf numFmtId="0" fontId="29" fillId="0" borderId="75" xfId="0" applyFont="1" applyBorder="1" applyAlignment="1">
      <alignment horizontal="center" vertical="center" wrapText="1"/>
    </xf>
    <xf numFmtId="0" fontId="9" fillId="0" borderId="75" xfId="0" applyFont="1" applyBorder="1"/>
    <xf numFmtId="0" fontId="9" fillId="6" borderId="0" xfId="0" applyFont="1" applyFill="1" applyAlignment="1">
      <alignment vertical="center" wrapText="1"/>
    </xf>
    <xf numFmtId="0" fontId="29" fillId="6" borderId="80" xfId="0" applyFont="1" applyFill="1" applyBorder="1" applyAlignment="1">
      <alignment horizontal="center" vertical="center"/>
    </xf>
    <xf numFmtId="0" fontId="9" fillId="6" borderId="80" xfId="0" applyFont="1" applyFill="1" applyBorder="1"/>
    <xf numFmtId="0" fontId="9" fillId="0" borderId="33" xfId="0" quotePrefix="1" applyFont="1" applyBorder="1" applyAlignment="1">
      <alignment horizontal="center" vertical="center"/>
    </xf>
    <xf numFmtId="0" fontId="9" fillId="0" borderId="33" xfId="0" quotePrefix="1" applyFont="1" applyBorder="1" applyAlignment="1">
      <alignment horizontal="center" vertical="center" wrapText="1"/>
    </xf>
    <xf numFmtId="0" fontId="43" fillId="7" borderId="75" xfId="0" applyFont="1" applyFill="1" applyBorder="1" applyAlignment="1">
      <alignment horizontal="left" vertical="center"/>
    </xf>
    <xf numFmtId="9" fontId="15" fillId="0" borderId="75" xfId="2" applyFont="1" applyBorder="1" applyAlignment="1">
      <alignment horizontal="center" vertical="center"/>
    </xf>
    <xf numFmtId="0" fontId="0" fillId="0" borderId="75" xfId="0" applyBorder="1" applyAlignment="1">
      <alignment horizontal="left" vertical="center" wrapText="1"/>
    </xf>
    <xf numFmtId="9" fontId="0" fillId="0" borderId="75" xfId="2" applyFont="1" applyBorder="1" applyAlignment="1">
      <alignment horizontal="center" vertical="center" wrapText="1"/>
    </xf>
    <xf numFmtId="0" fontId="9" fillId="18" borderId="75" xfId="0" quotePrefix="1" applyFont="1" applyFill="1" applyBorder="1" applyAlignment="1">
      <alignment vertical="center" wrapText="1"/>
    </xf>
    <xf numFmtId="9" fontId="0" fillId="9" borderId="82" xfId="0" applyNumberFormat="1" applyFill="1" applyBorder="1" applyAlignment="1">
      <alignment horizontal="center" vertical="center"/>
    </xf>
    <xf numFmtId="9" fontId="0" fillId="0" borderId="82" xfId="2" applyFont="1" applyBorder="1" applyAlignment="1">
      <alignment horizontal="center" vertical="center"/>
    </xf>
    <xf numFmtId="0" fontId="9" fillId="0" borderId="0" xfId="0" quotePrefix="1" applyFont="1" applyAlignment="1">
      <alignment vertical="center" wrapText="1"/>
    </xf>
    <xf numFmtId="9" fontId="0" fillId="0" borderId="0" xfId="2" applyFont="1" applyFill="1" applyBorder="1" applyAlignment="1">
      <alignment horizontal="center" vertical="center"/>
    </xf>
    <xf numFmtId="0" fontId="0" fillId="0" borderId="0" xfId="0" applyAlignment="1">
      <alignment horizontal="left" vertical="center" wrapText="1"/>
    </xf>
    <xf numFmtId="1" fontId="14" fillId="0" borderId="75" xfId="3" applyNumberFormat="1" applyFont="1" applyBorder="1" applyAlignment="1">
      <alignment horizontal="left" vertical="center" wrapText="1"/>
    </xf>
    <xf numFmtId="0" fontId="14" fillId="0" borderId="75" xfId="3" applyFont="1" applyBorder="1" applyAlignment="1">
      <alignment horizontal="left" vertical="center" wrapText="1"/>
    </xf>
    <xf numFmtId="170" fontId="9" fillId="0" borderId="75" xfId="6" applyNumberFormat="1" applyFont="1" applyFill="1" applyBorder="1" applyAlignment="1">
      <alignment horizontal="center" vertical="center"/>
    </xf>
    <xf numFmtId="0" fontId="31" fillId="0" borderId="0" xfId="0" applyFont="1"/>
    <xf numFmtId="0" fontId="11" fillId="10" borderId="76" xfId="0" applyFont="1" applyFill="1" applyBorder="1" applyAlignment="1">
      <alignment horizontal="center" vertical="center"/>
    </xf>
    <xf numFmtId="0" fontId="31" fillId="17" borderId="76" xfId="0" applyFont="1" applyFill="1" applyBorder="1" applyAlignment="1">
      <alignment horizontal="center" vertical="center" wrapText="1"/>
    </xf>
    <xf numFmtId="0" fontId="31" fillId="17" borderId="76" xfId="0" applyFont="1" applyFill="1" applyBorder="1" applyAlignment="1">
      <alignment horizontal="center" vertical="center"/>
    </xf>
    <xf numFmtId="0" fontId="11" fillId="10" borderId="76" xfId="0" applyFont="1" applyFill="1" applyBorder="1" applyAlignment="1">
      <alignment horizontal="center" vertical="center" wrapText="1"/>
    </xf>
    <xf numFmtId="1" fontId="9" fillId="0" borderId="75" xfId="0" applyNumberFormat="1" applyFont="1" applyBorder="1" applyAlignment="1">
      <alignment vertical="center"/>
    </xf>
    <xf numFmtId="3" fontId="9" fillId="0" borderId="75" xfId="0" applyNumberFormat="1" applyFont="1" applyBorder="1" applyAlignment="1">
      <alignment horizontal="center" vertical="center"/>
    </xf>
    <xf numFmtId="170" fontId="9" fillId="0" borderId="75" xfId="6" applyNumberFormat="1" applyFont="1" applyBorder="1" applyAlignment="1">
      <alignment horizontal="center" vertical="center"/>
    </xf>
    <xf numFmtId="3" fontId="9" fillId="0" borderId="75" xfId="2" applyNumberFormat="1" applyFont="1" applyFill="1" applyBorder="1" applyAlignment="1">
      <alignment horizontal="center"/>
    </xf>
    <xf numFmtId="10" fontId="9" fillId="0" borderId="75" xfId="2" applyNumberFormat="1" applyFont="1" applyFill="1" applyBorder="1" applyAlignment="1">
      <alignment horizontal="center"/>
    </xf>
    <xf numFmtId="10" fontId="9" fillId="0" borderId="75" xfId="8" applyNumberFormat="1" applyFont="1" applyFill="1" applyBorder="1" applyAlignment="1">
      <alignment horizontal="center" vertical="center" wrapText="1"/>
    </xf>
    <xf numFmtId="10" fontId="9" fillId="0" borderId="75" xfId="8" applyNumberFormat="1" applyFont="1" applyFill="1" applyBorder="1" applyAlignment="1">
      <alignment horizontal="center"/>
    </xf>
    <xf numFmtId="1" fontId="9" fillId="0" borderId="75" xfId="2" applyNumberFormat="1" applyFont="1" applyFill="1" applyBorder="1" applyAlignment="1">
      <alignment horizontal="center" vertical="center"/>
    </xf>
    <xf numFmtId="0" fontId="23" fillId="10" borderId="75" xfId="0" applyFont="1" applyFill="1" applyBorder="1" applyAlignment="1">
      <alignment horizontal="center" vertical="center" wrapText="1"/>
    </xf>
    <xf numFmtId="0" fontId="23" fillId="10" borderId="76" xfId="0" applyFont="1" applyFill="1" applyBorder="1" applyAlignment="1">
      <alignment horizontal="center" vertical="center" wrapText="1"/>
    </xf>
    <xf numFmtId="1" fontId="9" fillId="0" borderId="75" xfId="0" applyNumberFormat="1" applyFont="1" applyBorder="1"/>
    <xf numFmtId="3" fontId="9" fillId="0" borderId="75" xfId="0" applyNumberFormat="1" applyFont="1" applyBorder="1"/>
    <xf numFmtId="170" fontId="9" fillId="0" borderId="75" xfId="0" applyNumberFormat="1" applyFont="1" applyBorder="1"/>
    <xf numFmtId="43" fontId="9" fillId="0" borderId="75" xfId="6" applyFont="1" applyBorder="1"/>
    <xf numFmtId="0" fontId="23" fillId="10" borderId="83" xfId="0" applyFont="1" applyFill="1" applyBorder="1" applyAlignment="1">
      <alignment horizontal="left" vertical="center" wrapText="1"/>
    </xf>
    <xf numFmtId="0" fontId="23" fillId="10" borderId="83" xfId="0" applyFont="1" applyFill="1" applyBorder="1" applyAlignment="1">
      <alignment vertical="center" wrapText="1"/>
    </xf>
    <xf numFmtId="0" fontId="9" fillId="0" borderId="83" xfId="0" applyFont="1" applyBorder="1" applyAlignment="1">
      <alignment horizontal="left" vertical="center" wrapText="1"/>
    </xf>
    <xf numFmtId="170" fontId="9" fillId="0" borderId="83" xfId="0" applyNumberFormat="1" applyFont="1" applyBorder="1" applyAlignment="1">
      <alignment vertical="center"/>
    </xf>
    <xf numFmtId="170" fontId="9" fillId="0" borderId="83" xfId="6" applyNumberFormat="1" applyFont="1" applyBorder="1" applyAlignment="1">
      <alignment horizontal="left" vertical="center"/>
    </xf>
    <xf numFmtId="1" fontId="9" fillId="0" borderId="83" xfId="0" applyNumberFormat="1" applyFont="1" applyBorder="1" applyAlignment="1">
      <alignment horizontal="right" vertical="center"/>
    </xf>
    <xf numFmtId="170" fontId="9" fillId="6" borderId="83" xfId="6" applyNumberFormat="1" applyFont="1" applyFill="1" applyBorder="1" applyAlignment="1">
      <alignment horizontal="right" vertical="center"/>
    </xf>
    <xf numFmtId="0" fontId="9" fillId="6" borderId="83" xfId="0" applyFont="1" applyFill="1" applyBorder="1" applyAlignment="1">
      <alignment vertical="center"/>
    </xf>
    <xf numFmtId="2" fontId="9" fillId="6" borderId="83" xfId="0" applyNumberFormat="1" applyFont="1" applyFill="1" applyBorder="1" applyAlignment="1">
      <alignment horizontal="right" vertical="center"/>
    </xf>
    <xf numFmtId="0" fontId="14" fillId="0" borderId="83" xfId="3" applyFont="1" applyBorder="1" applyAlignment="1">
      <alignment horizontal="left" vertical="center" wrapText="1"/>
    </xf>
    <xf numFmtId="0" fontId="9" fillId="0" borderId="83" xfId="0" applyFont="1" applyBorder="1" applyAlignment="1">
      <alignment vertical="center"/>
    </xf>
    <xf numFmtId="2" fontId="9" fillId="6" borderId="83" xfId="0" applyNumberFormat="1" applyFont="1" applyFill="1" applyBorder="1" applyAlignment="1">
      <alignment horizontal="center" vertical="center"/>
    </xf>
    <xf numFmtId="0" fontId="9" fillId="6" borderId="75" xfId="0" applyFont="1" applyFill="1" applyBorder="1" applyAlignment="1">
      <alignment vertical="center"/>
    </xf>
    <xf numFmtId="9" fontId="9" fillId="0" borderId="75" xfId="0" applyNumberFormat="1" applyFont="1" applyBorder="1" applyAlignment="1">
      <alignment horizontal="center" vertical="center" wrapText="1"/>
    </xf>
    <xf numFmtId="165" fontId="29" fillId="0" borderId="75" xfId="0" applyNumberFormat="1" applyFont="1" applyBorder="1" applyAlignment="1">
      <alignment horizontal="center" vertical="center" wrapText="1"/>
    </xf>
    <xf numFmtId="0" fontId="9" fillId="6" borderId="75" xfId="0" applyFont="1" applyFill="1" applyBorder="1" applyAlignment="1">
      <alignment horizontal="center" vertical="center" wrapText="1"/>
    </xf>
    <xf numFmtId="0" fontId="29" fillId="6" borderId="75" xfId="0" applyFont="1" applyFill="1" applyBorder="1" applyAlignment="1">
      <alignment horizontal="center" vertical="center" wrapText="1"/>
    </xf>
    <xf numFmtId="172" fontId="47" fillId="0" borderId="0" xfId="0" applyNumberFormat="1" applyFont="1" applyAlignment="1">
      <alignment vertical="center"/>
    </xf>
    <xf numFmtId="0" fontId="20" fillId="0" borderId="0" xfId="0" applyFont="1"/>
    <xf numFmtId="172" fontId="47" fillId="0" borderId="0" xfId="0" applyNumberFormat="1" applyFont="1"/>
    <xf numFmtId="0" fontId="28" fillId="0" borderId="75" xfId="0" applyFont="1" applyBorder="1" applyAlignment="1">
      <alignment vertical="center" wrapText="1"/>
    </xf>
    <xf numFmtId="0" fontId="48" fillId="0" borderId="75" xfId="0" applyFont="1" applyBorder="1" applyAlignment="1">
      <alignment vertical="center" wrapText="1"/>
    </xf>
    <xf numFmtId="0" fontId="29" fillId="0" borderId="60" xfId="0" applyFont="1" applyBorder="1" applyAlignment="1">
      <alignment horizontal="center" vertical="center"/>
    </xf>
    <xf numFmtId="0" fontId="29" fillId="0" borderId="61" xfId="0" applyFont="1" applyBorder="1" applyAlignment="1">
      <alignment horizontal="center"/>
    </xf>
    <xf numFmtId="2" fontId="28" fillId="0" borderId="75" xfId="0" applyNumberFormat="1" applyFont="1" applyBorder="1" applyAlignment="1">
      <alignment horizontal="center" vertical="center"/>
    </xf>
    <xf numFmtId="0" fontId="28" fillId="0" borderId="87" xfId="0" applyFont="1" applyBorder="1" applyAlignment="1">
      <alignment horizontal="center" vertical="center"/>
    </xf>
    <xf numFmtId="2" fontId="28" fillId="0" borderId="74" xfId="0" applyNumberFormat="1" applyFont="1" applyBorder="1" applyAlignment="1">
      <alignment horizontal="center" vertical="center"/>
    </xf>
    <xf numFmtId="2" fontId="28" fillId="0" borderId="89" xfId="0" applyNumberFormat="1" applyFont="1" applyBorder="1" applyAlignment="1">
      <alignment horizontal="center" vertical="center"/>
    </xf>
    <xf numFmtId="2" fontId="28" fillId="0" borderId="90" xfId="0" applyNumberFormat="1" applyFont="1" applyBorder="1" applyAlignment="1">
      <alignment horizontal="center" vertical="center"/>
    </xf>
    <xf numFmtId="2" fontId="28" fillId="0" borderId="91" xfId="0" applyNumberFormat="1" applyFont="1" applyBorder="1" applyAlignment="1">
      <alignment horizontal="center" vertical="center"/>
    </xf>
    <xf numFmtId="2" fontId="28" fillId="0" borderId="92" xfId="0" applyNumberFormat="1" applyFont="1" applyBorder="1" applyAlignment="1">
      <alignment horizontal="center" vertical="center"/>
    </xf>
    <xf numFmtId="2" fontId="28" fillId="0" borderId="93" xfId="0" applyNumberFormat="1" applyFont="1" applyBorder="1" applyAlignment="1">
      <alignment horizontal="center" vertical="center"/>
    </xf>
    <xf numFmtId="2" fontId="28" fillId="0" borderId="76" xfId="0" applyNumberFormat="1" applyFont="1" applyBorder="1" applyAlignment="1">
      <alignment horizontal="center" vertical="center"/>
    </xf>
    <xf numFmtId="2" fontId="28" fillId="0" borderId="94" xfId="0" applyNumberFormat="1" applyFont="1" applyBorder="1" applyAlignment="1">
      <alignment horizontal="center" vertical="center"/>
    </xf>
    <xf numFmtId="2" fontId="28" fillId="0" borderId="95" xfId="0" applyNumberFormat="1" applyFont="1" applyBorder="1" applyAlignment="1">
      <alignment horizontal="center" vertical="center"/>
    </xf>
    <xf numFmtId="0" fontId="28" fillId="0" borderId="96" xfId="0" applyFont="1" applyBorder="1" applyAlignment="1">
      <alignment horizontal="center" vertical="center"/>
    </xf>
    <xf numFmtId="0" fontId="28" fillId="0" borderId="79" xfId="0" applyFont="1" applyBorder="1" applyAlignment="1">
      <alignment horizontal="center" vertical="center"/>
    </xf>
    <xf numFmtId="0" fontId="28" fillId="0" borderId="97" xfId="0" applyFont="1" applyBorder="1" applyAlignment="1">
      <alignment horizontal="center" vertical="center"/>
    </xf>
    <xf numFmtId="0" fontId="28" fillId="0" borderId="98" xfId="0" applyFont="1" applyBorder="1" applyAlignment="1">
      <alignment horizontal="center" vertical="center"/>
    </xf>
    <xf numFmtId="1" fontId="1" fillId="0" borderId="2" xfId="0" applyNumberFormat="1" applyFont="1" applyBorder="1" applyAlignment="1">
      <alignment horizontal="left" vertical="center" wrapText="1"/>
    </xf>
    <xf numFmtId="9" fontId="9" fillId="0" borderId="2" xfId="2" applyFont="1" applyBorder="1" applyAlignment="1">
      <alignment horizontal="center" vertical="center"/>
    </xf>
    <xf numFmtId="9" fontId="9" fillId="0" borderId="2" xfId="2" applyFont="1" applyFill="1" applyBorder="1" applyAlignment="1">
      <alignment horizontal="center" vertical="center"/>
    </xf>
    <xf numFmtId="0" fontId="9" fillId="0" borderId="49" xfId="0" applyFont="1" applyBorder="1" applyAlignment="1">
      <alignment horizontal="center" vertical="center"/>
    </xf>
    <xf numFmtId="0" fontId="12" fillId="6" borderId="84" xfId="5" applyFill="1" applyBorder="1" applyAlignment="1">
      <alignment vertical="center" wrapText="1"/>
    </xf>
    <xf numFmtId="0" fontId="2" fillId="6" borderId="85" xfId="5" applyFont="1" applyFill="1" applyBorder="1" applyAlignment="1">
      <alignment vertical="center" wrapText="1"/>
    </xf>
    <xf numFmtId="0" fontId="12" fillId="6" borderId="85" xfId="5" applyFill="1" applyBorder="1" applyAlignment="1">
      <alignment horizontal="center" vertical="center" wrapText="1"/>
    </xf>
    <xf numFmtId="0" fontId="2" fillId="6" borderId="86" xfId="5" applyFont="1" applyFill="1" applyBorder="1" applyAlignment="1">
      <alignment horizontal="center" vertical="center" wrapText="1"/>
    </xf>
    <xf numFmtId="1" fontId="14" fillId="0" borderId="75" xfId="3" applyNumberFormat="1" applyFont="1" applyBorder="1" applyAlignment="1">
      <alignment horizontal="center" vertical="center" wrapText="1"/>
    </xf>
    <xf numFmtId="0" fontId="0" fillId="0" borderId="75" xfId="0" applyBorder="1" applyAlignment="1">
      <alignment horizontal="center" vertical="center" wrapText="1"/>
    </xf>
    <xf numFmtId="170" fontId="9" fillId="0" borderId="75" xfId="6" applyNumberFormat="1" applyFont="1" applyBorder="1" applyAlignment="1">
      <alignment horizontal="center" vertical="center" wrapText="1"/>
    </xf>
    <xf numFmtId="171" fontId="9" fillId="0" borderId="75" xfId="6" applyNumberFormat="1" applyFont="1" applyBorder="1" applyAlignment="1">
      <alignment horizontal="center" vertical="center" wrapText="1"/>
    </xf>
    <xf numFmtId="0" fontId="31" fillId="10" borderId="75" xfId="0" applyFont="1" applyFill="1" applyBorder="1" applyAlignment="1">
      <alignment horizontal="left" vertical="center" wrapText="1"/>
    </xf>
    <xf numFmtId="0" fontId="9" fillId="0" borderId="75" xfId="0" applyFont="1" applyBorder="1" applyAlignment="1">
      <alignment horizontal="right" vertical="center"/>
    </xf>
    <xf numFmtId="172" fontId="9" fillId="0" borderId="75" xfId="0" applyNumberFormat="1" applyFont="1" applyBorder="1" applyAlignment="1">
      <alignment vertical="center"/>
    </xf>
    <xf numFmtId="170" fontId="9" fillId="0" borderId="75" xfId="6" applyNumberFormat="1" applyFont="1" applyBorder="1" applyAlignment="1">
      <alignment horizontal="right" vertical="center" wrapText="1"/>
    </xf>
    <xf numFmtId="170" fontId="9" fillId="0" borderId="75" xfId="6" applyNumberFormat="1" applyFont="1" applyBorder="1" applyAlignment="1">
      <alignment horizontal="right" vertical="center"/>
    </xf>
    <xf numFmtId="172" fontId="1" fillId="0" borderId="75" xfId="0" applyNumberFormat="1" applyFont="1" applyBorder="1" applyAlignment="1">
      <alignment vertical="center"/>
    </xf>
    <xf numFmtId="172" fontId="1" fillId="11" borderId="75" xfId="0" applyNumberFormat="1" applyFont="1" applyFill="1" applyBorder="1" applyAlignment="1">
      <alignment vertical="center"/>
    </xf>
    <xf numFmtId="0" fontId="0" fillId="9" borderId="75" xfId="0" applyFill="1" applyBorder="1" applyAlignment="1">
      <alignment horizontal="center" vertical="center"/>
    </xf>
    <xf numFmtId="0" fontId="15" fillId="0" borderId="0" xfId="0" applyFont="1" applyAlignment="1">
      <alignment horizontal="center"/>
    </xf>
    <xf numFmtId="1" fontId="9" fillId="0" borderId="75" xfId="0" applyNumberFormat="1" applyFont="1" applyBorder="1" applyAlignment="1">
      <alignment horizontal="center" vertical="center"/>
    </xf>
    <xf numFmtId="164" fontId="9" fillId="0" borderId="0" xfId="0" applyNumberFormat="1" applyFont="1" applyAlignment="1">
      <alignment horizontal="center"/>
    </xf>
    <xf numFmtId="2" fontId="9" fillId="0" borderId="0" xfId="2" applyNumberFormat="1" applyFont="1" applyAlignment="1">
      <alignment horizontal="center"/>
    </xf>
    <xf numFmtId="2" fontId="9" fillId="0" borderId="0" xfId="0" applyNumberFormat="1" applyFont="1"/>
    <xf numFmtId="2" fontId="9" fillId="0" borderId="0" xfId="0" applyNumberFormat="1" applyFont="1" applyAlignment="1">
      <alignment horizontal="center"/>
    </xf>
    <xf numFmtId="2" fontId="9" fillId="0" borderId="2" xfId="0" applyNumberFormat="1" applyFont="1" applyBorder="1" applyAlignment="1">
      <alignment horizontal="center" vertical="center"/>
    </xf>
    <xf numFmtId="2" fontId="9" fillId="0" borderId="0" xfId="0" applyNumberFormat="1" applyFont="1" applyAlignment="1">
      <alignment horizontal="center" vertical="center"/>
    </xf>
    <xf numFmtId="9" fontId="9" fillId="0" borderId="0" xfId="2" applyFont="1" applyAlignment="1">
      <alignment horizontal="center" vertical="top" wrapText="1"/>
    </xf>
    <xf numFmtId="1" fontId="9" fillId="0" borderId="0" xfId="0" applyNumberFormat="1" applyFont="1" applyAlignment="1">
      <alignment horizontal="center" vertical="top" wrapText="1"/>
    </xf>
    <xf numFmtId="0" fontId="23" fillId="10" borderId="83" xfId="0" applyFont="1" applyFill="1" applyBorder="1" applyAlignment="1">
      <alignment horizontal="center" vertical="center" wrapText="1"/>
    </xf>
    <xf numFmtId="0" fontId="29" fillId="6" borderId="0" xfId="0" applyFont="1" applyFill="1" applyAlignment="1">
      <alignment horizontal="center" vertical="center" wrapText="1"/>
    </xf>
    <xf numFmtId="0" fontId="23" fillId="10" borderId="100" xfId="0" applyFont="1" applyFill="1" applyBorder="1" applyAlignment="1">
      <alignment horizontal="center" vertical="center" wrapText="1"/>
    </xf>
    <xf numFmtId="173" fontId="29" fillId="19" borderId="2" xfId="0" applyNumberFormat="1" applyFont="1" applyFill="1" applyBorder="1" applyAlignment="1">
      <alignment vertical="center"/>
    </xf>
    <xf numFmtId="173" fontId="9" fillId="0" borderId="2" xfId="0" applyNumberFormat="1" applyFont="1" applyBorder="1"/>
    <xf numFmtId="173" fontId="29" fillId="19" borderId="40" xfId="0" applyNumberFormat="1" applyFont="1" applyFill="1" applyBorder="1" applyAlignment="1">
      <alignment vertical="center"/>
    </xf>
    <xf numFmtId="1" fontId="9" fillId="6" borderId="75" xfId="0" applyNumberFormat="1" applyFont="1" applyFill="1" applyBorder="1" applyAlignment="1">
      <alignment vertical="center" wrapText="1"/>
    </xf>
    <xf numFmtId="0" fontId="11" fillId="10" borderId="2" xfId="0" applyFont="1" applyFill="1" applyBorder="1" applyAlignment="1">
      <alignment horizontal="center" vertical="center" wrapText="1"/>
    </xf>
    <xf numFmtId="43" fontId="9" fillId="0" borderId="75" xfId="0" applyNumberFormat="1" applyFont="1" applyBorder="1"/>
    <xf numFmtId="0" fontId="29" fillId="0" borderId="2" xfId="0" applyFont="1" applyBorder="1" applyAlignment="1">
      <alignment wrapText="1"/>
    </xf>
    <xf numFmtId="0" fontId="29" fillId="0" borderId="13" xfId="0" applyFont="1" applyBorder="1" applyAlignment="1">
      <alignment wrapText="1"/>
    </xf>
    <xf numFmtId="3" fontId="1" fillId="0" borderId="13" xfId="0" applyNumberFormat="1" applyFont="1" applyBorder="1"/>
    <xf numFmtId="0" fontId="29" fillId="0" borderId="0" xfId="0" applyFont="1" applyAlignment="1">
      <alignment wrapText="1"/>
    </xf>
    <xf numFmtId="3" fontId="29" fillId="0" borderId="0" xfId="0" applyNumberFormat="1" applyFont="1"/>
    <xf numFmtId="3" fontId="1" fillId="0" borderId="0" xfId="0" applyNumberFormat="1" applyFont="1"/>
    <xf numFmtId="2" fontId="9" fillId="0" borderId="75" xfId="0" applyNumberFormat="1" applyFont="1" applyBorder="1"/>
    <xf numFmtId="43" fontId="9" fillId="0" borderId="75" xfId="6" applyFont="1" applyBorder="1" applyAlignment="1">
      <alignment horizontal="left" vertical="center"/>
    </xf>
    <xf numFmtId="0" fontId="23" fillId="17" borderId="13" xfId="0" applyFont="1" applyFill="1" applyBorder="1" applyAlignment="1">
      <alignment wrapText="1"/>
    </xf>
    <xf numFmtId="0" fontId="29" fillId="0" borderId="104" xfId="0" applyFont="1" applyBorder="1" applyAlignment="1">
      <alignment wrapText="1"/>
    </xf>
    <xf numFmtId="0" fontId="29" fillId="0" borderId="104" xfId="0" applyFont="1" applyBorder="1"/>
    <xf numFmtId="166" fontId="29" fillId="0" borderId="70" xfId="0" applyNumberFormat="1" applyFont="1" applyBorder="1" applyAlignment="1">
      <alignment wrapText="1"/>
    </xf>
    <xf numFmtId="1" fontId="9" fillId="0" borderId="75" xfId="0" applyNumberFormat="1" applyFont="1" applyBorder="1" applyAlignment="1">
      <alignment horizontal="center" vertical="center" wrapText="1"/>
    </xf>
    <xf numFmtId="0" fontId="9" fillId="0" borderId="40" xfId="0" quotePrefix="1" applyFont="1" applyBorder="1" applyAlignment="1">
      <alignment horizontal="center" vertical="center" wrapText="1"/>
    </xf>
    <xf numFmtId="0" fontId="29" fillId="0" borderId="0" xfId="0" applyFont="1" applyAlignment="1">
      <alignment horizontal="left" vertical="center"/>
    </xf>
    <xf numFmtId="171" fontId="9" fillId="0" borderId="75" xfId="0" applyNumberFormat="1" applyFont="1" applyBorder="1"/>
    <xf numFmtId="43" fontId="29" fillId="0" borderId="13" xfId="0" applyNumberFormat="1" applyFont="1" applyBorder="1"/>
    <xf numFmtId="4" fontId="9" fillId="0" borderId="2" xfId="7" applyNumberFormat="1" applyFont="1" applyBorder="1" applyAlignment="1">
      <alignment horizontal="center" vertical="center"/>
    </xf>
    <xf numFmtId="0" fontId="28" fillId="0" borderId="2" xfId="0" applyFont="1" applyBorder="1" applyAlignment="1">
      <alignment horizontal="center" vertical="center"/>
    </xf>
    <xf numFmtId="0" fontId="28" fillId="0" borderId="1" xfId="0" applyFont="1" applyBorder="1" applyAlignment="1">
      <alignment horizontal="center" vertical="center"/>
    </xf>
    <xf numFmtId="0" fontId="28" fillId="0" borderId="5" xfId="0" applyFont="1" applyBorder="1" applyAlignment="1">
      <alignment horizontal="center" vertical="center"/>
    </xf>
    <xf numFmtId="0" fontId="28" fillId="0" borderId="7" xfId="0" applyFont="1" applyBorder="1" applyAlignment="1">
      <alignment horizontal="center" vertical="center"/>
    </xf>
    <xf numFmtId="0" fontId="28" fillId="0" borderId="49" xfId="0" applyFont="1" applyBorder="1" applyAlignment="1">
      <alignment horizontal="center" vertical="center"/>
    </xf>
    <xf numFmtId="0" fontId="28" fillId="0" borderId="113" xfId="0" applyFont="1" applyBorder="1" applyAlignment="1">
      <alignment horizontal="center" vertical="center"/>
    </xf>
    <xf numFmtId="0" fontId="28" fillId="0" borderId="21" xfId="0" applyFont="1" applyBorder="1" applyAlignment="1">
      <alignment horizontal="center" vertical="center"/>
    </xf>
    <xf numFmtId="0" fontId="28" fillId="0" borderId="32" xfId="0" applyFont="1" applyBorder="1" applyAlignment="1">
      <alignment horizontal="center" vertical="center"/>
    </xf>
    <xf numFmtId="3" fontId="9" fillId="0" borderId="2" xfId="7" applyNumberFormat="1" applyFont="1" applyBorder="1" applyAlignment="1">
      <alignment horizontal="left" vertical="center"/>
    </xf>
    <xf numFmtId="1" fontId="28" fillId="0" borderId="89" xfId="0" applyNumberFormat="1" applyFont="1" applyBorder="1" applyAlignment="1">
      <alignment horizontal="center" vertical="center"/>
    </xf>
    <xf numFmtId="1" fontId="28" fillId="0" borderId="75" xfId="0" applyNumberFormat="1" applyFont="1" applyBorder="1" applyAlignment="1">
      <alignment horizontal="center" vertical="center"/>
    </xf>
    <xf numFmtId="1" fontId="28" fillId="0" borderId="92" xfId="0" applyNumberFormat="1" applyFont="1" applyBorder="1" applyAlignment="1">
      <alignment horizontal="center" vertical="center"/>
    </xf>
    <xf numFmtId="1" fontId="28" fillId="0" borderId="90" xfId="0" applyNumberFormat="1" applyFont="1" applyBorder="1" applyAlignment="1">
      <alignment horizontal="center" vertical="center"/>
    </xf>
    <xf numFmtId="1" fontId="28" fillId="0" borderId="91" xfId="0" applyNumberFormat="1" applyFont="1" applyBorder="1" applyAlignment="1">
      <alignment horizontal="center" vertical="center"/>
    </xf>
    <xf numFmtId="1" fontId="28" fillId="0" borderId="93" xfId="0" applyNumberFormat="1" applyFont="1" applyBorder="1" applyAlignment="1">
      <alignment horizontal="center" vertical="center"/>
    </xf>
    <xf numFmtId="0" fontId="12" fillId="0" borderId="0" xfId="5" applyAlignment="1">
      <alignment horizontal="left"/>
    </xf>
    <xf numFmtId="0" fontId="28" fillId="0" borderId="23" xfId="0" applyFont="1" applyBorder="1" applyAlignment="1">
      <alignment horizontal="center" vertical="center"/>
    </xf>
    <xf numFmtId="0" fontId="28" fillId="0" borderId="12" xfId="0" applyFont="1" applyBorder="1" applyAlignment="1">
      <alignment horizontal="center" vertical="center"/>
    </xf>
    <xf numFmtId="0" fontId="28" fillId="0" borderId="119" xfId="0" applyFont="1" applyBorder="1" applyAlignment="1">
      <alignment horizontal="center" vertical="center"/>
    </xf>
    <xf numFmtId="0" fontId="28" fillId="0" borderId="123" xfId="0" applyFont="1" applyBorder="1" applyAlignment="1">
      <alignment horizontal="center" vertical="center"/>
    </xf>
    <xf numFmtId="0" fontId="28" fillId="0" borderId="124" xfId="0" applyFont="1" applyBorder="1" applyAlignment="1">
      <alignment horizontal="center" vertical="center"/>
    </xf>
    <xf numFmtId="0" fontId="28" fillId="0" borderId="129" xfId="0" applyFont="1" applyBorder="1" applyAlignment="1">
      <alignment horizontal="center" vertical="center"/>
    </xf>
    <xf numFmtId="0" fontId="28" fillId="0" borderId="13" xfId="0" applyFont="1" applyBorder="1" applyAlignment="1">
      <alignment horizontal="center" vertical="center"/>
    </xf>
    <xf numFmtId="0" fontId="28" fillId="0" borderId="130" xfId="0" applyFont="1" applyBorder="1" applyAlignment="1">
      <alignment horizontal="center" vertical="center"/>
    </xf>
    <xf numFmtId="0" fontId="28" fillId="0" borderId="78" xfId="0" applyFont="1" applyBorder="1" applyAlignment="1">
      <alignment horizontal="center" vertical="center"/>
    </xf>
    <xf numFmtId="0" fontId="28" fillId="0" borderId="131" xfId="0" applyFont="1" applyBorder="1" applyAlignment="1">
      <alignment horizontal="center" vertical="center"/>
    </xf>
    <xf numFmtId="1" fontId="28" fillId="0" borderId="74" xfId="0" applyNumberFormat="1" applyFont="1" applyBorder="1" applyAlignment="1">
      <alignment horizontal="center" vertical="center"/>
    </xf>
    <xf numFmtId="1" fontId="28" fillId="0" borderId="95" xfId="0" applyNumberFormat="1" applyFont="1" applyBorder="1" applyAlignment="1">
      <alignment horizontal="center" vertical="center"/>
    </xf>
    <xf numFmtId="0" fontId="28" fillId="0" borderId="175" xfId="0" applyFont="1" applyBorder="1" applyAlignment="1">
      <alignment horizontal="center" vertical="center"/>
    </xf>
    <xf numFmtId="2" fontId="28" fillId="0" borderId="109" xfId="0" applyNumberFormat="1" applyFont="1" applyBorder="1" applyAlignment="1">
      <alignment horizontal="center" vertical="center"/>
    </xf>
    <xf numFmtId="2" fontId="28" fillId="0" borderId="120" xfId="0" applyNumberFormat="1" applyFont="1" applyBorder="1" applyAlignment="1">
      <alignment horizontal="center" vertical="center"/>
    </xf>
    <xf numFmtId="2" fontId="28" fillId="0" borderId="121" xfId="0" applyNumberFormat="1" applyFont="1" applyBorder="1" applyAlignment="1">
      <alignment horizontal="center" vertical="center"/>
    </xf>
    <xf numFmtId="0" fontId="28" fillId="0" borderId="176" xfId="0" applyFont="1" applyBorder="1" applyAlignment="1">
      <alignment horizontal="center" vertical="center"/>
    </xf>
    <xf numFmtId="2" fontId="28" fillId="0" borderId="112" xfId="0" applyNumberFormat="1" applyFont="1" applyBorder="1" applyAlignment="1">
      <alignment horizontal="center" vertical="center"/>
    </xf>
    <xf numFmtId="2" fontId="28" fillId="0" borderId="122" xfId="0" applyNumberFormat="1" applyFont="1" applyBorder="1" applyAlignment="1">
      <alignment horizontal="center" vertical="center"/>
    </xf>
    <xf numFmtId="2" fontId="28" fillId="0" borderId="1" xfId="0" applyNumberFormat="1" applyFont="1" applyBorder="1" applyAlignment="1">
      <alignment horizontal="center" vertical="center"/>
    </xf>
    <xf numFmtId="2" fontId="28" fillId="0" borderId="5" xfId="0" applyNumberFormat="1" applyFont="1" applyBorder="1" applyAlignment="1">
      <alignment horizontal="center" vertical="center"/>
    </xf>
    <xf numFmtId="2" fontId="28" fillId="0" borderId="2" xfId="0" applyNumberFormat="1" applyFont="1" applyBorder="1" applyAlignment="1">
      <alignment horizontal="center" vertical="center"/>
    </xf>
    <xf numFmtId="2" fontId="28" fillId="0" borderId="7" xfId="0" applyNumberFormat="1" applyFont="1" applyBorder="1" applyAlignment="1">
      <alignment horizontal="center" vertical="center"/>
    </xf>
    <xf numFmtId="0" fontId="28" fillId="0" borderId="17" xfId="0" applyFont="1" applyBorder="1" applyAlignment="1">
      <alignment horizontal="center" vertical="center"/>
    </xf>
    <xf numFmtId="2" fontId="28" fillId="0" borderId="14" xfId="0" applyNumberFormat="1" applyFont="1" applyBorder="1" applyAlignment="1">
      <alignment horizontal="center" vertical="center"/>
    </xf>
    <xf numFmtId="2" fontId="28" fillId="0" borderId="177" xfId="0" applyNumberFormat="1" applyFont="1" applyBorder="1" applyAlignment="1">
      <alignment horizontal="center" vertical="center"/>
    </xf>
    <xf numFmtId="2" fontId="50" fillId="0" borderId="178" xfId="0" applyNumberFormat="1" applyFont="1" applyBorder="1" applyAlignment="1">
      <alignment horizontal="center" vertical="center"/>
    </xf>
    <xf numFmtId="2" fontId="50" fillId="0" borderId="179" xfId="0" applyNumberFormat="1" applyFont="1" applyBorder="1" applyAlignment="1">
      <alignment horizontal="center" vertical="center"/>
    </xf>
    <xf numFmtId="2" fontId="50" fillId="0" borderId="83" xfId="0" applyNumberFormat="1" applyFont="1" applyBorder="1" applyAlignment="1">
      <alignment horizontal="center" vertical="center"/>
    </xf>
    <xf numFmtId="2" fontId="50" fillId="0" borderId="180" xfId="0" applyNumberFormat="1" applyFont="1" applyBorder="1" applyAlignment="1">
      <alignment horizontal="center" vertical="center"/>
    </xf>
    <xf numFmtId="2" fontId="50" fillId="0" borderId="181" xfId="0" applyNumberFormat="1" applyFont="1" applyBorder="1" applyAlignment="1">
      <alignment horizontal="center" vertical="center"/>
    </xf>
    <xf numFmtId="2" fontId="50" fillId="0" borderId="182" xfId="0" applyNumberFormat="1" applyFont="1" applyBorder="1" applyAlignment="1">
      <alignment horizontal="center" vertical="center"/>
    </xf>
    <xf numFmtId="2" fontId="28" fillId="0" borderId="49" xfId="0" applyNumberFormat="1" applyFont="1" applyBorder="1" applyAlignment="1">
      <alignment horizontal="center" vertical="center"/>
    </xf>
    <xf numFmtId="2" fontId="28" fillId="0" borderId="113" xfId="0" applyNumberFormat="1" applyFont="1" applyBorder="1" applyAlignment="1">
      <alignment horizontal="center" vertical="center"/>
    </xf>
    <xf numFmtId="2" fontId="28" fillId="0" borderId="21" xfId="0" applyNumberFormat="1" applyFont="1" applyBorder="1" applyAlignment="1">
      <alignment horizontal="center" vertical="center"/>
    </xf>
    <xf numFmtId="2" fontId="28" fillId="0" borderId="32" xfId="0" applyNumberFormat="1" applyFont="1" applyBorder="1" applyAlignment="1">
      <alignment horizontal="center" vertical="center"/>
    </xf>
    <xf numFmtId="2" fontId="50" fillId="0" borderId="14" xfId="0" applyNumberFormat="1" applyFont="1" applyBorder="1" applyAlignment="1">
      <alignment horizontal="center" vertical="center"/>
    </xf>
    <xf numFmtId="2" fontId="50" fillId="0" borderId="2" xfId="0" applyNumberFormat="1" applyFont="1" applyBorder="1" applyAlignment="1">
      <alignment horizontal="center" vertical="center"/>
    </xf>
    <xf numFmtId="0" fontId="28" fillId="0" borderId="185" xfId="0" applyFont="1" applyBorder="1" applyAlignment="1">
      <alignment horizontal="center" vertical="center"/>
    </xf>
    <xf numFmtId="0" fontId="28" fillId="0" borderId="186" xfId="0" applyFont="1" applyBorder="1" applyAlignment="1">
      <alignment horizontal="center" vertical="center"/>
    </xf>
    <xf numFmtId="1" fontId="28" fillId="0" borderId="109" xfId="0" applyNumberFormat="1" applyFont="1" applyBorder="1" applyAlignment="1">
      <alignment horizontal="center" vertical="center"/>
    </xf>
    <xf numFmtId="1" fontId="28" fillId="0" borderId="120" xfId="0" applyNumberFormat="1" applyFont="1" applyBorder="1" applyAlignment="1">
      <alignment horizontal="center" vertical="center"/>
    </xf>
    <xf numFmtId="1" fontId="28" fillId="0" borderId="121" xfId="0" applyNumberFormat="1" applyFont="1" applyBorder="1" applyAlignment="1">
      <alignment horizontal="center" vertical="center"/>
    </xf>
    <xf numFmtId="1" fontId="28" fillId="0" borderId="112" xfId="0" applyNumberFormat="1" applyFont="1" applyBorder="1" applyAlignment="1">
      <alignment horizontal="center" vertical="center"/>
    </xf>
    <xf numFmtId="1" fontId="28" fillId="0" borderId="122" xfId="0" applyNumberFormat="1" applyFont="1" applyBorder="1" applyAlignment="1">
      <alignment horizontal="center" vertical="center"/>
    </xf>
    <xf numFmtId="1" fontId="28" fillId="0" borderId="128" xfId="0" applyNumberFormat="1" applyFont="1" applyBorder="1" applyAlignment="1">
      <alignment horizontal="center" vertical="center"/>
    </xf>
    <xf numFmtId="1" fontId="28" fillId="0" borderId="127" xfId="0" applyNumberFormat="1" applyFont="1" applyBorder="1" applyAlignment="1">
      <alignment horizontal="center" vertical="center"/>
    </xf>
    <xf numFmtId="0" fontId="28" fillId="0" borderId="187" xfId="0" applyFont="1" applyBorder="1" applyAlignment="1">
      <alignment horizontal="center" vertical="center"/>
    </xf>
    <xf numFmtId="0" fontId="28" fillId="0" borderId="120" xfId="0" applyFont="1" applyBorder="1" applyAlignment="1">
      <alignment horizontal="center" vertical="center"/>
    </xf>
    <xf numFmtId="0" fontId="28" fillId="0" borderId="121" xfId="0" applyFont="1" applyBorder="1" applyAlignment="1">
      <alignment horizontal="center" vertical="center"/>
    </xf>
    <xf numFmtId="0" fontId="28" fillId="0" borderId="127" xfId="0" applyFont="1" applyBorder="1" applyAlignment="1">
      <alignment horizontal="center" vertical="center"/>
    </xf>
    <xf numFmtId="0" fontId="28" fillId="0" borderId="128" xfId="0" applyFont="1" applyBorder="1" applyAlignment="1">
      <alignment horizontal="center" vertical="center"/>
    </xf>
    <xf numFmtId="0" fontId="28" fillId="0" borderId="122" xfId="0" applyFont="1" applyBorder="1" applyAlignment="1">
      <alignment horizontal="center" vertical="center"/>
    </xf>
    <xf numFmtId="2" fontId="1" fillId="7" borderId="40" xfId="0" applyNumberFormat="1" applyFont="1" applyFill="1" applyBorder="1" applyAlignment="1">
      <alignment horizontal="center" vertical="center"/>
    </xf>
    <xf numFmtId="0" fontId="9" fillId="7" borderId="40" xfId="0" applyFont="1" applyFill="1" applyBorder="1" applyAlignment="1">
      <alignment horizontal="left" vertical="center"/>
    </xf>
    <xf numFmtId="0" fontId="9" fillId="3" borderId="40" xfId="0" applyFont="1" applyFill="1" applyBorder="1" applyAlignment="1">
      <alignment horizontal="left" vertical="center"/>
    </xf>
    <xf numFmtId="0" fontId="9" fillId="15" borderId="40" xfId="0" applyFont="1" applyFill="1" applyBorder="1" applyAlignment="1">
      <alignment horizontal="left" vertical="center"/>
    </xf>
    <xf numFmtId="0" fontId="9" fillId="7" borderId="62" xfId="0" applyFont="1" applyFill="1" applyBorder="1" applyAlignment="1">
      <alignment horizontal="left" vertical="center"/>
    </xf>
    <xf numFmtId="0" fontId="9" fillId="3" borderId="62" xfId="0" applyFont="1" applyFill="1" applyBorder="1" applyAlignment="1">
      <alignment horizontal="left" vertical="center"/>
    </xf>
    <xf numFmtId="0" fontId="9" fillId="15" borderId="62" xfId="0" applyFont="1" applyFill="1" applyBorder="1" applyAlignment="1">
      <alignment horizontal="left" vertical="center"/>
    </xf>
    <xf numFmtId="0" fontId="1" fillId="15" borderId="40" xfId="0" applyFont="1" applyFill="1" applyBorder="1" applyAlignment="1">
      <alignment horizontal="left" vertical="center"/>
    </xf>
    <xf numFmtId="0" fontId="28" fillId="0" borderId="0" xfId="0" applyFont="1" applyAlignment="1">
      <alignment vertical="center"/>
    </xf>
    <xf numFmtId="0" fontId="29" fillId="0" borderId="75" xfId="0" applyFont="1" applyBorder="1" applyAlignment="1">
      <alignment horizontal="center" vertical="center"/>
    </xf>
    <xf numFmtId="0" fontId="11" fillId="3" borderId="0" xfId="0" applyFont="1" applyFill="1" applyAlignment="1">
      <alignment horizontal="left" vertical="center" wrapText="1"/>
    </xf>
    <xf numFmtId="0" fontId="31" fillId="12" borderId="0" xfId="0" applyFont="1" applyFill="1" applyAlignment="1">
      <alignment horizontal="left" wrapText="1"/>
    </xf>
    <xf numFmtId="166" fontId="9" fillId="0" borderId="13" xfId="6" applyNumberFormat="1" applyFont="1" applyFill="1" applyBorder="1" applyAlignment="1">
      <alignment horizontal="center"/>
    </xf>
    <xf numFmtId="166" fontId="9" fillId="0" borderId="3" xfId="6" applyNumberFormat="1" applyFont="1" applyFill="1" applyBorder="1" applyAlignment="1">
      <alignment horizontal="center"/>
    </xf>
    <xf numFmtId="0" fontId="31" fillId="10" borderId="2" xfId="0" applyFont="1" applyFill="1" applyBorder="1" applyAlignment="1">
      <alignment horizontal="center" vertical="center"/>
    </xf>
    <xf numFmtId="0" fontId="9" fillId="0" borderId="2" xfId="4" applyBorder="1" applyAlignment="1">
      <alignment horizontal="center" vertical="center"/>
    </xf>
    <xf numFmtId="3" fontId="9" fillId="0" borderId="3" xfId="6" applyNumberFormat="1" applyFont="1" applyFill="1" applyBorder="1" applyAlignment="1">
      <alignment horizontal="center"/>
    </xf>
    <xf numFmtId="165" fontId="29" fillId="0" borderId="2" xfId="0" applyNumberFormat="1" applyFont="1" applyBorder="1" applyAlignment="1">
      <alignment horizontal="center" vertical="center"/>
    </xf>
    <xf numFmtId="0" fontId="23" fillId="17" borderId="2" xfId="0" applyFont="1" applyFill="1" applyBorder="1" applyAlignment="1">
      <alignment horizontal="center" vertical="center" wrapText="1"/>
    </xf>
    <xf numFmtId="170" fontId="9" fillId="0" borderId="2" xfId="6" applyNumberFormat="1" applyFont="1" applyBorder="1" applyAlignment="1">
      <alignment horizontal="center" vertical="center"/>
    </xf>
    <xf numFmtId="0" fontId="31" fillId="10" borderId="2" xfId="0" applyFont="1" applyFill="1" applyBorder="1" applyAlignment="1">
      <alignment horizontal="center" vertical="center" wrapText="1"/>
    </xf>
    <xf numFmtId="0" fontId="23" fillId="20" borderId="2" xfId="0" applyFont="1" applyFill="1" applyBorder="1" applyAlignment="1">
      <alignment horizontal="center" vertical="center" wrapText="1"/>
    </xf>
    <xf numFmtId="169" fontId="9" fillId="0" borderId="2" xfId="0" applyNumberFormat="1" applyFont="1" applyBorder="1"/>
    <xf numFmtId="0" fontId="9" fillId="0" borderId="0" xfId="0" applyFont="1" applyAlignment="1">
      <alignment horizontal="left" vertical="center" wrapText="1"/>
    </xf>
    <xf numFmtId="0" fontId="9" fillId="0" borderId="0" xfId="0" applyFont="1" applyAlignment="1">
      <alignment vertical="center" wrapText="1"/>
    </xf>
    <xf numFmtId="0" fontId="29" fillId="0" borderId="0" xfId="0" applyFont="1" applyAlignment="1">
      <alignment horizontal="left"/>
    </xf>
    <xf numFmtId="0" fontId="9" fillId="0" borderId="0" xfId="0" applyFont="1" applyAlignment="1">
      <alignment horizontal="left" vertical="center"/>
    </xf>
    <xf numFmtId="0" fontId="25" fillId="0" borderId="0" xfId="0" applyFont="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wrapText="1"/>
    </xf>
    <xf numFmtId="0" fontId="16" fillId="14" borderId="0" xfId="0" applyFont="1" applyFill="1" applyAlignment="1">
      <alignment horizontal="center" vertical="center" wrapText="1"/>
    </xf>
    <xf numFmtId="0" fontId="9" fillId="0" borderId="40" xfId="0" applyFont="1" applyBorder="1" applyAlignment="1">
      <alignment horizontal="center" vertical="center" wrapText="1"/>
    </xf>
    <xf numFmtId="0" fontId="9" fillId="0" borderId="40" xfId="0" applyFont="1" applyBorder="1" applyAlignment="1">
      <alignment horizontal="center" vertical="center"/>
    </xf>
    <xf numFmtId="0" fontId="1" fillId="0" borderId="40" xfId="0" quotePrefix="1" applyFont="1" applyBorder="1" applyAlignment="1">
      <alignment horizontal="center" vertical="center" wrapText="1"/>
    </xf>
    <xf numFmtId="0" fontId="9" fillId="0" borderId="75" xfId="0" applyFont="1" applyBorder="1" applyAlignment="1">
      <alignment horizontal="center" vertical="center"/>
    </xf>
    <xf numFmtId="0" fontId="9" fillId="0" borderId="14" xfId="0" applyFont="1" applyBorder="1" applyAlignment="1">
      <alignment horizontal="center" vertical="center"/>
    </xf>
    <xf numFmtId="0" fontId="1" fillId="0" borderId="40" xfId="0" applyFont="1" applyBorder="1" applyAlignment="1">
      <alignment horizontal="center" vertical="center" wrapText="1"/>
    </xf>
    <xf numFmtId="0" fontId="9" fillId="0" borderId="33" xfId="0" applyFont="1" applyBorder="1" applyAlignment="1">
      <alignment horizontal="center" vertical="center" wrapText="1"/>
    </xf>
    <xf numFmtId="0" fontId="9" fillId="0" borderId="35" xfId="0" applyFont="1" applyBorder="1" applyAlignment="1">
      <alignment horizontal="center" vertical="center"/>
    </xf>
    <xf numFmtId="0" fontId="9" fillId="0" borderId="0" xfId="0" applyFont="1" applyAlignment="1">
      <alignment horizontal="left" vertical="top" wrapText="1"/>
    </xf>
    <xf numFmtId="0" fontId="9" fillId="0" borderId="75" xfId="0" applyFont="1" applyBorder="1" applyAlignment="1">
      <alignment horizontal="center" vertical="center" wrapText="1"/>
    </xf>
    <xf numFmtId="0" fontId="31" fillId="10" borderId="75" xfId="0" applyFont="1" applyFill="1" applyBorder="1" applyAlignment="1">
      <alignment horizontal="center" vertical="center" wrapText="1"/>
    </xf>
    <xf numFmtId="0" fontId="1" fillId="0" borderId="0" xfId="0" applyFont="1" applyAlignment="1">
      <alignment horizontal="left" vertical="center" wrapText="1"/>
    </xf>
    <xf numFmtId="0" fontId="11" fillId="10" borderId="75" xfId="0" applyFont="1" applyFill="1" applyBorder="1" applyAlignment="1">
      <alignment horizontal="center" vertical="center" wrapText="1"/>
    </xf>
    <xf numFmtId="0" fontId="9" fillId="0" borderId="0" xfId="0" applyFont="1" applyAlignment="1">
      <alignment horizontal="left"/>
    </xf>
    <xf numFmtId="0" fontId="11" fillId="0" borderId="0" xfId="0" applyFont="1" applyAlignment="1">
      <alignment horizontal="left" vertical="center"/>
    </xf>
    <xf numFmtId="0" fontId="9" fillId="0" borderId="0" xfId="0" applyFont="1" applyAlignment="1">
      <alignment horizontal="center"/>
    </xf>
    <xf numFmtId="0" fontId="28" fillId="0" borderId="109" xfId="0" applyFont="1" applyBorder="1" applyAlignment="1">
      <alignment horizontal="center" vertical="center"/>
    </xf>
    <xf numFmtId="0" fontId="28" fillId="0" borderId="75" xfId="0" applyFont="1" applyBorder="1" applyAlignment="1">
      <alignment horizontal="center" vertical="center"/>
    </xf>
    <xf numFmtId="0" fontId="28" fillId="0" borderId="92" xfId="0" applyFont="1" applyBorder="1" applyAlignment="1">
      <alignment horizontal="center" vertical="center"/>
    </xf>
    <xf numFmtId="0" fontId="28" fillId="0" borderId="112" xfId="0" applyFont="1" applyBorder="1" applyAlignment="1">
      <alignment horizontal="center" vertical="center"/>
    </xf>
    <xf numFmtId="0" fontId="11" fillId="10" borderId="14" xfId="0" applyFont="1" applyFill="1" applyBorder="1" applyAlignment="1">
      <alignment horizontal="center" vertical="center"/>
    </xf>
    <xf numFmtId="0" fontId="28" fillId="0" borderId="74" xfId="0" applyFont="1" applyBorder="1" applyAlignment="1">
      <alignment horizontal="center" vertical="center"/>
    </xf>
    <xf numFmtId="0" fontId="23" fillId="10" borderId="2" xfId="0" applyFont="1" applyFill="1" applyBorder="1" applyAlignment="1">
      <alignment horizontal="center" vertical="center" wrapText="1"/>
    </xf>
    <xf numFmtId="0" fontId="28" fillId="0" borderId="42" xfId="0" applyFont="1" applyBorder="1" applyAlignment="1">
      <alignment horizontal="center" vertical="center"/>
    </xf>
    <xf numFmtId="0" fontId="28" fillId="0" borderId="40" xfId="0" applyFont="1" applyBorder="1" applyAlignment="1">
      <alignment horizontal="center" vertical="center"/>
    </xf>
    <xf numFmtId="0" fontId="28" fillId="0" borderId="47" xfId="0" applyFont="1" applyBorder="1" applyAlignment="1">
      <alignment horizontal="center" vertical="center"/>
    </xf>
    <xf numFmtId="0" fontId="29" fillId="0" borderId="2" xfId="0" applyFont="1" applyBorder="1" applyAlignment="1">
      <alignment horizontal="center" vertical="center"/>
    </xf>
    <xf numFmtId="0" fontId="9" fillId="0" borderId="2" xfId="0" applyFont="1" applyBorder="1" applyAlignment="1">
      <alignment horizontal="center" vertical="center"/>
    </xf>
    <xf numFmtId="3" fontId="9" fillId="0" borderId="2" xfId="7" applyNumberFormat="1" applyFont="1" applyFill="1" applyBorder="1" applyAlignment="1">
      <alignment horizontal="left" vertical="center"/>
    </xf>
    <xf numFmtId="3" fontId="9" fillId="0" borderId="2" xfId="7" applyNumberFormat="1" applyFont="1" applyFill="1" applyBorder="1" applyAlignment="1">
      <alignment horizontal="center" vertical="center"/>
    </xf>
    <xf numFmtId="1" fontId="1" fillId="0" borderId="2" xfId="0" applyNumberFormat="1" applyFont="1" applyFill="1" applyBorder="1" applyAlignment="1">
      <alignment horizontal="center" vertical="center"/>
    </xf>
    <xf numFmtId="0" fontId="14" fillId="0" borderId="2" xfId="0" applyFont="1" applyFill="1" applyBorder="1" applyAlignment="1">
      <alignment horizontal="center" vertical="center" wrapText="1"/>
    </xf>
    <xf numFmtId="166" fontId="9" fillId="0" borderId="2" xfId="7" applyNumberFormat="1" applyFont="1" applyFill="1" applyBorder="1" applyAlignment="1">
      <alignment horizontal="center" vertical="center"/>
    </xf>
    <xf numFmtId="9" fontId="14" fillId="0" borderId="2" xfId="3" applyNumberFormat="1" applyFont="1" applyFill="1" applyBorder="1" applyAlignment="1">
      <alignment horizontal="center" vertical="top" wrapText="1"/>
    </xf>
    <xf numFmtId="1" fontId="1" fillId="0" borderId="2" xfId="7" applyNumberFormat="1" applyFont="1" applyFill="1" applyBorder="1" applyAlignment="1">
      <alignment horizontal="center" vertical="center"/>
    </xf>
    <xf numFmtId="0" fontId="20" fillId="0" borderId="0" xfId="0" applyFont="1" applyAlignment="1">
      <alignment vertical="center" wrapText="1"/>
    </xf>
    <xf numFmtId="0" fontId="9" fillId="0" borderId="0" xfId="0" applyFont="1" applyAlignment="1">
      <alignment horizontal="left" vertical="center"/>
    </xf>
    <xf numFmtId="0" fontId="16" fillId="14" borderId="0" xfId="0" applyFont="1" applyFill="1" applyAlignment="1">
      <alignment horizontal="center" vertical="center"/>
    </xf>
    <xf numFmtId="0" fontId="9" fillId="0" borderId="0" xfId="0" applyFont="1" applyAlignment="1">
      <alignment horizontal="left" vertical="center" wrapText="1"/>
    </xf>
    <xf numFmtId="0" fontId="9" fillId="0" borderId="0" xfId="0" applyFont="1" applyAlignment="1">
      <alignment vertical="center" wrapText="1"/>
    </xf>
    <xf numFmtId="0" fontId="29" fillId="0" borderId="0" xfId="0" applyFont="1" applyAlignment="1">
      <alignment horizontal="left"/>
    </xf>
    <xf numFmtId="0" fontId="15" fillId="0" borderId="2" xfId="0" applyFont="1" applyBorder="1" applyAlignment="1">
      <alignment horizontal="center"/>
    </xf>
    <xf numFmtId="0" fontId="15" fillId="0" borderId="3" xfId="0" applyFont="1" applyBorder="1" applyAlignment="1">
      <alignment horizontal="center"/>
    </xf>
    <xf numFmtId="0" fontId="15" fillId="0" borderId="13" xfId="0" applyFont="1" applyBorder="1" applyAlignment="1">
      <alignment horizontal="center"/>
    </xf>
    <xf numFmtId="0" fontId="22" fillId="0" borderId="23" xfId="0" applyFont="1" applyBorder="1" applyAlignment="1">
      <alignment horizontal="left" vertical="center"/>
    </xf>
    <xf numFmtId="0" fontId="16" fillId="14" borderId="3" xfId="1" applyFont="1" applyFill="1" applyBorder="1" applyAlignment="1">
      <alignment horizontal="center" vertical="center" wrapText="1"/>
    </xf>
    <xf numFmtId="0" fontId="16" fillId="14" borderId="12" xfId="1" applyFont="1" applyFill="1" applyBorder="1" applyAlignment="1">
      <alignment horizontal="center" vertical="center" wrapText="1"/>
    </xf>
    <xf numFmtId="0" fontId="16" fillId="14" borderId="23" xfId="0" applyFont="1" applyFill="1" applyBorder="1" applyAlignment="1">
      <alignment horizontal="center" vertical="center"/>
    </xf>
    <xf numFmtId="0" fontId="25" fillId="0" borderId="0" xfId="0" applyFont="1" applyAlignment="1">
      <alignment horizontal="center" vertical="center" wrapText="1"/>
    </xf>
    <xf numFmtId="0" fontId="9" fillId="0" borderId="0" xfId="0" applyFont="1" applyAlignment="1">
      <alignment horizontal="center" vertical="center" wrapText="1"/>
    </xf>
    <xf numFmtId="0" fontId="21" fillId="0" borderId="0" xfId="0" applyFont="1" applyAlignment="1">
      <alignment horizontal="center" vertical="center"/>
    </xf>
    <xf numFmtId="0" fontId="9" fillId="0" borderId="14" xfId="0" applyFont="1" applyBorder="1" applyAlignment="1">
      <alignment horizontal="center" vertical="center"/>
    </xf>
    <xf numFmtId="0" fontId="9" fillId="0" borderId="21" xfId="0" applyFont="1" applyBorder="1" applyAlignment="1">
      <alignment horizontal="center" vertical="center"/>
    </xf>
    <xf numFmtId="0" fontId="9" fillId="0" borderId="76" xfId="0" applyFont="1" applyBorder="1" applyAlignment="1">
      <alignment horizontal="center" vertical="center"/>
    </xf>
    <xf numFmtId="0" fontId="9" fillId="0" borderId="74" xfId="0" applyFont="1" applyBorder="1" applyAlignment="1">
      <alignment horizontal="center" vertical="center"/>
    </xf>
    <xf numFmtId="0" fontId="42" fillId="16" borderId="75" xfId="0" applyFont="1" applyFill="1" applyBorder="1" applyAlignment="1">
      <alignment horizontal="center" vertical="center"/>
    </xf>
    <xf numFmtId="0" fontId="9" fillId="0" borderId="40" xfId="0" applyFont="1" applyBorder="1" applyAlignment="1">
      <alignment horizontal="center" vertical="center" wrapText="1"/>
    </xf>
    <xf numFmtId="0" fontId="16" fillId="14" borderId="0" xfId="0" applyFont="1" applyFill="1" applyAlignment="1">
      <alignment horizontal="center" vertical="center" wrapText="1"/>
    </xf>
    <xf numFmtId="0" fontId="9" fillId="0" borderId="54" xfId="0" quotePrefix="1" applyFont="1" applyBorder="1" applyAlignment="1">
      <alignment horizontal="center" vertical="center"/>
    </xf>
    <xf numFmtId="0" fontId="29" fillId="0" borderId="57" xfId="0" applyFont="1" applyBorder="1" applyAlignment="1">
      <alignment horizontal="center" vertical="center" wrapText="1"/>
    </xf>
    <xf numFmtId="0" fontId="1" fillId="0" borderId="40" xfId="0" applyFont="1" applyBorder="1" applyAlignment="1">
      <alignment horizontal="center" vertical="center" wrapText="1"/>
    </xf>
    <xf numFmtId="0" fontId="9" fillId="0" borderId="40" xfId="0" applyFont="1" applyBorder="1" applyAlignment="1">
      <alignment horizontal="center" vertical="center"/>
    </xf>
    <xf numFmtId="0" fontId="11" fillId="0" borderId="0" xfId="0" applyFont="1" applyAlignment="1">
      <alignment horizontal="center" vertical="center" wrapText="1"/>
    </xf>
    <xf numFmtId="0" fontId="23" fillId="0" borderId="0" xfId="0" applyFont="1" applyAlignment="1">
      <alignment horizontal="center" vertical="center" wrapText="1"/>
    </xf>
    <xf numFmtId="0" fontId="9" fillId="0" borderId="36" xfId="0" applyFont="1" applyBorder="1" applyAlignment="1">
      <alignment horizontal="center" vertical="center"/>
    </xf>
    <xf numFmtId="0" fontId="9" fillId="0" borderId="56" xfId="0" applyFont="1" applyBorder="1" applyAlignment="1">
      <alignment horizontal="center" vertical="center"/>
    </xf>
    <xf numFmtId="0" fontId="29" fillId="0" borderId="58" xfId="0" applyFont="1" applyBorder="1" applyAlignment="1">
      <alignment horizontal="center" vertical="center" wrapText="1"/>
    </xf>
    <xf numFmtId="0" fontId="1" fillId="0" borderId="40" xfId="0" quotePrefix="1" applyFont="1" applyBorder="1" applyAlignment="1">
      <alignment horizontal="center" vertical="center" wrapText="1"/>
    </xf>
    <xf numFmtId="0" fontId="44" fillId="6" borderId="75" xfId="0" applyFont="1" applyFill="1" applyBorder="1" applyAlignment="1">
      <alignment horizontal="center" vertical="center" wrapText="1"/>
    </xf>
    <xf numFmtId="0" fontId="9" fillId="0" borderId="75" xfId="0" applyFont="1" applyBorder="1" applyAlignment="1">
      <alignment horizontal="center" vertical="center"/>
    </xf>
    <xf numFmtId="0" fontId="10" fillId="0" borderId="0" xfId="0" applyFont="1" applyAlignment="1">
      <alignment horizontal="center" vertical="center"/>
    </xf>
    <xf numFmtId="0" fontId="0" fillId="9" borderId="75" xfId="0"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13" fillId="9" borderId="75" xfId="0" applyFont="1" applyFill="1" applyBorder="1" applyAlignment="1">
      <alignment horizontal="center" vertical="center"/>
    </xf>
    <xf numFmtId="0" fontId="13" fillId="0" borderId="0" xfId="0" applyFont="1" applyAlignment="1">
      <alignment horizontal="center" vertical="center"/>
    </xf>
    <xf numFmtId="0" fontId="9" fillId="0" borderId="0" xfId="0" applyFont="1" applyAlignment="1">
      <alignment horizontal="left" wrapText="1"/>
    </xf>
    <xf numFmtId="0" fontId="9" fillId="0" borderId="0" xfId="0" applyFont="1" applyAlignment="1">
      <alignment horizontal="left" vertical="top" wrapText="1"/>
    </xf>
    <xf numFmtId="0" fontId="12" fillId="0" borderId="0" xfId="5" applyBorder="1" applyAlignment="1">
      <alignment horizontal="left"/>
    </xf>
    <xf numFmtId="0" fontId="9" fillId="0" borderId="68" xfId="0" applyFont="1" applyBorder="1" applyAlignment="1">
      <alignment horizontal="center" vertical="center"/>
    </xf>
    <xf numFmtId="0" fontId="9" fillId="0" borderId="69" xfId="0" applyFont="1" applyBorder="1" applyAlignment="1">
      <alignment horizontal="center" vertical="center"/>
    </xf>
    <xf numFmtId="0" fontId="9" fillId="0" borderId="70" xfId="0" applyFont="1" applyBorder="1" applyAlignment="1">
      <alignment horizontal="center" vertical="center"/>
    </xf>
    <xf numFmtId="0" fontId="9" fillId="0" borderId="68" xfId="0" applyFont="1" applyBorder="1" applyAlignment="1">
      <alignment horizontal="left" vertical="center" wrapText="1"/>
    </xf>
    <xf numFmtId="0" fontId="9" fillId="0" borderId="70" xfId="0" applyFont="1" applyBorder="1" applyAlignment="1">
      <alignment horizontal="left" vertical="center" wrapText="1"/>
    </xf>
    <xf numFmtId="0" fontId="9" fillId="0" borderId="68" xfId="0" applyFont="1" applyBorder="1" applyAlignment="1">
      <alignment horizontal="center" vertical="center" wrapText="1"/>
    </xf>
    <xf numFmtId="0" fontId="9" fillId="0" borderId="70" xfId="0" applyFont="1" applyBorder="1" applyAlignment="1">
      <alignment horizontal="center" vertical="center" wrapText="1"/>
    </xf>
    <xf numFmtId="0" fontId="1" fillId="0" borderId="68" xfId="0" applyFont="1" applyBorder="1" applyAlignment="1">
      <alignment horizontal="center" vertical="center" wrapText="1"/>
    </xf>
    <xf numFmtId="0" fontId="1" fillId="0" borderId="69" xfId="0" applyFont="1" applyBorder="1" applyAlignment="1">
      <alignment horizontal="center" vertical="center" wrapText="1"/>
    </xf>
    <xf numFmtId="0" fontId="1" fillId="0" borderId="70" xfId="0" applyFont="1" applyBorder="1" applyAlignment="1">
      <alignment horizontal="center" vertical="center" wrapText="1"/>
    </xf>
    <xf numFmtId="0" fontId="11" fillId="10" borderId="71" xfId="0" applyFont="1" applyFill="1" applyBorder="1" applyAlignment="1">
      <alignment horizontal="center" vertical="center" wrapText="1"/>
    </xf>
    <xf numFmtId="0" fontId="11" fillId="10" borderId="72" xfId="0" applyFont="1" applyFill="1" applyBorder="1" applyAlignment="1">
      <alignment horizontal="center" vertical="center" wrapText="1"/>
    </xf>
    <xf numFmtId="0" fontId="11" fillId="10" borderId="73" xfId="0" applyFont="1" applyFill="1" applyBorder="1" applyAlignment="1">
      <alignment horizontal="center" vertical="center" wrapText="1"/>
    </xf>
    <xf numFmtId="0" fontId="9" fillId="0" borderId="34" xfId="0" applyFont="1" applyBorder="1" applyAlignment="1">
      <alignment horizontal="center" vertical="center"/>
    </xf>
    <xf numFmtId="0" fontId="9" fillId="0" borderId="35" xfId="0" applyFont="1" applyBorder="1" applyAlignment="1">
      <alignment horizontal="center" vertical="center"/>
    </xf>
    <xf numFmtId="0" fontId="16" fillId="14" borderId="50" xfId="0" applyFont="1" applyFill="1" applyBorder="1" applyAlignment="1">
      <alignment horizontal="center" vertical="center"/>
    </xf>
    <xf numFmtId="0" fontId="9" fillId="0" borderId="69" xfId="0" applyFont="1" applyBorder="1" applyAlignment="1">
      <alignment horizontal="center" vertical="center" wrapText="1"/>
    </xf>
    <xf numFmtId="0" fontId="1" fillId="0" borderId="33" xfId="0" applyFont="1" applyBorder="1" applyAlignment="1">
      <alignment horizontal="center" vertical="center" wrapText="1"/>
    </xf>
    <xf numFmtId="0" fontId="9" fillId="0" borderId="33" xfId="0" applyFont="1" applyBorder="1" applyAlignment="1">
      <alignment horizontal="center" vertical="center" wrapText="1"/>
    </xf>
    <xf numFmtId="0" fontId="0" fillId="0" borderId="20" xfId="0" applyBorder="1" applyAlignment="1">
      <alignment horizontal="center" vertical="center"/>
    </xf>
    <xf numFmtId="0" fontId="39" fillId="0" borderId="0" xfId="0" applyFont="1" applyAlignment="1">
      <alignment horizontal="left" vertical="center" wrapText="1"/>
    </xf>
    <xf numFmtId="0" fontId="11" fillId="2" borderId="0" xfId="0" applyFont="1" applyFill="1" applyAlignment="1">
      <alignment horizontal="left" vertic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9" fillId="0" borderId="64" xfId="0" applyFont="1" applyBorder="1" applyAlignment="1">
      <alignment horizontal="center" vertical="center"/>
    </xf>
    <xf numFmtId="0" fontId="9" fillId="0" borderId="51" xfId="0" applyFont="1" applyBorder="1" applyAlignment="1">
      <alignment horizontal="center" vertical="center"/>
    </xf>
    <xf numFmtId="0" fontId="9" fillId="0" borderId="99" xfId="0" applyFont="1" applyBorder="1" applyAlignment="1">
      <alignment horizontal="center" vertical="center"/>
    </xf>
    <xf numFmtId="0" fontId="31" fillId="0" borderId="0" xfId="0" applyFont="1" applyAlignment="1">
      <alignment horizontal="center"/>
    </xf>
    <xf numFmtId="0" fontId="16" fillId="14" borderId="78" xfId="0" applyFont="1" applyFill="1" applyBorder="1" applyAlignment="1">
      <alignment horizontal="center" vertical="center" wrapText="1"/>
    </xf>
    <xf numFmtId="0" fontId="9" fillId="0" borderId="75" xfId="0" applyFont="1" applyBorder="1" applyAlignment="1">
      <alignment horizontal="center" vertical="center" wrapText="1"/>
    </xf>
    <xf numFmtId="0" fontId="1" fillId="0" borderId="83" xfId="0" applyFont="1" applyBorder="1" applyAlignment="1">
      <alignment horizontal="left" vertical="center" wrapText="1"/>
    </xf>
    <xf numFmtId="0" fontId="1" fillId="0" borderId="83" xfId="0" applyFont="1" applyBorder="1" applyAlignment="1">
      <alignment horizontal="left" vertical="center"/>
    </xf>
    <xf numFmtId="0" fontId="16" fillId="14" borderId="40" xfId="0" applyFont="1" applyFill="1" applyBorder="1" applyAlignment="1">
      <alignment horizontal="center" vertical="center" wrapText="1"/>
    </xf>
    <xf numFmtId="0" fontId="23" fillId="17" borderId="102" xfId="0" applyFont="1" applyFill="1" applyBorder="1" applyAlignment="1">
      <alignment horizontal="center" vertical="center" wrapText="1"/>
    </xf>
    <xf numFmtId="0" fontId="23" fillId="17" borderId="103" xfId="0" applyFont="1" applyFill="1" applyBorder="1" applyAlignment="1">
      <alignment horizontal="center" vertical="center" wrapText="1"/>
    </xf>
    <xf numFmtId="0" fontId="9" fillId="11" borderId="75" xfId="0" applyFont="1" applyFill="1" applyBorder="1" applyAlignment="1">
      <alignment horizontal="left" vertical="center"/>
    </xf>
    <xf numFmtId="0" fontId="16" fillId="14" borderId="75" xfId="0" applyFont="1" applyFill="1" applyBorder="1" applyAlignment="1">
      <alignment horizontal="center" vertical="center"/>
    </xf>
    <xf numFmtId="0" fontId="31" fillId="10" borderId="75" xfId="0" applyFont="1" applyFill="1" applyBorder="1" applyAlignment="1">
      <alignment horizontal="center" vertical="center" wrapText="1"/>
    </xf>
    <xf numFmtId="0" fontId="1" fillId="0" borderId="75" xfId="0" applyFont="1" applyBorder="1" applyAlignment="1">
      <alignment horizontal="center" vertical="center" wrapText="1"/>
    </xf>
    <xf numFmtId="0" fontId="1" fillId="0" borderId="0" xfId="0" applyFont="1" applyAlignment="1">
      <alignment horizontal="left" vertical="center" wrapText="1"/>
    </xf>
    <xf numFmtId="0" fontId="16" fillId="14" borderId="75" xfId="0" applyFont="1" applyFill="1" applyBorder="1" applyAlignment="1">
      <alignment horizontal="center" vertical="center" wrapText="1"/>
    </xf>
    <xf numFmtId="0" fontId="11" fillId="10" borderId="75" xfId="0" applyFont="1" applyFill="1" applyBorder="1" applyAlignment="1">
      <alignment horizontal="left" vertical="center"/>
    </xf>
    <xf numFmtId="0" fontId="11" fillId="10" borderId="75" xfId="0" applyFont="1" applyFill="1" applyBorder="1" applyAlignment="1">
      <alignment horizontal="center" vertical="center" wrapText="1"/>
    </xf>
    <xf numFmtId="0" fontId="16" fillId="14" borderId="101" xfId="0" applyFont="1" applyFill="1" applyBorder="1" applyAlignment="1">
      <alignment horizontal="center" vertical="center"/>
    </xf>
    <xf numFmtId="0" fontId="16" fillId="14" borderId="78" xfId="0" applyFont="1" applyFill="1" applyBorder="1" applyAlignment="1">
      <alignment horizontal="center" vertical="center"/>
    </xf>
    <xf numFmtId="0" fontId="21" fillId="14" borderId="0" xfId="0" applyFont="1" applyFill="1" applyAlignment="1">
      <alignment horizontal="center" vertical="center" wrapText="1"/>
    </xf>
    <xf numFmtId="0" fontId="21" fillId="14" borderId="2" xfId="0" applyFont="1" applyFill="1" applyBorder="1" applyAlignment="1">
      <alignment horizontal="center"/>
    </xf>
    <xf numFmtId="0" fontId="16" fillId="14" borderId="14" xfId="0" applyFont="1" applyFill="1" applyBorder="1" applyAlignment="1">
      <alignment horizontal="center" vertical="center" wrapText="1"/>
    </xf>
    <xf numFmtId="0" fontId="9" fillId="0" borderId="0" xfId="0" applyFont="1" applyAlignment="1">
      <alignment horizontal="center"/>
    </xf>
    <xf numFmtId="0" fontId="9" fillId="10" borderId="38" xfId="0" applyFont="1" applyFill="1" applyBorder="1" applyAlignment="1">
      <alignment horizontal="center" vertical="center"/>
    </xf>
    <xf numFmtId="0" fontId="9" fillId="10" borderId="0" xfId="0" applyFont="1" applyFill="1" applyAlignment="1">
      <alignment horizontal="center" vertical="center"/>
    </xf>
    <xf numFmtId="0" fontId="9" fillId="0" borderId="2" xfId="0" applyFont="1" applyBorder="1" applyAlignment="1">
      <alignment horizontal="center" wrapText="1"/>
    </xf>
    <xf numFmtId="0" fontId="9" fillId="0" borderId="2" xfId="0" applyFont="1" applyBorder="1" applyAlignment="1">
      <alignment horizontal="center"/>
    </xf>
    <xf numFmtId="0" fontId="11" fillId="0" borderId="0" xfId="0" applyFont="1" applyAlignment="1">
      <alignment horizontal="left" vertical="center"/>
    </xf>
    <xf numFmtId="0" fontId="9" fillId="0" borderId="0" xfId="0" applyFont="1" applyAlignment="1">
      <alignment horizontal="left"/>
    </xf>
    <xf numFmtId="0" fontId="28" fillId="0" borderId="88" xfId="0" applyFont="1" applyBorder="1" applyAlignment="1">
      <alignment horizontal="center" vertical="center" wrapText="1"/>
    </xf>
    <xf numFmtId="0" fontId="28" fillId="0" borderId="115" xfId="0" applyFont="1" applyBorder="1" applyAlignment="1">
      <alignment horizontal="center" vertical="center" wrapText="1"/>
    </xf>
    <xf numFmtId="0" fontId="28" fillId="0" borderId="116" xfId="0" applyFont="1" applyBorder="1" applyAlignment="1">
      <alignment horizontal="center" vertical="center" wrapText="1"/>
    </xf>
    <xf numFmtId="0" fontId="28" fillId="0" borderId="107" xfId="0" applyFont="1" applyBorder="1" applyAlignment="1">
      <alignment horizontal="center" vertical="center" wrapText="1"/>
    </xf>
    <xf numFmtId="0" fontId="28" fillId="0" borderId="77" xfId="0" applyFont="1" applyBorder="1" applyAlignment="1">
      <alignment horizontal="center" vertical="center" wrapText="1"/>
    </xf>
    <xf numFmtId="0" fontId="28" fillId="0" borderId="114" xfId="0" applyFont="1" applyBorder="1" applyAlignment="1">
      <alignment horizontal="center" vertical="center" wrapText="1"/>
    </xf>
    <xf numFmtId="0" fontId="28" fillId="0" borderId="90" xfId="0" applyFont="1" applyBorder="1" applyAlignment="1">
      <alignment horizontal="center" vertical="center" wrapText="1"/>
    </xf>
    <xf numFmtId="0" fontId="28" fillId="0" borderId="105" xfId="0" applyFont="1" applyBorder="1" applyAlignment="1">
      <alignment horizontal="center" vertical="center" wrapText="1"/>
    </xf>
    <xf numFmtId="0" fontId="28" fillId="0" borderId="106" xfId="0" applyFont="1" applyBorder="1" applyAlignment="1">
      <alignment horizontal="center" vertical="center" wrapText="1"/>
    </xf>
    <xf numFmtId="0" fontId="28" fillId="0" borderId="89" xfId="0" applyFont="1" applyBorder="1" applyAlignment="1">
      <alignment horizontal="center" vertical="center" wrapText="1"/>
    </xf>
    <xf numFmtId="0" fontId="28" fillId="0" borderId="169" xfId="0" applyFont="1" applyBorder="1" applyAlignment="1">
      <alignment horizontal="center" vertical="center" wrapText="1"/>
    </xf>
    <xf numFmtId="0" fontId="28" fillId="0" borderId="170" xfId="0" applyFont="1" applyBorder="1" applyAlignment="1">
      <alignment horizontal="center" vertical="center" wrapText="1"/>
    </xf>
    <xf numFmtId="0" fontId="28" fillId="0" borderId="171" xfId="0" applyFont="1" applyBorder="1" applyAlignment="1">
      <alignment horizontal="center" vertical="center" wrapText="1"/>
    </xf>
    <xf numFmtId="0" fontId="28" fillId="0" borderId="74" xfId="0" applyFont="1" applyBorder="1" applyAlignment="1">
      <alignment horizontal="center" vertical="center" wrapText="1"/>
    </xf>
    <xf numFmtId="0" fontId="28" fillId="0" borderId="75" xfId="0" applyFont="1" applyBorder="1" applyAlignment="1">
      <alignment horizontal="center" vertical="center" wrapText="1"/>
    </xf>
    <xf numFmtId="0" fontId="28" fillId="0" borderId="92" xfId="0" applyFont="1" applyBorder="1" applyAlignment="1">
      <alignment horizontal="center" vertical="center" wrapText="1"/>
    </xf>
    <xf numFmtId="0" fontId="28" fillId="0" borderId="126" xfId="0" applyFont="1" applyBorder="1" applyAlignment="1">
      <alignment horizontal="center" vertical="center" wrapText="1"/>
    </xf>
    <xf numFmtId="0" fontId="28" fillId="0" borderId="121" xfId="0" applyFont="1" applyBorder="1" applyAlignment="1">
      <alignment horizontal="center" vertical="center" wrapText="1"/>
    </xf>
    <xf numFmtId="0" fontId="28" fillId="0" borderId="127" xfId="0" applyFont="1" applyBorder="1" applyAlignment="1">
      <alignment horizontal="center" vertical="center" wrapText="1"/>
    </xf>
    <xf numFmtId="0" fontId="28" fillId="0" borderId="173" xfId="0" applyFont="1" applyBorder="1" applyAlignment="1">
      <alignment horizontal="center" vertical="center" wrapText="1"/>
    </xf>
    <xf numFmtId="0" fontId="28" fillId="0" borderId="174" xfId="0" applyFont="1" applyBorder="1" applyAlignment="1">
      <alignment horizontal="center" vertical="center" wrapText="1"/>
    </xf>
    <xf numFmtId="0" fontId="28" fillId="0" borderId="41" xfId="0" applyFont="1" applyBorder="1" applyAlignment="1">
      <alignment horizontal="center" vertical="center"/>
    </xf>
    <xf numFmtId="0" fontId="28" fillId="0" borderId="44" xfId="0" applyFont="1" applyBorder="1" applyAlignment="1">
      <alignment horizontal="center" vertical="center"/>
    </xf>
    <xf numFmtId="0" fontId="28" fillId="0" borderId="46" xfId="0" applyFont="1" applyBorder="1" applyAlignment="1">
      <alignment horizontal="center" vertical="center"/>
    </xf>
    <xf numFmtId="0" fontId="28" fillId="0" borderId="42" xfId="0" applyFont="1" applyBorder="1" applyAlignment="1">
      <alignment horizontal="center" vertical="center"/>
    </xf>
    <xf numFmtId="0" fontId="28" fillId="0" borderId="40" xfId="0" applyFont="1" applyBorder="1" applyAlignment="1">
      <alignment horizontal="center" vertical="center"/>
    </xf>
    <xf numFmtId="0" fontId="28" fillId="0" borderId="47" xfId="0" applyFont="1" applyBorder="1" applyAlignment="1">
      <alignment horizontal="center" vertical="center"/>
    </xf>
    <xf numFmtId="0" fontId="28" fillId="0" borderId="42" xfId="0" applyFont="1" applyBorder="1" applyAlignment="1">
      <alignment horizontal="center" vertical="center" wrapText="1"/>
    </xf>
    <xf numFmtId="0" fontId="28" fillId="0" borderId="40" xfId="0" applyFont="1" applyBorder="1" applyAlignment="1">
      <alignment horizontal="center" vertical="center" wrapText="1"/>
    </xf>
    <xf numFmtId="0" fontId="28" fillId="0" borderId="47" xfId="0" applyFont="1" applyBorder="1" applyAlignment="1">
      <alignment horizontal="center" vertical="center" wrapText="1"/>
    </xf>
    <xf numFmtId="0" fontId="28" fillId="0" borderId="151" xfId="0" applyFont="1" applyBorder="1" applyAlignment="1">
      <alignment horizontal="center" vertical="center" wrapText="1"/>
    </xf>
    <xf numFmtId="0" fontId="28" fillId="0" borderId="144" xfId="0" applyFont="1" applyBorder="1" applyAlignment="1">
      <alignment horizontal="center" vertical="center" wrapText="1"/>
    </xf>
    <xf numFmtId="0" fontId="28" fillId="0" borderId="152" xfId="0" applyFont="1" applyBorder="1" applyAlignment="1">
      <alignment horizontal="center" vertical="center" wrapText="1"/>
    </xf>
    <xf numFmtId="0" fontId="28" fillId="0" borderId="140" xfId="0" applyFont="1" applyBorder="1" applyAlignment="1">
      <alignment horizontal="center" vertical="center"/>
    </xf>
    <xf numFmtId="0" fontId="28" fillId="0" borderId="143" xfId="0" applyFont="1" applyBorder="1" applyAlignment="1">
      <alignment horizontal="center" vertical="center"/>
    </xf>
    <xf numFmtId="0" fontId="28" fillId="0" borderId="147" xfId="0" applyFont="1" applyBorder="1" applyAlignment="1">
      <alignment horizontal="center" vertical="center"/>
    </xf>
    <xf numFmtId="0" fontId="28" fillId="0" borderId="141" xfId="0" applyFont="1" applyBorder="1" applyAlignment="1">
      <alignment horizontal="center" vertical="center" wrapText="1"/>
    </xf>
    <xf numFmtId="0" fontId="28" fillId="0" borderId="148" xfId="0" applyFont="1" applyBorder="1" applyAlignment="1">
      <alignment horizontal="center" vertical="center" wrapText="1"/>
    </xf>
    <xf numFmtId="0" fontId="28" fillId="0" borderId="109" xfId="0" applyFont="1" applyBorder="1" applyAlignment="1">
      <alignment horizontal="center" vertical="center" wrapText="1"/>
    </xf>
    <xf numFmtId="0" fontId="28" fillId="0" borderId="112" xfId="0" applyFont="1" applyBorder="1" applyAlignment="1">
      <alignment horizontal="center" vertical="center" wrapText="1"/>
    </xf>
    <xf numFmtId="0" fontId="28" fillId="0" borderId="120" xfId="0" applyFont="1" applyBorder="1" applyAlignment="1">
      <alignment horizontal="center" vertical="center" wrapText="1"/>
    </xf>
    <xf numFmtId="0" fontId="28" fillId="0" borderId="122" xfId="0" applyFont="1" applyBorder="1" applyAlignment="1">
      <alignment horizontal="center" vertical="center" wrapText="1"/>
    </xf>
    <xf numFmtId="0" fontId="28" fillId="0" borderId="155" xfId="0" applyFont="1" applyBorder="1" applyAlignment="1">
      <alignment horizontal="center" vertical="center"/>
    </xf>
    <xf numFmtId="0" fontId="28" fillId="0" borderId="156" xfId="0" applyFont="1" applyBorder="1" applyAlignment="1">
      <alignment horizontal="center" vertical="center" wrapText="1"/>
    </xf>
    <xf numFmtId="0" fontId="28" fillId="0" borderId="157" xfId="0" applyFont="1" applyBorder="1" applyAlignment="1">
      <alignment horizontal="center" vertical="center" wrapText="1"/>
    </xf>
    <xf numFmtId="0" fontId="28" fillId="0" borderId="158" xfId="0" applyFont="1" applyBorder="1" applyAlignment="1">
      <alignment horizontal="center" vertical="center" wrapText="1"/>
    </xf>
    <xf numFmtId="0" fontId="28" fillId="0" borderId="159" xfId="0" applyFont="1" applyBorder="1" applyAlignment="1">
      <alignment horizontal="center" vertical="center" wrapText="1"/>
    </xf>
    <xf numFmtId="0" fontId="28" fillId="0" borderId="162" xfId="0" applyFont="1" applyBorder="1" applyAlignment="1">
      <alignment horizontal="center" vertical="center" wrapText="1"/>
    </xf>
    <xf numFmtId="0" fontId="28" fillId="0" borderId="164" xfId="0" applyFont="1" applyBorder="1" applyAlignment="1">
      <alignment horizontal="center" vertical="center" wrapText="1"/>
    </xf>
    <xf numFmtId="0" fontId="28" fillId="0" borderId="166" xfId="0" applyFont="1" applyBorder="1" applyAlignment="1">
      <alignment horizontal="center" vertical="center" wrapText="1"/>
    </xf>
    <xf numFmtId="0" fontId="28" fillId="0" borderId="76" xfId="0" applyFont="1" applyBorder="1" applyAlignment="1">
      <alignment horizontal="center" vertical="center" wrapText="1"/>
    </xf>
    <xf numFmtId="0" fontId="28" fillId="0" borderId="125" xfId="0" applyFont="1" applyBorder="1" applyAlignment="1">
      <alignment horizontal="center" vertical="center" wrapText="1"/>
    </xf>
    <xf numFmtId="0" fontId="28" fillId="0" borderId="160" xfId="0" applyFont="1" applyBorder="1" applyAlignment="1">
      <alignment horizontal="center" vertical="center" wrapText="1"/>
    </xf>
    <xf numFmtId="0" fontId="28" fillId="0" borderId="168" xfId="0" applyFont="1" applyBorder="1" applyAlignment="1">
      <alignment horizontal="center" vertical="center" wrapText="1"/>
    </xf>
    <xf numFmtId="0" fontId="23" fillId="10" borderId="0" xfId="0" applyFont="1" applyFill="1" applyAlignment="1">
      <alignment horizontal="center" vertical="center" wrapText="1"/>
    </xf>
    <xf numFmtId="0" fontId="23" fillId="10" borderId="80" xfId="0" applyFont="1" applyFill="1" applyBorder="1" applyAlignment="1">
      <alignment horizontal="center" vertical="center" wrapText="1"/>
    </xf>
    <xf numFmtId="0" fontId="28" fillId="0" borderId="108" xfId="0" applyFont="1" applyBorder="1" applyAlignment="1">
      <alignment horizontal="center" vertical="center" wrapText="1"/>
    </xf>
    <xf numFmtId="0" fontId="28" fillId="0" borderId="110" xfId="0" applyFont="1" applyBorder="1" applyAlignment="1">
      <alignment horizontal="center" vertical="center" wrapText="1"/>
    </xf>
    <xf numFmtId="0" fontId="28" fillId="0" borderId="136" xfId="0" applyFont="1" applyBorder="1" applyAlignment="1">
      <alignment horizontal="center" vertical="center" wrapText="1"/>
    </xf>
    <xf numFmtId="0" fontId="28" fillId="0" borderId="132" xfId="0" applyFont="1" applyBorder="1" applyAlignment="1">
      <alignment horizontal="center" vertical="center"/>
    </xf>
    <xf numFmtId="0" fontId="28" fillId="0" borderId="77" xfId="0" applyFont="1" applyBorder="1" applyAlignment="1">
      <alignment horizontal="center" vertical="center"/>
    </xf>
    <xf numFmtId="0" fontId="28" fillId="0" borderId="114" xfId="0" applyFont="1" applyBorder="1" applyAlignment="1">
      <alignment horizontal="center" vertical="center"/>
    </xf>
    <xf numFmtId="0" fontId="23" fillId="10" borderId="2" xfId="0" applyFont="1" applyFill="1" applyBorder="1" applyAlignment="1">
      <alignment horizontal="center" vertical="center" wrapText="1"/>
    </xf>
    <xf numFmtId="0" fontId="11" fillId="10" borderId="2" xfId="0" applyFont="1" applyFill="1" applyBorder="1" applyAlignment="1">
      <alignment horizontal="center" vertical="center"/>
    </xf>
    <xf numFmtId="0" fontId="11" fillId="10" borderId="14" xfId="0" applyFont="1" applyFill="1" applyBorder="1" applyAlignment="1">
      <alignment horizontal="center" vertical="center"/>
    </xf>
    <xf numFmtId="0" fontId="16" fillId="14" borderId="23" xfId="0" applyFont="1" applyFill="1" applyBorder="1" applyAlignment="1">
      <alignment horizontal="center" vertical="center" wrapText="1"/>
    </xf>
    <xf numFmtId="0" fontId="16" fillId="14" borderId="24" xfId="0" applyFont="1" applyFill="1" applyBorder="1" applyAlignment="1">
      <alignment horizontal="center" vertical="center" wrapText="1"/>
    </xf>
    <xf numFmtId="0" fontId="28" fillId="0" borderId="153" xfId="0" applyFont="1" applyBorder="1" applyAlignment="1">
      <alignment horizontal="center" vertical="center" wrapText="1"/>
    </xf>
    <xf numFmtId="0" fontId="28" fillId="0" borderId="143" xfId="0" applyFont="1" applyBorder="1" applyAlignment="1">
      <alignment horizontal="center" vertical="center" wrapText="1"/>
    </xf>
    <xf numFmtId="0" fontId="28" fillId="0" borderId="146" xfId="0" applyFont="1" applyBorder="1" applyAlignment="1">
      <alignment horizontal="center" vertical="center" wrapText="1"/>
    </xf>
    <xf numFmtId="0" fontId="28" fillId="0" borderId="150" xfId="0" applyFont="1" applyBorder="1" applyAlignment="1">
      <alignment horizontal="center" vertical="center" wrapText="1"/>
    </xf>
    <xf numFmtId="0" fontId="28" fillId="0" borderId="147" xfId="0" applyFont="1" applyBorder="1" applyAlignment="1">
      <alignment horizontal="center" vertical="center" wrapText="1"/>
    </xf>
    <xf numFmtId="0" fontId="28" fillId="0" borderId="128" xfId="0" applyFont="1" applyBorder="1" applyAlignment="1">
      <alignment horizontal="center" vertical="center" wrapText="1"/>
    </xf>
    <xf numFmtId="0" fontId="28" fillId="0" borderId="140" xfId="0" applyFont="1" applyBorder="1" applyAlignment="1">
      <alignment horizontal="center" vertical="center" wrapText="1"/>
    </xf>
    <xf numFmtId="0" fontId="28" fillId="0" borderId="89" xfId="0" applyFont="1" applyBorder="1" applyAlignment="1">
      <alignment horizontal="center" vertical="center"/>
    </xf>
    <xf numFmtId="0" fontId="28" fillId="0" borderId="75" xfId="0" applyFont="1" applyBorder="1" applyAlignment="1">
      <alignment horizontal="center" vertical="center"/>
    </xf>
    <xf numFmtId="0" fontId="28" fillId="0" borderId="76" xfId="0" applyFont="1" applyBorder="1" applyAlignment="1">
      <alignment horizontal="center" vertical="center"/>
    </xf>
    <xf numFmtId="0" fontId="28" fillId="0" borderId="92" xfId="0" applyFont="1" applyBorder="1" applyAlignment="1">
      <alignment horizontal="center" vertical="center"/>
    </xf>
    <xf numFmtId="0" fontId="28" fillId="0" borderId="112" xfId="0" applyFont="1" applyBorder="1" applyAlignment="1">
      <alignment horizontal="center" vertical="center"/>
    </xf>
    <xf numFmtId="0" fontId="28" fillId="0" borderId="109" xfId="0" applyFont="1" applyBorder="1" applyAlignment="1">
      <alignment horizontal="center" vertical="center"/>
    </xf>
    <xf numFmtId="0" fontId="28" fillId="0" borderId="74" xfId="0" applyFont="1" applyBorder="1" applyAlignment="1">
      <alignment horizontal="center" vertical="center"/>
    </xf>
    <xf numFmtId="0" fontId="28" fillId="0" borderId="111" xfId="0" applyFont="1" applyBorder="1" applyAlignment="1">
      <alignment horizontal="center" vertical="center" wrapText="1"/>
    </xf>
    <xf numFmtId="0" fontId="28" fillId="0" borderId="139" xfId="0" applyFont="1" applyBorder="1" applyAlignment="1">
      <alignment horizontal="center" vertical="center" wrapText="1"/>
    </xf>
    <xf numFmtId="0" fontId="28" fillId="0" borderId="142" xfId="0" applyFont="1" applyBorder="1" applyAlignment="1">
      <alignment horizontal="center" vertical="center" wrapText="1"/>
    </xf>
    <xf numFmtId="0" fontId="28" fillId="0" borderId="145" xfId="0" applyFont="1" applyBorder="1" applyAlignment="1">
      <alignment horizontal="center" vertical="center" wrapText="1"/>
    </xf>
    <xf numFmtId="0" fontId="28" fillId="0" borderId="149" xfId="0" applyFont="1" applyBorder="1" applyAlignment="1">
      <alignment horizontal="center" vertical="center" wrapText="1"/>
    </xf>
    <xf numFmtId="0" fontId="23" fillId="10" borderId="117" xfId="0" applyFont="1" applyFill="1" applyBorder="1" applyAlignment="1">
      <alignment horizontal="center" vertical="center" wrapText="1"/>
    </xf>
    <xf numFmtId="0" fontId="23" fillId="10" borderId="118" xfId="0" applyFont="1" applyFill="1" applyBorder="1" applyAlignment="1">
      <alignment horizontal="center" vertical="center" wrapText="1"/>
    </xf>
    <xf numFmtId="0" fontId="28" fillId="0" borderId="135" xfId="0" applyFont="1" applyBorder="1" applyAlignment="1">
      <alignment horizontal="center" vertical="center" wrapText="1"/>
    </xf>
    <xf numFmtId="0" fontId="28" fillId="0" borderId="133" xfId="0" applyFont="1" applyBorder="1" applyAlignment="1">
      <alignment horizontal="center" vertical="center" wrapText="1"/>
    </xf>
    <xf numFmtId="0" fontId="28" fillId="0" borderId="134" xfId="0" applyFont="1" applyBorder="1" applyAlignment="1">
      <alignment horizontal="center" vertical="center" wrapText="1"/>
    </xf>
    <xf numFmtId="0" fontId="28" fillId="0" borderId="173" xfId="0" applyFont="1" applyBorder="1" applyAlignment="1">
      <alignment horizontal="center" vertical="center"/>
    </xf>
    <xf numFmtId="0" fontId="28" fillId="0" borderId="154" xfId="0" applyFont="1" applyBorder="1" applyAlignment="1">
      <alignment horizontal="center" vertical="center" wrapText="1"/>
    </xf>
    <xf numFmtId="0" fontId="28" fillId="0" borderId="161" xfId="0" applyFont="1" applyBorder="1" applyAlignment="1">
      <alignment horizontal="center" vertical="center" wrapText="1"/>
    </xf>
    <xf numFmtId="0" fontId="28" fillId="0" borderId="163" xfId="0" applyFont="1" applyBorder="1" applyAlignment="1">
      <alignment horizontal="center" vertical="center" wrapText="1"/>
    </xf>
    <xf numFmtId="0" fontId="28" fillId="0" borderId="165" xfId="0" applyFont="1" applyBorder="1" applyAlignment="1">
      <alignment horizontal="center" vertical="center" wrapText="1"/>
    </xf>
    <xf numFmtId="0" fontId="28" fillId="0" borderId="167" xfId="0" applyFont="1" applyBorder="1" applyAlignment="1">
      <alignment horizontal="center" vertical="center" wrapText="1"/>
    </xf>
    <xf numFmtId="0" fontId="28" fillId="0" borderId="137" xfId="0" applyFont="1" applyBorder="1" applyAlignment="1">
      <alignment horizontal="center" vertical="center" wrapText="1"/>
    </xf>
    <xf numFmtId="0" fontId="28" fillId="0" borderId="172" xfId="0" applyFont="1" applyBorder="1" applyAlignment="1">
      <alignment horizontal="center" vertical="center" wrapText="1"/>
    </xf>
    <xf numFmtId="0" fontId="28" fillId="0" borderId="138" xfId="0" applyFont="1" applyBorder="1" applyAlignment="1">
      <alignment horizontal="center" vertical="center" wrapText="1"/>
    </xf>
    <xf numFmtId="0" fontId="50" fillId="0" borderId="126" xfId="0" applyFont="1" applyBorder="1" applyAlignment="1">
      <alignment horizontal="center" vertical="center" wrapText="1"/>
    </xf>
    <xf numFmtId="0" fontId="50" fillId="0" borderId="121" xfId="0" applyFont="1" applyBorder="1" applyAlignment="1">
      <alignment horizontal="center" vertical="center" wrapText="1"/>
    </xf>
    <xf numFmtId="0" fontId="50" fillId="0" borderId="127" xfId="0" applyFont="1" applyBorder="1" applyAlignment="1">
      <alignment horizontal="center" vertical="center" wrapText="1"/>
    </xf>
    <xf numFmtId="0" fontId="28" fillId="0" borderId="150" xfId="0" applyFont="1" applyBorder="1" applyAlignment="1">
      <alignment horizontal="center" vertical="center"/>
    </xf>
    <xf numFmtId="0" fontId="28" fillId="0" borderId="146" xfId="0" applyFont="1" applyBorder="1" applyAlignment="1">
      <alignment horizontal="center" vertical="center"/>
    </xf>
    <xf numFmtId="0" fontId="28" fillId="0" borderId="183" xfId="0" applyFont="1" applyBorder="1" applyAlignment="1">
      <alignment horizontal="center" vertical="center" wrapText="1"/>
    </xf>
    <xf numFmtId="0" fontId="28" fillId="0" borderId="184" xfId="0" applyFont="1" applyBorder="1" applyAlignment="1">
      <alignment horizontal="center" vertical="center" wrapText="1"/>
    </xf>
    <xf numFmtId="0" fontId="29" fillId="0" borderId="2" xfId="0" applyFont="1" applyBorder="1" applyAlignment="1">
      <alignment horizontal="center" vertical="center"/>
    </xf>
    <xf numFmtId="0" fontId="9" fillId="0" borderId="2" xfId="0" applyFont="1" applyBorder="1" applyAlignment="1">
      <alignment horizontal="center" vertical="center"/>
    </xf>
    <xf numFmtId="0" fontId="42" fillId="16" borderId="23" xfId="0" applyFont="1" applyFill="1" applyBorder="1" applyAlignment="1">
      <alignment horizontal="center" vertical="center"/>
    </xf>
    <xf numFmtId="0" fontId="9"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1" xfId="0" applyFont="1" applyBorder="1" applyAlignment="1">
      <alignment horizontal="center" vertical="center" wrapText="1"/>
    </xf>
    <xf numFmtId="0" fontId="36" fillId="0" borderId="9" xfId="0" applyFont="1" applyBorder="1" applyAlignment="1">
      <alignment horizontal="center"/>
    </xf>
    <xf numFmtId="0" fontId="36" fillId="0" borderId="10" xfId="0" applyFont="1" applyBorder="1" applyAlignment="1">
      <alignment horizontal="center"/>
    </xf>
    <xf numFmtId="0" fontId="36" fillId="0" borderId="11" xfId="0" applyFont="1" applyBorder="1" applyAlignment="1">
      <alignment horizontal="center"/>
    </xf>
    <xf numFmtId="0" fontId="29" fillId="0" borderId="67" xfId="0" applyFont="1" applyBorder="1" applyAlignment="1">
      <alignment horizontal="center" vertical="center"/>
    </xf>
    <xf numFmtId="0" fontId="29" fillId="0" borderId="59" xfId="0" applyFont="1" applyBorder="1" applyAlignment="1">
      <alignment horizontal="center" vertical="center"/>
    </xf>
    <xf numFmtId="0" fontId="9" fillId="0" borderId="3" xfId="0" applyFont="1" applyBorder="1" applyAlignment="1">
      <alignment horizontal="center" vertical="center" wrapText="1"/>
    </xf>
    <xf numFmtId="0" fontId="9" fillId="0" borderId="3" xfId="0" applyFont="1" applyBorder="1" applyAlignment="1">
      <alignment horizontal="center" wrapText="1"/>
    </xf>
    <xf numFmtId="0" fontId="9" fillId="0" borderId="33" xfId="0" applyFont="1" applyBorder="1" applyAlignment="1">
      <alignment horizontal="center" wrapText="1"/>
    </xf>
    <xf numFmtId="0" fontId="29" fillId="0" borderId="65" xfId="0" applyFont="1" applyBorder="1" applyAlignment="1">
      <alignment horizontal="center" vertical="center"/>
    </xf>
    <xf numFmtId="0" fontId="29" fillId="0" borderId="66" xfId="0" applyFont="1" applyBorder="1" applyAlignment="1">
      <alignment horizontal="center" vertical="center"/>
    </xf>
    <xf numFmtId="0" fontId="42" fillId="16" borderId="23" xfId="0" applyFont="1" applyFill="1" applyBorder="1" applyAlignment="1">
      <alignment horizontal="center" vertical="center" wrapText="1"/>
    </xf>
    <xf numFmtId="0" fontId="31" fillId="17" borderId="3" xfId="0" applyFont="1" applyFill="1" applyBorder="1" applyAlignment="1">
      <alignment horizontal="center" vertical="center"/>
    </xf>
    <xf numFmtId="0" fontId="31" fillId="17" borderId="12" xfId="0" applyFont="1" applyFill="1" applyBorder="1" applyAlignment="1">
      <alignment horizontal="center" vertical="center"/>
    </xf>
    <xf numFmtId="0" fontId="31" fillId="17" borderId="13" xfId="0" applyFont="1" applyFill="1" applyBorder="1" applyAlignment="1">
      <alignment horizontal="center" vertical="center"/>
    </xf>
    <xf numFmtId="0" fontId="31" fillId="17" borderId="14" xfId="0" applyFont="1" applyFill="1" applyBorder="1" applyAlignment="1">
      <alignment horizontal="center" vertical="center"/>
    </xf>
    <xf numFmtId="0" fontId="31" fillId="17" borderId="21" xfId="0" applyFont="1" applyFill="1" applyBorder="1" applyAlignment="1">
      <alignment horizontal="center" vertical="center"/>
    </xf>
    <xf numFmtId="0" fontId="16" fillId="16" borderId="23" xfId="0" applyFont="1" applyFill="1" applyBorder="1" applyAlignment="1">
      <alignment horizontal="center" vertical="center" wrapText="1"/>
    </xf>
    <xf numFmtId="10" fontId="11" fillId="0" borderId="9" xfId="8" applyNumberFormat="1" applyFont="1" applyBorder="1" applyAlignment="1">
      <alignment horizontal="center"/>
    </xf>
    <xf numFmtId="10" fontId="11" fillId="0" borderId="10" xfId="8" applyNumberFormat="1" applyFont="1" applyBorder="1" applyAlignment="1">
      <alignment horizontal="center"/>
    </xf>
    <xf numFmtId="10" fontId="11" fillId="0" borderId="11" xfId="8" applyNumberFormat="1" applyFont="1" applyBorder="1" applyAlignment="1">
      <alignment horizontal="center"/>
    </xf>
    <xf numFmtId="0" fontId="11" fillId="7" borderId="3" xfId="0" applyFont="1" applyFill="1" applyBorder="1" applyAlignment="1">
      <alignment horizontal="center" vertical="center"/>
    </xf>
    <xf numFmtId="0" fontId="11" fillId="7" borderId="12" xfId="0" applyFont="1" applyFill="1" applyBorder="1" applyAlignment="1">
      <alignment horizontal="center" vertical="center"/>
    </xf>
    <xf numFmtId="0" fontId="11" fillId="7" borderId="13" xfId="0" applyFont="1" applyFill="1" applyBorder="1" applyAlignment="1">
      <alignment horizontal="center" vertical="center"/>
    </xf>
    <xf numFmtId="0" fontId="0" fillId="0" borderId="0" xfId="0" applyAlignment="1">
      <alignment horizontal="center"/>
    </xf>
  </cellXfs>
  <cellStyles count="13">
    <cellStyle name="Comma" xfId="6" builtinId="3"/>
    <cellStyle name="Hyperlink" xfId="5" builtinId="8"/>
    <cellStyle name="Hyperlink 2" xfId="10" xr:uid="{10C1E3C0-F46B-4E25-BD9A-EE5D62F88FF2}"/>
    <cellStyle name="Normal" xfId="0" builtinId="0"/>
    <cellStyle name="Normal 2" xfId="3" xr:uid="{E38C2638-0821-4BB2-9C33-A89D3950ADA6}"/>
    <cellStyle name="Normal 2 2" xfId="4" xr:uid="{7604919E-E68F-4366-A693-6A7B8B8DA661}"/>
    <cellStyle name="Normal 2 3" xfId="9" xr:uid="{8A1E39CD-7ABA-4D79-A464-67010D1209C1}"/>
    <cellStyle name="Normal 3" xfId="7" xr:uid="{1C10DAE4-4F9C-4E19-81E4-5574511A6741}"/>
    <cellStyle name="Normal 4" xfId="11" xr:uid="{43272557-B37F-4996-BC18-AA3EDEAFA379}"/>
    <cellStyle name="Normal 5" xfId="12" xr:uid="{642BE191-BE2F-4847-8420-1C59B95E270E}"/>
    <cellStyle name="Normal_Prototype_Scorecard-LgOffice-2008-03-13" xfId="1" xr:uid="{F839F8A1-86E5-4008-9801-0F032E8A3317}"/>
    <cellStyle name="Percent" xfId="2" builtinId="5"/>
    <cellStyle name="Percent 2" xfId="8" xr:uid="{CB789C3E-741F-4464-8065-385A956411E6}"/>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001132"/>
      <color rgb="FFFF9900"/>
      <color rgb="FFCCCCFF"/>
      <color rgb="FF8238BA"/>
      <color rgb="FFFFEBCD"/>
      <color rgb="FF002F8E"/>
      <color rgb="FF0000CC"/>
      <color rgb="FF2E9F17"/>
      <color rgb="FFFFFAF3"/>
      <color rgb="FF2DC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 Target="richData/rdrichvalue.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0/relationships/richValueRel" Target="richData/richValueRel.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9.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0.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5.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6.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7.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8.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9.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30.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1.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2.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3.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4.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5.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6.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7.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8.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9.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40.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41.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42.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ysClr val="windowText" lastClr="000000"/>
                </a:solidFill>
              </a:rPr>
              <a:t>DEER</a:t>
            </a:r>
            <a:r>
              <a:rPr lang="en-US" sz="1400" b="0" i="0" u="none" strike="noStrike" kern="1200" spc="0" baseline="0">
                <a:solidFill>
                  <a:sysClr val="windowText" lastClr="000000"/>
                </a:solidFill>
              </a:rPr>
              <a:t>: </a:t>
            </a:r>
            <a:r>
              <a:rPr lang="en-US" sz="1400" b="0" i="0" u="none" strike="noStrike" kern="1200" spc="0" baseline="0">
                <a:solidFill>
                  <a:sysClr val="windowText" lastClr="000000">
                    <a:lumMod val="65000"/>
                    <a:lumOff val="35000"/>
                  </a:sysClr>
                </a:solidFill>
              </a:rPr>
              <a:t>Equipment- Small office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9"/>
          <c:order val="0"/>
          <c:tx>
            <c:strRef>
              <c:f>Equipment!$K$58</c:f>
            </c:strRef>
          </c:tx>
          <c:spPr>
            <a:ln w="28575" cap="rnd">
              <a:solidFill>
                <a:schemeClr val="accent4">
                  <a:lumMod val="60000"/>
                </a:schemeClr>
              </a:solidFill>
              <a:round/>
            </a:ln>
            <a:effectLst/>
          </c:spPr>
          <c:marker>
            <c:symbol val="none"/>
          </c:marker>
          <c:cat>
            <c:strRef>
              <c:f>Equipment!$A$59:$A$82</c:f>
            </c:strRef>
          </c:cat>
          <c:val>
            <c:numRef>
              <c:f>Equipment!$K$59:$K$82</c:f>
            </c:numRef>
          </c:val>
          <c:smooth val="0"/>
          <c:extLst>
            <c:ext xmlns:c16="http://schemas.microsoft.com/office/drawing/2014/chart" uri="{C3380CC4-5D6E-409C-BE32-E72D297353CC}">
              <c16:uniqueId val="{00000009-5C34-41FF-86F5-2A6EAFC8C138}"/>
            </c:ext>
          </c:extLst>
        </c:ser>
        <c:ser>
          <c:idx val="10"/>
          <c:order val="1"/>
          <c:tx>
            <c:strRef>
              <c:f>Equipment!$L$58</c:f>
            </c:strRef>
          </c:tx>
          <c:spPr>
            <a:ln w="28575" cap="rnd">
              <a:solidFill>
                <a:schemeClr val="accent5">
                  <a:lumMod val="60000"/>
                </a:schemeClr>
              </a:solidFill>
              <a:round/>
            </a:ln>
            <a:effectLst/>
          </c:spPr>
          <c:marker>
            <c:symbol val="none"/>
          </c:marker>
          <c:cat>
            <c:strRef>
              <c:f>Equipment!$A$59:$A$82</c:f>
            </c:strRef>
          </c:cat>
          <c:val>
            <c:numRef>
              <c:f>Equipment!$L$59:$L$82</c:f>
            </c:numRef>
          </c:val>
          <c:smooth val="0"/>
          <c:extLst>
            <c:ext xmlns:c16="http://schemas.microsoft.com/office/drawing/2014/chart" uri="{C3380CC4-5D6E-409C-BE32-E72D297353CC}">
              <c16:uniqueId val="{0000000A-5C34-41FF-86F5-2A6EAFC8C138}"/>
            </c:ext>
          </c:extLst>
        </c:ser>
        <c:ser>
          <c:idx val="11"/>
          <c:order val="2"/>
          <c:tx>
            <c:strRef>
              <c:f>Equipment!$M$58</c:f>
            </c:strRef>
          </c:tx>
          <c:spPr>
            <a:ln w="28575" cap="rnd">
              <a:solidFill>
                <a:schemeClr val="accent6">
                  <a:lumMod val="60000"/>
                </a:schemeClr>
              </a:solidFill>
              <a:round/>
            </a:ln>
            <a:effectLst/>
          </c:spPr>
          <c:marker>
            <c:symbol val="none"/>
          </c:marker>
          <c:cat>
            <c:strRef>
              <c:f>Equipment!$A$59:$A$82</c:f>
            </c:strRef>
          </c:cat>
          <c:val>
            <c:numRef>
              <c:f>Equipment!$M$59:$M$82</c:f>
            </c:numRef>
          </c:val>
          <c:smooth val="0"/>
          <c:extLst>
            <c:ext xmlns:c16="http://schemas.microsoft.com/office/drawing/2014/chart" uri="{C3380CC4-5D6E-409C-BE32-E72D297353CC}">
              <c16:uniqueId val="{0000000B-5C34-41FF-86F5-2A6EAFC8C138}"/>
            </c:ext>
          </c:extLst>
        </c:ser>
        <c:dLbls>
          <c:showLegendKey val="0"/>
          <c:showVal val="0"/>
          <c:showCatName val="0"/>
          <c:showSerName val="0"/>
          <c:showPercent val="0"/>
          <c:showBubbleSize val="0"/>
        </c:dLbls>
        <c:marker val="1"/>
        <c:smooth val="0"/>
        <c:axId val="640206912"/>
        <c:axId val="640210272"/>
        <c:extLst/>
      </c:lineChart>
      <c:catAx>
        <c:axId val="6402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10272"/>
        <c:crosses val="autoZero"/>
        <c:auto val="1"/>
        <c:lblAlgn val="ctr"/>
        <c:lblOffset val="100"/>
        <c:noMultiLvlLbl val="0"/>
      </c:catAx>
      <c:valAx>
        <c:axId val="64021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06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ysClr val="windowText" lastClr="000000"/>
                </a:solidFill>
              </a:rPr>
              <a:t>CEC</a:t>
            </a:r>
            <a:r>
              <a:rPr lang="en-US" sz="1400" b="0" i="0" u="none" strike="noStrike" kern="1200" spc="0" baseline="0">
                <a:solidFill>
                  <a:sysClr val="windowText" lastClr="000000"/>
                </a:solidFill>
              </a:rPr>
              <a:t>: </a:t>
            </a:r>
            <a:r>
              <a:rPr lang="en-US" sz="1400" b="0" i="0" u="none" strike="noStrike" kern="1200" spc="0" baseline="0">
                <a:solidFill>
                  <a:sysClr val="windowText" lastClr="000000">
                    <a:lumMod val="65000"/>
                    <a:lumOff val="35000"/>
                  </a:sysClr>
                </a:solidFill>
              </a:rPr>
              <a:t>Equipment- Small office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Equipment!$B$58</c:f>
            </c:strRef>
          </c:tx>
          <c:spPr>
            <a:ln w="28575" cap="rnd">
              <a:solidFill>
                <a:schemeClr val="accent1"/>
              </a:solidFill>
              <a:round/>
            </a:ln>
            <a:effectLst/>
          </c:spPr>
          <c:marker>
            <c:symbol val="none"/>
          </c:marker>
          <c:val>
            <c:numRef>
              <c:f>Equipment!$B$59:$B$82</c:f>
            </c:numRef>
          </c:val>
          <c:smooth val="0"/>
          <c:extLst>
            <c:ext xmlns:c16="http://schemas.microsoft.com/office/drawing/2014/chart" uri="{C3380CC4-5D6E-409C-BE32-E72D297353CC}">
              <c16:uniqueId val="{00000003-43A7-47E5-8440-F55F846E6419}"/>
            </c:ext>
          </c:extLst>
        </c:ser>
        <c:ser>
          <c:idx val="1"/>
          <c:order val="1"/>
          <c:tx>
            <c:strRef>
              <c:f>Equipment!$C$58</c:f>
            </c:strRef>
          </c:tx>
          <c:spPr>
            <a:ln w="28575" cap="rnd">
              <a:solidFill>
                <a:schemeClr val="accent2"/>
              </a:solidFill>
              <a:round/>
            </a:ln>
            <a:effectLst/>
          </c:spPr>
          <c:marker>
            <c:symbol val="none"/>
          </c:marker>
          <c:val>
            <c:numRef>
              <c:f>Equipment!$C$59:$C$82</c:f>
            </c:numRef>
          </c:val>
          <c:smooth val="0"/>
          <c:extLst>
            <c:ext xmlns:c16="http://schemas.microsoft.com/office/drawing/2014/chart" uri="{C3380CC4-5D6E-409C-BE32-E72D297353CC}">
              <c16:uniqueId val="{00000004-43A7-47E5-8440-F55F846E6419}"/>
            </c:ext>
          </c:extLst>
        </c:ser>
        <c:ser>
          <c:idx val="2"/>
          <c:order val="2"/>
          <c:tx>
            <c:strRef>
              <c:f>Equipment!$D$58</c:f>
            </c:strRef>
          </c:tx>
          <c:spPr>
            <a:ln w="28575" cap="rnd">
              <a:solidFill>
                <a:schemeClr val="accent3"/>
              </a:solidFill>
              <a:round/>
            </a:ln>
            <a:effectLst/>
          </c:spPr>
          <c:marker>
            <c:symbol val="none"/>
          </c:marker>
          <c:val>
            <c:numRef>
              <c:f>Equipment!$D$59:$D$82</c:f>
            </c:numRef>
          </c:val>
          <c:smooth val="0"/>
          <c:extLst>
            <c:ext xmlns:c16="http://schemas.microsoft.com/office/drawing/2014/chart" uri="{C3380CC4-5D6E-409C-BE32-E72D297353CC}">
              <c16:uniqueId val="{00000000-8986-4927-A516-ECB8353560CD}"/>
            </c:ext>
          </c:extLst>
        </c:ser>
        <c:dLbls>
          <c:showLegendKey val="0"/>
          <c:showVal val="0"/>
          <c:showCatName val="0"/>
          <c:showSerName val="0"/>
          <c:showPercent val="0"/>
          <c:showBubbleSize val="0"/>
        </c:dLbls>
        <c:marker val="1"/>
        <c:smooth val="0"/>
        <c:axId val="640206912"/>
        <c:axId val="640210272"/>
        <c:extLst/>
      </c:lineChart>
      <c:catAx>
        <c:axId val="6402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10272"/>
        <c:crosses val="autoZero"/>
        <c:auto val="1"/>
        <c:lblAlgn val="ctr"/>
        <c:lblOffset val="100"/>
        <c:noMultiLvlLbl val="0"/>
      </c:catAx>
      <c:valAx>
        <c:axId val="64021027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06912"/>
        <c:crosses val="autoZero"/>
        <c:crossBetween val="between"/>
        <c:min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ysClr val="windowText" lastClr="000000"/>
                </a:solidFill>
              </a:rPr>
              <a:t>PNNL</a:t>
            </a:r>
            <a:r>
              <a:rPr lang="en-US" sz="1400" b="0" i="0" u="none" strike="noStrike" kern="1200" spc="0" baseline="0">
                <a:solidFill>
                  <a:sysClr val="windowText" lastClr="000000"/>
                </a:solidFill>
              </a:rPr>
              <a:t>: </a:t>
            </a:r>
            <a:r>
              <a:rPr lang="en-US" sz="1400" b="0" i="0" u="none" strike="noStrike" kern="1200" spc="0" baseline="0">
                <a:solidFill>
                  <a:sysClr val="windowText" lastClr="000000">
                    <a:lumMod val="65000"/>
                    <a:lumOff val="35000"/>
                  </a:sysClr>
                </a:solidFill>
              </a:rPr>
              <a:t>Equipment- Small office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5"/>
          <c:order val="0"/>
          <c:tx>
            <c:strRef>
              <c:f>Equipment!$F$58</c:f>
              <c:extLst xmlns:c15="http://schemas.microsoft.com/office/drawing/2012/chart"/>
            </c:strRef>
          </c:tx>
          <c:spPr>
            <a:ln w="28575" cap="rnd">
              <a:solidFill>
                <a:schemeClr val="accent6"/>
              </a:solidFill>
              <a:round/>
            </a:ln>
            <a:effectLst/>
          </c:spPr>
          <c:marker>
            <c:symbol val="none"/>
          </c:marker>
          <c:cat>
            <c:strRef>
              <c:f>Equipment!$A$59:$A$82</c:f>
            </c:strRef>
          </c:cat>
          <c:val>
            <c:numRef>
              <c:f>Equipment!$F$59:$F$82</c:f>
              <c:extLst xmlns:c15="http://schemas.microsoft.com/office/drawing/2012/chart"/>
            </c:numRef>
          </c:val>
          <c:smooth val="0"/>
          <c:extLst>
            <c:ext xmlns:c16="http://schemas.microsoft.com/office/drawing/2014/chart" uri="{C3380CC4-5D6E-409C-BE32-E72D297353CC}">
              <c16:uniqueId val="{00000008-FE65-413B-A578-C2B1178F7F78}"/>
            </c:ext>
          </c:extLst>
        </c:ser>
        <c:ser>
          <c:idx val="6"/>
          <c:order val="1"/>
          <c:tx>
            <c:strRef>
              <c:f>Equipment!$G$58</c:f>
              <c:extLst xmlns:c15="http://schemas.microsoft.com/office/drawing/2012/chart"/>
            </c:strRef>
          </c:tx>
          <c:spPr>
            <a:ln w="28575" cap="rnd">
              <a:solidFill>
                <a:schemeClr val="accent1">
                  <a:lumMod val="60000"/>
                </a:schemeClr>
              </a:solidFill>
              <a:round/>
            </a:ln>
            <a:effectLst/>
          </c:spPr>
          <c:marker>
            <c:symbol val="none"/>
          </c:marker>
          <c:cat>
            <c:strRef>
              <c:f>Equipment!$A$59:$A$82</c:f>
            </c:strRef>
          </c:cat>
          <c:val>
            <c:numRef>
              <c:f>Equipment!$G$59:$G$82</c:f>
              <c:extLst xmlns:c15="http://schemas.microsoft.com/office/drawing/2012/chart"/>
            </c:numRef>
          </c:val>
          <c:smooth val="0"/>
          <c:extLst>
            <c:ext xmlns:c16="http://schemas.microsoft.com/office/drawing/2014/chart" uri="{C3380CC4-5D6E-409C-BE32-E72D297353CC}">
              <c16:uniqueId val="{00000009-FE65-413B-A578-C2B1178F7F78}"/>
            </c:ext>
          </c:extLst>
        </c:ser>
        <c:ser>
          <c:idx val="7"/>
          <c:order val="2"/>
          <c:tx>
            <c:strRef>
              <c:f>Equipment!$I$58</c:f>
              <c:extLst xmlns:c15="http://schemas.microsoft.com/office/drawing/2012/chart"/>
            </c:strRef>
          </c:tx>
          <c:spPr>
            <a:ln w="28575" cap="rnd">
              <a:solidFill>
                <a:schemeClr val="accent2">
                  <a:lumMod val="60000"/>
                </a:schemeClr>
              </a:solidFill>
              <a:round/>
            </a:ln>
            <a:effectLst/>
          </c:spPr>
          <c:marker>
            <c:symbol val="none"/>
          </c:marker>
          <c:cat>
            <c:strRef>
              <c:f>Equipment!$A$59:$A$82</c:f>
            </c:strRef>
          </c:cat>
          <c:val>
            <c:numRef>
              <c:f>Equipment!$I$59:$I$82</c:f>
              <c:extLst xmlns:c15="http://schemas.microsoft.com/office/drawing/2012/chart"/>
            </c:numRef>
          </c:val>
          <c:smooth val="0"/>
          <c:extLst>
            <c:ext xmlns:c16="http://schemas.microsoft.com/office/drawing/2014/chart" uri="{C3380CC4-5D6E-409C-BE32-E72D297353CC}">
              <c16:uniqueId val="{0000000A-FE65-413B-A578-C2B1178F7F78}"/>
            </c:ext>
          </c:extLst>
        </c:ser>
        <c:dLbls>
          <c:showLegendKey val="0"/>
          <c:showVal val="0"/>
          <c:showCatName val="0"/>
          <c:showSerName val="0"/>
          <c:showPercent val="0"/>
          <c:showBubbleSize val="0"/>
        </c:dLbls>
        <c:marker val="1"/>
        <c:smooth val="0"/>
        <c:axId val="640206912"/>
        <c:axId val="640210272"/>
        <c:extLst/>
      </c:lineChart>
      <c:catAx>
        <c:axId val="6402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10272"/>
        <c:crosses val="autoZero"/>
        <c:auto val="1"/>
        <c:lblAlgn val="ctr"/>
        <c:lblOffset val="100"/>
        <c:noMultiLvlLbl val="0"/>
      </c:catAx>
      <c:valAx>
        <c:axId val="64021027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206912"/>
        <c:crosses val="autoZero"/>
        <c:crossBetween val="between"/>
        <c:minorUnit val="0.1"/>
      </c:valAx>
      <c:spPr>
        <a:noFill/>
        <a:ln>
          <a:noFill/>
        </a:ln>
        <a:effectLst/>
      </c:spPr>
    </c:plotArea>
    <c:legend>
      <c:legendPos val="b"/>
      <c:layout>
        <c:manualLayout>
          <c:xMode val="edge"/>
          <c:yMode val="edge"/>
          <c:x val="0.11827820943808745"/>
          <c:y val="0.87772650689406195"/>
          <c:w val="0.77545728336610698"/>
          <c:h val="8.733899528934428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0.00</c:formatCode>
                <c:ptCount val="24"/>
                <c:pt idx="0">
                  <c:v>0</c:v>
                </c:pt>
                <c:pt idx="1">
                  <c:v>0</c:v>
                </c:pt>
                <c:pt idx="2">
                  <c:v>0</c:v>
                </c:pt>
                <c:pt idx="3">
                  <c:v>0</c:v>
                </c:pt>
                <c:pt idx="4">
                  <c:v>0</c:v>
                </c:pt>
                <c:pt idx="5">
                  <c:v>0</c:v>
                </c:pt>
                <c:pt idx="6">
                  <c:v>0</c:v>
                </c:pt>
                <c:pt idx="7">
                  <c:v>0</c:v>
                </c:pt>
                <c:pt idx="8">
                  <c:v>0.2</c:v>
                </c:pt>
                <c:pt idx="9">
                  <c:v>0.2</c:v>
                </c:pt>
                <c:pt idx="10">
                  <c:v>0.2</c:v>
                </c:pt>
                <c:pt idx="11">
                  <c:v>0.8</c:v>
                </c:pt>
                <c:pt idx="12">
                  <c:v>0.8</c:v>
                </c:pt>
                <c:pt idx="13">
                  <c:v>0.8</c:v>
                </c:pt>
                <c:pt idx="14">
                  <c:v>0.8</c:v>
                </c:pt>
                <c:pt idx="15">
                  <c:v>0.8</c:v>
                </c:pt>
                <c:pt idx="16">
                  <c:v>0.8</c:v>
                </c:pt>
                <c:pt idx="17">
                  <c:v>0.8</c:v>
                </c:pt>
                <c:pt idx="18">
                  <c:v>0.2</c:v>
                </c:pt>
                <c:pt idx="19">
                  <c:v>0.2</c:v>
                </c:pt>
                <c:pt idx="20">
                  <c:v>0.2</c:v>
                </c:pt>
                <c:pt idx="21">
                  <c:v>0.2</c:v>
                </c:pt>
                <c:pt idx="22">
                  <c:v>0.1</c:v>
                </c:pt>
                <c:pt idx="23">
                  <c:v>0</c:v>
                </c:pt>
              </c:numCache>
            </c:numRef>
          </c:val>
          <c:smooth val="0"/>
          <c:extLst>
            <c:ext xmlns:c16="http://schemas.microsoft.com/office/drawing/2014/chart" uri="{C3380CC4-5D6E-409C-BE32-E72D297353CC}">
              <c16:uniqueId val="{00000000-06BB-4405-BC60-B55164A79AE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0.00</c:formatCode>
                <c:ptCount val="24"/>
                <c:pt idx="0">
                  <c:v>0</c:v>
                </c:pt>
                <c:pt idx="1">
                  <c:v>0</c:v>
                </c:pt>
                <c:pt idx="2">
                  <c:v>0</c:v>
                </c:pt>
                <c:pt idx="3">
                  <c:v>0</c:v>
                </c:pt>
                <c:pt idx="4">
                  <c:v>0</c:v>
                </c:pt>
                <c:pt idx="5">
                  <c:v>0</c:v>
                </c:pt>
                <c:pt idx="6">
                  <c:v>0</c:v>
                </c:pt>
                <c:pt idx="7">
                  <c:v>0</c:v>
                </c:pt>
                <c:pt idx="8">
                  <c:v>0.2</c:v>
                </c:pt>
                <c:pt idx="9">
                  <c:v>0.2</c:v>
                </c:pt>
                <c:pt idx="10">
                  <c:v>0.2</c:v>
                </c:pt>
                <c:pt idx="11">
                  <c:v>0.6</c:v>
                </c:pt>
                <c:pt idx="12">
                  <c:v>0.6</c:v>
                </c:pt>
                <c:pt idx="13">
                  <c:v>0.6</c:v>
                </c:pt>
                <c:pt idx="14">
                  <c:v>0.6</c:v>
                </c:pt>
                <c:pt idx="15">
                  <c:v>0.6</c:v>
                </c:pt>
                <c:pt idx="16">
                  <c:v>0.6</c:v>
                </c:pt>
                <c:pt idx="17">
                  <c:v>0.6</c:v>
                </c:pt>
                <c:pt idx="18">
                  <c:v>0.6</c:v>
                </c:pt>
                <c:pt idx="19">
                  <c:v>0.6</c:v>
                </c:pt>
                <c:pt idx="20">
                  <c:v>0.6</c:v>
                </c:pt>
                <c:pt idx="21">
                  <c:v>0.8</c:v>
                </c:pt>
                <c:pt idx="22">
                  <c:v>0.1</c:v>
                </c:pt>
                <c:pt idx="23">
                  <c:v>0</c:v>
                </c:pt>
              </c:numCache>
            </c:numRef>
          </c:val>
          <c:smooth val="0"/>
          <c:extLst>
            <c:ext xmlns:c16="http://schemas.microsoft.com/office/drawing/2014/chart" uri="{C3380CC4-5D6E-409C-BE32-E72D297353CC}">
              <c16:uniqueId val="{00000001-06BB-4405-BC60-B55164A79AE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0.00</c:formatCode>
                <c:ptCount val="24"/>
                <c:pt idx="0">
                  <c:v>0</c:v>
                </c:pt>
                <c:pt idx="1">
                  <c:v>0</c:v>
                </c:pt>
                <c:pt idx="2">
                  <c:v>0</c:v>
                </c:pt>
                <c:pt idx="3">
                  <c:v>0</c:v>
                </c:pt>
                <c:pt idx="4">
                  <c:v>0</c:v>
                </c:pt>
                <c:pt idx="5">
                  <c:v>0</c:v>
                </c:pt>
                <c:pt idx="6">
                  <c:v>0</c:v>
                </c:pt>
                <c:pt idx="7">
                  <c:v>0</c:v>
                </c:pt>
                <c:pt idx="8">
                  <c:v>0.1</c:v>
                </c:pt>
                <c:pt idx="9">
                  <c:v>0.1</c:v>
                </c:pt>
                <c:pt idx="10">
                  <c:v>0.1</c:v>
                </c:pt>
                <c:pt idx="11">
                  <c:v>0.1</c:v>
                </c:pt>
                <c:pt idx="12">
                  <c:v>0.1</c:v>
                </c:pt>
                <c:pt idx="13">
                  <c:v>0.7</c:v>
                </c:pt>
                <c:pt idx="14">
                  <c:v>0.7</c:v>
                </c:pt>
                <c:pt idx="15">
                  <c:v>0.7</c:v>
                </c:pt>
                <c:pt idx="16">
                  <c:v>0.7</c:v>
                </c:pt>
                <c:pt idx="17">
                  <c:v>0.7</c:v>
                </c:pt>
                <c:pt idx="18">
                  <c:v>0.7</c:v>
                </c:pt>
                <c:pt idx="19">
                  <c:v>0.7</c:v>
                </c:pt>
                <c:pt idx="20">
                  <c:v>0.7</c:v>
                </c:pt>
                <c:pt idx="21">
                  <c:v>0.7</c:v>
                </c:pt>
                <c:pt idx="22">
                  <c:v>0.2</c:v>
                </c:pt>
                <c:pt idx="23">
                  <c:v>0</c:v>
                </c:pt>
              </c:numCache>
            </c:numRef>
          </c:val>
          <c:smooth val="0"/>
          <c:extLst>
            <c:ext xmlns:c16="http://schemas.microsoft.com/office/drawing/2014/chart" uri="{C3380CC4-5D6E-409C-BE32-E72D297353CC}">
              <c16:uniqueId val="{00000002-06BB-4405-BC60-B55164A79A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0.05</c:v>
                </c:pt>
                <c:pt idx="1">
                  <c:v>0.05</c:v>
                </c:pt>
                <c:pt idx="2">
                  <c:v>0.05</c:v>
                </c:pt>
                <c:pt idx="3">
                  <c:v>0.05</c:v>
                </c:pt>
                <c:pt idx="4">
                  <c:v>0.05</c:v>
                </c:pt>
                <c:pt idx="5">
                  <c:v>0.05</c:v>
                </c:pt>
                <c:pt idx="6">
                  <c:v>0.35</c:v>
                </c:pt>
                <c:pt idx="7">
                  <c:v>0.35</c:v>
                </c:pt>
                <c:pt idx="8">
                  <c:v>0.35</c:v>
                </c:pt>
                <c:pt idx="9">
                  <c:v>0.65</c:v>
                </c:pt>
                <c:pt idx="10">
                  <c:v>0.65</c:v>
                </c:pt>
                <c:pt idx="11">
                  <c:v>0.65</c:v>
                </c:pt>
                <c:pt idx="12">
                  <c:v>0.65</c:v>
                </c:pt>
                <c:pt idx="13">
                  <c:v>0.65</c:v>
                </c:pt>
                <c:pt idx="14">
                  <c:v>0.65</c:v>
                </c:pt>
                <c:pt idx="15">
                  <c:v>0.65</c:v>
                </c:pt>
                <c:pt idx="16">
                  <c:v>0.65</c:v>
                </c:pt>
                <c:pt idx="17">
                  <c:v>0.65</c:v>
                </c:pt>
                <c:pt idx="18">
                  <c:v>0.65</c:v>
                </c:pt>
                <c:pt idx="19">
                  <c:v>0.65</c:v>
                </c:pt>
                <c:pt idx="20">
                  <c:v>0.65</c:v>
                </c:pt>
                <c:pt idx="21">
                  <c:v>0.65</c:v>
                </c:pt>
                <c:pt idx="22">
                  <c:v>0.25</c:v>
                </c:pt>
                <c:pt idx="23">
                  <c:v>0.05</c:v>
                </c:pt>
              </c:numCache>
            </c:numRef>
          </c:val>
          <c:smooth val="0"/>
          <c:extLst>
            <c:ext xmlns:c16="http://schemas.microsoft.com/office/drawing/2014/chart" uri="{C3380CC4-5D6E-409C-BE32-E72D297353CC}">
              <c16:uniqueId val="{00000000-5ED3-4941-8080-3783F3668DDA}"/>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0.05</c:v>
                </c:pt>
                <c:pt idx="1">
                  <c:v>0.05</c:v>
                </c:pt>
                <c:pt idx="2">
                  <c:v>0.05</c:v>
                </c:pt>
                <c:pt idx="3">
                  <c:v>0.05</c:v>
                </c:pt>
                <c:pt idx="4">
                  <c:v>0.05</c:v>
                </c:pt>
                <c:pt idx="5">
                  <c:v>0.05</c:v>
                </c:pt>
                <c:pt idx="6">
                  <c:v>0.05</c:v>
                </c:pt>
                <c:pt idx="7">
                  <c:v>0.3</c:v>
                </c:pt>
                <c:pt idx="8">
                  <c:v>0.3</c:v>
                </c:pt>
                <c:pt idx="9">
                  <c:v>0.4</c:v>
                </c:pt>
                <c:pt idx="10">
                  <c:v>0.4</c:v>
                </c:pt>
                <c:pt idx="11">
                  <c:v>0.4</c:v>
                </c:pt>
                <c:pt idx="12">
                  <c:v>0.4</c:v>
                </c:pt>
                <c:pt idx="13">
                  <c:v>0.4</c:v>
                </c:pt>
                <c:pt idx="14">
                  <c:v>0.4</c:v>
                </c:pt>
                <c:pt idx="15">
                  <c:v>0.4</c:v>
                </c:pt>
                <c:pt idx="16">
                  <c:v>0.4</c:v>
                </c:pt>
                <c:pt idx="17">
                  <c:v>0.4</c:v>
                </c:pt>
                <c:pt idx="18">
                  <c:v>0.4</c:v>
                </c:pt>
                <c:pt idx="19">
                  <c:v>0.4</c:v>
                </c:pt>
                <c:pt idx="20">
                  <c:v>0.4</c:v>
                </c:pt>
                <c:pt idx="21">
                  <c:v>0.4</c:v>
                </c:pt>
                <c:pt idx="22">
                  <c:v>0.4</c:v>
                </c:pt>
                <c:pt idx="23">
                  <c:v>0.05</c:v>
                </c:pt>
              </c:numCache>
            </c:numRef>
          </c:val>
          <c:smooth val="0"/>
          <c:extLst>
            <c:ext xmlns:c16="http://schemas.microsoft.com/office/drawing/2014/chart" uri="{C3380CC4-5D6E-409C-BE32-E72D297353CC}">
              <c16:uniqueId val="{00000001-5ED3-4941-8080-3783F3668DDA}"/>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0.05</c:v>
                </c:pt>
                <c:pt idx="1">
                  <c:v>0.05</c:v>
                </c:pt>
                <c:pt idx="2">
                  <c:v>0.05</c:v>
                </c:pt>
                <c:pt idx="3">
                  <c:v>0.05</c:v>
                </c:pt>
                <c:pt idx="4">
                  <c:v>0.05</c:v>
                </c:pt>
                <c:pt idx="5">
                  <c:v>0.05</c:v>
                </c:pt>
                <c:pt idx="6">
                  <c:v>0.05</c:v>
                </c:pt>
                <c:pt idx="7">
                  <c:v>0.3</c:v>
                </c:pt>
                <c:pt idx="8">
                  <c:v>0.3</c:v>
                </c:pt>
                <c:pt idx="9">
                  <c:v>0.3</c:v>
                </c:pt>
                <c:pt idx="10">
                  <c:v>0.3</c:v>
                </c:pt>
                <c:pt idx="11">
                  <c:v>0.3</c:v>
                </c:pt>
                <c:pt idx="12">
                  <c:v>0.55000000000000004</c:v>
                </c:pt>
                <c:pt idx="13">
                  <c:v>0.55000000000000004</c:v>
                </c:pt>
                <c:pt idx="14">
                  <c:v>0.55000000000000004</c:v>
                </c:pt>
                <c:pt idx="15">
                  <c:v>0.55000000000000004</c:v>
                </c:pt>
                <c:pt idx="16">
                  <c:v>0.55000000000000004</c:v>
                </c:pt>
                <c:pt idx="17">
                  <c:v>0.55000000000000004</c:v>
                </c:pt>
                <c:pt idx="18">
                  <c:v>0.55000000000000004</c:v>
                </c:pt>
                <c:pt idx="19">
                  <c:v>0.55000000000000004</c:v>
                </c:pt>
                <c:pt idx="20">
                  <c:v>0.55000000000000004</c:v>
                </c:pt>
                <c:pt idx="21">
                  <c:v>0.55000000000000004</c:v>
                </c:pt>
                <c:pt idx="22">
                  <c:v>0.05</c:v>
                </c:pt>
                <c:pt idx="23">
                  <c:v>0.05</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0.05</c:v>
                </c:pt>
                <c:pt idx="1">
                  <c:v>0.05</c:v>
                </c:pt>
                <c:pt idx="2">
                  <c:v>0.05</c:v>
                </c:pt>
                <c:pt idx="3">
                  <c:v>0.05</c:v>
                </c:pt>
                <c:pt idx="4">
                  <c:v>0.05</c:v>
                </c:pt>
                <c:pt idx="5">
                  <c:v>0.05</c:v>
                </c:pt>
                <c:pt idx="6">
                  <c:v>0.4</c:v>
                </c:pt>
                <c:pt idx="7">
                  <c:v>0.4</c:v>
                </c:pt>
                <c:pt idx="8">
                  <c:v>0.4</c:v>
                </c:pt>
                <c:pt idx="9">
                  <c:v>0.75</c:v>
                </c:pt>
                <c:pt idx="10">
                  <c:v>0.75</c:v>
                </c:pt>
                <c:pt idx="11">
                  <c:v>0.75</c:v>
                </c:pt>
                <c:pt idx="12">
                  <c:v>0.75</c:v>
                </c:pt>
                <c:pt idx="13">
                  <c:v>0.75</c:v>
                </c:pt>
                <c:pt idx="14">
                  <c:v>0.75</c:v>
                </c:pt>
                <c:pt idx="15">
                  <c:v>0.75</c:v>
                </c:pt>
                <c:pt idx="16">
                  <c:v>0.75</c:v>
                </c:pt>
                <c:pt idx="17">
                  <c:v>0.75</c:v>
                </c:pt>
                <c:pt idx="18">
                  <c:v>0.75</c:v>
                </c:pt>
                <c:pt idx="19">
                  <c:v>0.75</c:v>
                </c:pt>
                <c:pt idx="20">
                  <c:v>0.75</c:v>
                </c:pt>
                <c:pt idx="21">
                  <c:v>0.75</c:v>
                </c:pt>
                <c:pt idx="22">
                  <c:v>0.25</c:v>
                </c:pt>
                <c:pt idx="23">
                  <c:v>0.05</c:v>
                </c:pt>
              </c:numCache>
            </c:numRef>
          </c:val>
          <c:smooth val="0"/>
          <c:extLst>
            <c:ext xmlns:c16="http://schemas.microsoft.com/office/drawing/2014/chart" uri="{C3380CC4-5D6E-409C-BE32-E72D297353CC}">
              <c16:uniqueId val="{00000000-541D-40B0-962A-A5C79439ED8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0.05</c:v>
                </c:pt>
                <c:pt idx="1">
                  <c:v>0.05</c:v>
                </c:pt>
                <c:pt idx="2">
                  <c:v>0.05</c:v>
                </c:pt>
                <c:pt idx="3">
                  <c:v>0.05</c:v>
                </c:pt>
                <c:pt idx="4">
                  <c:v>0.05</c:v>
                </c:pt>
                <c:pt idx="5">
                  <c:v>0.05</c:v>
                </c:pt>
                <c:pt idx="6">
                  <c:v>0.05</c:v>
                </c:pt>
                <c:pt idx="7">
                  <c:v>0.3</c:v>
                </c:pt>
                <c:pt idx="8">
                  <c:v>0.3</c:v>
                </c:pt>
                <c:pt idx="9">
                  <c:v>0.5</c:v>
                </c:pt>
                <c:pt idx="10">
                  <c:v>0.5</c:v>
                </c:pt>
                <c:pt idx="11">
                  <c:v>0.5</c:v>
                </c:pt>
                <c:pt idx="12">
                  <c:v>0.5</c:v>
                </c:pt>
                <c:pt idx="13">
                  <c:v>0.5</c:v>
                </c:pt>
                <c:pt idx="14">
                  <c:v>0.5</c:v>
                </c:pt>
                <c:pt idx="15">
                  <c:v>0.5</c:v>
                </c:pt>
                <c:pt idx="16">
                  <c:v>0.5</c:v>
                </c:pt>
                <c:pt idx="17">
                  <c:v>0.5</c:v>
                </c:pt>
                <c:pt idx="18">
                  <c:v>0.5</c:v>
                </c:pt>
                <c:pt idx="19">
                  <c:v>0.5</c:v>
                </c:pt>
                <c:pt idx="20">
                  <c:v>0.5</c:v>
                </c:pt>
                <c:pt idx="21">
                  <c:v>0.5</c:v>
                </c:pt>
                <c:pt idx="22">
                  <c:v>0.5</c:v>
                </c:pt>
                <c:pt idx="23">
                  <c:v>0.05</c:v>
                </c:pt>
              </c:numCache>
            </c:numRef>
          </c:val>
          <c:smooth val="0"/>
          <c:extLst>
            <c:ext xmlns:c16="http://schemas.microsoft.com/office/drawing/2014/chart" uri="{C3380CC4-5D6E-409C-BE32-E72D297353CC}">
              <c16:uniqueId val="{00000001-541D-40B0-962A-A5C79439ED86}"/>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0.05</c:v>
                </c:pt>
                <c:pt idx="1">
                  <c:v>0.05</c:v>
                </c:pt>
                <c:pt idx="2">
                  <c:v>0.05</c:v>
                </c:pt>
                <c:pt idx="3">
                  <c:v>0.05</c:v>
                </c:pt>
                <c:pt idx="4">
                  <c:v>0.05</c:v>
                </c:pt>
                <c:pt idx="5">
                  <c:v>0.05</c:v>
                </c:pt>
                <c:pt idx="6">
                  <c:v>0.05</c:v>
                </c:pt>
                <c:pt idx="7">
                  <c:v>0.3</c:v>
                </c:pt>
                <c:pt idx="8">
                  <c:v>0.3</c:v>
                </c:pt>
                <c:pt idx="9">
                  <c:v>0.3</c:v>
                </c:pt>
                <c:pt idx="10">
                  <c:v>0.3</c:v>
                </c:pt>
                <c:pt idx="11">
                  <c:v>0.3</c:v>
                </c:pt>
                <c:pt idx="12">
                  <c:v>0.65</c:v>
                </c:pt>
                <c:pt idx="13">
                  <c:v>0.65</c:v>
                </c:pt>
                <c:pt idx="14">
                  <c:v>0.65</c:v>
                </c:pt>
                <c:pt idx="15">
                  <c:v>0.65</c:v>
                </c:pt>
                <c:pt idx="16">
                  <c:v>0.65</c:v>
                </c:pt>
                <c:pt idx="17">
                  <c:v>0.65</c:v>
                </c:pt>
                <c:pt idx="18">
                  <c:v>0.65</c:v>
                </c:pt>
                <c:pt idx="19">
                  <c:v>0.65</c:v>
                </c:pt>
                <c:pt idx="20">
                  <c:v>0.65</c:v>
                </c:pt>
                <c:pt idx="21">
                  <c:v>0.65</c:v>
                </c:pt>
                <c:pt idx="22">
                  <c:v>0.05</c:v>
                </c:pt>
                <c:pt idx="23">
                  <c:v>0.05</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Schedules!$C$13</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Schedules!$E$14</c:f>
              <c:strCache>
                <c:ptCount val="1"/>
                <c:pt idx="0">
                  <c:v>Saturday</c:v>
                </c:pt>
              </c:strCache>
            </c:strRef>
          </c:tx>
          <c:spPr>
            <a:ln w="28575" cap="rnd">
              <a:solidFill>
                <a:schemeClr val="accent1"/>
              </a:solidFill>
              <a:round/>
            </a:ln>
            <a:effectLst/>
          </c:spPr>
          <c:marker>
            <c:symbol val="none"/>
          </c:marker>
          <c:val>
            <c:numRef>
              <c:f>Schedules!$F$14:$AC$14</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0</c:v>
                </c:pt>
              </c:numCache>
            </c:numRef>
          </c:val>
          <c:smooth val="0"/>
          <c:extLst>
            <c:ext xmlns:c16="http://schemas.microsoft.com/office/drawing/2014/chart" uri="{C3380CC4-5D6E-409C-BE32-E72D297353CC}">
              <c16:uniqueId val="{00000000-8C2E-4FDC-8DAB-7FCF7BC63644}"/>
            </c:ext>
          </c:extLst>
        </c:ser>
        <c:ser>
          <c:idx val="1"/>
          <c:order val="1"/>
          <c:tx>
            <c:strRef>
              <c:f>Schedules!$E$15</c:f>
              <c:strCache>
                <c:ptCount val="1"/>
                <c:pt idx="0">
                  <c:v>Sunday</c:v>
                </c:pt>
              </c:strCache>
            </c:strRef>
          </c:tx>
          <c:spPr>
            <a:ln w="28575" cap="rnd">
              <a:solidFill>
                <a:schemeClr val="accent2"/>
              </a:solidFill>
              <a:round/>
            </a:ln>
            <a:effectLst/>
          </c:spPr>
          <c:marker>
            <c:symbol val="none"/>
          </c:marker>
          <c:val>
            <c:numRef>
              <c:f>Schedules!$F$15:$AC$15</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0</c:v>
                </c:pt>
              </c:numCache>
            </c:numRef>
          </c:val>
          <c:smooth val="0"/>
          <c:extLst>
            <c:ext xmlns:c16="http://schemas.microsoft.com/office/drawing/2014/chart" uri="{C3380CC4-5D6E-409C-BE32-E72D297353CC}">
              <c16:uniqueId val="{00000001-8C2E-4FDC-8DAB-7FCF7BC63644}"/>
            </c:ext>
          </c:extLst>
        </c:ser>
        <c:ser>
          <c:idx val="2"/>
          <c:order val="2"/>
          <c:tx>
            <c:strRef>
              <c:f>Schedules!$E$13</c:f>
              <c:strCache>
                <c:ptCount val="1"/>
                <c:pt idx="0">
                  <c:v>Weekday</c:v>
                </c:pt>
              </c:strCache>
            </c:strRef>
          </c:tx>
          <c:spPr>
            <a:ln w="28575" cap="rnd">
              <a:solidFill>
                <a:schemeClr val="accent3"/>
              </a:solidFill>
              <a:round/>
            </a:ln>
            <a:effectLst/>
          </c:spPr>
          <c:marker>
            <c:symbol val="none"/>
          </c:marker>
          <c:val>
            <c:numRef>
              <c:f>Schedules!$F$13:$AC$13</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0</c:v>
                </c:pt>
              </c:numCache>
            </c:numRef>
          </c:val>
          <c:smooth val="0"/>
          <c:extLst>
            <c:ext xmlns:c16="http://schemas.microsoft.com/office/drawing/2014/chart" uri="{C3380CC4-5D6E-409C-BE32-E72D297353CC}">
              <c16:uniqueId val="{00000000-A123-4A84-816A-0D1564E1666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30762375633278399"/>
          <c:h val="0.166438240229018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Schedules!$C$16</c:f>
          <c:strCache>
            <c:ptCount val="1"/>
            <c:pt idx="0">
              <c:v>ServiceHotWater</c:v>
            </c:pt>
          </c:strCache>
        </c:strRef>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Schedules!$E$17</c:f>
              <c:strCache>
                <c:ptCount val="1"/>
                <c:pt idx="0">
                  <c:v>Saturday</c:v>
                </c:pt>
              </c:strCache>
            </c:strRef>
          </c:tx>
          <c:spPr>
            <a:ln w="28575" cap="rnd">
              <a:solidFill>
                <a:schemeClr val="accent1"/>
              </a:solidFill>
              <a:round/>
            </a:ln>
            <a:effectLst/>
          </c:spPr>
          <c:marker>
            <c:symbol val="none"/>
          </c:marker>
          <c:val>
            <c:numRef>
              <c:f>Schedules!$F$17:$AC$17</c:f>
              <c:numCache>
                <c:formatCode>0.00</c:formatCode>
                <c:ptCount val="24"/>
                <c:pt idx="0">
                  <c:v>0</c:v>
                </c:pt>
                <c:pt idx="1">
                  <c:v>0</c:v>
                </c:pt>
                <c:pt idx="2">
                  <c:v>0</c:v>
                </c:pt>
                <c:pt idx="3">
                  <c:v>0</c:v>
                </c:pt>
                <c:pt idx="4">
                  <c:v>0</c:v>
                </c:pt>
                <c:pt idx="5">
                  <c:v>0</c:v>
                </c:pt>
                <c:pt idx="6">
                  <c:v>0</c:v>
                </c:pt>
                <c:pt idx="7">
                  <c:v>0</c:v>
                </c:pt>
                <c:pt idx="8">
                  <c:v>0</c:v>
                </c:pt>
                <c:pt idx="9">
                  <c:v>0.05</c:v>
                </c:pt>
                <c:pt idx="10">
                  <c:v>0.05</c:v>
                </c:pt>
                <c:pt idx="11">
                  <c:v>0.2</c:v>
                </c:pt>
                <c:pt idx="12">
                  <c:v>0</c:v>
                </c:pt>
                <c:pt idx="13">
                  <c:v>0</c:v>
                </c:pt>
                <c:pt idx="14">
                  <c:v>0</c:v>
                </c:pt>
                <c:pt idx="15">
                  <c:v>0</c:v>
                </c:pt>
                <c:pt idx="16">
                  <c:v>0</c:v>
                </c:pt>
                <c:pt idx="17">
                  <c:v>0</c:v>
                </c:pt>
                <c:pt idx="18">
                  <c:v>0</c:v>
                </c:pt>
                <c:pt idx="19">
                  <c:v>0.65</c:v>
                </c:pt>
                <c:pt idx="20">
                  <c:v>0.3</c:v>
                </c:pt>
                <c:pt idx="21">
                  <c:v>0</c:v>
                </c:pt>
                <c:pt idx="22">
                  <c:v>0</c:v>
                </c:pt>
                <c:pt idx="23">
                  <c:v>0</c:v>
                </c:pt>
              </c:numCache>
            </c:numRef>
          </c:val>
          <c:smooth val="0"/>
          <c:extLst>
            <c:ext xmlns:c16="http://schemas.microsoft.com/office/drawing/2014/chart" uri="{C3380CC4-5D6E-409C-BE32-E72D297353CC}">
              <c16:uniqueId val="{00000000-08C4-4E32-A5AC-4CF15D51F2DA}"/>
            </c:ext>
          </c:extLst>
        </c:ser>
        <c:ser>
          <c:idx val="1"/>
          <c:order val="1"/>
          <c:tx>
            <c:strRef>
              <c:f>Schedules!$E$18</c:f>
              <c:strCache>
                <c:ptCount val="1"/>
                <c:pt idx="0">
                  <c:v>Sunday</c:v>
                </c:pt>
              </c:strCache>
            </c:strRef>
          </c:tx>
          <c:spPr>
            <a:ln w="28575" cap="rnd">
              <a:solidFill>
                <a:schemeClr val="accent2"/>
              </a:solidFill>
              <a:round/>
            </a:ln>
            <a:effectLst/>
          </c:spPr>
          <c:marker>
            <c:symbol val="none"/>
          </c:marker>
          <c:val>
            <c:numRef>
              <c:f>Schedules!$F$18:$AC$18</c:f>
              <c:numCache>
                <c:formatCode>0.00</c:formatCode>
                <c:ptCount val="24"/>
                <c:pt idx="0">
                  <c:v>0</c:v>
                </c:pt>
                <c:pt idx="1">
                  <c:v>0</c:v>
                </c:pt>
                <c:pt idx="2">
                  <c:v>0</c:v>
                </c:pt>
                <c:pt idx="3">
                  <c:v>0</c:v>
                </c:pt>
                <c:pt idx="4">
                  <c:v>0</c:v>
                </c:pt>
                <c:pt idx="5">
                  <c:v>0</c:v>
                </c:pt>
                <c:pt idx="6">
                  <c:v>0</c:v>
                </c:pt>
                <c:pt idx="7">
                  <c:v>0</c:v>
                </c:pt>
                <c:pt idx="8">
                  <c:v>0</c:v>
                </c:pt>
                <c:pt idx="9">
                  <c:v>0.05</c:v>
                </c:pt>
                <c:pt idx="10">
                  <c:v>0.05</c:v>
                </c:pt>
                <c:pt idx="11">
                  <c:v>0.1</c:v>
                </c:pt>
                <c:pt idx="12">
                  <c:v>0</c:v>
                </c:pt>
                <c:pt idx="13">
                  <c:v>0</c:v>
                </c:pt>
                <c:pt idx="14">
                  <c:v>0</c:v>
                </c:pt>
                <c:pt idx="15">
                  <c:v>0</c:v>
                </c:pt>
                <c:pt idx="16">
                  <c:v>0</c:v>
                </c:pt>
                <c:pt idx="17">
                  <c:v>0</c:v>
                </c:pt>
                <c:pt idx="18">
                  <c:v>0</c:v>
                </c:pt>
                <c:pt idx="19">
                  <c:v>0.65</c:v>
                </c:pt>
                <c:pt idx="20">
                  <c:v>0.3</c:v>
                </c:pt>
                <c:pt idx="21">
                  <c:v>0</c:v>
                </c:pt>
                <c:pt idx="22">
                  <c:v>0</c:v>
                </c:pt>
                <c:pt idx="23">
                  <c:v>0</c:v>
                </c:pt>
              </c:numCache>
            </c:numRef>
          </c:val>
          <c:smooth val="0"/>
          <c:extLst>
            <c:ext xmlns:c16="http://schemas.microsoft.com/office/drawing/2014/chart" uri="{C3380CC4-5D6E-409C-BE32-E72D297353CC}">
              <c16:uniqueId val="{00000001-08C4-4E32-A5AC-4CF15D51F2DA}"/>
            </c:ext>
          </c:extLst>
        </c:ser>
        <c:ser>
          <c:idx val="2"/>
          <c:order val="2"/>
          <c:tx>
            <c:strRef>
              <c:f>Schedules!$E$16</c:f>
              <c:strCache>
                <c:ptCount val="1"/>
                <c:pt idx="0">
                  <c:v>Weekday</c:v>
                </c:pt>
              </c:strCache>
            </c:strRef>
          </c:tx>
          <c:spPr>
            <a:ln w="28575" cap="rnd">
              <a:solidFill>
                <a:schemeClr val="accent3"/>
              </a:solidFill>
              <a:round/>
            </a:ln>
            <a:effectLst/>
          </c:spPr>
          <c:marker>
            <c:symbol val="none"/>
          </c:marker>
          <c:val>
            <c:numRef>
              <c:f>Schedules!$F$16:$AC$16</c:f>
              <c:numCache>
                <c:formatCode>0.00</c:formatCode>
                <c:ptCount val="24"/>
                <c:pt idx="0">
                  <c:v>0</c:v>
                </c:pt>
                <c:pt idx="1">
                  <c:v>0</c:v>
                </c:pt>
                <c:pt idx="2">
                  <c:v>0</c:v>
                </c:pt>
                <c:pt idx="3">
                  <c:v>0</c:v>
                </c:pt>
                <c:pt idx="4">
                  <c:v>0</c:v>
                </c:pt>
                <c:pt idx="5">
                  <c:v>0</c:v>
                </c:pt>
                <c:pt idx="6">
                  <c:v>0</c:v>
                </c:pt>
                <c:pt idx="7">
                  <c:v>0</c:v>
                </c:pt>
                <c:pt idx="8">
                  <c:v>0</c:v>
                </c:pt>
                <c:pt idx="9">
                  <c:v>0.05</c:v>
                </c:pt>
                <c:pt idx="10">
                  <c:v>0.05</c:v>
                </c:pt>
                <c:pt idx="11">
                  <c:v>0.35</c:v>
                </c:pt>
                <c:pt idx="12">
                  <c:v>0.05</c:v>
                </c:pt>
                <c:pt idx="13">
                  <c:v>0.05</c:v>
                </c:pt>
                <c:pt idx="14">
                  <c:v>0.05</c:v>
                </c:pt>
                <c:pt idx="15">
                  <c:v>0.05</c:v>
                </c:pt>
                <c:pt idx="16">
                  <c:v>0.05</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08C4-4E32-A5AC-4CF15D51F2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
          <c:y val="0.90720805818114503"/>
          <c:w val="1"/>
          <c:h val="9.13431634279527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Equipment</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Schedules!$F$130</c:f>
            </c:strRef>
          </c:tx>
          <c:spPr>
            <a:ln w="28575" cap="rnd">
              <a:solidFill>
                <a:schemeClr val="accent1"/>
              </a:solidFill>
              <a:round/>
            </a:ln>
            <a:effectLst/>
          </c:spPr>
          <c:marker>
            <c:symbol val="none"/>
          </c:marker>
          <c:val>
            <c:numRef>
              <c:f>Schedules!$G$130:$AD$130</c:f>
            </c:numRef>
          </c:val>
          <c:smooth val="0"/>
          <c:extLst>
            <c:ext xmlns:c16="http://schemas.microsoft.com/office/drawing/2014/chart" uri="{C3380CC4-5D6E-409C-BE32-E72D297353CC}">
              <c16:uniqueId val="{00000000-3B57-4713-B0CD-EB5944F38800}"/>
            </c:ext>
          </c:extLst>
        </c:ser>
        <c:ser>
          <c:idx val="1"/>
          <c:order val="1"/>
          <c:tx>
            <c:strRef>
              <c:f>Schedules!$F$131</c:f>
            </c:strRef>
          </c:tx>
          <c:spPr>
            <a:ln w="28575" cap="rnd">
              <a:solidFill>
                <a:schemeClr val="accent2"/>
              </a:solidFill>
              <a:round/>
            </a:ln>
            <a:effectLst/>
          </c:spPr>
          <c:marker>
            <c:symbol val="none"/>
          </c:marker>
          <c:val>
            <c:numRef>
              <c:f>Schedules!$G$131:$AD$131</c:f>
            </c:numRef>
          </c:val>
          <c:smooth val="0"/>
          <c:extLst>
            <c:ext xmlns:c16="http://schemas.microsoft.com/office/drawing/2014/chart" uri="{C3380CC4-5D6E-409C-BE32-E72D297353CC}">
              <c16:uniqueId val="{00000001-3B57-4713-B0CD-EB5944F38800}"/>
            </c:ext>
          </c:extLst>
        </c:ser>
        <c:ser>
          <c:idx val="2"/>
          <c:order val="2"/>
          <c:tx>
            <c:strRef>
              <c:f>Schedules!$F$132</c:f>
            </c:strRef>
          </c:tx>
          <c:spPr>
            <a:ln w="28575" cap="rnd">
              <a:solidFill>
                <a:schemeClr val="accent3"/>
              </a:solidFill>
              <a:round/>
            </a:ln>
            <a:effectLst/>
          </c:spPr>
          <c:marker>
            <c:symbol val="none"/>
          </c:marker>
          <c:val>
            <c:numRef>
              <c:f>Schedules!$G$132:$AD$132</c:f>
            </c:numRef>
          </c:val>
          <c:smooth val="0"/>
          <c:extLst>
            <c:ext xmlns:c16="http://schemas.microsoft.com/office/drawing/2014/chart" uri="{C3380CC4-5D6E-409C-BE32-E72D297353CC}">
              <c16:uniqueId val="{00000002-3B57-4713-B0CD-EB5944F38800}"/>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Schedules!$C$32</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Schedules!$E$32</c:f>
              <c:strCache>
                <c:ptCount val="1"/>
                <c:pt idx="0">
                  <c:v>Weekday</c:v>
                </c:pt>
              </c:strCache>
            </c:strRef>
          </c:tx>
          <c:spPr>
            <a:ln w="28575" cap="rnd">
              <a:solidFill>
                <a:schemeClr val="accent1"/>
              </a:solidFill>
              <a:round/>
            </a:ln>
            <a:effectLst/>
          </c:spPr>
          <c:marker>
            <c:symbol val="none"/>
          </c:marker>
          <c:val>
            <c:numRef>
              <c:f>Schedules!$F$32:$AC$32</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0-3E93-4EF9-8BEB-14F006E84E7B}"/>
            </c:ext>
          </c:extLst>
        </c:ser>
        <c:ser>
          <c:idx val="1"/>
          <c:order val="1"/>
          <c:tx>
            <c:strRef>
              <c:f>Schedules!$E$33</c:f>
              <c:strCache>
                <c:ptCount val="1"/>
                <c:pt idx="0">
                  <c:v>Saturday</c:v>
                </c:pt>
              </c:strCache>
            </c:strRef>
          </c:tx>
          <c:spPr>
            <a:ln w="28575" cap="rnd">
              <a:solidFill>
                <a:schemeClr val="accent2"/>
              </a:solidFill>
              <a:round/>
            </a:ln>
            <a:effectLst/>
          </c:spPr>
          <c:marker>
            <c:symbol val="none"/>
          </c:marker>
          <c:val>
            <c:numRef>
              <c:f>Schedules!$F$33:$AC$33</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1-3E93-4EF9-8BEB-14F006E84E7B}"/>
            </c:ext>
          </c:extLst>
        </c:ser>
        <c:ser>
          <c:idx val="2"/>
          <c:order val="2"/>
          <c:tx>
            <c:strRef>
              <c:f>Schedules!$E$34</c:f>
              <c:strCache>
                <c:ptCount val="1"/>
                <c:pt idx="0">
                  <c:v>Sunday</c:v>
                </c:pt>
              </c:strCache>
            </c:strRef>
          </c:tx>
          <c:spPr>
            <a:ln w="28575" cap="rnd">
              <a:solidFill>
                <a:schemeClr val="accent3"/>
              </a:solidFill>
              <a:round/>
            </a:ln>
            <a:effectLst/>
          </c:spPr>
          <c:marker>
            <c:symbol val="none"/>
          </c:marker>
          <c:val>
            <c:numRef>
              <c:f>Schedules!$F$34:$AC$34</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2-3E93-4EF9-8BEB-14F006E84E7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Schedules!#REF!</c:f>
          <c:strCache>
            <c:ptCount val="1"/>
            <c:pt idx="0">
              <c:v>#REF!</c:v>
            </c:pt>
          </c:strCache>
        </c:strRef>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Schedules!$E$17</c:f>
              <c:strCache>
                <c:ptCount val="1"/>
                <c:pt idx="0">
                  <c:v>Saturday</c:v>
                </c:pt>
              </c:strCache>
            </c:strRef>
          </c:tx>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6="http://schemas.microsoft.com/office/drawing/2014/chart" uri="{C3380CC4-5D6E-409C-BE32-E72D297353CC}">
              <c16:uniqueId val="{00000000-EEEC-449D-A1CE-ED571BDF6D86}"/>
            </c:ext>
          </c:extLst>
        </c:ser>
        <c:ser>
          <c:idx val="1"/>
          <c:order val="1"/>
          <c:tx>
            <c:strRef>
              <c:f>Schedules!$E$18</c:f>
              <c:strCache>
                <c:ptCount val="1"/>
                <c:pt idx="0">
                  <c:v>Sunday</c:v>
                </c:pt>
              </c:strCache>
            </c:strRef>
          </c:tx>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6="http://schemas.microsoft.com/office/drawing/2014/chart" uri="{C3380CC4-5D6E-409C-BE32-E72D297353CC}">
              <c16:uniqueId val="{00000001-EEEC-449D-A1CE-ED571BDF6D86}"/>
            </c:ext>
          </c:extLst>
        </c:ser>
        <c:ser>
          <c:idx val="2"/>
          <c:order val="2"/>
          <c:tx>
            <c:strRef>
              <c:f>Schedules!$E$16</c:f>
              <c:strCache>
                <c:ptCount val="1"/>
                <c:pt idx="0">
                  <c:v>Weekday</c:v>
                </c:pt>
              </c:strCache>
            </c:strRef>
          </c:tx>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6="http://schemas.microsoft.com/office/drawing/2014/chart" uri="{C3380CC4-5D6E-409C-BE32-E72D297353CC}">
              <c16:uniqueId val="{00000002-EEEC-449D-A1CE-ED571BDF6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
          <c:y val="0.90720805818114503"/>
          <c:w val="1"/>
          <c:h val="9.13431634279527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Schedules!$C$19</c:f>
          <c:strCache>
            <c:ptCount val="1"/>
            <c:pt idx="0">
              <c:v>Infiltration</c:v>
            </c:pt>
          </c:strCache>
        </c:strRef>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3"/>
          <c:order val="0"/>
          <c:tx>
            <c:strRef>
              <c:f>Schedules!$E$17</c:f>
              <c:strCache>
                <c:ptCount val="1"/>
                <c:pt idx="0">
                  <c:v>Saturday</c:v>
                </c:pt>
              </c:strCache>
            </c:strRef>
          </c:tx>
          <c:marker>
            <c:symbol val="none"/>
          </c:marker>
          <c:val>
            <c:numRef>
              <c:f>Schedules!$F$20:$AC$20</c:f>
              <c:numCache>
                <c:formatCode>0.00</c:formatCode>
                <c:ptCount val="24"/>
                <c:pt idx="0">
                  <c:v>1</c:v>
                </c:pt>
                <c:pt idx="1">
                  <c:v>1</c:v>
                </c:pt>
                <c:pt idx="2">
                  <c:v>1</c:v>
                </c:pt>
                <c:pt idx="3">
                  <c:v>1</c:v>
                </c:pt>
                <c:pt idx="4">
                  <c:v>1</c:v>
                </c:pt>
                <c:pt idx="5">
                  <c:v>1</c:v>
                </c:pt>
                <c:pt idx="6">
                  <c:v>1</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1</c:v>
                </c:pt>
              </c:numCache>
            </c:numRef>
          </c:val>
          <c:smooth val="0"/>
          <c:extLst>
            <c:ext xmlns:c16="http://schemas.microsoft.com/office/drawing/2014/chart" uri="{C3380CC4-5D6E-409C-BE32-E72D297353CC}">
              <c16:uniqueId val="{00000009-16F9-4F01-A12E-1DE007ECA4FE}"/>
            </c:ext>
          </c:extLst>
        </c:ser>
        <c:ser>
          <c:idx val="4"/>
          <c:order val="1"/>
          <c:tx>
            <c:strRef>
              <c:f>Schedules!$E$18</c:f>
              <c:strCache>
                <c:ptCount val="1"/>
                <c:pt idx="0">
                  <c:v>Sunday</c:v>
                </c:pt>
              </c:strCache>
            </c:strRef>
          </c:tx>
          <c:marker>
            <c:symbol val="none"/>
          </c:marker>
          <c:val>
            <c:numRef>
              <c:f>Schedules!$F$21:$AC$21</c:f>
              <c:numCache>
                <c:formatCode>0.00</c:formatCode>
                <c:ptCount val="24"/>
                <c:pt idx="0">
                  <c:v>1</c:v>
                </c:pt>
                <c:pt idx="1">
                  <c:v>1</c:v>
                </c:pt>
                <c:pt idx="2">
                  <c:v>1</c:v>
                </c:pt>
                <c:pt idx="3">
                  <c:v>1</c:v>
                </c:pt>
                <c:pt idx="4">
                  <c:v>1</c:v>
                </c:pt>
                <c:pt idx="5">
                  <c:v>1</c:v>
                </c:pt>
                <c:pt idx="6">
                  <c:v>1</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1</c:v>
                </c:pt>
              </c:numCache>
            </c:numRef>
          </c:val>
          <c:smooth val="0"/>
          <c:extLst>
            <c:ext xmlns:c16="http://schemas.microsoft.com/office/drawing/2014/chart" uri="{C3380CC4-5D6E-409C-BE32-E72D297353CC}">
              <c16:uniqueId val="{0000000A-16F9-4F01-A12E-1DE007ECA4FE}"/>
            </c:ext>
          </c:extLst>
        </c:ser>
        <c:ser>
          <c:idx val="5"/>
          <c:order val="2"/>
          <c:tx>
            <c:strRef>
              <c:f>Schedules!$E$16</c:f>
              <c:strCache>
                <c:ptCount val="1"/>
                <c:pt idx="0">
                  <c:v>Weekday</c:v>
                </c:pt>
              </c:strCache>
            </c:strRef>
          </c:tx>
          <c:marker>
            <c:symbol val="none"/>
          </c:marker>
          <c:val>
            <c:numRef>
              <c:f>Schedules!$F$19:$AC$19</c:f>
              <c:numCache>
                <c:formatCode>0.00</c:formatCode>
                <c:ptCount val="24"/>
                <c:pt idx="0">
                  <c:v>1</c:v>
                </c:pt>
                <c:pt idx="1">
                  <c:v>1</c:v>
                </c:pt>
                <c:pt idx="2">
                  <c:v>1</c:v>
                </c:pt>
                <c:pt idx="3">
                  <c:v>1</c:v>
                </c:pt>
                <c:pt idx="4">
                  <c:v>1</c:v>
                </c:pt>
                <c:pt idx="5">
                  <c:v>1</c:v>
                </c:pt>
                <c:pt idx="6">
                  <c:v>1</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1</c:v>
                </c:pt>
              </c:numCache>
            </c:numRef>
          </c:val>
          <c:smooth val="0"/>
          <c:extLst>
            <c:ext xmlns:c16="http://schemas.microsoft.com/office/drawing/2014/chart" uri="{C3380CC4-5D6E-409C-BE32-E72D297353CC}">
              <c16:uniqueId val="{0000000B-16F9-4F01-A12E-1DE007ECA4FE}"/>
            </c:ext>
          </c:extLst>
        </c:ser>
        <c:ser>
          <c:idx val="0"/>
          <c:order val="3"/>
          <c:tx>
            <c:strRef>
              <c:f>Schedules!$E$17</c:f>
              <c:strCache>
                <c:ptCount val="1"/>
                <c:pt idx="0">
                  <c:v>Saturday</c:v>
                </c:pt>
              </c:strCache>
            </c:strRef>
          </c:tx>
          <c:spPr>
            <a:ln w="28575" cap="rnd">
              <a:solidFill>
                <a:schemeClr val="accent1"/>
              </a:solidFill>
              <a:round/>
            </a:ln>
            <a:effectLst/>
          </c:spPr>
          <c:marker>
            <c:symbol val="none"/>
          </c:marker>
          <c:val>
            <c:numRef>
              <c:f>Schedules!$F$20:$AC$20</c:f>
              <c:numCache>
                <c:formatCode>0.00</c:formatCode>
                <c:ptCount val="24"/>
                <c:pt idx="0">
                  <c:v>1</c:v>
                </c:pt>
                <c:pt idx="1">
                  <c:v>1</c:v>
                </c:pt>
                <c:pt idx="2">
                  <c:v>1</c:v>
                </c:pt>
                <c:pt idx="3">
                  <c:v>1</c:v>
                </c:pt>
                <c:pt idx="4">
                  <c:v>1</c:v>
                </c:pt>
                <c:pt idx="5">
                  <c:v>1</c:v>
                </c:pt>
                <c:pt idx="6">
                  <c:v>1</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1</c:v>
                </c:pt>
              </c:numCache>
            </c:numRef>
          </c:val>
          <c:smooth val="0"/>
          <c:extLst>
            <c:ext xmlns:c16="http://schemas.microsoft.com/office/drawing/2014/chart" uri="{C3380CC4-5D6E-409C-BE32-E72D297353CC}">
              <c16:uniqueId val="{00000004-16F9-4F01-A12E-1DE007ECA4FE}"/>
            </c:ext>
          </c:extLst>
        </c:ser>
        <c:ser>
          <c:idx val="1"/>
          <c:order val="4"/>
          <c:tx>
            <c:strRef>
              <c:f>Schedules!$E$18</c:f>
              <c:strCache>
                <c:ptCount val="1"/>
                <c:pt idx="0">
                  <c:v>Sunday</c:v>
                </c:pt>
              </c:strCache>
            </c:strRef>
          </c:tx>
          <c:spPr>
            <a:ln w="28575" cap="rnd">
              <a:solidFill>
                <a:schemeClr val="accent2"/>
              </a:solidFill>
              <a:round/>
            </a:ln>
            <a:effectLst/>
          </c:spPr>
          <c:marker>
            <c:symbol val="none"/>
          </c:marker>
          <c:val>
            <c:numRef>
              <c:f>Schedules!$F$21:$AC$21</c:f>
              <c:numCache>
                <c:formatCode>0.00</c:formatCode>
                <c:ptCount val="24"/>
                <c:pt idx="0">
                  <c:v>1</c:v>
                </c:pt>
                <c:pt idx="1">
                  <c:v>1</c:v>
                </c:pt>
                <c:pt idx="2">
                  <c:v>1</c:v>
                </c:pt>
                <c:pt idx="3">
                  <c:v>1</c:v>
                </c:pt>
                <c:pt idx="4">
                  <c:v>1</c:v>
                </c:pt>
                <c:pt idx="5">
                  <c:v>1</c:v>
                </c:pt>
                <c:pt idx="6">
                  <c:v>1</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1</c:v>
                </c:pt>
              </c:numCache>
            </c:numRef>
          </c:val>
          <c:smooth val="0"/>
          <c:extLst>
            <c:ext xmlns:c16="http://schemas.microsoft.com/office/drawing/2014/chart" uri="{C3380CC4-5D6E-409C-BE32-E72D297353CC}">
              <c16:uniqueId val="{00000006-16F9-4F01-A12E-1DE007ECA4FE}"/>
            </c:ext>
          </c:extLst>
        </c:ser>
        <c:ser>
          <c:idx val="2"/>
          <c:order val="5"/>
          <c:tx>
            <c:strRef>
              <c:f>Schedules!$E$16</c:f>
              <c:strCache>
                <c:ptCount val="1"/>
                <c:pt idx="0">
                  <c:v>Weekday</c:v>
                </c:pt>
              </c:strCache>
            </c:strRef>
          </c:tx>
          <c:spPr>
            <a:ln w="28575" cap="rnd">
              <a:solidFill>
                <a:schemeClr val="accent3"/>
              </a:solidFill>
              <a:round/>
            </a:ln>
            <a:effectLst/>
          </c:spPr>
          <c:marker>
            <c:symbol val="none"/>
          </c:marker>
          <c:val>
            <c:numRef>
              <c:f>Schedules!$F$19:$AC$19</c:f>
              <c:numCache>
                <c:formatCode>0.00</c:formatCode>
                <c:ptCount val="24"/>
                <c:pt idx="0">
                  <c:v>1</c:v>
                </c:pt>
                <c:pt idx="1">
                  <c:v>1</c:v>
                </c:pt>
                <c:pt idx="2">
                  <c:v>1</c:v>
                </c:pt>
                <c:pt idx="3">
                  <c:v>1</c:v>
                </c:pt>
                <c:pt idx="4">
                  <c:v>1</c:v>
                </c:pt>
                <c:pt idx="5">
                  <c:v>1</c:v>
                </c:pt>
                <c:pt idx="6">
                  <c:v>1</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1</c:v>
                </c:pt>
              </c:numCache>
            </c:numRef>
          </c:val>
          <c:smooth val="0"/>
          <c:extLst>
            <c:ext xmlns:c16="http://schemas.microsoft.com/office/drawing/2014/chart" uri="{C3380CC4-5D6E-409C-BE32-E72D297353CC}">
              <c16:uniqueId val="{00000008-16F9-4F01-A12E-1DE007ECA4F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plotArea>
    <c:legend>
      <c:legendPos val="b"/>
      <c:layout>
        <c:manualLayout>
          <c:xMode val="edge"/>
          <c:yMode val="edge"/>
          <c:x val="0"/>
          <c:y val="0.90720805818114503"/>
          <c:w val="1"/>
          <c:h val="9.13431634279527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Schedules!$C$22</c:f>
          <c:strCache>
            <c:ptCount val="1"/>
            <c:pt idx="0">
              <c:v>GasEquipment</c:v>
            </c:pt>
          </c:strCache>
        </c:strRef>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3"/>
          <c:order val="0"/>
          <c:tx>
            <c:strRef>
              <c:f>Schedules!$E$17</c:f>
              <c:strCache>
                <c:ptCount val="1"/>
                <c:pt idx="0">
                  <c:v>Saturday</c:v>
                </c:pt>
              </c:strCache>
            </c:strRef>
          </c:tx>
          <c:spPr>
            <a:ln>
              <a:solidFill>
                <a:schemeClr val="accent1"/>
              </a:solidFill>
            </a:ln>
          </c:spPr>
          <c:marker>
            <c:symbol val="none"/>
          </c:marker>
          <c:val>
            <c:numRef>
              <c:f>Schedules!$F$23:$AC$23</c:f>
              <c:numCache>
                <c:formatCode>0.00</c:formatCode>
                <c:ptCount val="24"/>
                <c:pt idx="0">
                  <c:v>0</c:v>
                </c:pt>
                <c:pt idx="1">
                  <c:v>0</c:v>
                </c:pt>
                <c:pt idx="2">
                  <c:v>0</c:v>
                </c:pt>
                <c:pt idx="3">
                  <c:v>0</c:v>
                </c:pt>
                <c:pt idx="4">
                  <c:v>0</c:v>
                </c:pt>
                <c:pt idx="5">
                  <c:v>0</c:v>
                </c:pt>
                <c:pt idx="6">
                  <c:v>0</c:v>
                </c:pt>
                <c:pt idx="7">
                  <c:v>0</c:v>
                </c:pt>
                <c:pt idx="8">
                  <c:v>0.3</c:v>
                </c:pt>
                <c:pt idx="9">
                  <c:v>0.3</c:v>
                </c:pt>
                <c:pt idx="10">
                  <c:v>0.2</c:v>
                </c:pt>
                <c:pt idx="11">
                  <c:v>0.7</c:v>
                </c:pt>
                <c:pt idx="12">
                  <c:v>0.7</c:v>
                </c:pt>
                <c:pt idx="13">
                  <c:v>0.7</c:v>
                </c:pt>
                <c:pt idx="14">
                  <c:v>0.2</c:v>
                </c:pt>
                <c:pt idx="15">
                  <c:v>0.2</c:v>
                </c:pt>
                <c:pt idx="16">
                  <c:v>0.2</c:v>
                </c:pt>
                <c:pt idx="17">
                  <c:v>0.4</c:v>
                </c:pt>
                <c:pt idx="18">
                  <c:v>0.4</c:v>
                </c:pt>
                <c:pt idx="19">
                  <c:v>0.1</c:v>
                </c:pt>
                <c:pt idx="20">
                  <c:v>0.1</c:v>
                </c:pt>
                <c:pt idx="21">
                  <c:v>0.1</c:v>
                </c:pt>
                <c:pt idx="22">
                  <c:v>0</c:v>
                </c:pt>
                <c:pt idx="23">
                  <c:v>0</c:v>
                </c:pt>
              </c:numCache>
            </c:numRef>
          </c:val>
          <c:smooth val="0"/>
          <c:extLst>
            <c:ext xmlns:c16="http://schemas.microsoft.com/office/drawing/2014/chart" uri="{C3380CC4-5D6E-409C-BE32-E72D297353CC}">
              <c16:uniqueId val="{00000000-7419-40AB-95F7-07776E40DAF7}"/>
            </c:ext>
          </c:extLst>
        </c:ser>
        <c:ser>
          <c:idx val="4"/>
          <c:order val="1"/>
          <c:tx>
            <c:strRef>
              <c:f>Schedules!$E$18</c:f>
              <c:strCache>
                <c:ptCount val="1"/>
                <c:pt idx="0">
                  <c:v>Sunday</c:v>
                </c:pt>
              </c:strCache>
            </c:strRef>
          </c:tx>
          <c:spPr>
            <a:ln>
              <a:solidFill>
                <a:schemeClr val="accent2"/>
              </a:solidFill>
            </a:ln>
          </c:spPr>
          <c:marker>
            <c:symbol val="none"/>
          </c:marker>
          <c:val>
            <c:numRef>
              <c:f>Schedules!$F$24:$AC$24</c:f>
              <c:numCache>
                <c:formatCode>0.00</c:formatCode>
                <c:ptCount val="24"/>
                <c:pt idx="0">
                  <c:v>0</c:v>
                </c:pt>
                <c:pt idx="1">
                  <c:v>0</c:v>
                </c:pt>
                <c:pt idx="2">
                  <c:v>0</c:v>
                </c:pt>
                <c:pt idx="3">
                  <c:v>0</c:v>
                </c:pt>
                <c:pt idx="4">
                  <c:v>0</c:v>
                </c:pt>
                <c:pt idx="5">
                  <c:v>0</c:v>
                </c:pt>
                <c:pt idx="6">
                  <c:v>0</c:v>
                </c:pt>
                <c:pt idx="7">
                  <c:v>0</c:v>
                </c:pt>
                <c:pt idx="8">
                  <c:v>0.2</c:v>
                </c:pt>
                <c:pt idx="9">
                  <c:v>0.2</c:v>
                </c:pt>
                <c:pt idx="10">
                  <c:v>0.1</c:v>
                </c:pt>
                <c:pt idx="11">
                  <c:v>0.1</c:v>
                </c:pt>
                <c:pt idx="12">
                  <c:v>0.3</c:v>
                </c:pt>
                <c:pt idx="13">
                  <c:v>0.8</c:v>
                </c:pt>
                <c:pt idx="14">
                  <c:v>0.2</c:v>
                </c:pt>
                <c:pt idx="15">
                  <c:v>0.2</c:v>
                </c:pt>
                <c:pt idx="16">
                  <c:v>0.2</c:v>
                </c:pt>
                <c:pt idx="17">
                  <c:v>0.5</c:v>
                </c:pt>
                <c:pt idx="18">
                  <c:v>0.5</c:v>
                </c:pt>
                <c:pt idx="19">
                  <c:v>0.1</c:v>
                </c:pt>
                <c:pt idx="20">
                  <c:v>0.1</c:v>
                </c:pt>
                <c:pt idx="21">
                  <c:v>0.1</c:v>
                </c:pt>
                <c:pt idx="22">
                  <c:v>0</c:v>
                </c:pt>
                <c:pt idx="23">
                  <c:v>0</c:v>
                </c:pt>
              </c:numCache>
            </c:numRef>
          </c:val>
          <c:smooth val="0"/>
          <c:extLst>
            <c:ext xmlns:c16="http://schemas.microsoft.com/office/drawing/2014/chart" uri="{C3380CC4-5D6E-409C-BE32-E72D297353CC}">
              <c16:uniqueId val="{00000001-7419-40AB-95F7-07776E40DAF7}"/>
            </c:ext>
          </c:extLst>
        </c:ser>
        <c:ser>
          <c:idx val="5"/>
          <c:order val="2"/>
          <c:tx>
            <c:strRef>
              <c:f>Schedules!$E$16</c:f>
              <c:strCache>
                <c:ptCount val="1"/>
                <c:pt idx="0">
                  <c:v>Weekday</c:v>
                </c:pt>
              </c:strCache>
            </c:strRef>
          </c:tx>
          <c:spPr>
            <a:ln>
              <a:solidFill>
                <a:schemeClr val="accent3"/>
              </a:solidFill>
            </a:ln>
          </c:spPr>
          <c:marker>
            <c:symbol val="none"/>
          </c:marker>
          <c:val>
            <c:numRef>
              <c:f>Schedules!$F$22:$AC$22</c:f>
              <c:numCache>
                <c:formatCode>0.00</c:formatCode>
                <c:ptCount val="24"/>
                <c:pt idx="0">
                  <c:v>0</c:v>
                </c:pt>
                <c:pt idx="1">
                  <c:v>0</c:v>
                </c:pt>
                <c:pt idx="2">
                  <c:v>0</c:v>
                </c:pt>
                <c:pt idx="3">
                  <c:v>0</c:v>
                </c:pt>
                <c:pt idx="4">
                  <c:v>0</c:v>
                </c:pt>
                <c:pt idx="5">
                  <c:v>0</c:v>
                </c:pt>
                <c:pt idx="6">
                  <c:v>0</c:v>
                </c:pt>
                <c:pt idx="7">
                  <c:v>0</c:v>
                </c:pt>
                <c:pt idx="8">
                  <c:v>0.3</c:v>
                </c:pt>
                <c:pt idx="9">
                  <c:v>0.3</c:v>
                </c:pt>
                <c:pt idx="10">
                  <c:v>0.2</c:v>
                </c:pt>
                <c:pt idx="11">
                  <c:v>0.9</c:v>
                </c:pt>
                <c:pt idx="12">
                  <c:v>0.9</c:v>
                </c:pt>
                <c:pt idx="13">
                  <c:v>0.9</c:v>
                </c:pt>
                <c:pt idx="14">
                  <c:v>0.2</c:v>
                </c:pt>
                <c:pt idx="15">
                  <c:v>0.2</c:v>
                </c:pt>
                <c:pt idx="16">
                  <c:v>0.2</c:v>
                </c:pt>
                <c:pt idx="17">
                  <c:v>0.5</c:v>
                </c:pt>
                <c:pt idx="18">
                  <c:v>0.5</c:v>
                </c:pt>
                <c:pt idx="19">
                  <c:v>0.1</c:v>
                </c:pt>
                <c:pt idx="20">
                  <c:v>0.1</c:v>
                </c:pt>
                <c:pt idx="21">
                  <c:v>0.1</c:v>
                </c:pt>
                <c:pt idx="22">
                  <c:v>0</c:v>
                </c:pt>
                <c:pt idx="23">
                  <c:v>0</c:v>
                </c:pt>
              </c:numCache>
            </c:numRef>
          </c:val>
          <c:smooth val="0"/>
          <c:extLst>
            <c:ext xmlns:c16="http://schemas.microsoft.com/office/drawing/2014/chart" uri="{C3380CC4-5D6E-409C-BE32-E72D297353CC}">
              <c16:uniqueId val="{00000002-7419-40AB-95F7-07776E40DAF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plotArea>
    <c:legend>
      <c:legendPos val="b"/>
      <c:layout>
        <c:manualLayout>
          <c:xMode val="edge"/>
          <c:yMode val="edge"/>
          <c:x val="0"/>
          <c:y val="0.90720805818114503"/>
          <c:w val="1"/>
          <c:h val="9.13431634279527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Schedules!$C$35</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Schedules!$E$35</c:f>
              <c:strCache>
                <c:ptCount val="1"/>
                <c:pt idx="0">
                  <c:v>Weekday</c:v>
                </c:pt>
              </c:strCache>
            </c:strRef>
          </c:tx>
          <c:spPr>
            <a:ln w="28575" cap="rnd">
              <a:solidFill>
                <a:schemeClr val="accent1"/>
              </a:solidFill>
              <a:round/>
            </a:ln>
            <a:effectLst/>
          </c:spPr>
          <c:marker>
            <c:symbol val="none"/>
          </c:marker>
          <c:val>
            <c:numRef>
              <c:f>Schedules!$F$35:$AC$35</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1143-4ACE-AADC-2C0F16C167CB}"/>
            </c:ext>
          </c:extLst>
        </c:ser>
        <c:ser>
          <c:idx val="1"/>
          <c:order val="1"/>
          <c:tx>
            <c:strRef>
              <c:f>Schedules!$E$36</c:f>
              <c:strCache>
                <c:ptCount val="1"/>
                <c:pt idx="0">
                  <c:v>Saturday</c:v>
                </c:pt>
              </c:strCache>
            </c:strRef>
          </c:tx>
          <c:spPr>
            <a:ln w="28575" cap="rnd">
              <a:solidFill>
                <a:schemeClr val="accent2"/>
              </a:solidFill>
              <a:round/>
            </a:ln>
            <a:effectLst/>
          </c:spPr>
          <c:marker>
            <c:symbol val="none"/>
          </c:marker>
          <c:val>
            <c:numRef>
              <c:f>Schedules!$F$36:$AC$36</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1143-4ACE-AADC-2C0F16C167CB}"/>
            </c:ext>
          </c:extLst>
        </c:ser>
        <c:ser>
          <c:idx val="2"/>
          <c:order val="2"/>
          <c:tx>
            <c:strRef>
              <c:f>Schedules!$E$37</c:f>
              <c:strCache>
                <c:ptCount val="1"/>
                <c:pt idx="0">
                  <c:v>Sunday</c:v>
                </c:pt>
              </c:strCache>
            </c:strRef>
          </c:tx>
          <c:spPr>
            <a:ln w="28575" cap="rnd">
              <a:solidFill>
                <a:schemeClr val="accent3"/>
              </a:solidFill>
              <a:round/>
            </a:ln>
            <a:effectLst/>
          </c:spPr>
          <c:marker>
            <c:symbol val="none"/>
          </c:marker>
          <c:val>
            <c:numRef>
              <c:f>Schedules!$F$37:$AC$37</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1143-4ACE-AADC-2C0F16C167C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Schedules!$C$38</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Schedules!$E$38</c:f>
              <c:strCache>
                <c:ptCount val="1"/>
                <c:pt idx="0">
                  <c:v>Weekday</c:v>
                </c:pt>
              </c:strCache>
            </c:strRef>
          </c:tx>
          <c:spPr>
            <a:ln w="28575" cap="rnd">
              <a:solidFill>
                <a:schemeClr val="accent1"/>
              </a:solidFill>
              <a:round/>
            </a:ln>
            <a:effectLst/>
          </c:spPr>
          <c:marker>
            <c:symbol val="none"/>
          </c:marker>
          <c:val>
            <c:numRef>
              <c:f>Schedules!$F$38:$AC$38</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0-1143-4ACE-AADC-2C0F16C167CB}"/>
            </c:ext>
          </c:extLst>
        </c:ser>
        <c:ser>
          <c:idx val="1"/>
          <c:order val="1"/>
          <c:tx>
            <c:strRef>
              <c:f>Schedules!$E$39</c:f>
              <c:strCache>
                <c:ptCount val="1"/>
                <c:pt idx="0">
                  <c:v>Saturday</c:v>
                </c:pt>
              </c:strCache>
            </c:strRef>
          </c:tx>
          <c:spPr>
            <a:ln w="28575" cap="rnd">
              <a:solidFill>
                <a:schemeClr val="accent2"/>
              </a:solidFill>
              <a:round/>
            </a:ln>
            <a:effectLst/>
          </c:spPr>
          <c:marker>
            <c:symbol val="none"/>
          </c:marker>
          <c:val>
            <c:numRef>
              <c:f>Schedules!$F$39:$AC$39</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1-1143-4ACE-AADC-2C0F16C167CB}"/>
            </c:ext>
          </c:extLst>
        </c:ser>
        <c:ser>
          <c:idx val="2"/>
          <c:order val="2"/>
          <c:tx>
            <c:strRef>
              <c:f>Schedules!$E$40</c:f>
              <c:strCache>
                <c:ptCount val="1"/>
                <c:pt idx="0">
                  <c:v>Sunday</c:v>
                </c:pt>
              </c:strCache>
            </c:strRef>
          </c:tx>
          <c:spPr>
            <a:ln w="28575" cap="rnd">
              <a:solidFill>
                <a:schemeClr val="accent3"/>
              </a:solidFill>
              <a:round/>
            </a:ln>
            <a:effectLst/>
          </c:spPr>
          <c:marker>
            <c:symbol val="none"/>
          </c:marker>
          <c:val>
            <c:numRef>
              <c:f>Schedules!$F$40:$AD$40</c:f>
              <c:numCache>
                <c:formatCode>0.00</c:formatCode>
                <c:ptCount val="25"/>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2-1143-4ACE-AADC-2C0F16C167C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Schedules!$C$41</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Schedules!$E$41</c:f>
              <c:strCache>
                <c:ptCount val="1"/>
                <c:pt idx="0">
                  <c:v>Weekday</c:v>
                </c:pt>
              </c:strCache>
            </c:strRef>
          </c:tx>
          <c:spPr>
            <a:ln w="28575" cap="rnd">
              <a:solidFill>
                <a:schemeClr val="accent1"/>
              </a:solidFill>
              <a:round/>
            </a:ln>
            <a:effectLst/>
          </c:spPr>
          <c:marker>
            <c:symbol val="none"/>
          </c:marker>
          <c:val>
            <c:numRef>
              <c:f>Schedules!$F$41:$AC$41</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1973-4031-867D-68EC4AC69E76}"/>
            </c:ext>
          </c:extLst>
        </c:ser>
        <c:ser>
          <c:idx val="1"/>
          <c:order val="1"/>
          <c:tx>
            <c:strRef>
              <c:f>Schedules!$E$42</c:f>
              <c:strCache>
                <c:ptCount val="1"/>
                <c:pt idx="0">
                  <c:v>Saturday</c:v>
                </c:pt>
              </c:strCache>
            </c:strRef>
          </c:tx>
          <c:spPr>
            <a:ln w="28575" cap="rnd">
              <a:solidFill>
                <a:schemeClr val="accent2"/>
              </a:solidFill>
              <a:round/>
            </a:ln>
            <a:effectLst/>
          </c:spPr>
          <c:marker>
            <c:symbol val="none"/>
          </c:marker>
          <c:val>
            <c:numRef>
              <c:f>Schedules!$F$42:$AC$42</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1973-4031-867D-68EC4AC69E76}"/>
            </c:ext>
          </c:extLst>
        </c:ser>
        <c:ser>
          <c:idx val="2"/>
          <c:order val="2"/>
          <c:tx>
            <c:strRef>
              <c:f>Schedules!$E$43</c:f>
              <c:strCache>
                <c:ptCount val="1"/>
                <c:pt idx="0">
                  <c:v>Sunday</c:v>
                </c:pt>
              </c:strCache>
            </c:strRef>
          </c:tx>
          <c:spPr>
            <a:ln w="28575" cap="rnd">
              <a:solidFill>
                <a:schemeClr val="accent3"/>
              </a:solidFill>
              <a:round/>
            </a:ln>
            <a:effectLst/>
          </c:spPr>
          <c:marker>
            <c:symbol val="none"/>
          </c:marker>
          <c:val>
            <c:numRef>
              <c:f>Schedules!$F$43:$AC$43</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1973-4031-867D-68EC4AC69E7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Schedules!$C$44</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3"/>
          <c:tx>
            <c:strRef>
              <c:f>Schedules!$E$44</c:f>
              <c:strCache>
                <c:ptCount val="1"/>
                <c:pt idx="0">
                  <c:v>Weekday</c:v>
                </c:pt>
              </c:strCache>
            </c:strRef>
          </c:tx>
          <c:spPr>
            <a:ln w="28575" cap="rnd">
              <a:solidFill>
                <a:schemeClr val="accent1"/>
              </a:solidFill>
              <a:round/>
            </a:ln>
            <a:effectLst/>
          </c:spPr>
          <c:marker>
            <c:symbol val="none"/>
          </c:marker>
          <c:val>
            <c:numRef>
              <c:f>Schedules!$F$44:$AC$44</c:f>
              <c:numCache>
                <c:formatCode>0.00</c:formatCode>
                <c:ptCount val="24"/>
                <c:pt idx="0">
                  <c:v>0</c:v>
                </c:pt>
                <c:pt idx="1">
                  <c:v>0</c:v>
                </c:pt>
                <c:pt idx="2">
                  <c:v>0</c:v>
                </c:pt>
                <c:pt idx="3">
                  <c:v>0.05</c:v>
                </c:pt>
                <c:pt idx="4">
                  <c:v>0.05</c:v>
                </c:pt>
                <c:pt idx="5">
                  <c:v>0.05</c:v>
                </c:pt>
                <c:pt idx="6">
                  <c:v>0.8</c:v>
                </c:pt>
                <c:pt idx="7">
                  <c:v>0.7</c:v>
                </c:pt>
                <c:pt idx="8">
                  <c:v>0.5</c:v>
                </c:pt>
                <c:pt idx="9">
                  <c:v>0.4</c:v>
                </c:pt>
                <c:pt idx="10">
                  <c:v>0.25</c:v>
                </c:pt>
                <c:pt idx="11">
                  <c:v>0.25</c:v>
                </c:pt>
                <c:pt idx="12">
                  <c:v>0.25</c:v>
                </c:pt>
                <c:pt idx="13">
                  <c:v>0.25</c:v>
                </c:pt>
                <c:pt idx="14">
                  <c:v>0.5</c:v>
                </c:pt>
                <c:pt idx="15">
                  <c:v>0.6</c:v>
                </c:pt>
                <c:pt idx="16">
                  <c:v>0.7</c:v>
                </c:pt>
                <c:pt idx="17">
                  <c:v>0.7</c:v>
                </c:pt>
                <c:pt idx="18">
                  <c:v>0.4</c:v>
                </c:pt>
                <c:pt idx="19">
                  <c:v>0.25</c:v>
                </c:pt>
                <c:pt idx="20">
                  <c:v>0.2</c:v>
                </c:pt>
                <c:pt idx="21">
                  <c:v>0.2</c:v>
                </c:pt>
                <c:pt idx="22">
                  <c:v>0.05</c:v>
                </c:pt>
                <c:pt idx="23">
                  <c:v>0.05</c:v>
                </c:pt>
              </c:numCache>
            </c:numRef>
          </c:val>
          <c:smooth val="0"/>
          <c:extLst>
            <c:ext xmlns:c16="http://schemas.microsoft.com/office/drawing/2014/chart" uri="{C3380CC4-5D6E-409C-BE32-E72D297353CC}">
              <c16:uniqueId val="{00000004-DBA7-469E-AB71-EA2AFB9B8C85}"/>
            </c:ext>
          </c:extLst>
        </c:ser>
        <c:ser>
          <c:idx val="1"/>
          <c:order val="4"/>
          <c:tx>
            <c:strRef>
              <c:f>Schedules!$E$45</c:f>
              <c:strCache>
                <c:ptCount val="1"/>
                <c:pt idx="0">
                  <c:v>Saturday</c:v>
                </c:pt>
              </c:strCache>
            </c:strRef>
          </c:tx>
          <c:spPr>
            <a:ln w="28575" cap="rnd">
              <a:solidFill>
                <a:schemeClr val="accent2"/>
              </a:solidFill>
              <a:round/>
            </a:ln>
            <a:effectLst/>
          </c:spPr>
          <c:marker>
            <c:symbol val="none"/>
          </c:marker>
          <c:val>
            <c:numRef>
              <c:f>Schedules!$F$45:$AC$45</c:f>
              <c:numCache>
                <c:formatCode>0.00</c:formatCode>
                <c:ptCount val="24"/>
                <c:pt idx="0">
                  <c:v>0</c:v>
                </c:pt>
                <c:pt idx="1">
                  <c:v>0</c:v>
                </c:pt>
                <c:pt idx="2">
                  <c:v>0</c:v>
                </c:pt>
                <c:pt idx="3">
                  <c:v>0.05</c:v>
                </c:pt>
                <c:pt idx="4">
                  <c:v>0.05</c:v>
                </c:pt>
                <c:pt idx="5">
                  <c:v>0.05</c:v>
                </c:pt>
                <c:pt idx="6">
                  <c:v>0.8</c:v>
                </c:pt>
                <c:pt idx="7">
                  <c:v>0.7</c:v>
                </c:pt>
                <c:pt idx="8">
                  <c:v>0.5</c:v>
                </c:pt>
                <c:pt idx="9">
                  <c:v>0.4</c:v>
                </c:pt>
                <c:pt idx="10">
                  <c:v>0.25</c:v>
                </c:pt>
                <c:pt idx="11">
                  <c:v>0.25</c:v>
                </c:pt>
                <c:pt idx="12">
                  <c:v>0.25</c:v>
                </c:pt>
                <c:pt idx="13">
                  <c:v>0.25</c:v>
                </c:pt>
                <c:pt idx="14">
                  <c:v>0.5</c:v>
                </c:pt>
                <c:pt idx="15">
                  <c:v>0.6</c:v>
                </c:pt>
                <c:pt idx="16">
                  <c:v>0.7</c:v>
                </c:pt>
                <c:pt idx="17">
                  <c:v>0.7</c:v>
                </c:pt>
                <c:pt idx="18">
                  <c:v>0.4</c:v>
                </c:pt>
                <c:pt idx="19">
                  <c:v>0.25</c:v>
                </c:pt>
                <c:pt idx="20">
                  <c:v>0.2</c:v>
                </c:pt>
                <c:pt idx="21">
                  <c:v>0.2</c:v>
                </c:pt>
                <c:pt idx="22">
                  <c:v>0.05</c:v>
                </c:pt>
                <c:pt idx="23">
                  <c:v>0.05</c:v>
                </c:pt>
              </c:numCache>
            </c:numRef>
          </c:val>
          <c:smooth val="0"/>
          <c:extLst>
            <c:ext xmlns:c16="http://schemas.microsoft.com/office/drawing/2014/chart" uri="{C3380CC4-5D6E-409C-BE32-E72D297353CC}">
              <c16:uniqueId val="{00000006-DBA7-469E-AB71-EA2AFB9B8C85}"/>
            </c:ext>
          </c:extLst>
        </c:ser>
        <c:ser>
          <c:idx val="2"/>
          <c:order val="5"/>
          <c:tx>
            <c:strRef>
              <c:f>Schedules!$E$46</c:f>
              <c:strCache>
                <c:ptCount val="1"/>
                <c:pt idx="0">
                  <c:v>Sunday</c:v>
                </c:pt>
              </c:strCache>
            </c:strRef>
          </c:tx>
          <c:spPr>
            <a:ln w="28575" cap="rnd">
              <a:solidFill>
                <a:schemeClr val="accent3"/>
              </a:solidFill>
              <a:round/>
            </a:ln>
            <a:effectLst/>
          </c:spPr>
          <c:marker>
            <c:symbol val="none"/>
          </c:marker>
          <c:val>
            <c:numRef>
              <c:f>Schedules!$F$46:$AC$46</c:f>
              <c:numCache>
                <c:formatCode>0.00</c:formatCode>
                <c:ptCount val="24"/>
                <c:pt idx="0">
                  <c:v>0</c:v>
                </c:pt>
                <c:pt idx="1">
                  <c:v>0</c:v>
                </c:pt>
                <c:pt idx="2">
                  <c:v>0</c:v>
                </c:pt>
                <c:pt idx="3">
                  <c:v>0.05</c:v>
                </c:pt>
                <c:pt idx="4">
                  <c:v>0.05</c:v>
                </c:pt>
                <c:pt idx="5">
                  <c:v>0.05</c:v>
                </c:pt>
                <c:pt idx="6">
                  <c:v>0.8</c:v>
                </c:pt>
                <c:pt idx="7">
                  <c:v>0.7</c:v>
                </c:pt>
                <c:pt idx="8">
                  <c:v>0.5</c:v>
                </c:pt>
                <c:pt idx="9">
                  <c:v>0.4</c:v>
                </c:pt>
                <c:pt idx="10">
                  <c:v>0.25</c:v>
                </c:pt>
                <c:pt idx="11">
                  <c:v>0.25</c:v>
                </c:pt>
                <c:pt idx="12">
                  <c:v>0.25</c:v>
                </c:pt>
                <c:pt idx="13">
                  <c:v>0.25</c:v>
                </c:pt>
                <c:pt idx="14">
                  <c:v>0.5</c:v>
                </c:pt>
                <c:pt idx="15">
                  <c:v>0.6</c:v>
                </c:pt>
                <c:pt idx="16">
                  <c:v>0.7</c:v>
                </c:pt>
                <c:pt idx="17">
                  <c:v>0.7</c:v>
                </c:pt>
                <c:pt idx="18">
                  <c:v>0.4</c:v>
                </c:pt>
                <c:pt idx="19">
                  <c:v>0.25</c:v>
                </c:pt>
                <c:pt idx="20">
                  <c:v>0.2</c:v>
                </c:pt>
                <c:pt idx="21">
                  <c:v>0.2</c:v>
                </c:pt>
                <c:pt idx="22">
                  <c:v>0.05</c:v>
                </c:pt>
                <c:pt idx="23">
                  <c:v>0.05</c:v>
                </c:pt>
              </c:numCache>
            </c:numRef>
          </c:val>
          <c:smooth val="0"/>
          <c:extLst>
            <c:ext xmlns:c16="http://schemas.microsoft.com/office/drawing/2014/chart" uri="{C3380CC4-5D6E-409C-BE32-E72D297353CC}">
              <c16:uniqueId val="{00000008-DBA7-469E-AB71-EA2AFB9B8C85}"/>
            </c:ext>
          </c:extLst>
        </c:ser>
        <c:dLbls>
          <c:showLegendKey val="0"/>
          <c:showVal val="0"/>
          <c:showCatName val="0"/>
          <c:showSerName val="0"/>
          <c:showPercent val="0"/>
          <c:showBubbleSize val="0"/>
        </c:dLbls>
        <c:smooth val="0"/>
        <c:axId val="1801622976"/>
        <c:axId val="1801623456"/>
        <c:extLst>
          <c:ext xmlns:c15="http://schemas.microsoft.com/office/drawing/2012/chart" uri="{02D57815-91ED-43cb-92C2-25804820EDAC}">
            <c15:filteredLineSeries>
              <c15:ser>
                <c:idx val="3"/>
                <c:order val="0"/>
                <c:tx>
                  <c:strRef>
                    <c:extLst>
                      <c:ext uri="{02D57815-91ED-43cb-92C2-25804820EDAC}">
                        <c15:formulaRef>
                          <c15:sqref>Schedules!$E$44</c15:sqref>
                        </c15:formulaRef>
                      </c:ext>
                    </c:extLst>
                    <c:strCache>
                      <c:ptCount val="1"/>
                      <c:pt idx="0">
                        <c:v>Weekday</c:v>
                      </c:pt>
                    </c:strCache>
                  </c:strRef>
                </c:tx>
                <c:marker>
                  <c:symbol val="none"/>
                </c:marker>
                <c:val>
                  <c:numRef>
                    <c:extLst>
                      <c:ext uri="{02D57815-91ED-43cb-92C2-25804820EDAC}">
                        <c15:formulaRef>
                          <c15:sqref>Schedules!$F$44:$AC$44</c15:sqref>
                        </c15:formulaRef>
                      </c:ext>
                    </c:extLst>
                    <c:numCache>
                      <c:formatCode>0.00</c:formatCode>
                      <c:ptCount val="24"/>
                      <c:pt idx="0">
                        <c:v>0</c:v>
                      </c:pt>
                      <c:pt idx="1">
                        <c:v>0</c:v>
                      </c:pt>
                      <c:pt idx="2">
                        <c:v>0</c:v>
                      </c:pt>
                      <c:pt idx="3">
                        <c:v>0.05</c:v>
                      </c:pt>
                      <c:pt idx="4">
                        <c:v>0.05</c:v>
                      </c:pt>
                      <c:pt idx="5">
                        <c:v>0.05</c:v>
                      </c:pt>
                      <c:pt idx="6">
                        <c:v>0.8</c:v>
                      </c:pt>
                      <c:pt idx="7">
                        <c:v>0.7</c:v>
                      </c:pt>
                      <c:pt idx="8">
                        <c:v>0.5</c:v>
                      </c:pt>
                      <c:pt idx="9">
                        <c:v>0.4</c:v>
                      </c:pt>
                      <c:pt idx="10">
                        <c:v>0.25</c:v>
                      </c:pt>
                      <c:pt idx="11">
                        <c:v>0.25</c:v>
                      </c:pt>
                      <c:pt idx="12">
                        <c:v>0.25</c:v>
                      </c:pt>
                      <c:pt idx="13">
                        <c:v>0.25</c:v>
                      </c:pt>
                      <c:pt idx="14">
                        <c:v>0.5</c:v>
                      </c:pt>
                      <c:pt idx="15">
                        <c:v>0.6</c:v>
                      </c:pt>
                      <c:pt idx="16">
                        <c:v>0.7</c:v>
                      </c:pt>
                      <c:pt idx="17">
                        <c:v>0.7</c:v>
                      </c:pt>
                      <c:pt idx="18">
                        <c:v>0.4</c:v>
                      </c:pt>
                      <c:pt idx="19">
                        <c:v>0.25</c:v>
                      </c:pt>
                      <c:pt idx="20">
                        <c:v>0.2</c:v>
                      </c:pt>
                      <c:pt idx="21">
                        <c:v>0.2</c:v>
                      </c:pt>
                      <c:pt idx="22">
                        <c:v>0.05</c:v>
                      </c:pt>
                      <c:pt idx="23">
                        <c:v>0.05</c:v>
                      </c:pt>
                    </c:numCache>
                  </c:numRef>
                </c:val>
                <c:smooth val="0"/>
                <c:extLst>
                  <c:ext xmlns:c16="http://schemas.microsoft.com/office/drawing/2014/chart" uri="{C3380CC4-5D6E-409C-BE32-E72D297353CC}">
                    <c16:uniqueId val="{00000009-DBA7-469E-AB71-EA2AFB9B8C85}"/>
                  </c:ext>
                </c:extLst>
              </c15:ser>
            </c15:filteredLineSeries>
            <c15:filteredLineSeries>
              <c15:ser>
                <c:idx val="4"/>
                <c:order val="1"/>
                <c:tx>
                  <c:strRef>
                    <c:extLst xmlns:c15="http://schemas.microsoft.com/office/drawing/2012/chart">
                      <c:ext xmlns:c15="http://schemas.microsoft.com/office/drawing/2012/chart" uri="{02D57815-91ED-43cb-92C2-25804820EDAC}">
                        <c15:formulaRef>
                          <c15:sqref>Schedules!$E$45</c15:sqref>
                        </c15:formulaRef>
                      </c:ext>
                    </c:extLst>
                    <c:strCache>
                      <c:ptCount val="1"/>
                      <c:pt idx="0">
                        <c:v>Saturday</c:v>
                      </c:pt>
                    </c:strCache>
                  </c:strRef>
                </c:tx>
                <c:marker>
                  <c:symbol val="none"/>
                </c:marker>
                <c:val>
                  <c:numRef>
                    <c:extLst xmlns:c15="http://schemas.microsoft.com/office/drawing/2012/chart">
                      <c:ext xmlns:c15="http://schemas.microsoft.com/office/drawing/2012/chart" uri="{02D57815-91ED-43cb-92C2-25804820EDAC}">
                        <c15:formulaRef>
                          <c15:sqref>Schedules!$F$45:$AC$45</c15:sqref>
                        </c15:formulaRef>
                      </c:ext>
                    </c:extLst>
                    <c:numCache>
                      <c:formatCode>0.00</c:formatCode>
                      <c:ptCount val="24"/>
                      <c:pt idx="0">
                        <c:v>0</c:v>
                      </c:pt>
                      <c:pt idx="1">
                        <c:v>0</c:v>
                      </c:pt>
                      <c:pt idx="2">
                        <c:v>0</c:v>
                      </c:pt>
                      <c:pt idx="3">
                        <c:v>0.05</c:v>
                      </c:pt>
                      <c:pt idx="4">
                        <c:v>0.05</c:v>
                      </c:pt>
                      <c:pt idx="5">
                        <c:v>0.05</c:v>
                      </c:pt>
                      <c:pt idx="6">
                        <c:v>0.8</c:v>
                      </c:pt>
                      <c:pt idx="7">
                        <c:v>0.7</c:v>
                      </c:pt>
                      <c:pt idx="8">
                        <c:v>0.5</c:v>
                      </c:pt>
                      <c:pt idx="9">
                        <c:v>0.4</c:v>
                      </c:pt>
                      <c:pt idx="10">
                        <c:v>0.25</c:v>
                      </c:pt>
                      <c:pt idx="11">
                        <c:v>0.25</c:v>
                      </c:pt>
                      <c:pt idx="12">
                        <c:v>0.25</c:v>
                      </c:pt>
                      <c:pt idx="13">
                        <c:v>0.25</c:v>
                      </c:pt>
                      <c:pt idx="14">
                        <c:v>0.5</c:v>
                      </c:pt>
                      <c:pt idx="15">
                        <c:v>0.6</c:v>
                      </c:pt>
                      <c:pt idx="16">
                        <c:v>0.7</c:v>
                      </c:pt>
                      <c:pt idx="17">
                        <c:v>0.7</c:v>
                      </c:pt>
                      <c:pt idx="18">
                        <c:v>0.4</c:v>
                      </c:pt>
                      <c:pt idx="19">
                        <c:v>0.25</c:v>
                      </c:pt>
                      <c:pt idx="20">
                        <c:v>0.2</c:v>
                      </c:pt>
                      <c:pt idx="21">
                        <c:v>0.2</c:v>
                      </c:pt>
                      <c:pt idx="22">
                        <c:v>0.05</c:v>
                      </c:pt>
                      <c:pt idx="23">
                        <c:v>0.05</c:v>
                      </c:pt>
                    </c:numCache>
                  </c:numRef>
                </c:val>
                <c:smooth val="0"/>
                <c:extLst xmlns:c15="http://schemas.microsoft.com/office/drawing/2012/chart">
                  <c:ext xmlns:c16="http://schemas.microsoft.com/office/drawing/2014/chart" uri="{C3380CC4-5D6E-409C-BE32-E72D297353CC}">
                    <c16:uniqueId val="{0000000A-DBA7-469E-AB71-EA2AFB9B8C85}"/>
                  </c:ext>
                </c:extLst>
              </c15:ser>
            </c15:filteredLineSeries>
            <c15:filteredLineSeries>
              <c15:ser>
                <c:idx val="5"/>
                <c:order val="2"/>
                <c:tx>
                  <c:strRef>
                    <c:extLst xmlns:c15="http://schemas.microsoft.com/office/drawing/2012/chart">
                      <c:ext xmlns:c15="http://schemas.microsoft.com/office/drawing/2012/chart" uri="{02D57815-91ED-43cb-92C2-25804820EDAC}">
                        <c15:formulaRef>
                          <c15:sqref>Schedules!$E$46</c15:sqref>
                        </c15:formulaRef>
                      </c:ext>
                    </c:extLst>
                    <c:strCache>
                      <c:ptCount val="1"/>
                      <c:pt idx="0">
                        <c:v>Sunday</c:v>
                      </c:pt>
                    </c:strCache>
                  </c:strRef>
                </c:tx>
                <c:marker>
                  <c:symbol val="none"/>
                </c:marker>
                <c:val>
                  <c:numRef>
                    <c:extLst xmlns:c15="http://schemas.microsoft.com/office/drawing/2012/chart">
                      <c:ext xmlns:c15="http://schemas.microsoft.com/office/drawing/2012/chart" uri="{02D57815-91ED-43cb-92C2-25804820EDAC}">
                        <c15:formulaRef>
                          <c15:sqref>Schedules!$F$46:$AC$46</c15:sqref>
                        </c15:formulaRef>
                      </c:ext>
                    </c:extLst>
                    <c:numCache>
                      <c:formatCode>0.00</c:formatCode>
                      <c:ptCount val="24"/>
                      <c:pt idx="0">
                        <c:v>0</c:v>
                      </c:pt>
                      <c:pt idx="1">
                        <c:v>0</c:v>
                      </c:pt>
                      <c:pt idx="2">
                        <c:v>0</c:v>
                      </c:pt>
                      <c:pt idx="3">
                        <c:v>0.05</c:v>
                      </c:pt>
                      <c:pt idx="4">
                        <c:v>0.05</c:v>
                      </c:pt>
                      <c:pt idx="5">
                        <c:v>0.05</c:v>
                      </c:pt>
                      <c:pt idx="6">
                        <c:v>0.8</c:v>
                      </c:pt>
                      <c:pt idx="7">
                        <c:v>0.7</c:v>
                      </c:pt>
                      <c:pt idx="8">
                        <c:v>0.5</c:v>
                      </c:pt>
                      <c:pt idx="9">
                        <c:v>0.4</c:v>
                      </c:pt>
                      <c:pt idx="10">
                        <c:v>0.25</c:v>
                      </c:pt>
                      <c:pt idx="11">
                        <c:v>0.25</c:v>
                      </c:pt>
                      <c:pt idx="12">
                        <c:v>0.25</c:v>
                      </c:pt>
                      <c:pt idx="13">
                        <c:v>0.25</c:v>
                      </c:pt>
                      <c:pt idx="14">
                        <c:v>0.5</c:v>
                      </c:pt>
                      <c:pt idx="15">
                        <c:v>0.6</c:v>
                      </c:pt>
                      <c:pt idx="16">
                        <c:v>0.7</c:v>
                      </c:pt>
                      <c:pt idx="17">
                        <c:v>0.7</c:v>
                      </c:pt>
                      <c:pt idx="18">
                        <c:v>0.4</c:v>
                      </c:pt>
                      <c:pt idx="19">
                        <c:v>0.25</c:v>
                      </c:pt>
                      <c:pt idx="20">
                        <c:v>0.2</c:v>
                      </c:pt>
                      <c:pt idx="21">
                        <c:v>0.2</c:v>
                      </c:pt>
                      <c:pt idx="22">
                        <c:v>0.05</c:v>
                      </c:pt>
                      <c:pt idx="23">
                        <c:v>0.05</c:v>
                      </c:pt>
                    </c:numCache>
                  </c:numRef>
                </c:val>
                <c:smooth val="0"/>
                <c:extLst xmlns:c15="http://schemas.microsoft.com/office/drawing/2012/chart">
                  <c:ext xmlns:c16="http://schemas.microsoft.com/office/drawing/2014/chart" uri="{C3380CC4-5D6E-409C-BE32-E72D297353CC}">
                    <c16:uniqueId val="{0000000B-DBA7-469E-AB71-EA2AFB9B8C85}"/>
                  </c:ext>
                </c:extLst>
              </c15:ser>
            </c15:filteredLineSeries>
          </c:ext>
        </c:extLst>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Schedules!$C$57</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Schedules!$E$57</c:f>
              <c:strCache>
                <c:ptCount val="1"/>
                <c:pt idx="0">
                  <c:v>Weekday</c:v>
                </c:pt>
              </c:strCache>
            </c:strRef>
          </c:tx>
          <c:spPr>
            <a:ln w="28575" cap="rnd">
              <a:solidFill>
                <a:schemeClr val="accent1"/>
              </a:solidFill>
              <a:round/>
            </a:ln>
            <a:effectLst/>
          </c:spPr>
          <c:marker>
            <c:symbol val="none"/>
          </c:marker>
          <c:val>
            <c:numRef>
              <c:f>Schedules!$F$57:$AC$57</c:f>
              <c:numCache>
                <c:formatCode>0.00</c:formatCode>
                <c:ptCount val="24"/>
                <c:pt idx="0">
                  <c:v>0.9</c:v>
                </c:pt>
                <c:pt idx="1">
                  <c:v>0.9</c:v>
                </c:pt>
                <c:pt idx="2">
                  <c:v>0.9</c:v>
                </c:pt>
                <c:pt idx="3">
                  <c:v>0.9</c:v>
                </c:pt>
                <c:pt idx="4">
                  <c:v>0.9</c:v>
                </c:pt>
                <c:pt idx="5">
                  <c:v>0.9</c:v>
                </c:pt>
                <c:pt idx="6">
                  <c:v>0.7</c:v>
                </c:pt>
                <c:pt idx="7">
                  <c:v>0.4</c:v>
                </c:pt>
                <c:pt idx="8">
                  <c:v>0.4</c:v>
                </c:pt>
                <c:pt idx="9">
                  <c:v>0.2</c:v>
                </c:pt>
                <c:pt idx="10">
                  <c:v>0.2</c:v>
                </c:pt>
                <c:pt idx="11">
                  <c:v>0.2</c:v>
                </c:pt>
                <c:pt idx="12">
                  <c:v>0.2</c:v>
                </c:pt>
                <c:pt idx="13">
                  <c:v>0.2</c:v>
                </c:pt>
                <c:pt idx="14">
                  <c:v>0.2</c:v>
                </c:pt>
                <c:pt idx="15">
                  <c:v>0.3</c:v>
                </c:pt>
                <c:pt idx="16">
                  <c:v>0.5</c:v>
                </c:pt>
                <c:pt idx="17">
                  <c:v>0.5</c:v>
                </c:pt>
                <c:pt idx="18">
                  <c:v>0.5</c:v>
                </c:pt>
                <c:pt idx="19">
                  <c:v>0.7</c:v>
                </c:pt>
                <c:pt idx="20">
                  <c:v>0.7</c:v>
                </c:pt>
                <c:pt idx="21">
                  <c:v>0.8</c:v>
                </c:pt>
                <c:pt idx="22">
                  <c:v>0.9</c:v>
                </c:pt>
                <c:pt idx="23">
                  <c:v>0.9</c:v>
                </c:pt>
              </c:numCache>
            </c:numRef>
          </c:val>
          <c:smooth val="0"/>
          <c:extLst>
            <c:ext xmlns:c16="http://schemas.microsoft.com/office/drawing/2014/chart" uri="{C3380CC4-5D6E-409C-BE32-E72D297353CC}">
              <c16:uniqueId val="{00000000-D9E6-4C9F-8369-4DC707E881C5}"/>
            </c:ext>
          </c:extLst>
        </c:ser>
        <c:ser>
          <c:idx val="1"/>
          <c:order val="1"/>
          <c:tx>
            <c:strRef>
              <c:f>Schedules!$E$58</c:f>
              <c:strCache>
                <c:ptCount val="1"/>
                <c:pt idx="0">
                  <c:v>Saturday</c:v>
                </c:pt>
              </c:strCache>
            </c:strRef>
          </c:tx>
          <c:spPr>
            <a:ln w="28575" cap="rnd">
              <a:solidFill>
                <a:schemeClr val="accent2"/>
              </a:solidFill>
              <a:round/>
            </a:ln>
            <a:effectLst/>
          </c:spPr>
          <c:marker>
            <c:symbol val="none"/>
          </c:marker>
          <c:val>
            <c:numRef>
              <c:f>Schedules!$F$58:$AC$58</c:f>
              <c:numCache>
                <c:formatCode>0.00</c:formatCode>
                <c:ptCount val="24"/>
                <c:pt idx="0">
                  <c:v>0.9</c:v>
                </c:pt>
                <c:pt idx="1">
                  <c:v>0.9</c:v>
                </c:pt>
                <c:pt idx="2">
                  <c:v>0.9</c:v>
                </c:pt>
                <c:pt idx="3">
                  <c:v>0.9</c:v>
                </c:pt>
                <c:pt idx="4">
                  <c:v>0.9</c:v>
                </c:pt>
                <c:pt idx="5">
                  <c:v>0.9</c:v>
                </c:pt>
                <c:pt idx="6">
                  <c:v>0.7</c:v>
                </c:pt>
                <c:pt idx="7">
                  <c:v>0.4</c:v>
                </c:pt>
                <c:pt idx="8">
                  <c:v>0.4</c:v>
                </c:pt>
                <c:pt idx="9">
                  <c:v>0.2</c:v>
                </c:pt>
                <c:pt idx="10">
                  <c:v>0.2</c:v>
                </c:pt>
                <c:pt idx="11">
                  <c:v>0.2</c:v>
                </c:pt>
                <c:pt idx="12">
                  <c:v>0.2</c:v>
                </c:pt>
                <c:pt idx="13">
                  <c:v>0.2</c:v>
                </c:pt>
                <c:pt idx="14">
                  <c:v>0.2</c:v>
                </c:pt>
                <c:pt idx="15">
                  <c:v>0.3</c:v>
                </c:pt>
                <c:pt idx="16">
                  <c:v>0.5</c:v>
                </c:pt>
                <c:pt idx="17">
                  <c:v>0.5</c:v>
                </c:pt>
                <c:pt idx="18">
                  <c:v>0.5</c:v>
                </c:pt>
                <c:pt idx="19">
                  <c:v>0.7</c:v>
                </c:pt>
                <c:pt idx="20">
                  <c:v>0.7</c:v>
                </c:pt>
                <c:pt idx="21">
                  <c:v>0.8</c:v>
                </c:pt>
                <c:pt idx="22">
                  <c:v>0.9</c:v>
                </c:pt>
                <c:pt idx="23">
                  <c:v>0.9</c:v>
                </c:pt>
              </c:numCache>
            </c:numRef>
          </c:val>
          <c:smooth val="0"/>
          <c:extLst>
            <c:ext xmlns:c16="http://schemas.microsoft.com/office/drawing/2014/chart" uri="{C3380CC4-5D6E-409C-BE32-E72D297353CC}">
              <c16:uniqueId val="{00000001-D9E6-4C9F-8369-4DC707E881C5}"/>
            </c:ext>
          </c:extLst>
        </c:ser>
        <c:ser>
          <c:idx val="2"/>
          <c:order val="2"/>
          <c:tx>
            <c:strRef>
              <c:f>Schedules!$E$59</c:f>
              <c:strCache>
                <c:ptCount val="1"/>
                <c:pt idx="0">
                  <c:v>Sunday</c:v>
                </c:pt>
              </c:strCache>
            </c:strRef>
          </c:tx>
          <c:spPr>
            <a:ln w="28575" cap="rnd">
              <a:solidFill>
                <a:schemeClr val="accent3"/>
              </a:solidFill>
              <a:round/>
            </a:ln>
            <a:effectLst/>
          </c:spPr>
          <c:marker>
            <c:symbol val="none"/>
          </c:marker>
          <c:val>
            <c:numRef>
              <c:f>Schedules!$F$59:$AC$59</c:f>
              <c:numCache>
                <c:formatCode>0.00</c:formatCode>
                <c:ptCount val="24"/>
                <c:pt idx="0">
                  <c:v>0.9</c:v>
                </c:pt>
                <c:pt idx="1">
                  <c:v>0.9</c:v>
                </c:pt>
                <c:pt idx="2">
                  <c:v>0.9</c:v>
                </c:pt>
                <c:pt idx="3">
                  <c:v>0.9</c:v>
                </c:pt>
                <c:pt idx="4">
                  <c:v>0.9</c:v>
                </c:pt>
                <c:pt idx="5">
                  <c:v>0.9</c:v>
                </c:pt>
                <c:pt idx="6">
                  <c:v>0.7</c:v>
                </c:pt>
                <c:pt idx="7">
                  <c:v>0.4</c:v>
                </c:pt>
                <c:pt idx="8">
                  <c:v>0.4</c:v>
                </c:pt>
                <c:pt idx="9">
                  <c:v>0.2</c:v>
                </c:pt>
                <c:pt idx="10">
                  <c:v>0.2</c:v>
                </c:pt>
                <c:pt idx="11">
                  <c:v>0.2</c:v>
                </c:pt>
                <c:pt idx="12">
                  <c:v>0.2</c:v>
                </c:pt>
                <c:pt idx="13">
                  <c:v>0.2</c:v>
                </c:pt>
                <c:pt idx="14">
                  <c:v>0.2</c:v>
                </c:pt>
                <c:pt idx="15">
                  <c:v>0.3</c:v>
                </c:pt>
                <c:pt idx="16">
                  <c:v>0.5</c:v>
                </c:pt>
                <c:pt idx="17">
                  <c:v>0.5</c:v>
                </c:pt>
                <c:pt idx="18">
                  <c:v>0.5</c:v>
                </c:pt>
                <c:pt idx="19">
                  <c:v>0.7</c:v>
                </c:pt>
                <c:pt idx="20">
                  <c:v>0.7</c:v>
                </c:pt>
                <c:pt idx="21">
                  <c:v>0.8</c:v>
                </c:pt>
                <c:pt idx="22">
                  <c:v>0.9</c:v>
                </c:pt>
                <c:pt idx="23">
                  <c:v>0.9</c:v>
                </c:pt>
              </c:numCache>
            </c:numRef>
          </c:val>
          <c:smooth val="0"/>
          <c:extLst>
            <c:ext xmlns:c16="http://schemas.microsoft.com/office/drawing/2014/chart" uri="{C3380CC4-5D6E-409C-BE32-E72D297353CC}">
              <c16:uniqueId val="{00000002-D9E6-4C9F-8369-4DC707E881C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Schedules!$C$60</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Schedules!$E$60</c:f>
              <c:strCache>
                <c:ptCount val="1"/>
                <c:pt idx="0">
                  <c:v>Weekday</c:v>
                </c:pt>
              </c:strCache>
            </c:strRef>
          </c:tx>
          <c:spPr>
            <a:ln w="28575" cap="rnd">
              <a:solidFill>
                <a:schemeClr val="accent1"/>
              </a:solidFill>
              <a:round/>
            </a:ln>
            <a:effectLst/>
          </c:spPr>
          <c:marker>
            <c:symbol val="none"/>
          </c:marker>
          <c:val>
            <c:numRef>
              <c:f>Schedules!$F$60:$AC$60</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0-06E6-4A1D-9019-F3DA23A7A0EF}"/>
            </c:ext>
          </c:extLst>
        </c:ser>
        <c:ser>
          <c:idx val="1"/>
          <c:order val="1"/>
          <c:tx>
            <c:strRef>
              <c:f>Schedules!$E$61</c:f>
              <c:strCache>
                <c:ptCount val="1"/>
                <c:pt idx="0">
                  <c:v>Saturday</c:v>
                </c:pt>
              </c:strCache>
            </c:strRef>
          </c:tx>
          <c:spPr>
            <a:ln w="28575" cap="rnd">
              <a:solidFill>
                <a:schemeClr val="accent2"/>
              </a:solidFill>
              <a:round/>
            </a:ln>
            <a:effectLst/>
          </c:spPr>
          <c:marker>
            <c:symbol val="none"/>
          </c:marker>
          <c:val>
            <c:numRef>
              <c:f>Schedules!$F$61:$AC$61</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1-06E6-4A1D-9019-F3DA23A7A0EF}"/>
            </c:ext>
          </c:extLst>
        </c:ser>
        <c:ser>
          <c:idx val="2"/>
          <c:order val="2"/>
          <c:tx>
            <c:strRef>
              <c:f>Schedules!$E$62</c:f>
              <c:strCache>
                <c:ptCount val="1"/>
                <c:pt idx="0">
                  <c:v>Sunday</c:v>
                </c:pt>
              </c:strCache>
            </c:strRef>
          </c:tx>
          <c:spPr>
            <a:ln w="28575" cap="rnd">
              <a:solidFill>
                <a:schemeClr val="accent3"/>
              </a:solidFill>
              <a:round/>
            </a:ln>
            <a:effectLst/>
          </c:spPr>
          <c:marker>
            <c:symbol val="none"/>
          </c:marker>
          <c:val>
            <c:numRef>
              <c:f>Schedules!$F$62:$AC$62</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2-06E6-4A1D-9019-F3DA23A7A0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Schedules!$C$63</c:f>
          <c:strCache>
            <c:ptCount val="1"/>
            <c:pt idx="0">
              <c:v>ElecEquipment </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Schedules!$E$63</c:f>
              <c:strCache>
                <c:ptCount val="1"/>
                <c:pt idx="0">
                  <c:v>Weekday</c:v>
                </c:pt>
              </c:strCache>
            </c:strRef>
          </c:tx>
          <c:spPr>
            <a:ln w="28575" cap="rnd">
              <a:solidFill>
                <a:schemeClr val="accent1"/>
              </a:solidFill>
              <a:round/>
            </a:ln>
            <a:effectLst/>
          </c:spPr>
          <c:marker>
            <c:symbol val="none"/>
          </c:marker>
          <c:val>
            <c:numRef>
              <c:f>Schedules!$F$63:$AC$63</c:f>
              <c:numCache>
                <c:formatCode>0.00</c:formatCode>
                <c:ptCount val="24"/>
                <c:pt idx="0">
                  <c:v>0.1</c:v>
                </c:pt>
                <c:pt idx="1">
                  <c:v>0.1</c:v>
                </c:pt>
                <c:pt idx="2">
                  <c:v>0.1</c:v>
                </c:pt>
                <c:pt idx="3">
                  <c:v>0.1</c:v>
                </c:pt>
                <c:pt idx="4">
                  <c:v>0.1</c:v>
                </c:pt>
                <c:pt idx="5">
                  <c:v>0.3</c:v>
                </c:pt>
                <c:pt idx="6">
                  <c:v>0.45</c:v>
                </c:pt>
                <c:pt idx="7">
                  <c:v>0.45</c:v>
                </c:pt>
                <c:pt idx="8">
                  <c:v>0.45</c:v>
                </c:pt>
                <c:pt idx="9">
                  <c:v>0.45</c:v>
                </c:pt>
                <c:pt idx="10">
                  <c:v>0.2</c:v>
                </c:pt>
                <c:pt idx="11">
                  <c:v>0.2</c:v>
                </c:pt>
                <c:pt idx="12">
                  <c:v>0.2</c:v>
                </c:pt>
                <c:pt idx="13">
                  <c:v>0.2</c:v>
                </c:pt>
                <c:pt idx="14">
                  <c:v>0.2</c:v>
                </c:pt>
                <c:pt idx="15">
                  <c:v>0.2</c:v>
                </c:pt>
                <c:pt idx="16">
                  <c:v>0.2</c:v>
                </c:pt>
                <c:pt idx="17">
                  <c:v>0.2</c:v>
                </c:pt>
                <c:pt idx="18">
                  <c:v>0.4</c:v>
                </c:pt>
                <c:pt idx="19">
                  <c:v>0.5</c:v>
                </c:pt>
                <c:pt idx="20">
                  <c:v>0.6</c:v>
                </c:pt>
                <c:pt idx="21">
                  <c:v>0.5</c:v>
                </c:pt>
                <c:pt idx="22">
                  <c:v>0.4</c:v>
                </c:pt>
                <c:pt idx="23">
                  <c:v>0.25</c:v>
                </c:pt>
              </c:numCache>
            </c:numRef>
          </c:val>
          <c:smooth val="0"/>
          <c:extLst>
            <c:ext xmlns:c16="http://schemas.microsoft.com/office/drawing/2014/chart" uri="{C3380CC4-5D6E-409C-BE32-E72D297353CC}">
              <c16:uniqueId val="{00000000-FFCB-438C-9218-1E8F9C77762F}"/>
            </c:ext>
          </c:extLst>
        </c:ser>
        <c:ser>
          <c:idx val="1"/>
          <c:order val="1"/>
          <c:tx>
            <c:strRef>
              <c:f>Schedules!$E$64</c:f>
              <c:strCache>
                <c:ptCount val="1"/>
                <c:pt idx="0">
                  <c:v>Saturday</c:v>
                </c:pt>
              </c:strCache>
            </c:strRef>
          </c:tx>
          <c:spPr>
            <a:ln w="28575" cap="rnd">
              <a:solidFill>
                <a:schemeClr val="accent2"/>
              </a:solidFill>
              <a:round/>
            </a:ln>
            <a:effectLst/>
          </c:spPr>
          <c:marker>
            <c:symbol val="none"/>
          </c:marker>
          <c:val>
            <c:numRef>
              <c:f>Schedules!$F$64:$AC$64</c:f>
              <c:numCache>
                <c:formatCode>0.00</c:formatCode>
                <c:ptCount val="24"/>
                <c:pt idx="0">
                  <c:v>0.1</c:v>
                </c:pt>
                <c:pt idx="1">
                  <c:v>0.1</c:v>
                </c:pt>
                <c:pt idx="2">
                  <c:v>0.1</c:v>
                </c:pt>
                <c:pt idx="3">
                  <c:v>0.1</c:v>
                </c:pt>
                <c:pt idx="4">
                  <c:v>0.1</c:v>
                </c:pt>
                <c:pt idx="5">
                  <c:v>0.3</c:v>
                </c:pt>
                <c:pt idx="6">
                  <c:v>0.45</c:v>
                </c:pt>
                <c:pt idx="7">
                  <c:v>0.45</c:v>
                </c:pt>
                <c:pt idx="8">
                  <c:v>0.45</c:v>
                </c:pt>
                <c:pt idx="9">
                  <c:v>0.45</c:v>
                </c:pt>
                <c:pt idx="10">
                  <c:v>0.2</c:v>
                </c:pt>
                <c:pt idx="11">
                  <c:v>0.2</c:v>
                </c:pt>
                <c:pt idx="12">
                  <c:v>0.2</c:v>
                </c:pt>
                <c:pt idx="13">
                  <c:v>0.2</c:v>
                </c:pt>
                <c:pt idx="14">
                  <c:v>0.2</c:v>
                </c:pt>
                <c:pt idx="15">
                  <c:v>0.2</c:v>
                </c:pt>
                <c:pt idx="16">
                  <c:v>0.2</c:v>
                </c:pt>
                <c:pt idx="17">
                  <c:v>0.2</c:v>
                </c:pt>
                <c:pt idx="18">
                  <c:v>0.4</c:v>
                </c:pt>
                <c:pt idx="19">
                  <c:v>0.5</c:v>
                </c:pt>
                <c:pt idx="20">
                  <c:v>0.6</c:v>
                </c:pt>
                <c:pt idx="21">
                  <c:v>0.5</c:v>
                </c:pt>
                <c:pt idx="22">
                  <c:v>0.4</c:v>
                </c:pt>
                <c:pt idx="23">
                  <c:v>0.25</c:v>
                </c:pt>
              </c:numCache>
            </c:numRef>
          </c:val>
          <c:smooth val="0"/>
          <c:extLst>
            <c:ext xmlns:c16="http://schemas.microsoft.com/office/drawing/2014/chart" uri="{C3380CC4-5D6E-409C-BE32-E72D297353CC}">
              <c16:uniqueId val="{00000001-FFCB-438C-9218-1E8F9C77762F}"/>
            </c:ext>
          </c:extLst>
        </c:ser>
        <c:ser>
          <c:idx val="2"/>
          <c:order val="2"/>
          <c:tx>
            <c:strRef>
              <c:f>Schedules!$E$65</c:f>
              <c:strCache>
                <c:ptCount val="1"/>
                <c:pt idx="0">
                  <c:v>Sunday</c:v>
                </c:pt>
              </c:strCache>
            </c:strRef>
          </c:tx>
          <c:spPr>
            <a:ln w="28575" cap="rnd">
              <a:solidFill>
                <a:schemeClr val="accent3"/>
              </a:solidFill>
              <a:round/>
            </a:ln>
            <a:effectLst/>
          </c:spPr>
          <c:marker>
            <c:symbol val="none"/>
          </c:marker>
          <c:val>
            <c:numRef>
              <c:f>Schedules!$F$65:$AC$65</c:f>
              <c:numCache>
                <c:formatCode>0.00</c:formatCode>
                <c:ptCount val="24"/>
                <c:pt idx="0">
                  <c:v>0.1</c:v>
                </c:pt>
                <c:pt idx="1">
                  <c:v>0.1</c:v>
                </c:pt>
                <c:pt idx="2">
                  <c:v>0.1</c:v>
                </c:pt>
                <c:pt idx="3">
                  <c:v>0.1</c:v>
                </c:pt>
                <c:pt idx="4">
                  <c:v>0.1</c:v>
                </c:pt>
                <c:pt idx="5">
                  <c:v>0.3</c:v>
                </c:pt>
                <c:pt idx="6">
                  <c:v>0.45</c:v>
                </c:pt>
                <c:pt idx="7">
                  <c:v>0.45</c:v>
                </c:pt>
                <c:pt idx="8">
                  <c:v>0.45</c:v>
                </c:pt>
                <c:pt idx="9">
                  <c:v>0.45</c:v>
                </c:pt>
                <c:pt idx="10">
                  <c:v>0.2</c:v>
                </c:pt>
                <c:pt idx="11">
                  <c:v>0.2</c:v>
                </c:pt>
                <c:pt idx="12">
                  <c:v>0.2</c:v>
                </c:pt>
                <c:pt idx="13">
                  <c:v>0.2</c:v>
                </c:pt>
                <c:pt idx="14">
                  <c:v>0.2</c:v>
                </c:pt>
                <c:pt idx="15">
                  <c:v>0.2</c:v>
                </c:pt>
                <c:pt idx="16">
                  <c:v>0.2</c:v>
                </c:pt>
                <c:pt idx="17">
                  <c:v>0.2</c:v>
                </c:pt>
                <c:pt idx="18">
                  <c:v>0.4</c:v>
                </c:pt>
                <c:pt idx="19">
                  <c:v>0.5</c:v>
                </c:pt>
                <c:pt idx="20">
                  <c:v>0.6</c:v>
                </c:pt>
                <c:pt idx="21">
                  <c:v>0.5</c:v>
                </c:pt>
                <c:pt idx="22">
                  <c:v>0.4</c:v>
                </c:pt>
                <c:pt idx="23">
                  <c:v>0.25</c:v>
                </c:pt>
              </c:numCache>
            </c:numRef>
          </c:val>
          <c:smooth val="0"/>
          <c:extLst>
            <c:ext xmlns:c16="http://schemas.microsoft.com/office/drawing/2014/chart" uri="{C3380CC4-5D6E-409C-BE32-E72D297353CC}">
              <c16:uniqueId val="{00000002-FFCB-438C-9218-1E8F9C77762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Schedules!$C$66</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Schedules!$E$41</c:f>
              <c:strCache>
                <c:ptCount val="1"/>
                <c:pt idx="0">
                  <c:v>Weekday</c:v>
                </c:pt>
              </c:strCache>
            </c:strRef>
          </c:tx>
          <c:spPr>
            <a:ln w="28575" cap="rnd">
              <a:solidFill>
                <a:schemeClr val="accent1"/>
              </a:solidFill>
              <a:round/>
            </a:ln>
            <a:effectLst/>
          </c:spPr>
          <c:marker>
            <c:symbol val="none"/>
          </c:marker>
          <c:val>
            <c:numRef>
              <c:f>Schedules!$F$41:$AC$41</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2141-48AA-907D-1B006F25571A}"/>
            </c:ext>
          </c:extLst>
        </c:ser>
        <c:ser>
          <c:idx val="1"/>
          <c:order val="1"/>
          <c:tx>
            <c:strRef>
              <c:f>Schedules!$E$42</c:f>
              <c:strCache>
                <c:ptCount val="1"/>
                <c:pt idx="0">
                  <c:v>Saturday</c:v>
                </c:pt>
              </c:strCache>
            </c:strRef>
          </c:tx>
          <c:spPr>
            <a:ln w="28575" cap="rnd">
              <a:solidFill>
                <a:schemeClr val="accent2"/>
              </a:solidFill>
              <a:round/>
            </a:ln>
            <a:effectLst/>
          </c:spPr>
          <c:marker>
            <c:symbol val="none"/>
          </c:marker>
          <c:val>
            <c:numRef>
              <c:f>Schedules!$F$42:$AC$42</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2141-48AA-907D-1B006F25571A}"/>
            </c:ext>
          </c:extLst>
        </c:ser>
        <c:ser>
          <c:idx val="2"/>
          <c:order val="2"/>
          <c:tx>
            <c:strRef>
              <c:f>Schedules!$E$43</c:f>
              <c:strCache>
                <c:ptCount val="1"/>
                <c:pt idx="0">
                  <c:v>Sunday</c:v>
                </c:pt>
              </c:strCache>
            </c:strRef>
          </c:tx>
          <c:spPr>
            <a:ln w="28575" cap="rnd">
              <a:solidFill>
                <a:schemeClr val="accent3"/>
              </a:solidFill>
              <a:round/>
            </a:ln>
            <a:effectLst/>
          </c:spPr>
          <c:marker>
            <c:symbol val="none"/>
          </c:marker>
          <c:val>
            <c:numRef>
              <c:f>Schedules!$F$43:$AC$43</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2141-48AA-907D-1B006F25571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Schedules!$C$69</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Schedules!$E$94</c:f>
              <c:strCache>
                <c:ptCount val="1"/>
                <c:pt idx="0">
                  <c:v>Weekday</c:v>
                </c:pt>
              </c:strCache>
            </c:strRef>
          </c:tx>
          <c:spPr>
            <a:ln w="28575" cap="rnd">
              <a:solidFill>
                <a:schemeClr val="accent1"/>
              </a:solidFill>
              <a:round/>
            </a:ln>
            <a:effectLst/>
          </c:spPr>
          <c:marker>
            <c:symbol val="none"/>
          </c:marker>
          <c:val>
            <c:numRef>
              <c:f>Schedules!$F$94:$AC$94</c:f>
              <c:numCache>
                <c:formatCode>0.00</c:formatCode>
                <c:ptCount val="24"/>
                <c:pt idx="0">
                  <c:v>0.05</c:v>
                </c:pt>
                <c:pt idx="1">
                  <c:v>0.05</c:v>
                </c:pt>
                <c:pt idx="2">
                  <c:v>0.05</c:v>
                </c:pt>
                <c:pt idx="3">
                  <c:v>0.05</c:v>
                </c:pt>
                <c:pt idx="4">
                  <c:v>0.05</c:v>
                </c:pt>
                <c:pt idx="5">
                  <c:v>0.08</c:v>
                </c:pt>
                <c:pt idx="6">
                  <c:v>7.0000000000000007E-2</c:v>
                </c:pt>
                <c:pt idx="7">
                  <c:v>0.19</c:v>
                </c:pt>
                <c:pt idx="8">
                  <c:v>0.35</c:v>
                </c:pt>
                <c:pt idx="9">
                  <c:v>0.38</c:v>
                </c:pt>
                <c:pt idx="10">
                  <c:v>0.39</c:v>
                </c:pt>
                <c:pt idx="11">
                  <c:v>0.47</c:v>
                </c:pt>
                <c:pt idx="12">
                  <c:v>0.56999999999999995</c:v>
                </c:pt>
                <c:pt idx="13">
                  <c:v>0.54</c:v>
                </c:pt>
                <c:pt idx="14">
                  <c:v>0.34</c:v>
                </c:pt>
                <c:pt idx="15">
                  <c:v>0.33</c:v>
                </c:pt>
                <c:pt idx="16">
                  <c:v>0.44</c:v>
                </c:pt>
                <c:pt idx="17">
                  <c:v>0.26</c:v>
                </c:pt>
                <c:pt idx="18">
                  <c:v>0.21</c:v>
                </c:pt>
                <c:pt idx="19">
                  <c:v>0.15</c:v>
                </c:pt>
                <c:pt idx="20">
                  <c:v>0.17</c:v>
                </c:pt>
                <c:pt idx="21">
                  <c:v>0.08</c:v>
                </c:pt>
                <c:pt idx="22">
                  <c:v>0.05</c:v>
                </c:pt>
                <c:pt idx="23">
                  <c:v>0.05</c:v>
                </c:pt>
              </c:numCache>
            </c:numRef>
          </c:val>
          <c:smooth val="0"/>
          <c:extLst>
            <c:ext xmlns:c16="http://schemas.microsoft.com/office/drawing/2014/chart" uri="{C3380CC4-5D6E-409C-BE32-E72D297353CC}">
              <c16:uniqueId val="{00000000-81CA-4D8E-B0F0-733D44A8929F}"/>
            </c:ext>
          </c:extLst>
        </c:ser>
        <c:ser>
          <c:idx val="1"/>
          <c:order val="1"/>
          <c:tx>
            <c:strRef>
              <c:f>Schedules!$E$95</c:f>
              <c:strCache>
                <c:ptCount val="1"/>
                <c:pt idx="0">
                  <c:v>Saturday</c:v>
                </c:pt>
              </c:strCache>
            </c:strRef>
          </c:tx>
          <c:spPr>
            <a:ln w="28575" cap="rnd">
              <a:solidFill>
                <a:schemeClr val="accent2"/>
              </a:solidFill>
              <a:round/>
            </a:ln>
            <a:effectLst/>
          </c:spPr>
          <c:marker>
            <c:symbol val="none"/>
          </c:marker>
          <c:val>
            <c:numRef>
              <c:f>Schedules!$F$95:$AC$95</c:f>
              <c:numCache>
                <c:formatCode>0.00</c:formatCode>
                <c:ptCount val="24"/>
                <c:pt idx="0">
                  <c:v>0.05</c:v>
                </c:pt>
                <c:pt idx="1">
                  <c:v>0.05</c:v>
                </c:pt>
                <c:pt idx="2">
                  <c:v>0.05</c:v>
                </c:pt>
                <c:pt idx="3">
                  <c:v>0.05</c:v>
                </c:pt>
                <c:pt idx="4">
                  <c:v>0.05</c:v>
                </c:pt>
                <c:pt idx="5">
                  <c:v>0.08</c:v>
                </c:pt>
                <c:pt idx="6">
                  <c:v>7.0000000000000007E-2</c:v>
                </c:pt>
                <c:pt idx="7">
                  <c:v>0.11</c:v>
                </c:pt>
                <c:pt idx="8">
                  <c:v>0.15</c:v>
                </c:pt>
                <c:pt idx="9">
                  <c:v>0.21</c:v>
                </c:pt>
                <c:pt idx="10">
                  <c:v>0.19</c:v>
                </c:pt>
                <c:pt idx="11">
                  <c:v>0.23</c:v>
                </c:pt>
                <c:pt idx="12">
                  <c:v>0.2</c:v>
                </c:pt>
                <c:pt idx="13">
                  <c:v>0.19</c:v>
                </c:pt>
                <c:pt idx="14">
                  <c:v>0.15</c:v>
                </c:pt>
                <c:pt idx="15">
                  <c:v>0.12</c:v>
                </c:pt>
                <c:pt idx="16">
                  <c:v>0.14000000000000001</c:v>
                </c:pt>
                <c:pt idx="17">
                  <c:v>7.0000000000000007E-2</c:v>
                </c:pt>
                <c:pt idx="18">
                  <c:v>7.0000000000000007E-2</c:v>
                </c:pt>
                <c:pt idx="19">
                  <c:v>7.0000000000000007E-2</c:v>
                </c:pt>
                <c:pt idx="20">
                  <c:v>7.0000000000000007E-2</c:v>
                </c:pt>
                <c:pt idx="21">
                  <c:v>0.09</c:v>
                </c:pt>
                <c:pt idx="22">
                  <c:v>0.05</c:v>
                </c:pt>
                <c:pt idx="23">
                  <c:v>0.05</c:v>
                </c:pt>
              </c:numCache>
            </c:numRef>
          </c:val>
          <c:smooth val="0"/>
          <c:extLst>
            <c:ext xmlns:c16="http://schemas.microsoft.com/office/drawing/2014/chart" uri="{C3380CC4-5D6E-409C-BE32-E72D297353CC}">
              <c16:uniqueId val="{00000001-81CA-4D8E-B0F0-733D44A8929F}"/>
            </c:ext>
          </c:extLst>
        </c:ser>
        <c:ser>
          <c:idx val="2"/>
          <c:order val="2"/>
          <c:tx>
            <c:strRef>
              <c:f>Schedules!$E$96</c:f>
              <c:strCache>
                <c:ptCount val="1"/>
                <c:pt idx="0">
                  <c:v>Sunday</c:v>
                </c:pt>
              </c:strCache>
            </c:strRef>
          </c:tx>
          <c:spPr>
            <a:ln w="28575" cap="rnd">
              <a:solidFill>
                <a:schemeClr val="accent3"/>
              </a:solidFill>
              <a:round/>
            </a:ln>
            <a:effectLst/>
          </c:spPr>
          <c:marker>
            <c:symbol val="none"/>
          </c:marker>
          <c:val>
            <c:numRef>
              <c:f>Schedules!$F$96:$AC$96</c:f>
              <c:numCache>
                <c:formatCode>0.00</c:formatCode>
                <c:ptCount val="24"/>
                <c:pt idx="0">
                  <c:v>0.04</c:v>
                </c:pt>
                <c:pt idx="1">
                  <c:v>0.04</c:v>
                </c:pt>
                <c:pt idx="2">
                  <c:v>0.04</c:v>
                </c:pt>
                <c:pt idx="3">
                  <c:v>0.04</c:v>
                </c:pt>
                <c:pt idx="4">
                  <c:v>0.04</c:v>
                </c:pt>
                <c:pt idx="5">
                  <c:v>7.0000000000000007E-2</c:v>
                </c:pt>
                <c:pt idx="6">
                  <c:v>0.04</c:v>
                </c:pt>
                <c:pt idx="7">
                  <c:v>0.04</c:v>
                </c:pt>
                <c:pt idx="8">
                  <c:v>0.04</c:v>
                </c:pt>
                <c:pt idx="9">
                  <c:v>0.04</c:v>
                </c:pt>
                <c:pt idx="10">
                  <c:v>0.04</c:v>
                </c:pt>
                <c:pt idx="11">
                  <c:v>0.06</c:v>
                </c:pt>
                <c:pt idx="12">
                  <c:v>0.06</c:v>
                </c:pt>
                <c:pt idx="13">
                  <c:v>0.09</c:v>
                </c:pt>
                <c:pt idx="14">
                  <c:v>0.06</c:v>
                </c:pt>
                <c:pt idx="15">
                  <c:v>0.04</c:v>
                </c:pt>
                <c:pt idx="16">
                  <c:v>0.04</c:v>
                </c:pt>
                <c:pt idx="17">
                  <c:v>0.04</c:v>
                </c:pt>
                <c:pt idx="18">
                  <c:v>0.04</c:v>
                </c:pt>
                <c:pt idx="19">
                  <c:v>0.04</c:v>
                </c:pt>
                <c:pt idx="20">
                  <c:v>0.04</c:v>
                </c:pt>
                <c:pt idx="21">
                  <c:v>7.0000000000000007E-2</c:v>
                </c:pt>
                <c:pt idx="22">
                  <c:v>0.04</c:v>
                </c:pt>
                <c:pt idx="23">
                  <c:v>0.04</c:v>
                </c:pt>
              </c:numCache>
            </c:numRef>
          </c:val>
          <c:smooth val="0"/>
          <c:extLst>
            <c:ext xmlns:c16="http://schemas.microsoft.com/office/drawing/2014/chart" uri="{C3380CC4-5D6E-409C-BE32-E72D297353CC}">
              <c16:uniqueId val="{00000002-81CA-4D8E-B0F0-733D44A8929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Schedules!$C$47</c:f>
          <c:strCache>
            <c:ptCount val="1"/>
            <c:pt idx="0">
              <c:v>Infiltration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Schedules!$E$47</c:f>
              <c:strCache>
                <c:ptCount val="1"/>
                <c:pt idx="0">
                  <c:v>Weekday</c:v>
                </c:pt>
              </c:strCache>
            </c:strRef>
          </c:tx>
          <c:marker>
            <c:symbol val="none"/>
          </c:marker>
          <c:val>
            <c:numRef>
              <c:f>Schedules!$F$47:$AC$47</c:f>
              <c:numCache>
                <c:formatCode>0.00</c:formatCode>
                <c:ptCount val="24"/>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0-3CC1-4D04-9F29-2A49C1CF1BC8}"/>
            </c:ext>
          </c:extLst>
        </c:ser>
        <c:ser>
          <c:idx val="1"/>
          <c:order val="1"/>
          <c:tx>
            <c:strRef>
              <c:f>Schedules!$E$48</c:f>
              <c:strCache>
                <c:ptCount val="1"/>
                <c:pt idx="0">
                  <c:v>Saturday</c:v>
                </c:pt>
              </c:strCache>
            </c:strRef>
          </c:tx>
          <c:marker>
            <c:symbol val="none"/>
          </c:marker>
          <c:val>
            <c:numRef>
              <c:f>Schedules!$F$48:$AC$48</c:f>
              <c:numCache>
                <c:formatCode>0.00</c:formatCode>
                <c:ptCount val="24"/>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1-3CC1-4D04-9F29-2A49C1CF1BC8}"/>
            </c:ext>
          </c:extLst>
        </c:ser>
        <c:ser>
          <c:idx val="2"/>
          <c:order val="2"/>
          <c:tx>
            <c:strRef>
              <c:f>Schedules!$E$49</c:f>
              <c:strCache>
                <c:ptCount val="1"/>
                <c:pt idx="0">
                  <c:v>Sunday</c:v>
                </c:pt>
              </c:strCache>
            </c:strRef>
          </c:tx>
          <c:marker>
            <c:symbol val="none"/>
          </c:marker>
          <c:val>
            <c:numRef>
              <c:f>Schedules!$F$49:$AC$49</c:f>
              <c:numCache>
                <c:formatCode>0.00</c:formatCode>
                <c:ptCount val="24"/>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2-3CC1-4D04-9F29-2A49C1CF1BC8}"/>
            </c:ext>
          </c:extLst>
        </c:ser>
        <c:dLbls>
          <c:showLegendKey val="0"/>
          <c:showVal val="0"/>
          <c:showCatName val="0"/>
          <c:showSerName val="0"/>
          <c:showPercent val="0"/>
          <c:showBubbleSize val="0"/>
        </c:dLbls>
        <c:smooth val="0"/>
        <c:axId val="1801622976"/>
        <c:axId val="1801623456"/>
        <c:extLst/>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Schedules!$C$72</c:f>
          <c:strCache>
            <c:ptCount val="1"/>
            <c:pt idx="0">
              <c:v>Infiltration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Schedules!$E$72</c:f>
              <c:strCache>
                <c:ptCount val="1"/>
                <c:pt idx="0">
                  <c:v>Weekday</c:v>
                </c:pt>
              </c:strCache>
            </c:strRef>
          </c:tx>
          <c:spPr>
            <a:ln w="28575" cap="rnd">
              <a:solidFill>
                <a:schemeClr val="accent1"/>
              </a:solidFill>
              <a:round/>
            </a:ln>
            <a:effectLst/>
          </c:spPr>
          <c:marker>
            <c:symbol val="none"/>
          </c:marker>
          <c:val>
            <c:numRef>
              <c:f>Schedules!$F$72:$AC$72</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4214-49F4-B281-0C43D8DEA1E0}"/>
            </c:ext>
          </c:extLst>
        </c:ser>
        <c:ser>
          <c:idx val="1"/>
          <c:order val="1"/>
          <c:tx>
            <c:strRef>
              <c:f>Schedules!$E$73</c:f>
              <c:strCache>
                <c:ptCount val="1"/>
                <c:pt idx="0">
                  <c:v>Saturday</c:v>
                </c:pt>
              </c:strCache>
            </c:strRef>
          </c:tx>
          <c:spPr>
            <a:ln w="28575" cap="rnd">
              <a:solidFill>
                <a:schemeClr val="accent2"/>
              </a:solidFill>
              <a:round/>
            </a:ln>
            <a:effectLst/>
          </c:spPr>
          <c:marker>
            <c:symbol val="none"/>
          </c:marker>
          <c:val>
            <c:numRef>
              <c:f>Schedules!$F$73:$AC$73</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4214-49F4-B281-0C43D8DEA1E0}"/>
            </c:ext>
          </c:extLst>
        </c:ser>
        <c:ser>
          <c:idx val="2"/>
          <c:order val="2"/>
          <c:tx>
            <c:strRef>
              <c:f>Schedules!$E$74</c:f>
              <c:strCache>
                <c:ptCount val="1"/>
                <c:pt idx="0">
                  <c:v>Sunday</c:v>
                </c:pt>
              </c:strCache>
            </c:strRef>
          </c:tx>
          <c:spPr>
            <a:ln w="28575" cap="rnd">
              <a:solidFill>
                <a:schemeClr val="accent3"/>
              </a:solidFill>
              <a:round/>
            </a:ln>
            <a:effectLst/>
          </c:spPr>
          <c:marker>
            <c:symbol val="none"/>
          </c:marker>
          <c:val>
            <c:numRef>
              <c:f>Schedules!$F$74:$AC$74</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4214-49F4-B281-0C43D8DEA1E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Schedules!$C$75</c:f>
          <c:strCache>
            <c:ptCount val="1"/>
            <c:pt idx="0">
              <c:v>HtgSetpt</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Schedules!$E$75</c:f>
              <c:strCache>
                <c:ptCount val="1"/>
                <c:pt idx="0">
                  <c:v>Weekday</c:v>
                </c:pt>
              </c:strCache>
            </c:strRef>
          </c:tx>
          <c:spPr>
            <a:ln w="28575" cap="rnd">
              <a:solidFill>
                <a:schemeClr val="accent1"/>
              </a:solidFill>
              <a:round/>
            </a:ln>
            <a:effectLst/>
          </c:spPr>
          <c:marker>
            <c:symbol val="none"/>
          </c:marker>
          <c:val>
            <c:numRef>
              <c:f>Schedules!$F$75:$AC$75</c:f>
              <c:numCache>
                <c:formatCode>0</c:formatCode>
                <c:ptCount val="24"/>
                <c:pt idx="0">
                  <c:v>70</c:v>
                </c:pt>
                <c:pt idx="1">
                  <c:v>70</c:v>
                </c:pt>
                <c:pt idx="2">
                  <c:v>70</c:v>
                </c:pt>
                <c:pt idx="3">
                  <c:v>70</c:v>
                </c:pt>
                <c:pt idx="4">
                  <c:v>70</c:v>
                </c:pt>
                <c:pt idx="5">
                  <c:v>70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70</c:v>
                </c:pt>
              </c:numCache>
            </c:numRef>
          </c:val>
          <c:smooth val="0"/>
          <c:extLst>
            <c:ext xmlns:c16="http://schemas.microsoft.com/office/drawing/2014/chart" uri="{C3380CC4-5D6E-409C-BE32-E72D297353CC}">
              <c16:uniqueId val="{00000000-A6D3-432B-AA2D-D4ABA9259678}"/>
            </c:ext>
          </c:extLst>
        </c:ser>
        <c:ser>
          <c:idx val="1"/>
          <c:order val="1"/>
          <c:tx>
            <c:strRef>
              <c:f>Schedules!$E$76</c:f>
              <c:strCache>
                <c:ptCount val="1"/>
                <c:pt idx="0">
                  <c:v>Saturday</c:v>
                </c:pt>
              </c:strCache>
            </c:strRef>
          </c:tx>
          <c:spPr>
            <a:ln w="28575" cap="rnd">
              <a:solidFill>
                <a:schemeClr val="accent2"/>
              </a:solidFill>
              <a:round/>
            </a:ln>
            <a:effectLst/>
          </c:spPr>
          <c:marker>
            <c:symbol val="none"/>
          </c:marker>
          <c:val>
            <c:numRef>
              <c:f>Schedules!$F$76:$AC$76</c:f>
              <c:numCache>
                <c:formatCode>0</c:formatCode>
                <c:ptCount val="24"/>
                <c:pt idx="0">
                  <c:v>70</c:v>
                </c:pt>
                <c:pt idx="1">
                  <c:v>70</c:v>
                </c:pt>
                <c:pt idx="2">
                  <c:v>70</c:v>
                </c:pt>
                <c:pt idx="3">
                  <c:v>70</c:v>
                </c:pt>
                <c:pt idx="4">
                  <c:v>70</c:v>
                </c:pt>
                <c:pt idx="5">
                  <c:v>70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70</c:v>
                </c:pt>
              </c:numCache>
            </c:numRef>
          </c:val>
          <c:smooth val="0"/>
          <c:extLst>
            <c:ext xmlns:c16="http://schemas.microsoft.com/office/drawing/2014/chart" uri="{C3380CC4-5D6E-409C-BE32-E72D297353CC}">
              <c16:uniqueId val="{00000001-A6D3-432B-AA2D-D4ABA9259678}"/>
            </c:ext>
          </c:extLst>
        </c:ser>
        <c:ser>
          <c:idx val="2"/>
          <c:order val="2"/>
          <c:tx>
            <c:strRef>
              <c:f>Schedules!$E$77</c:f>
              <c:strCache>
                <c:ptCount val="1"/>
                <c:pt idx="0">
                  <c:v>Sunday</c:v>
                </c:pt>
              </c:strCache>
            </c:strRef>
          </c:tx>
          <c:spPr>
            <a:ln w="28575" cap="rnd">
              <a:solidFill>
                <a:schemeClr val="accent3"/>
              </a:solidFill>
              <a:round/>
            </a:ln>
            <a:effectLst/>
          </c:spPr>
          <c:marker>
            <c:symbol val="none"/>
          </c:marker>
          <c:val>
            <c:numRef>
              <c:f>Schedules!$F$77:$AC$77</c:f>
              <c:numCache>
                <c:formatCode>0</c:formatCode>
                <c:ptCount val="24"/>
                <c:pt idx="0">
                  <c:v>70</c:v>
                </c:pt>
                <c:pt idx="1">
                  <c:v>70</c:v>
                </c:pt>
                <c:pt idx="2">
                  <c:v>70</c:v>
                </c:pt>
                <c:pt idx="3">
                  <c:v>70</c:v>
                </c:pt>
                <c:pt idx="4">
                  <c:v>70</c:v>
                </c:pt>
                <c:pt idx="5">
                  <c:v>70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70</c:v>
                </c:pt>
              </c:numCache>
            </c:numRef>
          </c:val>
          <c:smooth val="0"/>
          <c:extLst>
            <c:ext xmlns:c16="http://schemas.microsoft.com/office/drawing/2014/chart" uri="{C3380CC4-5D6E-409C-BE32-E72D297353CC}">
              <c16:uniqueId val="{00000002-A6D3-432B-AA2D-D4ABA925967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5"/>
        <c:minorUnit val="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Schedules!$C$78</c:f>
          <c:strCache>
            <c:ptCount val="1"/>
            <c:pt idx="0">
              <c:v>ClgSetpt</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Schedules!$E$78</c:f>
              <c:strCache>
                <c:ptCount val="1"/>
                <c:pt idx="0">
                  <c:v>Weekday</c:v>
                </c:pt>
              </c:strCache>
            </c:strRef>
          </c:tx>
          <c:spPr>
            <a:ln w="28575" cap="rnd">
              <a:solidFill>
                <a:schemeClr val="accent1"/>
              </a:solidFill>
              <a:round/>
            </a:ln>
            <a:effectLst/>
          </c:spPr>
          <c:marker>
            <c:symbol val="none"/>
          </c:marker>
          <c:val>
            <c:numRef>
              <c:f>Schedules!$F$78:$AC$78</c:f>
              <c:numCache>
                <c:formatCode>0</c:formatCode>
                <c:ptCount val="24"/>
                <c:pt idx="0">
                  <c:v>72</c:v>
                </c:pt>
                <c:pt idx="1">
                  <c:v>72</c:v>
                </c:pt>
                <c:pt idx="2">
                  <c:v>72</c:v>
                </c:pt>
                <c:pt idx="3">
                  <c:v>72</c:v>
                </c:pt>
                <c:pt idx="4">
                  <c:v>72</c:v>
                </c:pt>
                <c:pt idx="5">
                  <c:v>72</c:v>
                </c:pt>
                <c:pt idx="6">
                  <c:v>72</c:v>
                </c:pt>
                <c:pt idx="7">
                  <c:v>72</c:v>
                </c:pt>
                <c:pt idx="8">
                  <c:v>72</c:v>
                </c:pt>
                <c:pt idx="9">
                  <c:v>72</c:v>
                </c:pt>
                <c:pt idx="10">
                  <c:v>72</c:v>
                </c:pt>
                <c:pt idx="11">
                  <c:v>72</c:v>
                </c:pt>
                <c:pt idx="12">
                  <c:v>72</c:v>
                </c:pt>
                <c:pt idx="13">
                  <c:v>72</c:v>
                </c:pt>
                <c:pt idx="14">
                  <c:v>72</c:v>
                </c:pt>
                <c:pt idx="15">
                  <c:v>72</c:v>
                </c:pt>
                <c:pt idx="16">
                  <c:v>72</c:v>
                </c:pt>
                <c:pt idx="17">
                  <c:v>72</c:v>
                </c:pt>
                <c:pt idx="18">
                  <c:v>72</c:v>
                </c:pt>
                <c:pt idx="19">
                  <c:v>72</c:v>
                </c:pt>
                <c:pt idx="20">
                  <c:v>72</c:v>
                </c:pt>
                <c:pt idx="21">
                  <c:v>72</c:v>
                </c:pt>
                <c:pt idx="22">
                  <c:v>72</c:v>
                </c:pt>
                <c:pt idx="23">
                  <c:v>72</c:v>
                </c:pt>
              </c:numCache>
            </c:numRef>
          </c:val>
          <c:smooth val="0"/>
          <c:extLst>
            <c:ext xmlns:c16="http://schemas.microsoft.com/office/drawing/2014/chart" uri="{C3380CC4-5D6E-409C-BE32-E72D297353CC}">
              <c16:uniqueId val="{00000000-D914-4D44-9F97-0A04844C1DA6}"/>
            </c:ext>
          </c:extLst>
        </c:ser>
        <c:ser>
          <c:idx val="1"/>
          <c:order val="1"/>
          <c:tx>
            <c:strRef>
              <c:f>Schedules!$E$79</c:f>
              <c:strCache>
                <c:ptCount val="1"/>
                <c:pt idx="0">
                  <c:v>Saturday</c:v>
                </c:pt>
              </c:strCache>
            </c:strRef>
          </c:tx>
          <c:spPr>
            <a:ln w="28575" cap="rnd">
              <a:solidFill>
                <a:schemeClr val="accent2"/>
              </a:solidFill>
              <a:round/>
            </a:ln>
            <a:effectLst/>
          </c:spPr>
          <c:marker>
            <c:symbol val="none"/>
          </c:marker>
          <c:val>
            <c:numRef>
              <c:f>Schedules!$F$79:$AC$79</c:f>
              <c:numCache>
                <c:formatCode>0</c:formatCode>
                <c:ptCount val="24"/>
                <c:pt idx="0">
                  <c:v>72</c:v>
                </c:pt>
                <c:pt idx="1">
                  <c:v>72</c:v>
                </c:pt>
                <c:pt idx="2">
                  <c:v>72</c:v>
                </c:pt>
                <c:pt idx="3">
                  <c:v>72</c:v>
                </c:pt>
                <c:pt idx="4">
                  <c:v>72</c:v>
                </c:pt>
                <c:pt idx="5">
                  <c:v>72</c:v>
                </c:pt>
                <c:pt idx="6">
                  <c:v>72</c:v>
                </c:pt>
                <c:pt idx="7">
                  <c:v>72</c:v>
                </c:pt>
                <c:pt idx="8">
                  <c:v>72</c:v>
                </c:pt>
                <c:pt idx="9">
                  <c:v>72</c:v>
                </c:pt>
                <c:pt idx="10">
                  <c:v>72</c:v>
                </c:pt>
                <c:pt idx="11">
                  <c:v>72</c:v>
                </c:pt>
                <c:pt idx="12">
                  <c:v>72</c:v>
                </c:pt>
                <c:pt idx="13">
                  <c:v>72</c:v>
                </c:pt>
                <c:pt idx="14">
                  <c:v>72</c:v>
                </c:pt>
                <c:pt idx="15">
                  <c:v>72</c:v>
                </c:pt>
                <c:pt idx="16">
                  <c:v>72</c:v>
                </c:pt>
                <c:pt idx="17">
                  <c:v>72</c:v>
                </c:pt>
                <c:pt idx="18">
                  <c:v>72</c:v>
                </c:pt>
                <c:pt idx="19">
                  <c:v>72</c:v>
                </c:pt>
                <c:pt idx="20">
                  <c:v>72</c:v>
                </c:pt>
                <c:pt idx="21">
                  <c:v>72</c:v>
                </c:pt>
                <c:pt idx="22">
                  <c:v>72</c:v>
                </c:pt>
                <c:pt idx="23">
                  <c:v>72</c:v>
                </c:pt>
              </c:numCache>
            </c:numRef>
          </c:val>
          <c:smooth val="0"/>
          <c:extLst>
            <c:ext xmlns:c16="http://schemas.microsoft.com/office/drawing/2014/chart" uri="{C3380CC4-5D6E-409C-BE32-E72D297353CC}">
              <c16:uniqueId val="{00000001-D914-4D44-9F97-0A04844C1DA6}"/>
            </c:ext>
          </c:extLst>
        </c:ser>
        <c:ser>
          <c:idx val="2"/>
          <c:order val="2"/>
          <c:tx>
            <c:strRef>
              <c:f>Schedules!$E$80</c:f>
              <c:strCache>
                <c:ptCount val="1"/>
                <c:pt idx="0">
                  <c:v>Sunday</c:v>
                </c:pt>
              </c:strCache>
            </c:strRef>
          </c:tx>
          <c:spPr>
            <a:ln w="28575" cap="rnd">
              <a:solidFill>
                <a:schemeClr val="accent3"/>
              </a:solidFill>
              <a:round/>
            </a:ln>
            <a:effectLst/>
          </c:spPr>
          <c:marker>
            <c:symbol val="none"/>
          </c:marker>
          <c:val>
            <c:numRef>
              <c:f>Schedules!$F$80:$AC$80</c:f>
              <c:numCache>
                <c:formatCode>0</c:formatCode>
                <c:ptCount val="24"/>
                <c:pt idx="0">
                  <c:v>72</c:v>
                </c:pt>
                <c:pt idx="1">
                  <c:v>72</c:v>
                </c:pt>
                <c:pt idx="2">
                  <c:v>72</c:v>
                </c:pt>
                <c:pt idx="3">
                  <c:v>72</c:v>
                </c:pt>
                <c:pt idx="4">
                  <c:v>72</c:v>
                </c:pt>
                <c:pt idx="5">
                  <c:v>72</c:v>
                </c:pt>
                <c:pt idx="6">
                  <c:v>72</c:v>
                </c:pt>
                <c:pt idx="7">
                  <c:v>72</c:v>
                </c:pt>
                <c:pt idx="8">
                  <c:v>72</c:v>
                </c:pt>
                <c:pt idx="9">
                  <c:v>72</c:v>
                </c:pt>
                <c:pt idx="10">
                  <c:v>72</c:v>
                </c:pt>
                <c:pt idx="11">
                  <c:v>72</c:v>
                </c:pt>
                <c:pt idx="12">
                  <c:v>72</c:v>
                </c:pt>
                <c:pt idx="13">
                  <c:v>72</c:v>
                </c:pt>
                <c:pt idx="14">
                  <c:v>72</c:v>
                </c:pt>
                <c:pt idx="15">
                  <c:v>72</c:v>
                </c:pt>
                <c:pt idx="16">
                  <c:v>72</c:v>
                </c:pt>
                <c:pt idx="17">
                  <c:v>72</c:v>
                </c:pt>
                <c:pt idx="18">
                  <c:v>72</c:v>
                </c:pt>
                <c:pt idx="19">
                  <c:v>72</c:v>
                </c:pt>
                <c:pt idx="20">
                  <c:v>72</c:v>
                </c:pt>
                <c:pt idx="21">
                  <c:v>72</c:v>
                </c:pt>
                <c:pt idx="22">
                  <c:v>72</c:v>
                </c:pt>
                <c:pt idx="23">
                  <c:v>72</c:v>
                </c:pt>
              </c:numCache>
            </c:numRef>
          </c:val>
          <c:smooth val="0"/>
          <c:extLst>
            <c:ext xmlns:c16="http://schemas.microsoft.com/office/drawing/2014/chart" uri="{C3380CC4-5D6E-409C-BE32-E72D297353CC}">
              <c16:uniqueId val="{00000002-D914-4D44-9F97-0A04844C1DA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5"/>
        <c:minorUnit val="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Schedules!$C$50</c:f>
          <c:strCache>
            <c:ptCount val="1"/>
            <c:pt idx="0">
              <c:v>HtgSetpt</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Schedules!$E$50</c:f>
              <c:strCache>
                <c:ptCount val="1"/>
                <c:pt idx="0">
                  <c:v>Weekday</c:v>
                </c:pt>
              </c:strCache>
            </c:strRef>
          </c:tx>
          <c:spPr>
            <a:ln w="28575" cap="rnd">
              <a:solidFill>
                <a:schemeClr val="accent1"/>
              </a:solidFill>
              <a:round/>
            </a:ln>
            <a:effectLst/>
          </c:spPr>
          <c:marker>
            <c:symbol val="none"/>
          </c:marker>
          <c:val>
            <c:numRef>
              <c:f>Schedules!$F$50:$AC$50</c:f>
              <c:numCache>
                <c:formatCode>General</c:formatCode>
                <c:ptCount val="24"/>
                <c:pt idx="0">
                  <c:v>68</c:v>
                </c:pt>
                <c:pt idx="1">
                  <c:v>68</c:v>
                </c:pt>
                <c:pt idx="2">
                  <c:v>68</c:v>
                </c:pt>
                <c:pt idx="3">
                  <c:v>68</c:v>
                </c:pt>
                <c:pt idx="4">
                  <c:v>68</c:v>
                </c:pt>
                <c:pt idx="5">
                  <c:v>68</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68</c:v>
                </c:pt>
                <c:pt idx="23">
                  <c:v>68</c:v>
                </c:pt>
              </c:numCache>
            </c:numRef>
          </c:val>
          <c:smooth val="0"/>
          <c:extLst>
            <c:ext xmlns:c16="http://schemas.microsoft.com/office/drawing/2014/chart" uri="{C3380CC4-5D6E-409C-BE32-E72D297353CC}">
              <c16:uniqueId val="{00000000-F9F4-4048-98E8-10830EF85B94}"/>
            </c:ext>
          </c:extLst>
        </c:ser>
        <c:ser>
          <c:idx val="1"/>
          <c:order val="1"/>
          <c:tx>
            <c:strRef>
              <c:f>Schedules!$E$51</c:f>
              <c:strCache>
                <c:ptCount val="1"/>
                <c:pt idx="0">
                  <c:v>Saturday</c:v>
                </c:pt>
              </c:strCache>
            </c:strRef>
          </c:tx>
          <c:spPr>
            <a:ln w="28575" cap="rnd">
              <a:solidFill>
                <a:schemeClr val="accent2"/>
              </a:solidFill>
              <a:round/>
            </a:ln>
            <a:effectLst/>
          </c:spPr>
          <c:marker>
            <c:symbol val="none"/>
          </c:marker>
          <c:val>
            <c:numRef>
              <c:f>Schedules!$F$51:$AC$51</c:f>
              <c:numCache>
                <c:formatCode>General</c:formatCode>
                <c:ptCount val="24"/>
                <c:pt idx="0">
                  <c:v>68</c:v>
                </c:pt>
                <c:pt idx="1">
                  <c:v>68</c:v>
                </c:pt>
                <c:pt idx="2">
                  <c:v>68</c:v>
                </c:pt>
                <c:pt idx="3">
                  <c:v>68</c:v>
                </c:pt>
                <c:pt idx="4">
                  <c:v>68</c:v>
                </c:pt>
                <c:pt idx="5">
                  <c:v>68</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68</c:v>
                </c:pt>
                <c:pt idx="23">
                  <c:v>68</c:v>
                </c:pt>
              </c:numCache>
            </c:numRef>
          </c:val>
          <c:smooth val="0"/>
          <c:extLst>
            <c:ext xmlns:c16="http://schemas.microsoft.com/office/drawing/2014/chart" uri="{C3380CC4-5D6E-409C-BE32-E72D297353CC}">
              <c16:uniqueId val="{00000001-F9F4-4048-98E8-10830EF85B94}"/>
            </c:ext>
          </c:extLst>
        </c:ser>
        <c:ser>
          <c:idx val="2"/>
          <c:order val="2"/>
          <c:tx>
            <c:strRef>
              <c:f>Schedules!$E$52</c:f>
              <c:strCache>
                <c:ptCount val="1"/>
                <c:pt idx="0">
                  <c:v>Sunday</c:v>
                </c:pt>
              </c:strCache>
            </c:strRef>
          </c:tx>
          <c:spPr>
            <a:ln w="28575" cap="rnd">
              <a:solidFill>
                <a:schemeClr val="accent3"/>
              </a:solidFill>
              <a:round/>
            </a:ln>
            <a:effectLst/>
          </c:spPr>
          <c:marker>
            <c:symbol val="none"/>
          </c:marker>
          <c:val>
            <c:numRef>
              <c:f>Schedules!$F$52:$AC$52</c:f>
              <c:numCache>
                <c:formatCode>General</c:formatCode>
                <c:ptCount val="24"/>
                <c:pt idx="0">
                  <c:v>68</c:v>
                </c:pt>
                <c:pt idx="1">
                  <c:v>68</c:v>
                </c:pt>
                <c:pt idx="2">
                  <c:v>68</c:v>
                </c:pt>
                <c:pt idx="3">
                  <c:v>68</c:v>
                </c:pt>
                <c:pt idx="4">
                  <c:v>68</c:v>
                </c:pt>
                <c:pt idx="5">
                  <c:v>68</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68</c:v>
                </c:pt>
                <c:pt idx="23">
                  <c:v>68</c:v>
                </c:pt>
              </c:numCache>
            </c:numRef>
          </c:val>
          <c:smooth val="0"/>
          <c:extLst>
            <c:ext xmlns:c16="http://schemas.microsoft.com/office/drawing/2014/chart" uri="{C3380CC4-5D6E-409C-BE32-E72D297353CC}">
              <c16:uniqueId val="{00000002-F9F4-4048-98E8-10830EF85B94}"/>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5"/>
        <c:minorUnit val="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Schedules!$C$53</c:f>
          <c:strCache>
            <c:ptCount val="1"/>
            <c:pt idx="0">
              <c:v>ClgSetpt</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Schedules!$E$53</c:f>
              <c:strCache>
                <c:ptCount val="1"/>
                <c:pt idx="0">
                  <c:v>Weekday</c:v>
                </c:pt>
              </c:strCache>
            </c:strRef>
          </c:tx>
          <c:spPr>
            <a:ln w="28575" cap="rnd">
              <a:solidFill>
                <a:schemeClr val="accent1"/>
              </a:solidFill>
              <a:round/>
            </a:ln>
            <a:effectLst/>
          </c:spPr>
          <c:marker>
            <c:symbol val="none"/>
          </c:marker>
          <c:val>
            <c:numRef>
              <c:f>Schedules!$F$53:$AC$53</c:f>
              <c:numCache>
                <c:formatCode>General</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0-F63C-40C3-BEEF-4FB81B287376}"/>
            </c:ext>
          </c:extLst>
        </c:ser>
        <c:ser>
          <c:idx val="1"/>
          <c:order val="1"/>
          <c:tx>
            <c:strRef>
              <c:f>Schedules!$E$54</c:f>
              <c:strCache>
                <c:ptCount val="1"/>
                <c:pt idx="0">
                  <c:v>Saturday</c:v>
                </c:pt>
              </c:strCache>
            </c:strRef>
          </c:tx>
          <c:spPr>
            <a:ln w="28575" cap="rnd">
              <a:solidFill>
                <a:schemeClr val="accent2"/>
              </a:solidFill>
              <a:round/>
            </a:ln>
            <a:effectLst/>
          </c:spPr>
          <c:marker>
            <c:symbol val="none"/>
          </c:marker>
          <c:val>
            <c:numRef>
              <c:f>Schedules!$F$54:$AC$54</c:f>
              <c:numCache>
                <c:formatCode>General</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1-F63C-40C3-BEEF-4FB81B287376}"/>
            </c:ext>
          </c:extLst>
        </c:ser>
        <c:ser>
          <c:idx val="2"/>
          <c:order val="2"/>
          <c:tx>
            <c:strRef>
              <c:f>Schedules!$E$55</c:f>
              <c:strCache>
                <c:ptCount val="1"/>
                <c:pt idx="0">
                  <c:v>Sunday</c:v>
                </c:pt>
              </c:strCache>
            </c:strRef>
          </c:tx>
          <c:spPr>
            <a:ln w="28575" cap="rnd">
              <a:solidFill>
                <a:schemeClr val="accent3"/>
              </a:solidFill>
              <a:round/>
            </a:ln>
            <a:effectLst/>
          </c:spPr>
          <c:marker>
            <c:symbol val="none"/>
          </c:marker>
          <c:val>
            <c:numRef>
              <c:f>Schedules!$F$55:$AC$55</c:f>
              <c:numCache>
                <c:formatCode>General</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2-F63C-40C3-BEEF-4FB81B28737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5"/>
        <c:minorUnit val="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Schedules!$C$25</c:f>
          <c:strCache>
            <c:ptCount val="1"/>
            <c:pt idx="0">
              <c:v>HtgSetpt</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Schedules!$E$25</c:f>
              <c:strCache>
                <c:ptCount val="1"/>
                <c:pt idx="0">
                  <c:v>Weekday</c:v>
                </c:pt>
              </c:strCache>
            </c:strRef>
          </c:tx>
          <c:spPr>
            <a:ln w="28575" cap="rnd">
              <a:solidFill>
                <a:schemeClr val="accent1"/>
              </a:solidFill>
              <a:round/>
            </a:ln>
            <a:effectLst/>
          </c:spPr>
          <c:marker>
            <c:symbol val="none"/>
          </c:marker>
          <c:val>
            <c:numRef>
              <c:f>Schedules!$F$25:$AC$25</c:f>
              <c:numCache>
                <c:formatCode>General</c:formatCode>
                <c:ptCount val="24"/>
                <c:pt idx="0">
                  <c:v>60</c:v>
                </c:pt>
                <c:pt idx="1">
                  <c:v>60</c:v>
                </c:pt>
                <c:pt idx="2">
                  <c:v>60</c:v>
                </c:pt>
                <c:pt idx="3">
                  <c:v>60</c:v>
                </c:pt>
                <c:pt idx="4">
                  <c:v>60</c:v>
                </c:pt>
                <c:pt idx="5">
                  <c:v>60</c:v>
                </c:pt>
                <c:pt idx="6">
                  <c:v>60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60</c:v>
                </c:pt>
              </c:numCache>
            </c:numRef>
          </c:val>
          <c:smooth val="0"/>
          <c:extLst>
            <c:ext xmlns:c16="http://schemas.microsoft.com/office/drawing/2014/chart" uri="{C3380CC4-5D6E-409C-BE32-E72D297353CC}">
              <c16:uniqueId val="{00000000-5FFB-47F9-8486-632F80C77395}"/>
            </c:ext>
          </c:extLst>
        </c:ser>
        <c:ser>
          <c:idx val="1"/>
          <c:order val="1"/>
          <c:tx>
            <c:strRef>
              <c:f>Schedules!$E$26</c:f>
              <c:strCache>
                <c:ptCount val="1"/>
                <c:pt idx="0">
                  <c:v>Saturday</c:v>
                </c:pt>
              </c:strCache>
            </c:strRef>
          </c:tx>
          <c:spPr>
            <a:ln w="28575" cap="rnd">
              <a:solidFill>
                <a:schemeClr val="accent2"/>
              </a:solidFill>
              <a:round/>
            </a:ln>
            <a:effectLst/>
          </c:spPr>
          <c:marker>
            <c:symbol val="none"/>
          </c:marker>
          <c:val>
            <c:numRef>
              <c:f>Schedules!$F$26:$AC$26</c:f>
              <c:numCache>
                <c:formatCode>General</c:formatCode>
                <c:ptCount val="24"/>
                <c:pt idx="0">
                  <c:v>60</c:v>
                </c:pt>
                <c:pt idx="1">
                  <c:v>60</c:v>
                </c:pt>
                <c:pt idx="2">
                  <c:v>60</c:v>
                </c:pt>
                <c:pt idx="3">
                  <c:v>60</c:v>
                </c:pt>
                <c:pt idx="4">
                  <c:v>60</c:v>
                </c:pt>
                <c:pt idx="5">
                  <c:v>60</c:v>
                </c:pt>
                <c:pt idx="6">
                  <c:v>60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60</c:v>
                </c:pt>
              </c:numCache>
            </c:numRef>
          </c:val>
          <c:smooth val="0"/>
          <c:extLst>
            <c:ext xmlns:c16="http://schemas.microsoft.com/office/drawing/2014/chart" uri="{C3380CC4-5D6E-409C-BE32-E72D297353CC}">
              <c16:uniqueId val="{00000001-5FFB-47F9-8486-632F80C77395}"/>
            </c:ext>
          </c:extLst>
        </c:ser>
        <c:ser>
          <c:idx val="2"/>
          <c:order val="2"/>
          <c:tx>
            <c:strRef>
              <c:f>Schedules!$E$27</c:f>
              <c:strCache>
                <c:ptCount val="1"/>
                <c:pt idx="0">
                  <c:v>Sunday</c:v>
                </c:pt>
              </c:strCache>
            </c:strRef>
          </c:tx>
          <c:spPr>
            <a:ln w="28575" cap="rnd">
              <a:solidFill>
                <a:schemeClr val="accent3"/>
              </a:solidFill>
              <a:round/>
            </a:ln>
            <a:effectLst/>
          </c:spPr>
          <c:marker>
            <c:symbol val="none"/>
          </c:marker>
          <c:val>
            <c:numRef>
              <c:f>Schedules!$F$27:$AC$27</c:f>
              <c:numCache>
                <c:formatCode>General</c:formatCode>
                <c:ptCount val="24"/>
                <c:pt idx="0">
                  <c:v>60</c:v>
                </c:pt>
                <c:pt idx="1">
                  <c:v>60</c:v>
                </c:pt>
                <c:pt idx="2">
                  <c:v>60</c:v>
                </c:pt>
                <c:pt idx="3">
                  <c:v>60</c:v>
                </c:pt>
                <c:pt idx="4">
                  <c:v>60</c:v>
                </c:pt>
                <c:pt idx="5">
                  <c:v>60</c:v>
                </c:pt>
                <c:pt idx="6">
                  <c:v>60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60</c:v>
                </c:pt>
              </c:numCache>
            </c:numRef>
          </c:val>
          <c:smooth val="0"/>
          <c:extLst>
            <c:ext xmlns:c16="http://schemas.microsoft.com/office/drawing/2014/chart" uri="{C3380CC4-5D6E-409C-BE32-E72D297353CC}">
              <c16:uniqueId val="{00000002-5FFB-47F9-8486-632F80C7739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5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Schedules!$C$28</c:f>
          <c:strCache>
            <c:ptCount val="1"/>
            <c:pt idx="0">
              <c:v>ClgSetpt</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Schedules!$E$28</c:f>
              <c:strCache>
                <c:ptCount val="1"/>
                <c:pt idx="0">
                  <c:v>Weekday</c:v>
                </c:pt>
              </c:strCache>
            </c:strRef>
          </c:tx>
          <c:spPr>
            <a:ln w="28575" cap="rnd">
              <a:solidFill>
                <a:schemeClr val="accent1"/>
              </a:solidFill>
              <a:round/>
            </a:ln>
            <a:effectLst/>
          </c:spPr>
          <c:marker>
            <c:symbol val="none"/>
          </c:marker>
          <c:val>
            <c:numRef>
              <c:f>Schedules!$F$28:$AC$28</c:f>
              <c:numCache>
                <c:formatCode>General</c:formatCode>
                <c:ptCount val="24"/>
                <c:pt idx="0">
                  <c:v>85</c:v>
                </c:pt>
                <c:pt idx="1">
                  <c:v>85</c:v>
                </c:pt>
                <c:pt idx="2">
                  <c:v>85</c:v>
                </c:pt>
                <c:pt idx="3">
                  <c:v>85</c:v>
                </c:pt>
                <c:pt idx="4">
                  <c:v>85</c:v>
                </c:pt>
                <c:pt idx="5">
                  <c:v>85</c:v>
                </c:pt>
                <c:pt idx="6">
                  <c:v>85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75</c:v>
                </c:pt>
                <c:pt idx="23">
                  <c:v>85</c:v>
                </c:pt>
              </c:numCache>
            </c:numRef>
          </c:val>
          <c:smooth val="0"/>
          <c:extLst>
            <c:ext xmlns:c16="http://schemas.microsoft.com/office/drawing/2014/chart" uri="{C3380CC4-5D6E-409C-BE32-E72D297353CC}">
              <c16:uniqueId val="{00000000-3768-49DC-8623-4AE45202DB86}"/>
            </c:ext>
          </c:extLst>
        </c:ser>
        <c:ser>
          <c:idx val="1"/>
          <c:order val="1"/>
          <c:tx>
            <c:strRef>
              <c:f>Schedules!$E$29</c:f>
              <c:strCache>
                <c:ptCount val="1"/>
                <c:pt idx="0">
                  <c:v>Saturday</c:v>
                </c:pt>
              </c:strCache>
            </c:strRef>
          </c:tx>
          <c:spPr>
            <a:ln w="28575" cap="rnd">
              <a:solidFill>
                <a:schemeClr val="accent2"/>
              </a:solidFill>
              <a:round/>
            </a:ln>
            <a:effectLst/>
          </c:spPr>
          <c:marker>
            <c:symbol val="none"/>
          </c:marker>
          <c:val>
            <c:numRef>
              <c:f>Schedules!$F$29:$AC$29</c:f>
              <c:numCache>
                <c:formatCode>General</c:formatCode>
                <c:ptCount val="24"/>
                <c:pt idx="0">
                  <c:v>85</c:v>
                </c:pt>
                <c:pt idx="1">
                  <c:v>85</c:v>
                </c:pt>
                <c:pt idx="2">
                  <c:v>85</c:v>
                </c:pt>
                <c:pt idx="3">
                  <c:v>85</c:v>
                </c:pt>
                <c:pt idx="4">
                  <c:v>85</c:v>
                </c:pt>
                <c:pt idx="5">
                  <c:v>85</c:v>
                </c:pt>
                <c:pt idx="6">
                  <c:v>85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75</c:v>
                </c:pt>
                <c:pt idx="23">
                  <c:v>85</c:v>
                </c:pt>
              </c:numCache>
            </c:numRef>
          </c:val>
          <c:smooth val="0"/>
          <c:extLst>
            <c:ext xmlns:c16="http://schemas.microsoft.com/office/drawing/2014/chart" uri="{C3380CC4-5D6E-409C-BE32-E72D297353CC}">
              <c16:uniqueId val="{00000001-3768-49DC-8623-4AE45202DB86}"/>
            </c:ext>
          </c:extLst>
        </c:ser>
        <c:ser>
          <c:idx val="2"/>
          <c:order val="2"/>
          <c:tx>
            <c:strRef>
              <c:f>Schedules!$E$30</c:f>
              <c:strCache>
                <c:ptCount val="1"/>
                <c:pt idx="0">
                  <c:v>Sunday</c:v>
                </c:pt>
              </c:strCache>
            </c:strRef>
          </c:tx>
          <c:spPr>
            <a:ln w="28575" cap="rnd">
              <a:solidFill>
                <a:schemeClr val="accent3"/>
              </a:solidFill>
              <a:round/>
            </a:ln>
            <a:effectLst/>
          </c:spPr>
          <c:marker>
            <c:symbol val="none"/>
          </c:marker>
          <c:val>
            <c:numRef>
              <c:f>Schedules!$F$30:$AC$30</c:f>
              <c:numCache>
                <c:formatCode>General</c:formatCode>
                <c:ptCount val="24"/>
                <c:pt idx="0">
                  <c:v>85</c:v>
                </c:pt>
                <c:pt idx="1">
                  <c:v>85</c:v>
                </c:pt>
                <c:pt idx="2">
                  <c:v>85</c:v>
                </c:pt>
                <c:pt idx="3">
                  <c:v>85</c:v>
                </c:pt>
                <c:pt idx="4">
                  <c:v>85</c:v>
                </c:pt>
                <c:pt idx="5">
                  <c:v>85</c:v>
                </c:pt>
                <c:pt idx="6">
                  <c:v>85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75</c:v>
                </c:pt>
                <c:pt idx="23">
                  <c:v>85</c:v>
                </c:pt>
              </c:numCache>
            </c:numRef>
          </c:val>
          <c:smooth val="0"/>
          <c:extLst>
            <c:ext xmlns:c16="http://schemas.microsoft.com/office/drawing/2014/chart" uri="{C3380CC4-5D6E-409C-BE32-E72D297353CC}">
              <c16:uniqueId val="{00000002-3768-49DC-8623-4AE45202DB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0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Schedules!$C$107</c:f>
          <c:strCache>
            <c:ptCount val="1"/>
            <c:pt idx="0">
              <c:v>Elevator</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Schedules!$E$107</c:f>
              <c:strCache>
                <c:ptCount val="1"/>
                <c:pt idx="0">
                  <c:v>Weekday</c:v>
                </c:pt>
              </c:strCache>
            </c:strRef>
          </c:tx>
          <c:spPr>
            <a:ln w="28575" cap="rnd">
              <a:solidFill>
                <a:schemeClr val="accent1"/>
              </a:solidFill>
              <a:round/>
            </a:ln>
            <a:effectLst/>
          </c:spPr>
          <c:marker>
            <c:symbol val="none"/>
          </c:marker>
          <c:val>
            <c:numRef>
              <c:f>Schedules!$F$107:$AC$107</c:f>
              <c:numCache>
                <c:formatCode>0.00</c:formatCode>
                <c:ptCount val="24"/>
                <c:pt idx="0">
                  <c:v>0</c:v>
                </c:pt>
                <c:pt idx="1">
                  <c:v>0</c:v>
                </c:pt>
                <c:pt idx="2">
                  <c:v>0</c:v>
                </c:pt>
                <c:pt idx="3">
                  <c:v>0</c:v>
                </c:pt>
                <c:pt idx="4">
                  <c:v>0</c:v>
                </c:pt>
                <c:pt idx="5">
                  <c:v>0</c:v>
                </c:pt>
                <c:pt idx="6">
                  <c:v>0</c:v>
                </c:pt>
                <c:pt idx="7">
                  <c:v>0.35</c:v>
                </c:pt>
                <c:pt idx="8">
                  <c:v>0.69</c:v>
                </c:pt>
                <c:pt idx="9">
                  <c:v>0.43</c:v>
                </c:pt>
                <c:pt idx="10">
                  <c:v>0.37</c:v>
                </c:pt>
                <c:pt idx="11">
                  <c:v>0.43</c:v>
                </c:pt>
                <c:pt idx="12">
                  <c:v>0.57999999999999996</c:v>
                </c:pt>
                <c:pt idx="13">
                  <c:v>0.48</c:v>
                </c:pt>
                <c:pt idx="14">
                  <c:v>0.37</c:v>
                </c:pt>
                <c:pt idx="15">
                  <c:v>0.37</c:v>
                </c:pt>
                <c:pt idx="16">
                  <c:v>0.46</c:v>
                </c:pt>
                <c:pt idx="17">
                  <c:v>0.62</c:v>
                </c:pt>
                <c:pt idx="18">
                  <c:v>0.2</c:v>
                </c:pt>
                <c:pt idx="19">
                  <c:v>0.12</c:v>
                </c:pt>
                <c:pt idx="20">
                  <c:v>0.04</c:v>
                </c:pt>
                <c:pt idx="21">
                  <c:v>0.04</c:v>
                </c:pt>
                <c:pt idx="22">
                  <c:v>0</c:v>
                </c:pt>
                <c:pt idx="23">
                  <c:v>0</c:v>
                </c:pt>
              </c:numCache>
            </c:numRef>
          </c:val>
          <c:smooth val="0"/>
          <c:extLst>
            <c:ext xmlns:c16="http://schemas.microsoft.com/office/drawing/2014/chart" uri="{C3380CC4-5D6E-409C-BE32-E72D297353CC}">
              <c16:uniqueId val="{00000000-0A3B-4659-8B65-2C88E4628059}"/>
            </c:ext>
          </c:extLst>
        </c:ser>
        <c:ser>
          <c:idx val="1"/>
          <c:order val="1"/>
          <c:tx>
            <c:strRef>
              <c:f>Schedules!$E$108</c:f>
              <c:strCache>
                <c:ptCount val="1"/>
                <c:pt idx="0">
                  <c:v>Saturday</c:v>
                </c:pt>
              </c:strCache>
            </c:strRef>
          </c:tx>
          <c:spPr>
            <a:ln w="28575" cap="rnd">
              <a:solidFill>
                <a:schemeClr val="accent2"/>
              </a:solidFill>
              <a:round/>
            </a:ln>
            <a:effectLst/>
          </c:spPr>
          <c:marker>
            <c:symbol val="none"/>
          </c:marker>
          <c:val>
            <c:numRef>
              <c:f>Schedules!$F$108:$AC$108</c:f>
              <c:numCache>
                <c:formatCode>0.00</c:formatCode>
                <c:ptCount val="24"/>
                <c:pt idx="0">
                  <c:v>0</c:v>
                </c:pt>
                <c:pt idx="1">
                  <c:v>0</c:v>
                </c:pt>
                <c:pt idx="2">
                  <c:v>0</c:v>
                </c:pt>
                <c:pt idx="3">
                  <c:v>0</c:v>
                </c:pt>
                <c:pt idx="4">
                  <c:v>0</c:v>
                </c:pt>
                <c:pt idx="5">
                  <c:v>0</c:v>
                </c:pt>
                <c:pt idx="6">
                  <c:v>0</c:v>
                </c:pt>
                <c:pt idx="7">
                  <c:v>0.35</c:v>
                </c:pt>
                <c:pt idx="8">
                  <c:v>0.69</c:v>
                </c:pt>
                <c:pt idx="9">
                  <c:v>0.43</c:v>
                </c:pt>
                <c:pt idx="10">
                  <c:v>0.37</c:v>
                </c:pt>
                <c:pt idx="11">
                  <c:v>0.43</c:v>
                </c:pt>
                <c:pt idx="12">
                  <c:v>0.57999999999999996</c:v>
                </c:pt>
                <c:pt idx="13">
                  <c:v>0.48</c:v>
                </c:pt>
                <c:pt idx="14">
                  <c:v>0.37</c:v>
                </c:pt>
                <c:pt idx="15">
                  <c:v>0.37</c:v>
                </c:pt>
                <c:pt idx="16">
                  <c:v>0.46</c:v>
                </c:pt>
                <c:pt idx="17">
                  <c:v>0.62</c:v>
                </c:pt>
                <c:pt idx="18">
                  <c:v>0.2</c:v>
                </c:pt>
                <c:pt idx="19">
                  <c:v>0.12</c:v>
                </c:pt>
                <c:pt idx="20">
                  <c:v>0.04</c:v>
                </c:pt>
                <c:pt idx="21">
                  <c:v>0.04</c:v>
                </c:pt>
                <c:pt idx="22">
                  <c:v>0</c:v>
                </c:pt>
                <c:pt idx="23">
                  <c:v>0</c:v>
                </c:pt>
              </c:numCache>
            </c:numRef>
          </c:val>
          <c:smooth val="0"/>
          <c:extLst>
            <c:ext xmlns:c16="http://schemas.microsoft.com/office/drawing/2014/chart" uri="{C3380CC4-5D6E-409C-BE32-E72D297353CC}">
              <c16:uniqueId val="{00000001-0A3B-4659-8B65-2C88E4628059}"/>
            </c:ext>
          </c:extLst>
        </c:ser>
        <c:ser>
          <c:idx val="2"/>
          <c:order val="2"/>
          <c:tx>
            <c:strRef>
              <c:f>Schedules!$E$109</c:f>
              <c:strCache>
                <c:ptCount val="1"/>
                <c:pt idx="0">
                  <c:v>Sunday</c:v>
                </c:pt>
              </c:strCache>
            </c:strRef>
          </c:tx>
          <c:spPr>
            <a:ln w="28575" cap="rnd">
              <a:solidFill>
                <a:schemeClr val="accent3"/>
              </a:solidFill>
              <a:round/>
            </a:ln>
            <a:effectLst/>
          </c:spPr>
          <c:marker>
            <c:symbol val="none"/>
          </c:marker>
          <c:val>
            <c:numRef>
              <c:f>Schedules!$F$109:$AC$109</c:f>
              <c:numCache>
                <c:formatCode>0.00</c:formatCode>
                <c:ptCount val="24"/>
                <c:pt idx="0">
                  <c:v>0</c:v>
                </c:pt>
                <c:pt idx="1">
                  <c:v>0</c:v>
                </c:pt>
                <c:pt idx="2">
                  <c:v>0</c:v>
                </c:pt>
                <c:pt idx="3">
                  <c:v>0</c:v>
                </c:pt>
                <c:pt idx="4">
                  <c:v>0</c:v>
                </c:pt>
                <c:pt idx="5">
                  <c:v>0</c:v>
                </c:pt>
                <c:pt idx="6">
                  <c:v>0</c:v>
                </c:pt>
                <c:pt idx="7">
                  <c:v>0.35</c:v>
                </c:pt>
                <c:pt idx="8">
                  <c:v>0.69</c:v>
                </c:pt>
                <c:pt idx="9">
                  <c:v>0.43</c:v>
                </c:pt>
                <c:pt idx="10">
                  <c:v>0.37</c:v>
                </c:pt>
                <c:pt idx="11">
                  <c:v>0.43</c:v>
                </c:pt>
                <c:pt idx="12">
                  <c:v>0.57999999999999996</c:v>
                </c:pt>
                <c:pt idx="13">
                  <c:v>0.48</c:v>
                </c:pt>
                <c:pt idx="14">
                  <c:v>0.37</c:v>
                </c:pt>
                <c:pt idx="15">
                  <c:v>0.37</c:v>
                </c:pt>
                <c:pt idx="16">
                  <c:v>0.46</c:v>
                </c:pt>
                <c:pt idx="17">
                  <c:v>0.62</c:v>
                </c:pt>
                <c:pt idx="18">
                  <c:v>0.2</c:v>
                </c:pt>
                <c:pt idx="19">
                  <c:v>0.12</c:v>
                </c:pt>
                <c:pt idx="20">
                  <c:v>0.04</c:v>
                </c:pt>
                <c:pt idx="21">
                  <c:v>0.04</c:v>
                </c:pt>
                <c:pt idx="22">
                  <c:v>0</c:v>
                </c:pt>
                <c:pt idx="23">
                  <c:v>0</c:v>
                </c:pt>
              </c:numCache>
            </c:numRef>
          </c:val>
          <c:smooth val="0"/>
          <c:extLst>
            <c:ext xmlns:c16="http://schemas.microsoft.com/office/drawing/2014/chart" uri="{C3380CC4-5D6E-409C-BE32-E72D297353CC}">
              <c16:uniqueId val="{00000002-0A3B-4659-8B65-2C88E462805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Schedules!$C$82</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Schedules!$E$82</c:f>
              <c:strCache>
                <c:ptCount val="1"/>
                <c:pt idx="0">
                  <c:v>Weekday</c:v>
                </c:pt>
              </c:strCache>
            </c:strRef>
          </c:tx>
          <c:spPr>
            <a:ln w="28575" cap="rnd">
              <a:solidFill>
                <a:schemeClr val="accent1"/>
              </a:solidFill>
              <a:round/>
            </a:ln>
            <a:effectLst/>
          </c:spPr>
          <c:marker>
            <c:symbol val="none"/>
          </c:marker>
          <c:val>
            <c:numRef>
              <c:f>Schedules!$F$82:$AC$82</c:f>
              <c:numCache>
                <c:formatCode>0.00</c:formatCode>
                <c:ptCount val="24"/>
                <c:pt idx="0">
                  <c:v>0</c:v>
                </c:pt>
                <c:pt idx="1">
                  <c:v>0</c:v>
                </c:pt>
                <c:pt idx="2">
                  <c:v>0</c:v>
                </c:pt>
                <c:pt idx="3">
                  <c:v>0</c:v>
                </c:pt>
                <c:pt idx="4">
                  <c:v>0</c:v>
                </c:pt>
                <c:pt idx="5">
                  <c:v>0</c:v>
                </c:pt>
                <c:pt idx="6">
                  <c:v>0.1</c:v>
                </c:pt>
                <c:pt idx="7">
                  <c:v>0.2</c:v>
                </c:pt>
                <c:pt idx="8">
                  <c:v>0.95</c:v>
                </c:pt>
                <c:pt idx="9">
                  <c:v>0.95</c:v>
                </c:pt>
                <c:pt idx="10">
                  <c:v>0.95</c:v>
                </c:pt>
                <c:pt idx="11">
                  <c:v>0.95</c:v>
                </c:pt>
                <c:pt idx="12">
                  <c:v>0.5</c:v>
                </c:pt>
                <c:pt idx="13">
                  <c:v>0.95</c:v>
                </c:pt>
                <c:pt idx="14">
                  <c:v>0.95</c:v>
                </c:pt>
                <c:pt idx="15">
                  <c:v>0.95</c:v>
                </c:pt>
                <c:pt idx="16">
                  <c:v>0.95</c:v>
                </c:pt>
                <c:pt idx="17">
                  <c:v>0.3</c:v>
                </c:pt>
                <c:pt idx="18">
                  <c:v>0.1</c:v>
                </c:pt>
                <c:pt idx="19">
                  <c:v>0.1</c:v>
                </c:pt>
                <c:pt idx="20">
                  <c:v>0.1</c:v>
                </c:pt>
                <c:pt idx="21">
                  <c:v>0.1</c:v>
                </c:pt>
                <c:pt idx="22">
                  <c:v>0.05</c:v>
                </c:pt>
                <c:pt idx="23">
                  <c:v>0.05</c:v>
                </c:pt>
              </c:numCache>
            </c:numRef>
          </c:val>
          <c:smooth val="0"/>
          <c:extLst>
            <c:ext xmlns:c16="http://schemas.microsoft.com/office/drawing/2014/chart" uri="{C3380CC4-5D6E-409C-BE32-E72D297353CC}">
              <c16:uniqueId val="{00000000-EFF8-4C07-AA49-2705591C7F5F}"/>
            </c:ext>
          </c:extLst>
        </c:ser>
        <c:ser>
          <c:idx val="1"/>
          <c:order val="1"/>
          <c:tx>
            <c:strRef>
              <c:f>Schedules!$E$83</c:f>
              <c:strCache>
                <c:ptCount val="1"/>
                <c:pt idx="0">
                  <c:v>Saturday</c:v>
                </c:pt>
              </c:strCache>
            </c:strRef>
          </c:tx>
          <c:spPr>
            <a:ln w="28575" cap="rnd">
              <a:solidFill>
                <a:schemeClr val="accent2"/>
              </a:solidFill>
              <a:round/>
            </a:ln>
            <a:effectLst/>
          </c:spPr>
          <c:marker>
            <c:symbol val="none"/>
          </c:marker>
          <c:val>
            <c:numRef>
              <c:f>Schedules!$F$83:$AC$83</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EFF8-4C07-AA49-2705591C7F5F}"/>
            </c:ext>
          </c:extLst>
        </c:ser>
        <c:ser>
          <c:idx val="2"/>
          <c:order val="2"/>
          <c:tx>
            <c:strRef>
              <c:f>Schedules!$E$84</c:f>
              <c:strCache>
                <c:ptCount val="1"/>
                <c:pt idx="0">
                  <c:v>Sunday</c:v>
                </c:pt>
              </c:strCache>
            </c:strRef>
          </c:tx>
          <c:spPr>
            <a:ln w="28575" cap="rnd">
              <a:solidFill>
                <a:schemeClr val="accent3"/>
              </a:solidFill>
              <a:round/>
            </a:ln>
            <a:effectLst/>
          </c:spPr>
          <c:marker>
            <c:symbol val="none"/>
          </c:marker>
          <c:val>
            <c:numRef>
              <c:f>Schedules!$F$84:$AC$84</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EFF8-4C07-AA49-2705591C7F5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Schedules!$C$85</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Schedules!$E$85</c:f>
              <c:strCache>
                <c:ptCount val="1"/>
                <c:pt idx="0">
                  <c:v>Weekday</c:v>
                </c:pt>
              </c:strCache>
            </c:strRef>
          </c:tx>
          <c:spPr>
            <a:ln w="28575" cap="rnd">
              <a:solidFill>
                <a:schemeClr val="accent1"/>
              </a:solidFill>
              <a:round/>
            </a:ln>
            <a:effectLst/>
          </c:spPr>
          <c:marker>
            <c:symbol val="none"/>
          </c:marker>
          <c:val>
            <c:numRef>
              <c:f>Schedules!$F$85:$AC$85</c:f>
              <c:numCache>
                <c:formatCode>0.00</c:formatCode>
                <c:ptCount val="24"/>
                <c:pt idx="0">
                  <c:v>0.05</c:v>
                </c:pt>
                <c:pt idx="1">
                  <c:v>0.05</c:v>
                </c:pt>
                <c:pt idx="2">
                  <c:v>0.05</c:v>
                </c:pt>
                <c:pt idx="3">
                  <c:v>0.05</c:v>
                </c:pt>
                <c:pt idx="4">
                  <c:v>0.05</c:v>
                </c:pt>
                <c:pt idx="5">
                  <c:v>0.1</c:v>
                </c:pt>
                <c:pt idx="6">
                  <c:v>0.1</c:v>
                </c:pt>
                <c:pt idx="7">
                  <c:v>0.3</c:v>
                </c:pt>
                <c:pt idx="8">
                  <c:v>0.65</c:v>
                </c:pt>
                <c:pt idx="9">
                  <c:v>0.65</c:v>
                </c:pt>
                <c:pt idx="10">
                  <c:v>0.65</c:v>
                </c:pt>
                <c:pt idx="11">
                  <c:v>0.65</c:v>
                </c:pt>
                <c:pt idx="12">
                  <c:v>0.65</c:v>
                </c:pt>
                <c:pt idx="13">
                  <c:v>0.65</c:v>
                </c:pt>
                <c:pt idx="14">
                  <c:v>0.65</c:v>
                </c:pt>
                <c:pt idx="15">
                  <c:v>0.65</c:v>
                </c:pt>
                <c:pt idx="16">
                  <c:v>0.65</c:v>
                </c:pt>
                <c:pt idx="17">
                  <c:v>0.35</c:v>
                </c:pt>
                <c:pt idx="18">
                  <c:v>0.3</c:v>
                </c:pt>
                <c:pt idx="19">
                  <c:v>0.3</c:v>
                </c:pt>
                <c:pt idx="20">
                  <c:v>0.2</c:v>
                </c:pt>
                <c:pt idx="21">
                  <c:v>0.2</c:v>
                </c:pt>
                <c:pt idx="22">
                  <c:v>0.1</c:v>
                </c:pt>
                <c:pt idx="23">
                  <c:v>0.05</c:v>
                </c:pt>
              </c:numCache>
            </c:numRef>
          </c:val>
          <c:smooth val="0"/>
          <c:extLst>
            <c:ext xmlns:c16="http://schemas.microsoft.com/office/drawing/2014/chart" uri="{C3380CC4-5D6E-409C-BE32-E72D297353CC}">
              <c16:uniqueId val="{00000000-FF4A-474C-B386-372E94D35E36}"/>
            </c:ext>
          </c:extLst>
        </c:ser>
        <c:ser>
          <c:idx val="1"/>
          <c:order val="1"/>
          <c:tx>
            <c:strRef>
              <c:f>Schedules!$E$86</c:f>
              <c:strCache>
                <c:ptCount val="1"/>
                <c:pt idx="0">
                  <c:v>Saturday</c:v>
                </c:pt>
              </c:strCache>
            </c:strRef>
          </c:tx>
          <c:spPr>
            <a:ln w="28575" cap="rnd">
              <a:solidFill>
                <a:schemeClr val="accent2"/>
              </a:solidFill>
              <a:round/>
            </a:ln>
            <a:effectLst/>
          </c:spPr>
          <c:marker>
            <c:symbol val="none"/>
          </c:marker>
          <c:val>
            <c:numRef>
              <c:f>Schedules!$F$86:$AC$86</c:f>
              <c:numCache>
                <c:formatCode>0.00</c:formatCode>
                <c:ptCount val="24"/>
                <c:pt idx="0">
                  <c:v>0.05</c:v>
                </c:pt>
                <c:pt idx="1">
                  <c:v>0.05</c:v>
                </c:pt>
                <c:pt idx="2">
                  <c:v>0.05</c:v>
                </c:pt>
                <c:pt idx="3">
                  <c:v>0.05</c:v>
                </c:pt>
                <c:pt idx="4">
                  <c:v>0.05</c:v>
                </c:pt>
                <c:pt idx="5">
                  <c:v>0.05</c:v>
                </c:pt>
                <c:pt idx="6">
                  <c:v>0.1</c:v>
                </c:pt>
                <c:pt idx="7">
                  <c:v>0.1</c:v>
                </c:pt>
                <c:pt idx="8">
                  <c:v>0.3</c:v>
                </c:pt>
                <c:pt idx="9">
                  <c:v>0.3</c:v>
                </c:pt>
                <c:pt idx="10">
                  <c:v>0.3</c:v>
                </c:pt>
                <c:pt idx="11">
                  <c:v>0.3</c:v>
                </c:pt>
                <c:pt idx="12">
                  <c:v>0.15</c:v>
                </c:pt>
                <c:pt idx="13">
                  <c:v>0.15</c:v>
                </c:pt>
                <c:pt idx="14">
                  <c:v>0.15</c:v>
                </c:pt>
                <c:pt idx="15">
                  <c:v>0.15</c:v>
                </c:pt>
                <c:pt idx="16">
                  <c:v>0.15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FF4A-474C-B386-372E94D35E36}"/>
            </c:ext>
          </c:extLst>
        </c:ser>
        <c:ser>
          <c:idx val="2"/>
          <c:order val="2"/>
          <c:tx>
            <c:strRef>
              <c:f>Schedules!$E$87</c:f>
              <c:strCache>
                <c:ptCount val="1"/>
                <c:pt idx="0">
                  <c:v>Sunday</c:v>
                </c:pt>
              </c:strCache>
            </c:strRef>
          </c:tx>
          <c:spPr>
            <a:ln w="28575" cap="rnd">
              <a:solidFill>
                <a:schemeClr val="accent3"/>
              </a:solidFill>
              <a:round/>
            </a:ln>
            <a:effectLst/>
          </c:spPr>
          <c:marker>
            <c:symbol val="none"/>
          </c:marker>
          <c:val>
            <c:numRef>
              <c:f>Schedules!$F$87:$AC$87</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FF4A-474C-B386-372E94D35E3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Schedules!$C$88</c:f>
          <c:strCache>
            <c:ptCount val="1"/>
            <c:pt idx="0">
              <c:v>ElecEquipment </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Schedules!$E$88</c:f>
              <c:strCache>
                <c:ptCount val="1"/>
                <c:pt idx="0">
                  <c:v>Weekday</c:v>
                </c:pt>
              </c:strCache>
            </c:strRef>
          </c:tx>
          <c:spPr>
            <a:ln w="28575" cap="rnd">
              <a:solidFill>
                <a:schemeClr val="accent1"/>
              </a:solidFill>
              <a:round/>
            </a:ln>
            <a:effectLst/>
          </c:spPr>
          <c:marker>
            <c:symbol val="none"/>
          </c:marker>
          <c:val>
            <c:numRef>
              <c:f>Schedules!$F$88:$AC$88</c:f>
              <c:numCache>
                <c:formatCode>0.00</c:formatCode>
                <c:ptCount val="24"/>
                <c:pt idx="0">
                  <c:v>0.45</c:v>
                </c:pt>
                <c:pt idx="1">
                  <c:v>0.45</c:v>
                </c:pt>
                <c:pt idx="2">
                  <c:v>0.45</c:v>
                </c:pt>
                <c:pt idx="3">
                  <c:v>0.45</c:v>
                </c:pt>
                <c:pt idx="4">
                  <c:v>0.45</c:v>
                </c:pt>
                <c:pt idx="5">
                  <c:v>0.45</c:v>
                </c:pt>
                <c:pt idx="6">
                  <c:v>0.45</c:v>
                </c:pt>
                <c:pt idx="7">
                  <c:v>0.74</c:v>
                </c:pt>
                <c:pt idx="8">
                  <c:v>0.87</c:v>
                </c:pt>
                <c:pt idx="9">
                  <c:v>0.9</c:v>
                </c:pt>
                <c:pt idx="10">
                  <c:v>0.9</c:v>
                </c:pt>
                <c:pt idx="11">
                  <c:v>0.9</c:v>
                </c:pt>
                <c:pt idx="12">
                  <c:v>0.9</c:v>
                </c:pt>
                <c:pt idx="13">
                  <c:v>0.9</c:v>
                </c:pt>
                <c:pt idx="14">
                  <c:v>0.9</c:v>
                </c:pt>
                <c:pt idx="15">
                  <c:v>0.9</c:v>
                </c:pt>
                <c:pt idx="16">
                  <c:v>0.9</c:v>
                </c:pt>
                <c:pt idx="17">
                  <c:v>0.7</c:v>
                </c:pt>
                <c:pt idx="18">
                  <c:v>0.5</c:v>
                </c:pt>
                <c:pt idx="19">
                  <c:v>0.5</c:v>
                </c:pt>
                <c:pt idx="20">
                  <c:v>0.5</c:v>
                </c:pt>
                <c:pt idx="21">
                  <c:v>0.45</c:v>
                </c:pt>
                <c:pt idx="22">
                  <c:v>0.45</c:v>
                </c:pt>
                <c:pt idx="23">
                  <c:v>0.45</c:v>
                </c:pt>
              </c:numCache>
            </c:numRef>
          </c:val>
          <c:smooth val="0"/>
          <c:extLst>
            <c:ext xmlns:c16="http://schemas.microsoft.com/office/drawing/2014/chart" uri="{C3380CC4-5D6E-409C-BE32-E72D297353CC}">
              <c16:uniqueId val="{00000000-C718-4333-808B-510BB4234104}"/>
            </c:ext>
          </c:extLst>
        </c:ser>
        <c:ser>
          <c:idx val="1"/>
          <c:order val="1"/>
          <c:tx>
            <c:strRef>
              <c:f>Schedules!$E$89</c:f>
              <c:strCache>
                <c:ptCount val="1"/>
                <c:pt idx="0">
                  <c:v>Saturday</c:v>
                </c:pt>
              </c:strCache>
            </c:strRef>
          </c:tx>
          <c:spPr>
            <a:ln w="28575" cap="rnd">
              <a:solidFill>
                <a:schemeClr val="accent2"/>
              </a:solidFill>
              <a:round/>
            </a:ln>
            <a:effectLst/>
          </c:spPr>
          <c:marker>
            <c:symbol val="none"/>
          </c:marker>
          <c:val>
            <c:numRef>
              <c:f>Schedules!$F$89:$AC$89</c:f>
              <c:numCache>
                <c:formatCode>0.00</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1-C718-4333-808B-510BB4234104}"/>
            </c:ext>
          </c:extLst>
        </c:ser>
        <c:ser>
          <c:idx val="2"/>
          <c:order val="2"/>
          <c:tx>
            <c:strRef>
              <c:f>Schedules!$E$90</c:f>
              <c:strCache>
                <c:ptCount val="1"/>
                <c:pt idx="0">
                  <c:v>Sunday</c:v>
                </c:pt>
              </c:strCache>
            </c:strRef>
          </c:tx>
          <c:spPr>
            <a:ln w="28575" cap="rnd">
              <a:solidFill>
                <a:schemeClr val="accent3"/>
              </a:solidFill>
              <a:round/>
            </a:ln>
            <a:effectLst/>
          </c:spPr>
          <c:marker>
            <c:symbol val="none"/>
          </c:marker>
          <c:val>
            <c:numRef>
              <c:f>Schedules!$F$90:$AC$90</c:f>
              <c:numCache>
                <c:formatCode>0.00</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2-C718-4333-808B-510BB4234104}"/>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Schedules!$C$91</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Schedules!$E$66</c:f>
              <c:strCache>
                <c:ptCount val="1"/>
                <c:pt idx="0">
                  <c:v>Weekday</c:v>
                </c:pt>
              </c:strCache>
            </c:strRef>
          </c:tx>
          <c:spPr>
            <a:ln w="28575" cap="rnd">
              <a:solidFill>
                <a:schemeClr val="accent1"/>
              </a:solidFill>
              <a:round/>
            </a:ln>
            <a:effectLst/>
          </c:spPr>
          <c:marker>
            <c:symbol val="none"/>
          </c:marker>
          <c:val>
            <c:numRef>
              <c:f>Schedules!$F$66:$AC$66</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D7AA-4F4C-BB75-08E79407C85E}"/>
            </c:ext>
          </c:extLst>
        </c:ser>
        <c:ser>
          <c:idx val="1"/>
          <c:order val="1"/>
          <c:tx>
            <c:strRef>
              <c:f>Schedules!$E$67</c:f>
              <c:strCache>
                <c:ptCount val="1"/>
                <c:pt idx="0">
                  <c:v>Saturday</c:v>
                </c:pt>
              </c:strCache>
            </c:strRef>
          </c:tx>
          <c:spPr>
            <a:ln w="28575" cap="rnd">
              <a:solidFill>
                <a:schemeClr val="accent2"/>
              </a:solidFill>
              <a:round/>
            </a:ln>
            <a:effectLst/>
          </c:spPr>
          <c:marker>
            <c:symbol val="none"/>
          </c:marker>
          <c:val>
            <c:numRef>
              <c:f>Schedules!$F$67:$AC$67</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D7AA-4F4C-BB75-08E79407C85E}"/>
            </c:ext>
          </c:extLst>
        </c:ser>
        <c:ser>
          <c:idx val="2"/>
          <c:order val="2"/>
          <c:tx>
            <c:strRef>
              <c:f>Schedules!$E$68</c:f>
              <c:strCache>
                <c:ptCount val="1"/>
                <c:pt idx="0">
                  <c:v>Sunday</c:v>
                </c:pt>
              </c:strCache>
            </c:strRef>
          </c:tx>
          <c:spPr>
            <a:ln w="28575" cap="rnd">
              <a:solidFill>
                <a:schemeClr val="accent3"/>
              </a:solidFill>
              <a:round/>
            </a:ln>
            <a:effectLst/>
          </c:spPr>
          <c:marker>
            <c:symbol val="none"/>
          </c:marker>
          <c:val>
            <c:numRef>
              <c:f>Schedules!$F$68:$AC$68</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D7AA-4F4C-BB75-08E79407C85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Schedules!$C$94</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Schedules!$E$69</c:f>
              <c:strCache>
                <c:ptCount val="1"/>
                <c:pt idx="0">
                  <c:v>Weekday</c:v>
                </c:pt>
              </c:strCache>
            </c:strRef>
          </c:tx>
          <c:spPr>
            <a:ln w="28575" cap="rnd">
              <a:solidFill>
                <a:schemeClr val="accent1"/>
              </a:solidFill>
              <a:round/>
            </a:ln>
            <a:effectLst/>
          </c:spPr>
          <c:marker>
            <c:symbol val="none"/>
          </c:marker>
          <c:val>
            <c:numRef>
              <c:f>Schedules!$F$69:$AC$69</c:f>
              <c:numCache>
                <c:formatCode>0.00</c:formatCode>
                <c:ptCount val="24"/>
                <c:pt idx="0">
                  <c:v>0.13100000000000001</c:v>
                </c:pt>
                <c:pt idx="1">
                  <c:v>7.4999999999999997E-2</c:v>
                </c:pt>
                <c:pt idx="2">
                  <c:v>8.4000000000000005E-2</c:v>
                </c:pt>
                <c:pt idx="3">
                  <c:v>0.10299999999999999</c:v>
                </c:pt>
                <c:pt idx="4">
                  <c:v>0.187</c:v>
                </c:pt>
                <c:pt idx="5">
                  <c:v>0.41099999999999998</c:v>
                </c:pt>
                <c:pt idx="6">
                  <c:v>0.83199999999999996</c:v>
                </c:pt>
                <c:pt idx="7">
                  <c:v>1</c:v>
                </c:pt>
                <c:pt idx="8">
                  <c:v>0.83199999999999996</c:v>
                </c:pt>
                <c:pt idx="9">
                  <c:v>0.61699999999999999</c:v>
                </c:pt>
                <c:pt idx="10">
                  <c:v>0.48599999999999999</c:v>
                </c:pt>
                <c:pt idx="11">
                  <c:v>0.35499999999999998</c:v>
                </c:pt>
                <c:pt idx="12">
                  <c:v>0.33600000000000002</c:v>
                </c:pt>
                <c:pt idx="13">
                  <c:v>0.308</c:v>
                </c:pt>
                <c:pt idx="14">
                  <c:v>0.29899999999999999</c:v>
                </c:pt>
                <c:pt idx="15">
                  <c:v>0.24299999999999999</c:v>
                </c:pt>
                <c:pt idx="16">
                  <c:v>0.39300000000000002</c:v>
                </c:pt>
                <c:pt idx="17">
                  <c:v>0.44900000000000001</c:v>
                </c:pt>
                <c:pt idx="18">
                  <c:v>0.48599999999999999</c:v>
                </c:pt>
                <c:pt idx="19">
                  <c:v>0.439</c:v>
                </c:pt>
                <c:pt idx="20">
                  <c:v>0.39300000000000002</c:v>
                </c:pt>
                <c:pt idx="21">
                  <c:v>0.36399999999999999</c:v>
                </c:pt>
                <c:pt idx="22">
                  <c:v>0.33600000000000002</c:v>
                </c:pt>
                <c:pt idx="23">
                  <c:v>0.20599999999999999</c:v>
                </c:pt>
              </c:numCache>
            </c:numRef>
          </c:val>
          <c:smooth val="0"/>
          <c:extLst>
            <c:ext xmlns:c16="http://schemas.microsoft.com/office/drawing/2014/chart" uri="{C3380CC4-5D6E-409C-BE32-E72D297353CC}">
              <c16:uniqueId val="{00000000-6859-4C2B-AE9E-ADFE4A4DDFB7}"/>
            </c:ext>
          </c:extLst>
        </c:ser>
        <c:ser>
          <c:idx val="1"/>
          <c:order val="1"/>
          <c:tx>
            <c:strRef>
              <c:f>Schedules!$E$70</c:f>
              <c:strCache>
                <c:ptCount val="1"/>
                <c:pt idx="0">
                  <c:v>Saturday</c:v>
                </c:pt>
              </c:strCache>
            </c:strRef>
          </c:tx>
          <c:spPr>
            <a:ln w="28575" cap="rnd">
              <a:solidFill>
                <a:schemeClr val="accent2"/>
              </a:solidFill>
              <a:round/>
            </a:ln>
            <a:effectLst/>
          </c:spPr>
          <c:marker>
            <c:symbol val="none"/>
          </c:marker>
          <c:val>
            <c:numRef>
              <c:f>Schedules!$F$70:$AC$70</c:f>
              <c:numCache>
                <c:formatCode>0.00</c:formatCode>
                <c:ptCount val="24"/>
                <c:pt idx="0">
                  <c:v>0.217</c:v>
                </c:pt>
                <c:pt idx="1">
                  <c:v>0.12</c:v>
                </c:pt>
                <c:pt idx="2">
                  <c:v>0.108</c:v>
                </c:pt>
                <c:pt idx="3">
                  <c:v>9.6000000000000002E-2</c:v>
                </c:pt>
                <c:pt idx="4">
                  <c:v>0.18099999999999999</c:v>
                </c:pt>
                <c:pt idx="5">
                  <c:v>0.27700000000000002</c:v>
                </c:pt>
                <c:pt idx="6">
                  <c:v>0.313</c:v>
                </c:pt>
                <c:pt idx="7">
                  <c:v>0.56599999999999995</c:v>
                </c:pt>
                <c:pt idx="8">
                  <c:v>0.92800000000000005</c:v>
                </c:pt>
                <c:pt idx="9">
                  <c:v>1</c:v>
                </c:pt>
                <c:pt idx="10">
                  <c:v>0.89200000000000002</c:v>
                </c:pt>
                <c:pt idx="11">
                  <c:v>0.73499999999999999</c:v>
                </c:pt>
                <c:pt idx="12">
                  <c:v>0.61399999999999999</c:v>
                </c:pt>
                <c:pt idx="13">
                  <c:v>0.51800000000000002</c:v>
                </c:pt>
                <c:pt idx="14">
                  <c:v>0.47</c:v>
                </c:pt>
                <c:pt idx="15">
                  <c:v>0.47</c:v>
                </c:pt>
                <c:pt idx="16">
                  <c:v>0.627</c:v>
                </c:pt>
                <c:pt idx="17">
                  <c:v>0.69899999999999995</c:v>
                </c:pt>
                <c:pt idx="18">
                  <c:v>0.67500000000000004</c:v>
                </c:pt>
                <c:pt idx="19">
                  <c:v>0.627</c:v>
                </c:pt>
                <c:pt idx="20">
                  <c:v>0.56599999999999995</c:v>
                </c:pt>
                <c:pt idx="21">
                  <c:v>0.53</c:v>
                </c:pt>
                <c:pt idx="22">
                  <c:v>0.48199999999999998</c:v>
                </c:pt>
                <c:pt idx="23">
                  <c:v>0.33700000000000002</c:v>
                </c:pt>
              </c:numCache>
            </c:numRef>
          </c:val>
          <c:smooth val="0"/>
          <c:extLst>
            <c:ext xmlns:c16="http://schemas.microsoft.com/office/drawing/2014/chart" uri="{C3380CC4-5D6E-409C-BE32-E72D297353CC}">
              <c16:uniqueId val="{00000001-6859-4C2B-AE9E-ADFE4A4DDFB7}"/>
            </c:ext>
          </c:extLst>
        </c:ser>
        <c:ser>
          <c:idx val="2"/>
          <c:order val="2"/>
          <c:tx>
            <c:strRef>
              <c:f>Schedules!$E$71</c:f>
              <c:strCache>
                <c:ptCount val="1"/>
                <c:pt idx="0">
                  <c:v>Sunday</c:v>
                </c:pt>
              </c:strCache>
            </c:strRef>
          </c:tx>
          <c:spPr>
            <a:ln w="28575" cap="rnd">
              <a:solidFill>
                <a:schemeClr val="accent3"/>
              </a:solidFill>
              <a:round/>
            </a:ln>
            <a:effectLst/>
          </c:spPr>
          <c:marker>
            <c:symbol val="none"/>
          </c:marker>
          <c:val>
            <c:numRef>
              <c:f>Schedules!$F$71:$AC$71</c:f>
              <c:numCache>
                <c:formatCode>0.00</c:formatCode>
                <c:ptCount val="24"/>
                <c:pt idx="0">
                  <c:v>0.217</c:v>
                </c:pt>
                <c:pt idx="1">
                  <c:v>0.12</c:v>
                </c:pt>
                <c:pt idx="2">
                  <c:v>0.108</c:v>
                </c:pt>
                <c:pt idx="3">
                  <c:v>9.6000000000000002E-2</c:v>
                </c:pt>
                <c:pt idx="4">
                  <c:v>0.18099999999999999</c:v>
                </c:pt>
                <c:pt idx="5">
                  <c:v>0.27700000000000002</c:v>
                </c:pt>
                <c:pt idx="6">
                  <c:v>0.313</c:v>
                </c:pt>
                <c:pt idx="7">
                  <c:v>0.56599999999999995</c:v>
                </c:pt>
                <c:pt idx="8">
                  <c:v>0.92800000000000005</c:v>
                </c:pt>
                <c:pt idx="9">
                  <c:v>1</c:v>
                </c:pt>
                <c:pt idx="10">
                  <c:v>0.89200000000000002</c:v>
                </c:pt>
                <c:pt idx="11">
                  <c:v>0.73499999999999999</c:v>
                </c:pt>
                <c:pt idx="12">
                  <c:v>0.61399999999999999</c:v>
                </c:pt>
                <c:pt idx="13">
                  <c:v>0.51800000000000002</c:v>
                </c:pt>
                <c:pt idx="14">
                  <c:v>0.47</c:v>
                </c:pt>
                <c:pt idx="15">
                  <c:v>0.47</c:v>
                </c:pt>
                <c:pt idx="16">
                  <c:v>0.627</c:v>
                </c:pt>
                <c:pt idx="17">
                  <c:v>0.69899999999999995</c:v>
                </c:pt>
                <c:pt idx="18">
                  <c:v>0.67500000000000004</c:v>
                </c:pt>
                <c:pt idx="19">
                  <c:v>0.627</c:v>
                </c:pt>
                <c:pt idx="20">
                  <c:v>0.56599999999999995</c:v>
                </c:pt>
                <c:pt idx="21">
                  <c:v>0.53</c:v>
                </c:pt>
                <c:pt idx="22">
                  <c:v>0.48199999999999998</c:v>
                </c:pt>
                <c:pt idx="23">
                  <c:v>0.33700000000000002</c:v>
                </c:pt>
              </c:numCache>
            </c:numRef>
          </c:val>
          <c:smooth val="0"/>
          <c:extLst>
            <c:ext xmlns:c16="http://schemas.microsoft.com/office/drawing/2014/chart" uri="{C3380CC4-5D6E-409C-BE32-E72D297353CC}">
              <c16:uniqueId val="{00000002-6859-4C2B-AE9E-ADFE4A4DDFB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Schedules!$C$97</c:f>
          <c:strCache>
            <c:ptCount val="1"/>
            <c:pt idx="0">
              <c:v>Infiltration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Schedules!$E$97</c:f>
              <c:strCache>
                <c:ptCount val="1"/>
                <c:pt idx="0">
                  <c:v>Weekday</c:v>
                </c:pt>
              </c:strCache>
            </c:strRef>
          </c:tx>
          <c:spPr>
            <a:ln w="28575" cap="rnd">
              <a:solidFill>
                <a:schemeClr val="accent1"/>
              </a:solidFill>
              <a:round/>
            </a:ln>
            <a:effectLst/>
          </c:spPr>
          <c:marker>
            <c:symbol val="none"/>
          </c:marker>
          <c:val>
            <c:numRef>
              <c:f>Schedules!$F$97:$AC$97</c:f>
              <c:numCache>
                <c:formatCode>0.00</c:formatCode>
                <c:ptCount val="24"/>
                <c:pt idx="0">
                  <c:v>1</c:v>
                </c:pt>
                <c:pt idx="1">
                  <c:v>1</c:v>
                </c:pt>
                <c:pt idx="2">
                  <c:v>1</c:v>
                </c:pt>
                <c:pt idx="3">
                  <c:v>1</c:v>
                </c:pt>
                <c:pt idx="4">
                  <c:v>1</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0-F956-4494-AB32-2D815DDEBD35}"/>
            </c:ext>
          </c:extLst>
        </c:ser>
        <c:ser>
          <c:idx val="1"/>
          <c:order val="1"/>
          <c:tx>
            <c:strRef>
              <c:f>Schedules!$E$98</c:f>
              <c:strCache>
                <c:ptCount val="1"/>
                <c:pt idx="0">
                  <c:v>Saturday</c:v>
                </c:pt>
              </c:strCache>
            </c:strRef>
          </c:tx>
          <c:spPr>
            <a:ln w="28575" cap="rnd">
              <a:solidFill>
                <a:schemeClr val="accent2"/>
              </a:solidFill>
              <a:round/>
            </a:ln>
            <a:effectLst/>
          </c:spPr>
          <c:marker>
            <c:symbol val="none"/>
          </c:marker>
          <c:val>
            <c:numRef>
              <c:f>Schedules!$F$98:$AC$98</c:f>
              <c:numCache>
                <c:formatCode>0.00</c:formatCode>
                <c:ptCount val="24"/>
                <c:pt idx="0">
                  <c:v>1</c:v>
                </c:pt>
                <c:pt idx="1">
                  <c:v>1</c:v>
                </c:pt>
                <c:pt idx="2">
                  <c:v>1</c:v>
                </c:pt>
                <c:pt idx="3">
                  <c:v>1</c:v>
                </c:pt>
                <c:pt idx="4">
                  <c:v>1</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1</c:v>
                </c:pt>
                <c:pt idx="20">
                  <c:v>1</c:v>
                </c:pt>
                <c:pt idx="21">
                  <c:v>1</c:v>
                </c:pt>
                <c:pt idx="22">
                  <c:v>1</c:v>
                </c:pt>
                <c:pt idx="23">
                  <c:v>1</c:v>
                </c:pt>
              </c:numCache>
            </c:numRef>
          </c:val>
          <c:smooth val="0"/>
          <c:extLst>
            <c:ext xmlns:c16="http://schemas.microsoft.com/office/drawing/2014/chart" uri="{C3380CC4-5D6E-409C-BE32-E72D297353CC}">
              <c16:uniqueId val="{00000001-F956-4494-AB32-2D815DDEBD35}"/>
            </c:ext>
          </c:extLst>
        </c:ser>
        <c:ser>
          <c:idx val="2"/>
          <c:order val="2"/>
          <c:tx>
            <c:strRef>
              <c:f>Schedules!$E$99</c:f>
              <c:strCache>
                <c:ptCount val="1"/>
                <c:pt idx="0">
                  <c:v>Sunday</c:v>
                </c:pt>
              </c:strCache>
            </c:strRef>
          </c:tx>
          <c:spPr>
            <a:ln w="28575" cap="rnd">
              <a:solidFill>
                <a:schemeClr val="accent3"/>
              </a:solidFill>
              <a:round/>
            </a:ln>
            <a:effectLst/>
          </c:spPr>
          <c:marker>
            <c:symbol val="none"/>
          </c:marker>
          <c:val>
            <c:numRef>
              <c:f>Schedules!$F$99:$AC$99</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F956-4494-AB32-2D815DDEBD3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Schedules!$C$100</c:f>
          <c:strCache>
            <c:ptCount val="1"/>
            <c:pt idx="0">
              <c:v>HtgSetpt</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Schedules!$E$100</c:f>
              <c:strCache>
                <c:ptCount val="1"/>
                <c:pt idx="0">
                  <c:v>Weekday</c:v>
                </c:pt>
              </c:strCache>
            </c:strRef>
          </c:tx>
          <c:spPr>
            <a:ln w="28575" cap="rnd">
              <a:solidFill>
                <a:schemeClr val="accent1"/>
              </a:solidFill>
              <a:round/>
            </a:ln>
            <a:effectLst/>
          </c:spPr>
          <c:marker>
            <c:symbol val="none"/>
          </c:marker>
          <c:val>
            <c:numRef>
              <c:f>Schedules!$F$100:$AC$100</c:f>
              <c:numCache>
                <c:formatCode>0</c:formatCode>
                <c:ptCount val="24"/>
                <c:pt idx="0">
                  <c:v>60</c:v>
                </c:pt>
                <c:pt idx="1">
                  <c:v>60</c:v>
                </c:pt>
                <c:pt idx="2">
                  <c:v>60</c:v>
                </c:pt>
                <c:pt idx="3">
                  <c:v>60</c:v>
                </c:pt>
                <c:pt idx="4">
                  <c:v>60</c:v>
                </c:pt>
                <c:pt idx="5">
                  <c:v>70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70</c:v>
                </c:pt>
              </c:numCache>
            </c:numRef>
          </c:val>
          <c:smooth val="0"/>
          <c:extLst>
            <c:ext xmlns:c16="http://schemas.microsoft.com/office/drawing/2014/chart" uri="{C3380CC4-5D6E-409C-BE32-E72D297353CC}">
              <c16:uniqueId val="{00000000-4CB5-482A-9BDE-3CD29B8BF81E}"/>
            </c:ext>
          </c:extLst>
        </c:ser>
        <c:ser>
          <c:idx val="1"/>
          <c:order val="1"/>
          <c:tx>
            <c:strRef>
              <c:f>Schedules!$E$101</c:f>
              <c:strCache>
                <c:ptCount val="1"/>
                <c:pt idx="0">
                  <c:v>Saturday</c:v>
                </c:pt>
              </c:strCache>
            </c:strRef>
          </c:tx>
          <c:spPr>
            <a:ln w="28575" cap="rnd">
              <a:solidFill>
                <a:schemeClr val="accent2"/>
              </a:solidFill>
              <a:round/>
            </a:ln>
            <a:effectLst/>
          </c:spPr>
          <c:marker>
            <c:symbol val="none"/>
          </c:marker>
          <c:val>
            <c:numRef>
              <c:f>Schedules!$F$101:$AC$101</c:f>
              <c:numCache>
                <c:formatCode>0</c:formatCode>
                <c:ptCount val="24"/>
                <c:pt idx="0">
                  <c:v>60</c:v>
                </c:pt>
                <c:pt idx="1">
                  <c:v>60</c:v>
                </c:pt>
                <c:pt idx="2">
                  <c:v>60</c:v>
                </c:pt>
                <c:pt idx="3">
                  <c:v>60</c:v>
                </c:pt>
                <c:pt idx="4">
                  <c:v>60</c:v>
                </c:pt>
                <c:pt idx="5">
                  <c:v>70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60</c:v>
                </c:pt>
                <c:pt idx="20">
                  <c:v>60</c:v>
                </c:pt>
                <c:pt idx="21">
                  <c:v>60</c:v>
                </c:pt>
                <c:pt idx="22">
                  <c:v>60</c:v>
                </c:pt>
                <c:pt idx="23">
                  <c:v>60</c:v>
                </c:pt>
              </c:numCache>
            </c:numRef>
          </c:val>
          <c:smooth val="0"/>
          <c:extLst>
            <c:ext xmlns:c16="http://schemas.microsoft.com/office/drawing/2014/chart" uri="{C3380CC4-5D6E-409C-BE32-E72D297353CC}">
              <c16:uniqueId val="{00000001-4CB5-482A-9BDE-3CD29B8BF81E}"/>
            </c:ext>
          </c:extLst>
        </c:ser>
        <c:ser>
          <c:idx val="2"/>
          <c:order val="2"/>
          <c:tx>
            <c:strRef>
              <c:f>Schedules!$E$102</c:f>
              <c:strCache>
                <c:ptCount val="1"/>
                <c:pt idx="0">
                  <c:v>Sunday</c:v>
                </c:pt>
              </c:strCache>
            </c:strRef>
          </c:tx>
          <c:spPr>
            <a:ln w="28575" cap="rnd">
              <a:solidFill>
                <a:schemeClr val="accent3"/>
              </a:solidFill>
              <a:round/>
            </a:ln>
            <a:effectLst/>
          </c:spPr>
          <c:marker>
            <c:symbol val="none"/>
          </c:marker>
          <c:val>
            <c:numRef>
              <c:f>Schedules!$F$102:$AC$102</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2-4CB5-482A-9BDE-3CD29B8BF81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5"/>
        <c:minorUnit val="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Schedules!$C$103</c:f>
          <c:strCache>
            <c:ptCount val="1"/>
            <c:pt idx="0">
              <c:v>ClgSetpt</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Schedules!$E$103</c:f>
              <c:strCache>
                <c:ptCount val="1"/>
                <c:pt idx="0">
                  <c:v>Weekday</c:v>
                </c:pt>
              </c:strCache>
            </c:strRef>
          </c:tx>
          <c:spPr>
            <a:ln w="28575" cap="rnd">
              <a:solidFill>
                <a:schemeClr val="accent1"/>
              </a:solidFill>
              <a:round/>
            </a:ln>
            <a:effectLst/>
          </c:spPr>
          <c:marker>
            <c:symbol val="none"/>
          </c:marker>
          <c:val>
            <c:numRef>
              <c:f>Schedules!$F$103:$AC$103</c:f>
              <c:numCache>
                <c:formatCode>0</c:formatCode>
                <c:ptCount val="24"/>
                <c:pt idx="0">
                  <c:v>85</c:v>
                </c:pt>
                <c:pt idx="1">
                  <c:v>85</c:v>
                </c:pt>
                <c:pt idx="2">
                  <c:v>85</c:v>
                </c:pt>
                <c:pt idx="3">
                  <c:v>85</c:v>
                </c:pt>
                <c:pt idx="4">
                  <c:v>85</c:v>
                </c:pt>
                <c:pt idx="5">
                  <c:v>75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75</c:v>
                </c:pt>
                <c:pt idx="23">
                  <c:v>75</c:v>
                </c:pt>
              </c:numCache>
            </c:numRef>
          </c:val>
          <c:smooth val="0"/>
          <c:extLst>
            <c:ext xmlns:c16="http://schemas.microsoft.com/office/drawing/2014/chart" uri="{C3380CC4-5D6E-409C-BE32-E72D297353CC}">
              <c16:uniqueId val="{00000000-9E01-44C3-8F0A-05952BD9C37E}"/>
            </c:ext>
          </c:extLst>
        </c:ser>
        <c:ser>
          <c:idx val="1"/>
          <c:order val="1"/>
          <c:tx>
            <c:strRef>
              <c:f>Schedules!$E$104</c:f>
              <c:strCache>
                <c:ptCount val="1"/>
                <c:pt idx="0">
                  <c:v>Saturday</c:v>
                </c:pt>
              </c:strCache>
            </c:strRef>
          </c:tx>
          <c:spPr>
            <a:ln w="28575" cap="rnd">
              <a:solidFill>
                <a:schemeClr val="accent2"/>
              </a:solidFill>
              <a:round/>
            </a:ln>
            <a:effectLst/>
          </c:spPr>
          <c:marker>
            <c:symbol val="none"/>
          </c:marker>
          <c:val>
            <c:numRef>
              <c:f>Schedules!$F$104:$AC$104</c:f>
              <c:numCache>
                <c:formatCode>0</c:formatCode>
                <c:ptCount val="24"/>
                <c:pt idx="0">
                  <c:v>85</c:v>
                </c:pt>
                <c:pt idx="1">
                  <c:v>85</c:v>
                </c:pt>
                <c:pt idx="2">
                  <c:v>85</c:v>
                </c:pt>
                <c:pt idx="3">
                  <c:v>85</c:v>
                </c:pt>
                <c:pt idx="4">
                  <c:v>85</c:v>
                </c:pt>
                <c:pt idx="5">
                  <c:v>75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85</c:v>
                </c:pt>
                <c:pt idx="20">
                  <c:v>85</c:v>
                </c:pt>
                <c:pt idx="21">
                  <c:v>85</c:v>
                </c:pt>
                <c:pt idx="22">
                  <c:v>85</c:v>
                </c:pt>
                <c:pt idx="23">
                  <c:v>85</c:v>
                </c:pt>
              </c:numCache>
            </c:numRef>
          </c:val>
          <c:smooth val="0"/>
          <c:extLst>
            <c:ext xmlns:c16="http://schemas.microsoft.com/office/drawing/2014/chart" uri="{C3380CC4-5D6E-409C-BE32-E72D297353CC}">
              <c16:uniqueId val="{00000001-9E01-44C3-8F0A-05952BD9C37E}"/>
            </c:ext>
          </c:extLst>
        </c:ser>
        <c:ser>
          <c:idx val="2"/>
          <c:order val="2"/>
          <c:tx>
            <c:strRef>
              <c:f>Schedules!$E$105</c:f>
              <c:strCache>
                <c:ptCount val="1"/>
                <c:pt idx="0">
                  <c:v>Sunday</c:v>
                </c:pt>
              </c:strCache>
            </c:strRef>
          </c:tx>
          <c:spPr>
            <a:ln w="28575" cap="rnd">
              <a:solidFill>
                <a:schemeClr val="accent3"/>
              </a:solidFill>
              <a:round/>
            </a:ln>
            <a:effectLst/>
          </c:spPr>
          <c:marker>
            <c:symbol val="none"/>
          </c:marker>
          <c:val>
            <c:numRef>
              <c:f>Schedules!$F$105:$AC$105</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2-9E01-44C3-8F0A-05952BD9C37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5"/>
        <c:minorUnit val="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Small Hotel CalBEM Prototype vs. CEUS 2022</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852916320173568"/>
          <c:y val="0.13702235994960596"/>
          <c:w val="0.83351058960687763"/>
          <c:h val="0.59930303446257949"/>
        </c:manualLayout>
      </c:layout>
      <c:barChart>
        <c:barDir val="col"/>
        <c:grouping val="clustered"/>
        <c:varyColors val="0"/>
        <c:ser>
          <c:idx val="2"/>
          <c:order val="0"/>
          <c:tx>
            <c:strRef>
              <c:f>'Energy Usage'!$T$2</c:f>
              <c:strCache>
                <c:ptCount val="1"/>
                <c:pt idx="0">
                  <c:v>Acceptable Range (25% Higher)</c:v>
                </c:pt>
              </c:strCache>
            </c:strRef>
          </c:tx>
          <c:spPr>
            <a:solidFill>
              <a:schemeClr val="accent3"/>
            </a:solidFill>
            <a:ln>
              <a:noFill/>
            </a:ln>
            <a:effectLst/>
          </c:spPr>
          <c:invertIfNegative val="0"/>
          <c:val>
            <c:numRef>
              <c:f>'Energy Usage'!$T$3:$T$18</c:f>
              <c:numCache>
                <c:formatCode>0.0</c:formatCode>
                <c:ptCount val="16"/>
                <c:pt idx="0">
                  <c:v>70.287199999999999</c:v>
                </c:pt>
                <c:pt idx="1">
                  <c:v>61.970449999999992</c:v>
                </c:pt>
                <c:pt idx="2">
                  <c:v>69.988650000000007</c:v>
                </c:pt>
                <c:pt idx="3">
                  <c:v>67.301699999999997</c:v>
                </c:pt>
                <c:pt idx="4">
                  <c:v>84.447000000000003</c:v>
                </c:pt>
                <c:pt idx="5">
                  <c:v>83.721949999999993</c:v>
                </c:pt>
                <c:pt idx="6">
                  <c:v>88.157550000000015</c:v>
                </c:pt>
                <c:pt idx="7">
                  <c:v>82.271849999999986</c:v>
                </c:pt>
                <c:pt idx="8">
                  <c:v>80.69380000000001</c:v>
                </c:pt>
                <c:pt idx="9">
                  <c:v>100.90989999999999</c:v>
                </c:pt>
                <c:pt idx="10">
                  <c:v>108.6722</c:v>
                </c:pt>
                <c:pt idx="11">
                  <c:v>99.331850000000003</c:v>
                </c:pt>
                <c:pt idx="12">
                  <c:v>88.754649999999998</c:v>
                </c:pt>
                <c:pt idx="13">
                  <c:v>99.715700000000012</c:v>
                </c:pt>
                <c:pt idx="14">
                  <c:v>96.900800000000004</c:v>
                </c:pt>
                <c:pt idx="15">
                  <c:v>110.5488</c:v>
                </c:pt>
              </c:numCache>
            </c:numRef>
          </c:val>
          <c:extLst>
            <c:ext xmlns:c16="http://schemas.microsoft.com/office/drawing/2014/chart" uri="{C3380CC4-5D6E-409C-BE32-E72D297353CC}">
              <c16:uniqueId val="{00000003-1642-4914-9665-D4DD8C11D107}"/>
            </c:ext>
          </c:extLst>
        </c:ser>
        <c:ser>
          <c:idx val="0"/>
          <c:order val="1"/>
          <c:tx>
            <c:strRef>
              <c:f>'Energy Usage'!$E$2</c:f>
              <c:strCache>
                <c:ptCount val="1"/>
                <c:pt idx="0">
                  <c:v>CalBEM Total  EUI (KBTU/ft²)</c:v>
                </c:pt>
              </c:strCache>
            </c:strRef>
          </c:tx>
          <c:spPr>
            <a:solidFill>
              <a:schemeClr val="accent1"/>
            </a:solidFill>
            <a:ln>
              <a:noFill/>
            </a:ln>
            <a:effectLst/>
          </c:spPr>
          <c:invertIfNegative val="0"/>
          <c:cat>
            <c:numRef>
              <c:f>'Energy Usage'!$B$3:$B$18</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cat>
          <c:val>
            <c:numRef>
              <c:f>'Energy Usage'!$E$3:$E$18</c:f>
              <c:numCache>
                <c:formatCode>General</c:formatCode>
                <c:ptCount val="16"/>
                <c:pt idx="0">
                  <c:v>70.5</c:v>
                </c:pt>
                <c:pt idx="1">
                  <c:v>66.5</c:v>
                </c:pt>
                <c:pt idx="2">
                  <c:v>61.7</c:v>
                </c:pt>
                <c:pt idx="3">
                  <c:v>67.099999999999994</c:v>
                </c:pt>
                <c:pt idx="4">
                  <c:v>60.2</c:v>
                </c:pt>
                <c:pt idx="5">
                  <c:v>55.6</c:v>
                </c:pt>
                <c:pt idx="6">
                  <c:v>55.2</c:v>
                </c:pt>
                <c:pt idx="7">
                  <c:v>59.1</c:v>
                </c:pt>
                <c:pt idx="8">
                  <c:v>60</c:v>
                </c:pt>
                <c:pt idx="9">
                  <c:v>61.7</c:v>
                </c:pt>
                <c:pt idx="10">
                  <c:v>71.8</c:v>
                </c:pt>
                <c:pt idx="11">
                  <c:v>66.2</c:v>
                </c:pt>
                <c:pt idx="12">
                  <c:v>69</c:v>
                </c:pt>
                <c:pt idx="13">
                  <c:v>69.5</c:v>
                </c:pt>
                <c:pt idx="14">
                  <c:v>68.099999999999994</c:v>
                </c:pt>
                <c:pt idx="15">
                  <c:v>75</c:v>
                </c:pt>
              </c:numCache>
            </c:numRef>
          </c:val>
          <c:extLst>
            <c:ext xmlns:c16="http://schemas.microsoft.com/office/drawing/2014/chart" uri="{C3380CC4-5D6E-409C-BE32-E72D297353CC}">
              <c16:uniqueId val="{00000000-1642-4914-9665-D4DD8C11D107}"/>
            </c:ext>
          </c:extLst>
        </c:ser>
        <c:ser>
          <c:idx val="1"/>
          <c:order val="2"/>
          <c:tx>
            <c:strRef>
              <c:f>'Energy Usage'!$S$2</c:f>
              <c:strCache>
                <c:ptCount val="1"/>
                <c:pt idx="0">
                  <c:v>CEUS 2023 Total EUI (kBtu/ft²)</c:v>
                </c:pt>
              </c:strCache>
            </c:strRef>
          </c:tx>
          <c:spPr>
            <a:solidFill>
              <a:schemeClr val="accent2"/>
            </a:solidFill>
            <a:ln>
              <a:noFill/>
            </a:ln>
            <a:effectLst/>
          </c:spPr>
          <c:invertIfNegative val="0"/>
          <c:cat>
            <c:numRef>
              <c:f>'Energy Usage'!$B$3:$B$18</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cat>
          <c:val>
            <c:numRef>
              <c:f>'Energy Usage'!$S$3:$S$18</c:f>
              <c:numCache>
                <c:formatCode>0.0</c:formatCode>
                <c:ptCount val="16"/>
                <c:pt idx="0">
                  <c:v>56.229759999999999</c:v>
                </c:pt>
                <c:pt idx="1">
                  <c:v>49.576359999999994</c:v>
                </c:pt>
                <c:pt idx="2">
                  <c:v>55.990920000000003</c:v>
                </c:pt>
                <c:pt idx="3">
                  <c:v>53.841360000000002</c:v>
                </c:pt>
                <c:pt idx="4">
                  <c:v>67.557600000000008</c:v>
                </c:pt>
                <c:pt idx="5">
                  <c:v>66.977559999999997</c:v>
                </c:pt>
                <c:pt idx="6">
                  <c:v>70.526040000000009</c:v>
                </c:pt>
                <c:pt idx="7">
                  <c:v>65.817479999999989</c:v>
                </c:pt>
                <c:pt idx="8">
                  <c:v>64.555040000000005</c:v>
                </c:pt>
                <c:pt idx="9">
                  <c:v>80.727919999999997</c:v>
                </c:pt>
                <c:pt idx="10">
                  <c:v>86.937759999999997</c:v>
                </c:pt>
                <c:pt idx="11">
                  <c:v>79.465479999999999</c:v>
                </c:pt>
                <c:pt idx="12">
                  <c:v>71.003720000000001</c:v>
                </c:pt>
                <c:pt idx="13">
                  <c:v>79.772560000000013</c:v>
                </c:pt>
                <c:pt idx="14">
                  <c:v>77.52064</c:v>
                </c:pt>
                <c:pt idx="15">
                  <c:v>88.439040000000006</c:v>
                </c:pt>
              </c:numCache>
            </c:numRef>
          </c:val>
          <c:extLst>
            <c:ext xmlns:c16="http://schemas.microsoft.com/office/drawing/2014/chart" uri="{C3380CC4-5D6E-409C-BE32-E72D297353CC}">
              <c16:uniqueId val="{00000001-1642-4914-9665-D4DD8C11D107}"/>
            </c:ext>
          </c:extLst>
        </c:ser>
        <c:ser>
          <c:idx val="3"/>
          <c:order val="3"/>
          <c:tx>
            <c:strRef>
              <c:f>'Energy Usage'!$U$2</c:f>
              <c:strCache>
                <c:ptCount val="1"/>
                <c:pt idx="0">
                  <c:v>Acceptable Range (25% Lower)</c:v>
                </c:pt>
              </c:strCache>
            </c:strRef>
          </c:tx>
          <c:spPr>
            <a:solidFill>
              <a:schemeClr val="accent4"/>
            </a:solidFill>
            <a:ln>
              <a:noFill/>
            </a:ln>
            <a:effectLst/>
          </c:spPr>
          <c:invertIfNegative val="0"/>
          <c:val>
            <c:numRef>
              <c:f>'Energy Usage'!$U$3:$U$18</c:f>
              <c:numCache>
                <c:formatCode>0.0</c:formatCode>
                <c:ptCount val="16"/>
                <c:pt idx="0">
                  <c:v>42.172319999999999</c:v>
                </c:pt>
                <c:pt idx="1">
                  <c:v>37.182269999999995</c:v>
                </c:pt>
                <c:pt idx="2">
                  <c:v>41.993189999999998</c:v>
                </c:pt>
                <c:pt idx="3">
                  <c:v>40.381019999999999</c:v>
                </c:pt>
                <c:pt idx="4">
                  <c:v>50.668200000000006</c:v>
                </c:pt>
                <c:pt idx="5">
                  <c:v>50.233170000000001</c:v>
                </c:pt>
                <c:pt idx="6">
                  <c:v>52.894530000000003</c:v>
                </c:pt>
                <c:pt idx="7">
                  <c:v>49.363109999999992</c:v>
                </c:pt>
                <c:pt idx="8">
                  <c:v>48.41628</c:v>
                </c:pt>
                <c:pt idx="9">
                  <c:v>60.545940000000002</c:v>
                </c:pt>
                <c:pt idx="10">
                  <c:v>65.203319999999991</c:v>
                </c:pt>
                <c:pt idx="11">
                  <c:v>59.599109999999996</c:v>
                </c:pt>
                <c:pt idx="12">
                  <c:v>53.252790000000005</c:v>
                </c:pt>
                <c:pt idx="13">
                  <c:v>59.829420000000013</c:v>
                </c:pt>
                <c:pt idx="14">
                  <c:v>58.140479999999997</c:v>
                </c:pt>
                <c:pt idx="15">
                  <c:v>66.329280000000011</c:v>
                </c:pt>
              </c:numCache>
            </c:numRef>
          </c:val>
          <c:extLst>
            <c:ext xmlns:c16="http://schemas.microsoft.com/office/drawing/2014/chart" uri="{C3380CC4-5D6E-409C-BE32-E72D297353CC}">
              <c16:uniqueId val="{00000004-1642-4914-9665-D4DD8C11D107}"/>
            </c:ext>
          </c:extLst>
        </c:ser>
        <c:dLbls>
          <c:showLegendKey val="0"/>
          <c:showVal val="0"/>
          <c:showCatName val="0"/>
          <c:showSerName val="0"/>
          <c:showPercent val="0"/>
          <c:showBubbleSize val="0"/>
        </c:dLbls>
        <c:gapWidth val="150"/>
        <c:axId val="1566017407"/>
        <c:axId val="1566017887"/>
      </c:barChart>
      <c:catAx>
        <c:axId val="1566017407"/>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Climate Zone</a:t>
                </a:r>
              </a:p>
            </c:rich>
          </c:tx>
          <c:layout>
            <c:manualLayout>
              <c:xMode val="edge"/>
              <c:yMode val="edge"/>
              <c:x val="0.43954576187222388"/>
              <c:y val="0.8097799015254496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66017887"/>
        <c:crosses val="autoZero"/>
        <c:auto val="1"/>
        <c:lblAlgn val="ctr"/>
        <c:lblOffset val="100"/>
        <c:noMultiLvlLbl val="0"/>
      </c:catAx>
      <c:valAx>
        <c:axId val="1566017887"/>
        <c:scaling>
          <c:orientation val="minMax"/>
          <c:min val="5"/>
        </c:scaling>
        <c:delete val="0"/>
        <c:axPos val="l"/>
        <c:majorGridlines>
          <c:spPr>
            <a:ln w="9525" cap="flat" cmpd="sng" algn="ctr">
              <a:solidFill>
                <a:schemeClr val="tx1">
                  <a:lumMod val="15000"/>
                  <a:lumOff val="85000"/>
                </a:schemeClr>
              </a:solidFill>
              <a:prstDash val="sysDot"/>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Total EUI (kBtu/ft²)</a:t>
                </a:r>
              </a:p>
            </c:rich>
          </c:tx>
          <c:layout>
            <c:manualLayout>
              <c:xMode val="edge"/>
              <c:yMode val="edge"/>
              <c:x val="1.7562070310921583E-2"/>
              <c:y val="0.33110876739126421"/>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66017407"/>
        <c:crosses val="autoZero"/>
        <c:crossBetween val="between"/>
      </c:valAx>
      <c:spPr>
        <a:noFill/>
        <a:ln>
          <a:solidFill>
            <a:schemeClr val="bg1">
              <a:lumMod val="75000"/>
            </a:schemeClr>
          </a:solidFill>
        </a:ln>
        <a:effectLst/>
      </c:spPr>
    </c:plotArea>
    <c:legend>
      <c:legendPos val="b"/>
      <c:layout>
        <c:manualLayout>
          <c:xMode val="edge"/>
          <c:yMode val="edge"/>
          <c:x val="1.7424455069849291E-2"/>
          <c:y val="0.84992179401248036"/>
          <c:w val="0.9581370984655263"/>
          <c:h val="0.11820860735123737"/>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HotelSmall CalBEM Prototype vs. CEUS 2022</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Usage'!$U$2</c:f>
              <c:strCache>
                <c:ptCount val="1"/>
                <c:pt idx="0">
                  <c:v>Acceptable Range (25% Lower)</c:v>
                </c:pt>
              </c:strCache>
            </c:strRef>
          </c:tx>
          <c:spPr>
            <a:noFill/>
            <a:ln>
              <a:noFill/>
            </a:ln>
            <a:effectLst/>
          </c:spPr>
          <c:invertIfNegative val="0"/>
          <c:val>
            <c:numRef>
              <c:f>'Energy Usage'!$U$3:$U$18</c:f>
              <c:numCache>
                <c:formatCode>0.0</c:formatCode>
                <c:ptCount val="16"/>
                <c:pt idx="0">
                  <c:v>42.172319999999999</c:v>
                </c:pt>
                <c:pt idx="1">
                  <c:v>37.182269999999995</c:v>
                </c:pt>
                <c:pt idx="2">
                  <c:v>41.993189999999998</c:v>
                </c:pt>
                <c:pt idx="3">
                  <c:v>40.381019999999999</c:v>
                </c:pt>
                <c:pt idx="4">
                  <c:v>50.668200000000006</c:v>
                </c:pt>
                <c:pt idx="5">
                  <c:v>50.233170000000001</c:v>
                </c:pt>
                <c:pt idx="6">
                  <c:v>52.894530000000003</c:v>
                </c:pt>
                <c:pt idx="7">
                  <c:v>49.363109999999992</c:v>
                </c:pt>
                <c:pt idx="8">
                  <c:v>48.41628</c:v>
                </c:pt>
                <c:pt idx="9">
                  <c:v>60.545940000000002</c:v>
                </c:pt>
                <c:pt idx="10">
                  <c:v>65.203319999999991</c:v>
                </c:pt>
                <c:pt idx="11">
                  <c:v>59.599109999999996</c:v>
                </c:pt>
                <c:pt idx="12">
                  <c:v>53.252790000000005</c:v>
                </c:pt>
                <c:pt idx="13">
                  <c:v>59.829420000000013</c:v>
                </c:pt>
                <c:pt idx="14">
                  <c:v>58.140479999999997</c:v>
                </c:pt>
                <c:pt idx="15">
                  <c:v>66.329280000000011</c:v>
                </c:pt>
              </c:numCache>
            </c:numRef>
          </c:val>
          <c:extLst>
            <c:ext xmlns:c16="http://schemas.microsoft.com/office/drawing/2014/chart" uri="{C3380CC4-5D6E-409C-BE32-E72D297353CC}">
              <c16:uniqueId val="{00000000-FBA5-4D14-9BE8-DFB7D674B4A5}"/>
            </c:ext>
          </c:extLst>
        </c:ser>
        <c:ser>
          <c:idx val="2"/>
          <c:order val="1"/>
          <c:tx>
            <c:strRef>
              <c:f>'Energy Usage'!$V$2</c:f>
              <c:strCache>
                <c:ptCount val="1"/>
                <c:pt idx="0">
                  <c:v>CEUS 2022 Acceptable EUI Range </c:v>
                </c:pt>
              </c:strCache>
            </c:strRef>
          </c:tx>
          <c:spPr>
            <a:solidFill>
              <a:schemeClr val="accent4">
                <a:lumMod val="40000"/>
                <a:lumOff val="60000"/>
              </a:schemeClr>
            </a:solidFill>
            <a:ln>
              <a:solidFill>
                <a:schemeClr val="accent4">
                  <a:lumMod val="75000"/>
                </a:schemeClr>
              </a:solidFill>
            </a:ln>
            <a:effectLst/>
          </c:spPr>
          <c:invertIfNegative val="0"/>
          <c:val>
            <c:numRef>
              <c:f>'Energy Usage'!$V$3:$V$18</c:f>
              <c:numCache>
                <c:formatCode>_(* #,##0.0_);_(* \(#,##0.0\);_(* "-"??_);_(@_)</c:formatCode>
                <c:ptCount val="16"/>
                <c:pt idx="0">
                  <c:v>28.114879999999999</c:v>
                </c:pt>
                <c:pt idx="1">
                  <c:v>24.788179999999997</c:v>
                </c:pt>
                <c:pt idx="2">
                  <c:v>27.995460000000008</c:v>
                </c:pt>
                <c:pt idx="3">
                  <c:v>26.920679999999997</c:v>
                </c:pt>
                <c:pt idx="4">
                  <c:v>33.778799999999997</c:v>
                </c:pt>
                <c:pt idx="5">
                  <c:v>33.488779999999991</c:v>
                </c:pt>
                <c:pt idx="6">
                  <c:v>35.263020000000012</c:v>
                </c:pt>
                <c:pt idx="7">
                  <c:v>32.908739999999995</c:v>
                </c:pt>
                <c:pt idx="8">
                  <c:v>32.27752000000001</c:v>
                </c:pt>
                <c:pt idx="9">
                  <c:v>40.363959999999992</c:v>
                </c:pt>
                <c:pt idx="10">
                  <c:v>43.468880000000013</c:v>
                </c:pt>
                <c:pt idx="11">
                  <c:v>39.732740000000007</c:v>
                </c:pt>
                <c:pt idx="12">
                  <c:v>35.501859999999994</c:v>
                </c:pt>
                <c:pt idx="13">
                  <c:v>39.886279999999999</c:v>
                </c:pt>
                <c:pt idx="14">
                  <c:v>38.760320000000007</c:v>
                </c:pt>
                <c:pt idx="15">
                  <c:v>44.219519999999989</c:v>
                </c:pt>
              </c:numCache>
            </c:numRef>
          </c:val>
          <c:extLst>
            <c:ext xmlns:c16="http://schemas.microsoft.com/office/drawing/2014/chart" uri="{C3380CC4-5D6E-409C-BE32-E72D297353CC}">
              <c16:uniqueId val="{00000001-FBA5-4D14-9BE8-DFB7D674B4A5}"/>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General</c:formatCode>
                <c:ptCount val="16"/>
                <c:pt idx="0">
                  <c:v>70.5</c:v>
                </c:pt>
                <c:pt idx="1">
                  <c:v>66.5</c:v>
                </c:pt>
                <c:pt idx="2">
                  <c:v>61.7</c:v>
                </c:pt>
                <c:pt idx="3">
                  <c:v>67.099999999999994</c:v>
                </c:pt>
                <c:pt idx="4">
                  <c:v>60.2</c:v>
                </c:pt>
                <c:pt idx="5">
                  <c:v>55.6</c:v>
                </c:pt>
                <c:pt idx="6">
                  <c:v>55.2</c:v>
                </c:pt>
                <c:pt idx="7">
                  <c:v>59.1</c:v>
                </c:pt>
                <c:pt idx="8">
                  <c:v>60</c:v>
                </c:pt>
                <c:pt idx="9">
                  <c:v>61.7</c:v>
                </c:pt>
                <c:pt idx="10">
                  <c:v>71.8</c:v>
                </c:pt>
                <c:pt idx="11">
                  <c:v>66.2</c:v>
                </c:pt>
                <c:pt idx="12">
                  <c:v>69</c:v>
                </c:pt>
                <c:pt idx="13">
                  <c:v>69.5</c:v>
                </c:pt>
                <c:pt idx="14">
                  <c:v>68.099999999999994</c:v>
                </c:pt>
                <c:pt idx="15">
                  <c:v>75</c:v>
                </c:pt>
              </c:numCache>
            </c:numRef>
          </c:yVal>
          <c:smooth val="0"/>
          <c:extLst>
            <c:ext xmlns:c16="http://schemas.microsoft.com/office/drawing/2014/chart" uri="{C3380CC4-5D6E-409C-BE32-E72D297353CC}">
              <c16:uniqueId val="{00000002-FBA5-4D14-9BE8-DFB7D674B4A5}"/>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0.0</c:formatCode>
                <c:ptCount val="16"/>
                <c:pt idx="0">
                  <c:v>49.03</c:v>
                </c:pt>
                <c:pt idx="1">
                  <c:v>48.260000000000005</c:v>
                </c:pt>
                <c:pt idx="2">
                  <c:v>44.81</c:v>
                </c:pt>
                <c:pt idx="3">
                  <c:v>49.41</c:v>
                </c:pt>
                <c:pt idx="4">
                  <c:v>45.09</c:v>
                </c:pt>
                <c:pt idx="5">
                  <c:v>44.06</c:v>
                </c:pt>
                <c:pt idx="6">
                  <c:v>44.05</c:v>
                </c:pt>
                <c:pt idx="7">
                  <c:v>46.379999999999995</c:v>
                </c:pt>
                <c:pt idx="8">
                  <c:v>46.57</c:v>
                </c:pt>
                <c:pt idx="9">
                  <c:v>47.86</c:v>
                </c:pt>
                <c:pt idx="10">
                  <c:v>52.17</c:v>
                </c:pt>
                <c:pt idx="11">
                  <c:v>49.349999999999994</c:v>
                </c:pt>
                <c:pt idx="12">
                  <c:v>51.260000000000005</c:v>
                </c:pt>
                <c:pt idx="13">
                  <c:v>52.79</c:v>
                </c:pt>
                <c:pt idx="14">
                  <c:v>52.379999999999995</c:v>
                </c:pt>
                <c:pt idx="15">
                  <c:v>55.19</c:v>
                </c:pt>
              </c:numCache>
            </c:numRef>
          </c:yVal>
          <c:smooth val="0"/>
          <c:extLst>
            <c:ext xmlns:c16="http://schemas.microsoft.com/office/drawing/2014/chart" uri="{C3380CC4-5D6E-409C-BE32-E72D297353CC}">
              <c16:uniqueId val="{00000003-FBA5-4D14-9BE8-DFB7D674B4A5}"/>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HotelSmall CalBEM Prototype vs. National Average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Usage'!$K$2</c:f>
              <c:strCache>
                <c:ptCount val="1"/>
                <c:pt idx="0">
                  <c:v>Acceptable Range (25% Lower)</c:v>
                </c:pt>
              </c:strCache>
            </c:strRef>
          </c:tx>
          <c:spPr>
            <a:noFill/>
            <a:ln>
              <a:noFill/>
            </a:ln>
            <a:effectLst/>
          </c:spPr>
          <c:invertIfNegative val="0"/>
          <c:val>
            <c:numRef>
              <c:f>'Energy Usage'!$K$3:$K$18</c:f>
              <c:numCache>
                <c:formatCode>0.0</c:formatCode>
                <c:ptCount val="16"/>
                <c:pt idx="0">
                  <c:v>47.924999999999997</c:v>
                </c:pt>
                <c:pt idx="1">
                  <c:v>44.474999999999994</c:v>
                </c:pt>
                <c:pt idx="2">
                  <c:v>42.974999999999994</c:v>
                </c:pt>
                <c:pt idx="3">
                  <c:v>45.974999999999994</c:v>
                </c:pt>
                <c:pt idx="4">
                  <c:v>42.224999999999994</c:v>
                </c:pt>
                <c:pt idx="5">
                  <c:v>41.775000000000006</c:v>
                </c:pt>
                <c:pt idx="6">
                  <c:v>41.924999999999997</c:v>
                </c:pt>
                <c:pt idx="7">
                  <c:v>43.875</c:v>
                </c:pt>
                <c:pt idx="8">
                  <c:v>44.174999999999997</c:v>
                </c:pt>
                <c:pt idx="9">
                  <c:v>45.45</c:v>
                </c:pt>
                <c:pt idx="10">
                  <c:v>48.525000000000006</c:v>
                </c:pt>
                <c:pt idx="11">
                  <c:v>46.5</c:v>
                </c:pt>
                <c:pt idx="12">
                  <c:v>48.824999999999996</c:v>
                </c:pt>
                <c:pt idx="13">
                  <c:v>49.199999999999996</c:v>
                </c:pt>
                <c:pt idx="14">
                  <c:v>52.800000000000004</c:v>
                </c:pt>
                <c:pt idx="15">
                  <c:v>49.949999999999996</c:v>
                </c:pt>
              </c:numCache>
            </c:numRef>
          </c:val>
          <c:extLst>
            <c:ext xmlns:c16="http://schemas.microsoft.com/office/drawing/2014/chart" uri="{C3380CC4-5D6E-409C-BE32-E72D297353CC}">
              <c16:uniqueId val="{00000000-9731-4538-A5A8-732607D3F36D}"/>
            </c:ext>
          </c:extLst>
        </c:ser>
        <c:ser>
          <c:idx val="2"/>
          <c:order val="1"/>
          <c:tx>
            <c:strRef>
              <c:f>'Energy Usage'!$L$2</c:f>
              <c:strCache>
                <c:ptCount val="1"/>
                <c:pt idx="0">
                  <c:v>National Average Acceptable EUI Range</c:v>
                </c:pt>
              </c:strCache>
            </c:strRef>
          </c:tx>
          <c:spPr>
            <a:solidFill>
              <a:srgbClr val="CCCCFF"/>
            </a:solidFill>
            <a:ln>
              <a:solidFill>
                <a:srgbClr val="8238BA"/>
              </a:solidFill>
            </a:ln>
            <a:effectLst/>
          </c:spPr>
          <c:invertIfNegative val="0"/>
          <c:val>
            <c:numRef>
              <c:f>'Energy Usage'!$L$3:$L$18</c:f>
              <c:numCache>
                <c:formatCode>0.0</c:formatCode>
                <c:ptCount val="16"/>
                <c:pt idx="0">
                  <c:v>31.950000000000003</c:v>
                </c:pt>
                <c:pt idx="1">
                  <c:v>29.650000000000006</c:v>
                </c:pt>
                <c:pt idx="2">
                  <c:v>28.650000000000006</c:v>
                </c:pt>
                <c:pt idx="3">
                  <c:v>30.650000000000006</c:v>
                </c:pt>
                <c:pt idx="4">
                  <c:v>28.150000000000006</c:v>
                </c:pt>
                <c:pt idx="5">
                  <c:v>27.849999999999994</c:v>
                </c:pt>
                <c:pt idx="6">
                  <c:v>27.950000000000003</c:v>
                </c:pt>
                <c:pt idx="7">
                  <c:v>29.25</c:v>
                </c:pt>
                <c:pt idx="8">
                  <c:v>29.450000000000003</c:v>
                </c:pt>
                <c:pt idx="9">
                  <c:v>30.299999999999997</c:v>
                </c:pt>
                <c:pt idx="10">
                  <c:v>32.349999999999994</c:v>
                </c:pt>
                <c:pt idx="11">
                  <c:v>31</c:v>
                </c:pt>
                <c:pt idx="12">
                  <c:v>32.550000000000004</c:v>
                </c:pt>
                <c:pt idx="13">
                  <c:v>32.800000000000004</c:v>
                </c:pt>
                <c:pt idx="14">
                  <c:v>35.199999999999996</c:v>
                </c:pt>
                <c:pt idx="15">
                  <c:v>33.300000000000004</c:v>
                </c:pt>
              </c:numCache>
            </c:numRef>
          </c:val>
          <c:extLst>
            <c:ext xmlns:c16="http://schemas.microsoft.com/office/drawing/2014/chart" uri="{C3380CC4-5D6E-409C-BE32-E72D297353CC}">
              <c16:uniqueId val="{00000001-9731-4538-A5A8-732607D3F36D}"/>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General</c:formatCode>
                <c:ptCount val="16"/>
                <c:pt idx="0">
                  <c:v>70.5</c:v>
                </c:pt>
                <c:pt idx="1">
                  <c:v>66.5</c:v>
                </c:pt>
                <c:pt idx="2">
                  <c:v>61.7</c:v>
                </c:pt>
                <c:pt idx="3">
                  <c:v>67.099999999999994</c:v>
                </c:pt>
                <c:pt idx="4">
                  <c:v>60.2</c:v>
                </c:pt>
                <c:pt idx="5">
                  <c:v>55.6</c:v>
                </c:pt>
                <c:pt idx="6">
                  <c:v>55.2</c:v>
                </c:pt>
                <c:pt idx="7">
                  <c:v>59.1</c:v>
                </c:pt>
                <c:pt idx="8">
                  <c:v>60</c:v>
                </c:pt>
                <c:pt idx="9">
                  <c:v>61.7</c:v>
                </c:pt>
                <c:pt idx="10">
                  <c:v>71.8</c:v>
                </c:pt>
                <c:pt idx="11">
                  <c:v>66.2</c:v>
                </c:pt>
                <c:pt idx="12">
                  <c:v>69</c:v>
                </c:pt>
                <c:pt idx="13">
                  <c:v>69.5</c:v>
                </c:pt>
                <c:pt idx="14">
                  <c:v>68.099999999999994</c:v>
                </c:pt>
                <c:pt idx="15">
                  <c:v>75</c:v>
                </c:pt>
              </c:numCache>
            </c:numRef>
          </c:yVal>
          <c:smooth val="0"/>
          <c:extLst>
            <c:ext xmlns:c16="http://schemas.microsoft.com/office/drawing/2014/chart" uri="{C3380CC4-5D6E-409C-BE32-E72D297353CC}">
              <c16:uniqueId val="{00000002-9731-4538-A5A8-732607D3F36D}"/>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0.0</c:formatCode>
                <c:ptCount val="16"/>
                <c:pt idx="0">
                  <c:v>49.03</c:v>
                </c:pt>
                <c:pt idx="1">
                  <c:v>48.260000000000005</c:v>
                </c:pt>
                <c:pt idx="2">
                  <c:v>44.81</c:v>
                </c:pt>
                <c:pt idx="3">
                  <c:v>49.41</c:v>
                </c:pt>
                <c:pt idx="4">
                  <c:v>45.09</c:v>
                </c:pt>
                <c:pt idx="5">
                  <c:v>44.06</c:v>
                </c:pt>
                <c:pt idx="6">
                  <c:v>44.05</c:v>
                </c:pt>
                <c:pt idx="7">
                  <c:v>46.379999999999995</c:v>
                </c:pt>
                <c:pt idx="8">
                  <c:v>46.57</c:v>
                </c:pt>
                <c:pt idx="9">
                  <c:v>47.86</c:v>
                </c:pt>
                <c:pt idx="10">
                  <c:v>52.17</c:v>
                </c:pt>
                <c:pt idx="11">
                  <c:v>49.349999999999994</c:v>
                </c:pt>
                <c:pt idx="12">
                  <c:v>51.260000000000005</c:v>
                </c:pt>
                <c:pt idx="13">
                  <c:v>52.79</c:v>
                </c:pt>
                <c:pt idx="14">
                  <c:v>52.379999999999995</c:v>
                </c:pt>
                <c:pt idx="15">
                  <c:v>55.19</c:v>
                </c:pt>
              </c:numCache>
            </c:numRef>
          </c:yVal>
          <c:smooth val="0"/>
          <c:extLst>
            <c:ext xmlns:c16="http://schemas.microsoft.com/office/drawing/2014/chart" uri="{C3380CC4-5D6E-409C-BE32-E72D297353CC}">
              <c16:uniqueId val="{00000003-9731-4538-A5A8-732607D3F36D}"/>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100"/>
          <c:min val="4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5" Type="http://schemas.openxmlformats.org/officeDocument/2006/relationships/image" Target="../media/image12.png"/><Relationship Id="rId4" Type="http://schemas.openxmlformats.org/officeDocument/2006/relationships/image" Target="../media/image1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3.png"/></Relationships>
</file>

<file path=xl/drawings/_rels/drawing5.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s>
</file>

<file path=xl/drawings/_rels/drawing6.xml.rels><?xml version="1.0" encoding="UTF-8" standalone="yes"?>
<Relationships xmlns="http://schemas.openxmlformats.org/package/2006/relationships"><Relationship Id="rId1" Type="http://schemas.openxmlformats.org/officeDocument/2006/relationships/image" Target="../media/image17.png"/></Relationships>
</file>

<file path=xl/drawings/_rels/drawing7.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13" Type="http://schemas.openxmlformats.org/officeDocument/2006/relationships/chart" Target="../charts/chart16.xml"/><Relationship Id="rId18" Type="http://schemas.openxmlformats.org/officeDocument/2006/relationships/chart" Target="../charts/chart21.xml"/><Relationship Id="rId26" Type="http://schemas.openxmlformats.org/officeDocument/2006/relationships/chart" Target="../charts/chart29.xml"/><Relationship Id="rId3" Type="http://schemas.openxmlformats.org/officeDocument/2006/relationships/chart" Target="../charts/chart6.xml"/><Relationship Id="rId21" Type="http://schemas.openxmlformats.org/officeDocument/2006/relationships/chart" Target="../charts/chart24.xml"/><Relationship Id="rId34" Type="http://schemas.openxmlformats.org/officeDocument/2006/relationships/chart" Target="../charts/chart37.xml"/><Relationship Id="rId7" Type="http://schemas.openxmlformats.org/officeDocument/2006/relationships/chart" Target="../charts/chart10.xml"/><Relationship Id="rId12" Type="http://schemas.openxmlformats.org/officeDocument/2006/relationships/chart" Target="../charts/chart15.xml"/><Relationship Id="rId17" Type="http://schemas.openxmlformats.org/officeDocument/2006/relationships/chart" Target="../charts/chart20.xml"/><Relationship Id="rId25" Type="http://schemas.openxmlformats.org/officeDocument/2006/relationships/chart" Target="../charts/chart28.xml"/><Relationship Id="rId33" Type="http://schemas.openxmlformats.org/officeDocument/2006/relationships/chart" Target="../charts/chart36.xml"/><Relationship Id="rId2" Type="http://schemas.openxmlformats.org/officeDocument/2006/relationships/chart" Target="../charts/chart5.xml"/><Relationship Id="rId16" Type="http://schemas.openxmlformats.org/officeDocument/2006/relationships/chart" Target="../charts/chart19.xml"/><Relationship Id="rId20" Type="http://schemas.openxmlformats.org/officeDocument/2006/relationships/chart" Target="../charts/chart23.xml"/><Relationship Id="rId29" Type="http://schemas.openxmlformats.org/officeDocument/2006/relationships/chart" Target="../charts/chart32.xml"/><Relationship Id="rId1" Type="http://schemas.openxmlformats.org/officeDocument/2006/relationships/chart" Target="../charts/chart4.xml"/><Relationship Id="rId6" Type="http://schemas.openxmlformats.org/officeDocument/2006/relationships/chart" Target="../charts/chart9.xml"/><Relationship Id="rId11" Type="http://schemas.openxmlformats.org/officeDocument/2006/relationships/chart" Target="../charts/chart14.xml"/><Relationship Id="rId24" Type="http://schemas.openxmlformats.org/officeDocument/2006/relationships/chart" Target="../charts/chart27.xml"/><Relationship Id="rId32" Type="http://schemas.openxmlformats.org/officeDocument/2006/relationships/chart" Target="../charts/chart35.xml"/><Relationship Id="rId5" Type="http://schemas.openxmlformats.org/officeDocument/2006/relationships/chart" Target="../charts/chart8.xml"/><Relationship Id="rId15" Type="http://schemas.openxmlformats.org/officeDocument/2006/relationships/chart" Target="../charts/chart18.xml"/><Relationship Id="rId23" Type="http://schemas.openxmlformats.org/officeDocument/2006/relationships/chart" Target="../charts/chart26.xml"/><Relationship Id="rId28" Type="http://schemas.openxmlformats.org/officeDocument/2006/relationships/chart" Target="../charts/chart31.xml"/><Relationship Id="rId36" Type="http://schemas.openxmlformats.org/officeDocument/2006/relationships/chart" Target="../charts/chart39.xml"/><Relationship Id="rId10" Type="http://schemas.openxmlformats.org/officeDocument/2006/relationships/chart" Target="../charts/chart13.xml"/><Relationship Id="rId19" Type="http://schemas.openxmlformats.org/officeDocument/2006/relationships/chart" Target="../charts/chart22.xml"/><Relationship Id="rId31" Type="http://schemas.openxmlformats.org/officeDocument/2006/relationships/chart" Target="../charts/chart34.xml"/><Relationship Id="rId4" Type="http://schemas.openxmlformats.org/officeDocument/2006/relationships/chart" Target="../charts/chart7.xml"/><Relationship Id="rId9" Type="http://schemas.openxmlformats.org/officeDocument/2006/relationships/chart" Target="../charts/chart12.xml"/><Relationship Id="rId14" Type="http://schemas.openxmlformats.org/officeDocument/2006/relationships/chart" Target="../charts/chart17.xml"/><Relationship Id="rId22" Type="http://schemas.openxmlformats.org/officeDocument/2006/relationships/chart" Target="../charts/chart25.xml"/><Relationship Id="rId27" Type="http://schemas.openxmlformats.org/officeDocument/2006/relationships/chart" Target="../charts/chart30.xml"/><Relationship Id="rId30" Type="http://schemas.openxmlformats.org/officeDocument/2006/relationships/chart" Target="../charts/chart33.xml"/><Relationship Id="rId35" Type="http://schemas.openxmlformats.org/officeDocument/2006/relationships/chart" Target="../charts/chart38.xml"/><Relationship Id="rId8"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3" Type="http://schemas.openxmlformats.org/officeDocument/2006/relationships/chart" Target="../charts/chart42.xml"/><Relationship Id="rId2" Type="http://schemas.openxmlformats.org/officeDocument/2006/relationships/chart" Target="../charts/chart41.xml"/><Relationship Id="rId1" Type="http://schemas.openxmlformats.org/officeDocument/2006/relationships/chart" Target="../charts/chart40.xml"/><Relationship Id="rId4"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26</xdr:row>
      <xdr:rowOff>152400</xdr:rowOff>
    </xdr:from>
    <xdr:to>
      <xdr:col>2</xdr:col>
      <xdr:colOff>1698018</xdr:colOff>
      <xdr:row>37</xdr:row>
      <xdr:rowOff>55342</xdr:rowOff>
    </xdr:to>
    <xdr:pic>
      <xdr:nvPicPr>
        <xdr:cNvPr id="3" name="Picture 2">
          <a:extLst>
            <a:ext uri="{FF2B5EF4-FFF2-40B4-BE49-F238E27FC236}">
              <a16:creationId xmlns:a16="http://schemas.microsoft.com/office/drawing/2014/main" id="{8A0C853D-FB98-CC8B-9D8B-442FB148F3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8700" y="3257550"/>
          <a:ext cx="7768590" cy="1788892"/>
        </a:xfrm>
        <a:prstGeom prst="rect">
          <a:avLst/>
        </a:prstGeom>
      </xdr:spPr>
    </xdr:pic>
    <xdr:clientData/>
  </xdr:twoCellAnchor>
  <xdr:twoCellAnchor editAs="oneCell">
    <xdr:from>
      <xdr:col>1</xdr:col>
      <xdr:colOff>6031006</xdr:colOff>
      <xdr:row>40</xdr:row>
      <xdr:rowOff>938492</xdr:rowOff>
    </xdr:from>
    <xdr:to>
      <xdr:col>5</xdr:col>
      <xdr:colOff>389180</xdr:colOff>
      <xdr:row>57</xdr:row>
      <xdr:rowOff>110041</xdr:rowOff>
    </xdr:to>
    <xdr:pic>
      <xdr:nvPicPr>
        <xdr:cNvPr id="4" name="Picture 4" descr="A bar chart showing lodging buildings by square footage category. Approximately 42% of lodging buildings were between 1,001 square feet and 10,000 square feet.">
          <a:extLst>
            <a:ext uri="{FF2B5EF4-FFF2-40B4-BE49-F238E27FC236}">
              <a16:creationId xmlns:a16="http://schemas.microsoft.com/office/drawing/2014/main" id="{708EB15A-01BD-1554-878C-11B2C50CFAD9}"/>
            </a:ext>
            <a:ext uri="{147F2762-F138-4A5C-976F-8EAC2B608ADB}">
              <a16:predDERef xmlns:a16="http://schemas.microsoft.com/office/drawing/2014/main" pred="{8A0C853D-FB98-CC8B-9D8B-442FB148F3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35053" y="8379198"/>
          <a:ext cx="6066080" cy="30353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11430</xdr:colOff>
      <xdr:row>41</xdr:row>
      <xdr:rowOff>9525</xdr:rowOff>
    </xdr:from>
    <xdr:to>
      <xdr:col>1</xdr:col>
      <xdr:colOff>5505450</xdr:colOff>
      <xdr:row>52</xdr:row>
      <xdr:rowOff>1905</xdr:rowOff>
    </xdr:to>
    <xdr:pic>
      <xdr:nvPicPr>
        <xdr:cNvPr id="6" name="Picture 5" descr="A bar chart showing lodging buildings by square footage category. Approximately 42% of lodging buildings were between 1,001 square feet and 10,000 square feet.">
          <a:extLst>
            <a:ext uri="{FF2B5EF4-FFF2-40B4-BE49-F238E27FC236}">
              <a16:creationId xmlns:a16="http://schemas.microsoft.com/office/drawing/2014/main" id="{DF516A54-A0DE-31DB-31E9-72F6F00EE1D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21080" y="6457950"/>
          <a:ext cx="5480685" cy="19640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893445</xdr:colOff>
      <xdr:row>61</xdr:row>
      <xdr:rowOff>20955</xdr:rowOff>
    </xdr:from>
    <xdr:to>
      <xdr:col>2</xdr:col>
      <xdr:colOff>664509</xdr:colOff>
      <xdr:row>74</xdr:row>
      <xdr:rowOff>1905</xdr:rowOff>
    </xdr:to>
    <xdr:pic>
      <xdr:nvPicPr>
        <xdr:cNvPr id="2" name="Picture 1">
          <a:extLst>
            <a:ext uri="{FF2B5EF4-FFF2-40B4-BE49-F238E27FC236}">
              <a16:creationId xmlns:a16="http://schemas.microsoft.com/office/drawing/2014/main" id="{C94509F1-5CD3-8403-6F92-82B6746D4E0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93445" y="11717655"/>
          <a:ext cx="6886653" cy="2217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777240</xdr:colOff>
      <xdr:row>22</xdr:row>
      <xdr:rowOff>76200</xdr:rowOff>
    </xdr:from>
    <xdr:to>
      <xdr:col>1</xdr:col>
      <xdr:colOff>2958465</xdr:colOff>
      <xdr:row>22</xdr:row>
      <xdr:rowOff>2162175</xdr:rowOff>
    </xdr:to>
    <xdr:pic>
      <xdr:nvPicPr>
        <xdr:cNvPr id="2" name="Picture 1">
          <a:extLst>
            <a:ext uri="{FF2B5EF4-FFF2-40B4-BE49-F238E27FC236}">
              <a16:creationId xmlns:a16="http://schemas.microsoft.com/office/drawing/2014/main" id="{D2A3BD28-BD6B-2DB5-D34E-A0EEDA25FC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7240" y="6827520"/>
          <a:ext cx="3895725" cy="2085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457200</xdr:colOff>
      <xdr:row>6</xdr:row>
      <xdr:rowOff>19050</xdr:rowOff>
    </xdr:from>
    <xdr:to>
      <xdr:col>1</xdr:col>
      <xdr:colOff>2916555</xdr:colOff>
      <xdr:row>6</xdr:row>
      <xdr:rowOff>1202055</xdr:rowOff>
    </xdr:to>
    <xdr:pic>
      <xdr:nvPicPr>
        <xdr:cNvPr id="3" name="Picture 2">
          <a:extLst>
            <a:ext uri="{FF2B5EF4-FFF2-40B4-BE49-F238E27FC236}">
              <a16:creationId xmlns:a16="http://schemas.microsoft.com/office/drawing/2014/main" id="{D6196E4A-412B-8EEA-F46F-671E3FD3D331}"/>
            </a:ext>
            <a:ext uri="{147F2762-F138-4A5C-976F-8EAC2B608ADB}">
              <a16:predDERef xmlns:a16="http://schemas.microsoft.com/office/drawing/2014/main" pred="{D2A3BD28-BD6B-2DB5-D34E-A0EEDA25FC17}"/>
            </a:ext>
          </a:extLst>
        </xdr:cNvPr>
        <xdr:cNvPicPr>
          <a:picLocks noChangeAspect="1"/>
        </xdr:cNvPicPr>
      </xdr:nvPicPr>
      <xdr:blipFill>
        <a:blip xmlns:r="http://schemas.openxmlformats.org/officeDocument/2006/relationships" r:embed="rId2"/>
        <a:stretch>
          <a:fillRect/>
        </a:stretch>
      </xdr:blipFill>
      <xdr:spPr>
        <a:xfrm>
          <a:off x="2124075" y="1571625"/>
          <a:ext cx="2466975" cy="11906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19</xdr:col>
      <xdr:colOff>352874</xdr:colOff>
      <xdr:row>58</xdr:row>
      <xdr:rowOff>127412</xdr:rowOff>
    </xdr:from>
    <xdr:to>
      <xdr:col>30</xdr:col>
      <xdr:colOff>430392</xdr:colOff>
      <xdr:row>96</xdr:row>
      <xdr:rowOff>89313</xdr:rowOff>
    </xdr:to>
    <xdr:pic>
      <xdr:nvPicPr>
        <xdr:cNvPr id="3" name="Picture 2">
          <a:extLst>
            <a:ext uri="{FF2B5EF4-FFF2-40B4-BE49-F238E27FC236}">
              <a16:creationId xmlns:a16="http://schemas.microsoft.com/office/drawing/2014/main" id="{322E98EF-71B3-EA8B-2C3C-36686CFB3F47}"/>
            </a:ext>
          </a:extLst>
        </xdr:cNvPr>
        <xdr:cNvPicPr>
          <a:picLocks noChangeAspect="1"/>
        </xdr:cNvPicPr>
      </xdr:nvPicPr>
      <xdr:blipFill>
        <a:blip xmlns:r="http://schemas.openxmlformats.org/officeDocument/2006/relationships" r:embed="rId1"/>
        <a:stretch>
          <a:fillRect/>
        </a:stretch>
      </xdr:blipFill>
      <xdr:spPr>
        <a:xfrm>
          <a:off x="20317274" y="16281812"/>
          <a:ext cx="7087918" cy="7200901"/>
        </a:xfrm>
        <a:prstGeom prst="rect">
          <a:avLst/>
        </a:prstGeom>
      </xdr:spPr>
    </xdr:pic>
    <xdr:clientData/>
  </xdr:twoCellAnchor>
  <xdr:twoCellAnchor>
    <xdr:from>
      <xdr:col>33</xdr:col>
      <xdr:colOff>174251</xdr:colOff>
      <xdr:row>60</xdr:row>
      <xdr:rowOff>114301</xdr:rowOff>
    </xdr:from>
    <xdr:to>
      <xdr:col>40</xdr:col>
      <xdr:colOff>323773</xdr:colOff>
      <xdr:row>101</xdr:row>
      <xdr:rowOff>76201</xdr:rowOff>
    </xdr:to>
    <xdr:pic>
      <xdr:nvPicPr>
        <xdr:cNvPr id="4" name="Picture 3">
          <a:extLst>
            <a:ext uri="{FF2B5EF4-FFF2-40B4-BE49-F238E27FC236}">
              <a16:creationId xmlns:a16="http://schemas.microsoft.com/office/drawing/2014/main" id="{CC82CD71-C910-6E74-12B9-703044DE53BD}"/>
            </a:ext>
          </a:extLst>
        </xdr:cNvPr>
        <xdr:cNvPicPr>
          <a:picLocks noChangeAspect="1"/>
        </xdr:cNvPicPr>
      </xdr:nvPicPr>
      <xdr:blipFill>
        <a:blip xmlns:r="http://schemas.openxmlformats.org/officeDocument/2006/relationships" r:embed="rId2"/>
        <a:stretch>
          <a:fillRect/>
        </a:stretch>
      </xdr:blipFill>
      <xdr:spPr>
        <a:xfrm>
          <a:off x="29015951" y="16649701"/>
          <a:ext cx="7159922" cy="7772400"/>
        </a:xfrm>
        <a:prstGeom prst="rect">
          <a:avLst/>
        </a:prstGeom>
      </xdr:spPr>
    </xdr:pic>
    <xdr:clientData/>
  </xdr:twoCellAnchor>
  <xdr:twoCellAnchor>
    <xdr:from>
      <xdr:col>41</xdr:col>
      <xdr:colOff>251208</xdr:colOff>
      <xdr:row>55</xdr:row>
      <xdr:rowOff>124835</xdr:rowOff>
    </xdr:from>
    <xdr:to>
      <xdr:col>49</xdr:col>
      <xdr:colOff>207616</xdr:colOff>
      <xdr:row>101</xdr:row>
      <xdr:rowOff>63427</xdr:rowOff>
    </xdr:to>
    <xdr:pic>
      <xdr:nvPicPr>
        <xdr:cNvPr id="5" name="Picture 4">
          <a:extLst>
            <a:ext uri="{FF2B5EF4-FFF2-40B4-BE49-F238E27FC236}">
              <a16:creationId xmlns:a16="http://schemas.microsoft.com/office/drawing/2014/main" id="{037CB021-DC78-6CBC-22EB-6ADB38E3B956}"/>
            </a:ext>
          </a:extLst>
        </xdr:cNvPr>
        <xdr:cNvPicPr>
          <a:picLocks noChangeAspect="1"/>
        </xdr:cNvPicPr>
      </xdr:nvPicPr>
      <xdr:blipFill>
        <a:blip xmlns:r="http://schemas.openxmlformats.org/officeDocument/2006/relationships" r:embed="rId3"/>
        <a:stretch>
          <a:fillRect/>
        </a:stretch>
      </xdr:blipFill>
      <xdr:spPr>
        <a:xfrm>
          <a:off x="37170108" y="15707735"/>
          <a:ext cx="6471508" cy="8701592"/>
        </a:xfrm>
        <a:prstGeom prst="rect">
          <a:avLst/>
        </a:prstGeom>
      </xdr:spPr>
    </xdr:pic>
    <xdr:clientData/>
  </xdr:twoCellAnchor>
  <xdr:twoCellAnchor>
    <xdr:from>
      <xdr:col>0</xdr:col>
      <xdr:colOff>151765</xdr:colOff>
      <xdr:row>54</xdr:row>
      <xdr:rowOff>145204</xdr:rowOff>
    </xdr:from>
    <xdr:to>
      <xdr:col>3</xdr:col>
      <xdr:colOff>1710892</xdr:colOff>
      <xdr:row>77</xdr:row>
      <xdr:rowOff>113453</xdr:rowOff>
    </xdr:to>
    <xdr:pic>
      <xdr:nvPicPr>
        <xdr:cNvPr id="8" name="Picture 7">
          <a:extLst>
            <a:ext uri="{FF2B5EF4-FFF2-40B4-BE49-F238E27FC236}">
              <a16:creationId xmlns:a16="http://schemas.microsoft.com/office/drawing/2014/main" id="{51B6C7CB-9ED6-9C37-8B7B-D6681962925D}"/>
            </a:ext>
            <a:ext uri="{147F2762-F138-4A5C-976F-8EAC2B608ADB}">
              <a16:predDERef xmlns:a16="http://schemas.microsoft.com/office/drawing/2014/main" pred="{037CB021-DC78-6CBC-22EB-6ADB38E3B95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51765" y="19585729"/>
          <a:ext cx="6064452" cy="3913505"/>
        </a:xfrm>
        <a:prstGeom prst="rect">
          <a:avLst/>
        </a:prstGeom>
      </xdr:spPr>
    </xdr:pic>
    <xdr:clientData/>
  </xdr:twoCellAnchor>
  <xdr:twoCellAnchor>
    <xdr:from>
      <xdr:col>3</xdr:col>
      <xdr:colOff>2035775</xdr:colOff>
      <xdr:row>55</xdr:row>
      <xdr:rowOff>25450</xdr:rowOff>
    </xdr:from>
    <xdr:to>
      <xdr:col>7</xdr:col>
      <xdr:colOff>3017917</xdr:colOff>
      <xdr:row>96</xdr:row>
      <xdr:rowOff>13609</xdr:rowOff>
    </xdr:to>
    <xdr:pic>
      <xdr:nvPicPr>
        <xdr:cNvPr id="10" name="Picture 9">
          <a:extLst>
            <a:ext uri="{FF2B5EF4-FFF2-40B4-BE49-F238E27FC236}">
              <a16:creationId xmlns:a16="http://schemas.microsoft.com/office/drawing/2014/main" id="{74B61815-45F7-3718-F66E-251BB4DA104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675811" y="15292664"/>
          <a:ext cx="6914856" cy="724076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31</xdr:row>
      <xdr:rowOff>0</xdr:rowOff>
    </xdr:from>
    <xdr:to>
      <xdr:col>8</xdr:col>
      <xdr:colOff>496183</xdr:colOff>
      <xdr:row>39</xdr:row>
      <xdr:rowOff>30480</xdr:rowOff>
    </xdr:to>
    <xdr:pic>
      <xdr:nvPicPr>
        <xdr:cNvPr id="2" name="Picture 1">
          <a:extLst>
            <a:ext uri="{FF2B5EF4-FFF2-40B4-BE49-F238E27FC236}">
              <a16:creationId xmlns:a16="http://schemas.microsoft.com/office/drawing/2014/main" id="{67EF47AA-7CFE-4EB6-A46F-050F89D7D4E4}"/>
            </a:ext>
          </a:extLst>
        </xdr:cNvPr>
        <xdr:cNvPicPr>
          <a:picLocks noChangeAspect="1"/>
        </xdr:cNvPicPr>
      </xdr:nvPicPr>
      <xdr:blipFill>
        <a:blip xmlns:r="http://schemas.openxmlformats.org/officeDocument/2006/relationships" r:embed="rId1"/>
        <a:stretch>
          <a:fillRect/>
        </a:stretch>
      </xdr:blipFill>
      <xdr:spPr>
        <a:xfrm>
          <a:off x="0" y="3886200"/>
          <a:ext cx="6315958"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906780</xdr:colOff>
      <xdr:row>77</xdr:row>
      <xdr:rowOff>19050</xdr:rowOff>
    </xdr:from>
    <xdr:to>
      <xdr:col>8</xdr:col>
      <xdr:colOff>1847850</xdr:colOff>
      <xdr:row>90</xdr:row>
      <xdr:rowOff>132888</xdr:rowOff>
    </xdr:to>
    <xdr:pic>
      <xdr:nvPicPr>
        <xdr:cNvPr id="3" name="Picture 2">
          <a:extLst>
            <a:ext uri="{FF2B5EF4-FFF2-40B4-BE49-F238E27FC236}">
              <a16:creationId xmlns:a16="http://schemas.microsoft.com/office/drawing/2014/main" id="{6AD985F3-EEA7-4601-8814-E6EA6F4BDD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26430" y="9896475"/>
          <a:ext cx="7770495" cy="2466513"/>
        </a:xfrm>
        <a:prstGeom prst="rect">
          <a:avLst/>
        </a:prstGeom>
      </xdr:spPr>
    </xdr:pic>
    <xdr:clientData/>
  </xdr:twoCellAnchor>
  <xdr:twoCellAnchor>
    <xdr:from>
      <xdr:col>0</xdr:col>
      <xdr:colOff>155715</xdr:colOff>
      <xdr:row>76</xdr:row>
      <xdr:rowOff>89040</xdr:rowOff>
    </xdr:from>
    <xdr:to>
      <xdr:col>3</xdr:col>
      <xdr:colOff>493370</xdr:colOff>
      <xdr:row>109</xdr:row>
      <xdr:rowOff>20973</xdr:rowOff>
    </xdr:to>
    <xdr:pic>
      <xdr:nvPicPr>
        <xdr:cNvPr id="5" name="Picture 4">
          <a:extLst>
            <a:ext uri="{FF2B5EF4-FFF2-40B4-BE49-F238E27FC236}">
              <a16:creationId xmlns:a16="http://schemas.microsoft.com/office/drawing/2014/main" id="{D7CF6B66-179B-330D-A3CB-2F1EC6D66B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15" y="15081390"/>
          <a:ext cx="5433530" cy="5904108"/>
        </a:xfrm>
        <a:prstGeom prst="rect">
          <a:avLst/>
        </a:prstGeom>
      </xdr:spPr>
    </xdr:pic>
    <xdr:clientData/>
  </xdr:twoCellAnchor>
  <xdr:twoCellAnchor>
    <xdr:from>
      <xdr:col>3</xdr:col>
      <xdr:colOff>895350</xdr:colOff>
      <xdr:row>91</xdr:row>
      <xdr:rowOff>95250</xdr:rowOff>
    </xdr:from>
    <xdr:to>
      <xdr:col>8</xdr:col>
      <xdr:colOff>892495</xdr:colOff>
      <xdr:row>113</xdr:row>
      <xdr:rowOff>78658</xdr:rowOff>
    </xdr:to>
    <xdr:pic>
      <xdr:nvPicPr>
        <xdr:cNvPr id="2" name="Picture 1">
          <a:extLst>
            <a:ext uri="{FF2B5EF4-FFF2-40B4-BE49-F238E27FC236}">
              <a16:creationId xmlns:a16="http://schemas.microsoft.com/office/drawing/2014/main" id="{C69AB344-FF67-BBB6-00E8-74B575B4C624}"/>
            </a:ext>
          </a:extLst>
        </xdr:cNvPr>
        <xdr:cNvPicPr>
          <a:picLocks noChangeAspect="1"/>
        </xdr:cNvPicPr>
      </xdr:nvPicPr>
      <xdr:blipFill>
        <a:blip xmlns:r="http://schemas.openxmlformats.org/officeDocument/2006/relationships" r:embed="rId3"/>
        <a:stretch>
          <a:fillRect/>
        </a:stretch>
      </xdr:blipFill>
      <xdr:spPr>
        <a:xfrm>
          <a:off x="5715000" y="12963525"/>
          <a:ext cx="6838000" cy="396485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41220</xdr:colOff>
      <xdr:row>25</xdr:row>
      <xdr:rowOff>46778</xdr:rowOff>
    </xdr:from>
    <xdr:to>
      <xdr:col>4</xdr:col>
      <xdr:colOff>55025</xdr:colOff>
      <xdr:row>60</xdr:row>
      <xdr:rowOff>22565</xdr:rowOff>
    </xdr:to>
    <xdr:pic>
      <xdr:nvPicPr>
        <xdr:cNvPr id="5" name="Picture 4">
          <a:extLst>
            <a:ext uri="{FF2B5EF4-FFF2-40B4-BE49-F238E27FC236}">
              <a16:creationId xmlns:a16="http://schemas.microsoft.com/office/drawing/2014/main" id="{E2B447D3-D962-CE31-2C0F-E6265E41A83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220" y="9338945"/>
          <a:ext cx="6194472" cy="590245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10</xdr:col>
      <xdr:colOff>38100</xdr:colOff>
      <xdr:row>43</xdr:row>
      <xdr:rowOff>0</xdr:rowOff>
    </xdr:from>
    <xdr:to>
      <xdr:col>15</xdr:col>
      <xdr:colOff>249554</xdr:colOff>
      <xdr:row>55</xdr:row>
      <xdr:rowOff>95250</xdr:rowOff>
    </xdr:to>
    <xdr:graphicFrame macro="">
      <xdr:nvGraphicFramePr>
        <xdr:cNvPr id="32" name="Chart 4">
          <a:extLst>
            <a:ext uri="{FF2B5EF4-FFF2-40B4-BE49-F238E27FC236}">
              <a16:creationId xmlns:a16="http://schemas.microsoft.com/office/drawing/2014/main" id="{F391909B-C2C0-967D-F8A9-8B71DE849C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138883</xdr:colOff>
      <xdr:row>43</xdr:row>
      <xdr:rowOff>47625</xdr:rowOff>
    </xdr:from>
    <xdr:to>
      <xdr:col>3</xdr:col>
      <xdr:colOff>1152525</xdr:colOff>
      <xdr:row>55</xdr:row>
      <xdr:rowOff>66674</xdr:rowOff>
    </xdr:to>
    <xdr:graphicFrame macro="">
      <xdr:nvGraphicFramePr>
        <xdr:cNvPr id="33" name="Chart 5">
          <a:extLst>
            <a:ext uri="{FF2B5EF4-FFF2-40B4-BE49-F238E27FC236}">
              <a16:creationId xmlns:a16="http://schemas.microsoft.com/office/drawing/2014/main" id="{CEFE1435-937F-461A-B4D1-F4FB67BE13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1040130</xdr:colOff>
      <xdr:row>42</xdr:row>
      <xdr:rowOff>121920</xdr:rowOff>
    </xdr:from>
    <xdr:to>
      <xdr:col>9</xdr:col>
      <xdr:colOff>0</xdr:colOff>
      <xdr:row>55</xdr:row>
      <xdr:rowOff>66675</xdr:rowOff>
    </xdr:to>
    <xdr:graphicFrame macro="">
      <xdr:nvGraphicFramePr>
        <xdr:cNvPr id="29" name="Chart 6">
          <a:extLst>
            <a:ext uri="{FF2B5EF4-FFF2-40B4-BE49-F238E27FC236}">
              <a16:creationId xmlns:a16="http://schemas.microsoft.com/office/drawing/2014/main" id="{18D3FECB-99F3-4E11-B893-46EC0117A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29</xdr:col>
      <xdr:colOff>64225</xdr:colOff>
      <xdr:row>2</xdr:row>
      <xdr:rowOff>289559</xdr:rowOff>
    </xdr:from>
    <xdr:to>
      <xdr:col>35</xdr:col>
      <xdr:colOff>402499</xdr:colOff>
      <xdr:row>5</xdr:row>
      <xdr:rowOff>391584</xdr:rowOff>
    </xdr:to>
    <xdr:graphicFrame macro="">
      <xdr:nvGraphicFramePr>
        <xdr:cNvPr id="9" name="Chart 5">
          <a:extLst>
            <a:ext uri="{FF2B5EF4-FFF2-40B4-BE49-F238E27FC236}">
              <a16:creationId xmlns:a16="http://schemas.microsoft.com/office/drawing/2014/main" id="{CBDA0656-8164-4FA8-8BE7-79F7FE5F5F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66131</xdr:colOff>
      <xdr:row>5</xdr:row>
      <xdr:rowOff>418072</xdr:rowOff>
    </xdr:from>
    <xdr:to>
      <xdr:col>35</xdr:col>
      <xdr:colOff>406310</xdr:colOff>
      <xdr:row>8</xdr:row>
      <xdr:rowOff>382814</xdr:rowOff>
    </xdr:to>
    <xdr:graphicFrame macro="">
      <xdr:nvGraphicFramePr>
        <xdr:cNvPr id="18"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60235</xdr:colOff>
      <xdr:row>8</xdr:row>
      <xdr:rowOff>455869</xdr:rowOff>
    </xdr:from>
    <xdr:to>
      <xdr:col>35</xdr:col>
      <xdr:colOff>385174</xdr:colOff>
      <xdr:row>11</xdr:row>
      <xdr:rowOff>426750</xdr:rowOff>
    </xdr:to>
    <xdr:graphicFrame macro="">
      <xdr:nvGraphicFramePr>
        <xdr:cNvPr id="19"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77833</xdr:colOff>
      <xdr:row>12</xdr:row>
      <xdr:rowOff>3811</xdr:rowOff>
    </xdr:from>
    <xdr:to>
      <xdr:col>35</xdr:col>
      <xdr:colOff>418012</xdr:colOff>
      <xdr:row>14</xdr:row>
      <xdr:rowOff>338274</xdr:rowOff>
    </xdr:to>
    <xdr:graphicFrame macro="">
      <xdr:nvGraphicFramePr>
        <xdr:cNvPr id="20" name="Chart 5">
          <a:extLst>
            <a:ext uri="{FF2B5EF4-FFF2-40B4-BE49-F238E27FC236}">
              <a16:creationId xmlns:a16="http://schemas.microsoft.com/office/drawing/2014/main" id="{A67B757E-11F2-4D63-8049-87A030D08F4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77832</xdr:colOff>
      <xdr:row>15</xdr:row>
      <xdr:rowOff>16298</xdr:rowOff>
    </xdr:from>
    <xdr:to>
      <xdr:col>35</xdr:col>
      <xdr:colOff>421821</xdr:colOff>
      <xdr:row>17</xdr:row>
      <xdr:rowOff>338668</xdr:rowOff>
    </xdr:to>
    <xdr:graphicFrame macro="">
      <xdr:nvGraphicFramePr>
        <xdr:cNvPr id="21" name="Chart 5">
          <a:extLst>
            <a:ext uri="{FF2B5EF4-FFF2-40B4-BE49-F238E27FC236}">
              <a16:creationId xmlns:a16="http://schemas.microsoft.com/office/drawing/2014/main" id="{2E6CA2C7-E4AB-4DC1-A50A-FEBB0B9CA81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291465</xdr:colOff>
      <xdr:row>128</xdr:row>
      <xdr:rowOff>97267</xdr:rowOff>
    </xdr:from>
    <xdr:to>
      <xdr:col>37</xdr:col>
      <xdr:colOff>0</xdr:colOff>
      <xdr:row>132</xdr:row>
      <xdr:rowOff>0</xdr:rowOff>
    </xdr:to>
    <xdr:graphicFrame macro="">
      <xdr:nvGraphicFramePr>
        <xdr:cNvPr id="3" name="Chart 5">
          <a:extLst>
            <a:ext uri="{FF2B5EF4-FFF2-40B4-BE49-F238E27FC236}">
              <a16:creationId xmlns:a16="http://schemas.microsoft.com/office/drawing/2014/main" id="{5A999577-F135-454E-AC54-3B86805F4DDA}"/>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82761</xdr:colOff>
      <xdr:row>31</xdr:row>
      <xdr:rowOff>0</xdr:rowOff>
    </xdr:from>
    <xdr:to>
      <xdr:col>35</xdr:col>
      <xdr:colOff>428655</xdr:colOff>
      <xdr:row>33</xdr:row>
      <xdr:rowOff>402167</xdr:rowOff>
    </xdr:to>
    <xdr:graphicFrame macro="">
      <xdr:nvGraphicFramePr>
        <xdr:cNvPr id="2" name="Chart 5">
          <a:extLst>
            <a:ext uri="{FF2B5EF4-FFF2-40B4-BE49-F238E27FC236}">
              <a16:creationId xmlns:a16="http://schemas.microsoft.com/office/drawing/2014/main" id="{135429D2-DBC5-4EE1-8FFF-584151E482C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68096</xdr:colOff>
      <xdr:row>17</xdr:row>
      <xdr:rowOff>398357</xdr:rowOff>
    </xdr:from>
    <xdr:to>
      <xdr:col>35</xdr:col>
      <xdr:colOff>413990</xdr:colOff>
      <xdr:row>18</xdr:row>
      <xdr:rowOff>0</xdr:rowOff>
    </xdr:to>
    <xdr:graphicFrame macro="">
      <xdr:nvGraphicFramePr>
        <xdr:cNvPr id="4" name="Chart 5">
          <a:extLst>
            <a:ext uri="{FF2B5EF4-FFF2-40B4-BE49-F238E27FC236}">
              <a16:creationId xmlns:a16="http://schemas.microsoft.com/office/drawing/2014/main" id="{CA608758-722F-4D99-AE17-F872DF444EC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61323</xdr:colOff>
      <xdr:row>18</xdr:row>
      <xdr:rowOff>1905</xdr:rowOff>
    </xdr:from>
    <xdr:to>
      <xdr:col>35</xdr:col>
      <xdr:colOff>409122</xdr:colOff>
      <xdr:row>20</xdr:row>
      <xdr:rowOff>399234</xdr:rowOff>
    </xdr:to>
    <xdr:graphicFrame macro="">
      <xdr:nvGraphicFramePr>
        <xdr:cNvPr id="5" name="Chart 5">
          <a:extLst>
            <a:ext uri="{FF2B5EF4-FFF2-40B4-BE49-F238E27FC236}">
              <a16:creationId xmlns:a16="http://schemas.microsoft.com/office/drawing/2014/main" id="{B67A05AB-E453-44F9-A1DA-7E8C12BED45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59690</xdr:colOff>
      <xdr:row>20</xdr:row>
      <xdr:rowOff>435428</xdr:rowOff>
    </xdr:from>
    <xdr:to>
      <xdr:col>35</xdr:col>
      <xdr:colOff>401774</xdr:colOff>
      <xdr:row>24</xdr:row>
      <xdr:rowOff>0</xdr:rowOff>
    </xdr:to>
    <xdr:graphicFrame macro="">
      <xdr:nvGraphicFramePr>
        <xdr:cNvPr id="7" name="Chart 5">
          <a:extLst>
            <a:ext uri="{FF2B5EF4-FFF2-40B4-BE49-F238E27FC236}">
              <a16:creationId xmlns:a16="http://schemas.microsoft.com/office/drawing/2014/main" id="{6688C318-B6EF-427E-B050-AF936C3CD14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103929</xdr:colOff>
      <xdr:row>34</xdr:row>
      <xdr:rowOff>29845</xdr:rowOff>
    </xdr:from>
    <xdr:to>
      <xdr:col>35</xdr:col>
      <xdr:colOff>449823</xdr:colOff>
      <xdr:row>36</xdr:row>
      <xdr:rowOff>370417</xdr:rowOff>
    </xdr:to>
    <xdr:graphicFrame macro="">
      <xdr:nvGraphicFramePr>
        <xdr:cNvPr id="6" name="Chart 5">
          <a:extLst>
            <a:ext uri="{FF2B5EF4-FFF2-40B4-BE49-F238E27FC236}">
              <a16:creationId xmlns:a16="http://schemas.microsoft.com/office/drawing/2014/main" id="{84490D67-DB92-4400-90C1-C55AF0ACCE6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116416</xdr:colOff>
      <xdr:row>37</xdr:row>
      <xdr:rowOff>42333</xdr:rowOff>
    </xdr:from>
    <xdr:to>
      <xdr:col>35</xdr:col>
      <xdr:colOff>462310</xdr:colOff>
      <xdr:row>39</xdr:row>
      <xdr:rowOff>382905</xdr:rowOff>
    </xdr:to>
    <xdr:graphicFrame macro="">
      <xdr:nvGraphicFramePr>
        <xdr:cNvPr id="8" name="Chart 7">
          <a:extLst>
            <a:ext uri="{FF2B5EF4-FFF2-40B4-BE49-F238E27FC236}">
              <a16:creationId xmlns:a16="http://schemas.microsoft.com/office/drawing/2014/main" id="{5BE89EA6-6AF4-4938-8D4B-A1590FEBCA5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29</xdr:col>
      <xdr:colOff>95250</xdr:colOff>
      <xdr:row>40</xdr:row>
      <xdr:rowOff>31750</xdr:rowOff>
    </xdr:from>
    <xdr:to>
      <xdr:col>35</xdr:col>
      <xdr:colOff>444954</xdr:colOff>
      <xdr:row>42</xdr:row>
      <xdr:rowOff>368512</xdr:rowOff>
    </xdr:to>
    <xdr:graphicFrame macro="">
      <xdr:nvGraphicFramePr>
        <xdr:cNvPr id="10" name="Chart 9">
          <a:extLst>
            <a:ext uri="{FF2B5EF4-FFF2-40B4-BE49-F238E27FC236}">
              <a16:creationId xmlns:a16="http://schemas.microsoft.com/office/drawing/2014/main" id="{8E8127D1-97C8-40F3-B94E-B4CC492E1D0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29</xdr:col>
      <xdr:colOff>116417</xdr:colOff>
      <xdr:row>43</xdr:row>
      <xdr:rowOff>52917</xdr:rowOff>
    </xdr:from>
    <xdr:to>
      <xdr:col>35</xdr:col>
      <xdr:colOff>469931</xdr:colOff>
      <xdr:row>45</xdr:row>
      <xdr:rowOff>382059</xdr:rowOff>
    </xdr:to>
    <xdr:graphicFrame macro="">
      <xdr:nvGraphicFramePr>
        <xdr:cNvPr id="11" name="Chart 10">
          <a:extLst>
            <a:ext uri="{FF2B5EF4-FFF2-40B4-BE49-F238E27FC236}">
              <a16:creationId xmlns:a16="http://schemas.microsoft.com/office/drawing/2014/main" id="{885291F4-DA6D-434E-B3D8-8CC78FF7BFCE}"/>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29</xdr:col>
      <xdr:colOff>63500</xdr:colOff>
      <xdr:row>55</xdr:row>
      <xdr:rowOff>423332</xdr:rowOff>
    </xdr:from>
    <xdr:to>
      <xdr:col>35</xdr:col>
      <xdr:colOff>409394</xdr:colOff>
      <xdr:row>58</xdr:row>
      <xdr:rowOff>423997</xdr:rowOff>
    </xdr:to>
    <xdr:graphicFrame macro="">
      <xdr:nvGraphicFramePr>
        <xdr:cNvPr id="14" name="Chart 5">
          <a:extLst>
            <a:ext uri="{FF2B5EF4-FFF2-40B4-BE49-F238E27FC236}">
              <a16:creationId xmlns:a16="http://schemas.microsoft.com/office/drawing/2014/main" id="{65E95632-EBE9-4B6C-8E98-2240108F85F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29</xdr:col>
      <xdr:colOff>63500</xdr:colOff>
      <xdr:row>59</xdr:row>
      <xdr:rowOff>21167</xdr:rowOff>
    </xdr:from>
    <xdr:to>
      <xdr:col>35</xdr:col>
      <xdr:colOff>413204</xdr:colOff>
      <xdr:row>62</xdr:row>
      <xdr:rowOff>21832</xdr:rowOff>
    </xdr:to>
    <xdr:graphicFrame macro="">
      <xdr:nvGraphicFramePr>
        <xdr:cNvPr id="24" name="Chart 5">
          <a:extLst>
            <a:ext uri="{FF2B5EF4-FFF2-40B4-BE49-F238E27FC236}">
              <a16:creationId xmlns:a16="http://schemas.microsoft.com/office/drawing/2014/main" id="{B0724AB7-25B1-4C22-97BC-9E72F119CE3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29</xdr:col>
      <xdr:colOff>56727</xdr:colOff>
      <xdr:row>62</xdr:row>
      <xdr:rowOff>29845</xdr:rowOff>
    </xdr:from>
    <xdr:to>
      <xdr:col>35</xdr:col>
      <xdr:colOff>402621</xdr:colOff>
      <xdr:row>64</xdr:row>
      <xdr:rowOff>381000</xdr:rowOff>
    </xdr:to>
    <xdr:graphicFrame macro="">
      <xdr:nvGraphicFramePr>
        <xdr:cNvPr id="25" name="Chart 5">
          <a:extLst>
            <a:ext uri="{FF2B5EF4-FFF2-40B4-BE49-F238E27FC236}">
              <a16:creationId xmlns:a16="http://schemas.microsoft.com/office/drawing/2014/main" id="{267D250F-8BB1-4EBE-B3C6-1EC42CD77BC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29</xdr:col>
      <xdr:colOff>68036</xdr:colOff>
      <xdr:row>65</xdr:row>
      <xdr:rowOff>27214</xdr:rowOff>
    </xdr:from>
    <xdr:to>
      <xdr:col>35</xdr:col>
      <xdr:colOff>419645</xdr:colOff>
      <xdr:row>68</xdr:row>
      <xdr:rowOff>65737</xdr:rowOff>
    </xdr:to>
    <xdr:graphicFrame macro="">
      <xdr:nvGraphicFramePr>
        <xdr:cNvPr id="26" name="Chart 25">
          <a:extLst>
            <a:ext uri="{FF2B5EF4-FFF2-40B4-BE49-F238E27FC236}">
              <a16:creationId xmlns:a16="http://schemas.microsoft.com/office/drawing/2014/main" id="{01776B07-85A7-4069-8675-53D2DE4DC23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29</xdr:col>
      <xdr:colOff>85392</xdr:colOff>
      <xdr:row>68</xdr:row>
      <xdr:rowOff>57059</xdr:rowOff>
    </xdr:from>
    <xdr:to>
      <xdr:col>35</xdr:col>
      <xdr:colOff>429381</xdr:colOff>
      <xdr:row>70</xdr:row>
      <xdr:rowOff>415835</xdr:rowOff>
    </xdr:to>
    <xdr:graphicFrame macro="">
      <xdr:nvGraphicFramePr>
        <xdr:cNvPr id="27" name="Chart 5">
          <a:extLst>
            <a:ext uri="{FF2B5EF4-FFF2-40B4-BE49-F238E27FC236}">
              <a16:creationId xmlns:a16="http://schemas.microsoft.com/office/drawing/2014/main" id="{BB2C8194-26E2-4AEE-AB25-E4C4976B0B0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29</xdr:col>
      <xdr:colOff>76200</xdr:colOff>
      <xdr:row>46</xdr:row>
      <xdr:rowOff>65314</xdr:rowOff>
    </xdr:from>
    <xdr:to>
      <xdr:col>35</xdr:col>
      <xdr:colOff>433524</xdr:colOff>
      <xdr:row>48</xdr:row>
      <xdr:rowOff>381121</xdr:rowOff>
    </xdr:to>
    <xdr:graphicFrame macro="">
      <xdr:nvGraphicFramePr>
        <xdr:cNvPr id="12" name="Chart 11">
          <a:extLst>
            <a:ext uri="{FF2B5EF4-FFF2-40B4-BE49-F238E27FC236}">
              <a16:creationId xmlns:a16="http://schemas.microsoft.com/office/drawing/2014/main" id="{CD78E40A-C94D-4B9D-AF67-D0F499A660A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29</xdr:col>
      <xdr:colOff>68036</xdr:colOff>
      <xdr:row>71</xdr:row>
      <xdr:rowOff>27214</xdr:rowOff>
    </xdr:from>
    <xdr:to>
      <xdr:col>35</xdr:col>
      <xdr:colOff>412025</xdr:colOff>
      <xdr:row>73</xdr:row>
      <xdr:rowOff>389799</xdr:rowOff>
    </xdr:to>
    <xdr:graphicFrame macro="">
      <xdr:nvGraphicFramePr>
        <xdr:cNvPr id="16" name="Chart 5">
          <a:extLst>
            <a:ext uri="{FF2B5EF4-FFF2-40B4-BE49-F238E27FC236}">
              <a16:creationId xmlns:a16="http://schemas.microsoft.com/office/drawing/2014/main" id="{8233D425-49E5-4074-9E7F-A94C438E08F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29</xdr:col>
      <xdr:colOff>122465</xdr:colOff>
      <xdr:row>74</xdr:row>
      <xdr:rowOff>40821</xdr:rowOff>
    </xdr:from>
    <xdr:to>
      <xdr:col>35</xdr:col>
      <xdr:colOff>449244</xdr:colOff>
      <xdr:row>77</xdr:row>
      <xdr:rowOff>104231</xdr:rowOff>
    </xdr:to>
    <xdr:graphicFrame macro="">
      <xdr:nvGraphicFramePr>
        <xdr:cNvPr id="31" name="Chart 5">
          <a:extLst>
            <a:ext uri="{FF2B5EF4-FFF2-40B4-BE49-F238E27FC236}">
              <a16:creationId xmlns:a16="http://schemas.microsoft.com/office/drawing/2014/main" id="{1C8D7D3F-A668-4C6E-ADB9-C8BEC7C11FEE}"/>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29</xdr:col>
      <xdr:colOff>133671</xdr:colOff>
      <xdr:row>77</xdr:row>
      <xdr:rowOff>171465</xdr:rowOff>
    </xdr:from>
    <xdr:to>
      <xdr:col>35</xdr:col>
      <xdr:colOff>449020</xdr:colOff>
      <xdr:row>80</xdr:row>
      <xdr:rowOff>142874</xdr:rowOff>
    </xdr:to>
    <xdr:graphicFrame macro="">
      <xdr:nvGraphicFramePr>
        <xdr:cNvPr id="32" name="Chart 5">
          <a:extLst>
            <a:ext uri="{FF2B5EF4-FFF2-40B4-BE49-F238E27FC236}">
              <a16:creationId xmlns:a16="http://schemas.microsoft.com/office/drawing/2014/main" id="{187C7426-F82C-4597-939D-7835CD8CDE1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29</xdr:col>
      <xdr:colOff>64226</xdr:colOff>
      <xdr:row>48</xdr:row>
      <xdr:rowOff>419917</xdr:rowOff>
    </xdr:from>
    <xdr:to>
      <xdr:col>35</xdr:col>
      <xdr:colOff>402435</xdr:colOff>
      <xdr:row>51</xdr:row>
      <xdr:rowOff>408214</xdr:rowOff>
    </xdr:to>
    <xdr:graphicFrame macro="">
      <xdr:nvGraphicFramePr>
        <xdr:cNvPr id="35" name="Chart 5">
          <a:extLst>
            <a:ext uri="{FF2B5EF4-FFF2-40B4-BE49-F238E27FC236}">
              <a16:creationId xmlns:a16="http://schemas.microsoft.com/office/drawing/2014/main" id="{CF8660C1-49B8-47BC-870C-3BCFAD8A397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29</xdr:col>
      <xdr:colOff>92850</xdr:colOff>
      <xdr:row>52</xdr:row>
      <xdr:rowOff>78123</xdr:rowOff>
    </xdr:from>
    <xdr:to>
      <xdr:col>35</xdr:col>
      <xdr:colOff>402484</xdr:colOff>
      <xdr:row>55</xdr:row>
      <xdr:rowOff>81643</xdr:rowOff>
    </xdr:to>
    <xdr:graphicFrame macro="">
      <xdr:nvGraphicFramePr>
        <xdr:cNvPr id="36" name="Chart 5">
          <a:extLst>
            <a:ext uri="{FF2B5EF4-FFF2-40B4-BE49-F238E27FC236}">
              <a16:creationId xmlns:a16="http://schemas.microsoft.com/office/drawing/2014/main" id="{C281717D-E700-40DD-A639-8BE0EE71F2E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29</xdr:col>
      <xdr:colOff>122464</xdr:colOff>
      <xdr:row>24</xdr:row>
      <xdr:rowOff>68036</xdr:rowOff>
    </xdr:from>
    <xdr:to>
      <xdr:col>35</xdr:col>
      <xdr:colOff>458768</xdr:colOff>
      <xdr:row>27</xdr:row>
      <xdr:rowOff>54428</xdr:rowOff>
    </xdr:to>
    <xdr:graphicFrame macro="">
      <xdr:nvGraphicFramePr>
        <xdr:cNvPr id="37" name="Chart 5">
          <a:extLst>
            <a:ext uri="{FF2B5EF4-FFF2-40B4-BE49-F238E27FC236}">
              <a16:creationId xmlns:a16="http://schemas.microsoft.com/office/drawing/2014/main" id="{421A7196-C5C0-4E55-843E-395E127B0B4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29</xdr:col>
      <xdr:colOff>147005</xdr:colOff>
      <xdr:row>27</xdr:row>
      <xdr:rowOff>114862</xdr:rowOff>
    </xdr:from>
    <xdr:to>
      <xdr:col>35</xdr:col>
      <xdr:colOff>445209</xdr:colOff>
      <xdr:row>30</xdr:row>
      <xdr:rowOff>110763</xdr:rowOff>
    </xdr:to>
    <xdr:graphicFrame macro="">
      <xdr:nvGraphicFramePr>
        <xdr:cNvPr id="38" name="Chart 5">
          <a:extLst>
            <a:ext uri="{FF2B5EF4-FFF2-40B4-BE49-F238E27FC236}">
              <a16:creationId xmlns:a16="http://schemas.microsoft.com/office/drawing/2014/main" id="{390D9096-1878-4A9D-BE27-DDCAB73BE1FA}"/>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29</xdr:col>
      <xdr:colOff>89951</xdr:colOff>
      <xdr:row>106</xdr:row>
      <xdr:rowOff>31712</xdr:rowOff>
    </xdr:from>
    <xdr:to>
      <xdr:col>35</xdr:col>
      <xdr:colOff>433940</xdr:colOff>
      <xdr:row>108</xdr:row>
      <xdr:rowOff>403411</xdr:rowOff>
    </xdr:to>
    <xdr:graphicFrame macro="">
      <xdr:nvGraphicFramePr>
        <xdr:cNvPr id="39" name="Chart 5">
          <a:extLst>
            <a:ext uri="{FF2B5EF4-FFF2-40B4-BE49-F238E27FC236}">
              <a16:creationId xmlns:a16="http://schemas.microsoft.com/office/drawing/2014/main" id="{5212D532-A38E-4275-8F1C-3F7C7F42650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29</xdr:col>
      <xdr:colOff>63500</xdr:colOff>
      <xdr:row>80</xdr:row>
      <xdr:rowOff>423332</xdr:rowOff>
    </xdr:from>
    <xdr:to>
      <xdr:col>35</xdr:col>
      <xdr:colOff>409394</xdr:colOff>
      <xdr:row>83</xdr:row>
      <xdr:rowOff>423997</xdr:rowOff>
    </xdr:to>
    <xdr:graphicFrame macro="">
      <xdr:nvGraphicFramePr>
        <xdr:cNvPr id="13" name="Chart 5">
          <a:extLst>
            <a:ext uri="{FF2B5EF4-FFF2-40B4-BE49-F238E27FC236}">
              <a16:creationId xmlns:a16="http://schemas.microsoft.com/office/drawing/2014/main" id="{BD4EA1B9-CFC0-4AD2-A46C-3F97211DD9A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29</xdr:col>
      <xdr:colOff>63500</xdr:colOff>
      <xdr:row>84</xdr:row>
      <xdr:rowOff>21167</xdr:rowOff>
    </xdr:from>
    <xdr:to>
      <xdr:col>35</xdr:col>
      <xdr:colOff>413204</xdr:colOff>
      <xdr:row>87</xdr:row>
      <xdr:rowOff>21832</xdr:rowOff>
    </xdr:to>
    <xdr:graphicFrame macro="">
      <xdr:nvGraphicFramePr>
        <xdr:cNvPr id="15" name="Chart 5">
          <a:extLst>
            <a:ext uri="{FF2B5EF4-FFF2-40B4-BE49-F238E27FC236}">
              <a16:creationId xmlns:a16="http://schemas.microsoft.com/office/drawing/2014/main" id="{B91FB2D9-6AD3-4425-AC92-42397C7B700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29</xdr:col>
      <xdr:colOff>56727</xdr:colOff>
      <xdr:row>87</xdr:row>
      <xdr:rowOff>29845</xdr:rowOff>
    </xdr:from>
    <xdr:to>
      <xdr:col>35</xdr:col>
      <xdr:colOff>402621</xdr:colOff>
      <xdr:row>89</xdr:row>
      <xdr:rowOff>381000</xdr:rowOff>
    </xdr:to>
    <xdr:graphicFrame macro="">
      <xdr:nvGraphicFramePr>
        <xdr:cNvPr id="17" name="Chart 5">
          <a:extLst>
            <a:ext uri="{FF2B5EF4-FFF2-40B4-BE49-F238E27FC236}">
              <a16:creationId xmlns:a16="http://schemas.microsoft.com/office/drawing/2014/main" id="{FC48948D-C87C-4264-A8AA-28B4B378BDD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29</xdr:col>
      <xdr:colOff>66131</xdr:colOff>
      <xdr:row>89</xdr:row>
      <xdr:rowOff>428721</xdr:rowOff>
    </xdr:from>
    <xdr:to>
      <xdr:col>35</xdr:col>
      <xdr:colOff>419645</xdr:colOff>
      <xdr:row>93</xdr:row>
      <xdr:rowOff>30215</xdr:rowOff>
    </xdr:to>
    <xdr:graphicFrame macro="">
      <xdr:nvGraphicFramePr>
        <xdr:cNvPr id="22" name="Chart 21">
          <a:extLst>
            <a:ext uri="{FF2B5EF4-FFF2-40B4-BE49-F238E27FC236}">
              <a16:creationId xmlns:a16="http://schemas.microsoft.com/office/drawing/2014/main" id="{EAED04B5-F0A8-4F96-A0AB-D0423C50285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29</xdr:col>
      <xdr:colOff>64885</xdr:colOff>
      <xdr:row>93</xdr:row>
      <xdr:rowOff>60869</xdr:rowOff>
    </xdr:from>
    <xdr:to>
      <xdr:col>35</xdr:col>
      <xdr:colOff>408874</xdr:colOff>
      <xdr:row>95</xdr:row>
      <xdr:rowOff>415835</xdr:rowOff>
    </xdr:to>
    <xdr:graphicFrame macro="">
      <xdr:nvGraphicFramePr>
        <xdr:cNvPr id="23" name="Chart 5">
          <a:extLst>
            <a:ext uri="{FF2B5EF4-FFF2-40B4-BE49-F238E27FC236}">
              <a16:creationId xmlns:a16="http://schemas.microsoft.com/office/drawing/2014/main" id="{2761E616-DF8B-40B0-A460-48F3945CC24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29</xdr:col>
      <xdr:colOff>92128</xdr:colOff>
      <xdr:row>96</xdr:row>
      <xdr:rowOff>17689</xdr:rowOff>
    </xdr:from>
    <xdr:to>
      <xdr:col>35</xdr:col>
      <xdr:colOff>436117</xdr:colOff>
      <xdr:row>98</xdr:row>
      <xdr:rowOff>397419</xdr:rowOff>
    </xdr:to>
    <xdr:graphicFrame macro="">
      <xdr:nvGraphicFramePr>
        <xdr:cNvPr id="28" name="Chart 5">
          <a:extLst>
            <a:ext uri="{FF2B5EF4-FFF2-40B4-BE49-F238E27FC236}">
              <a16:creationId xmlns:a16="http://schemas.microsoft.com/office/drawing/2014/main" id="{F00F93E1-6FF5-4796-AF36-B5938C6683C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29</xdr:col>
      <xdr:colOff>92657</xdr:colOff>
      <xdr:row>99</xdr:row>
      <xdr:rowOff>40821</xdr:rowOff>
    </xdr:from>
    <xdr:to>
      <xdr:col>35</xdr:col>
      <xdr:colOff>411816</xdr:colOff>
      <xdr:row>101</xdr:row>
      <xdr:rowOff>367889</xdr:rowOff>
    </xdr:to>
    <xdr:graphicFrame macro="">
      <xdr:nvGraphicFramePr>
        <xdr:cNvPr id="29" name="Chart 5">
          <a:extLst>
            <a:ext uri="{FF2B5EF4-FFF2-40B4-BE49-F238E27FC236}">
              <a16:creationId xmlns:a16="http://schemas.microsoft.com/office/drawing/2014/main" id="{989CCB4D-5405-4009-BD3A-47B8C24B9B8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29</xdr:col>
      <xdr:colOff>107450</xdr:colOff>
      <xdr:row>102</xdr:row>
      <xdr:rowOff>11205</xdr:rowOff>
    </xdr:from>
    <xdr:to>
      <xdr:col>35</xdr:col>
      <xdr:colOff>418989</xdr:colOff>
      <xdr:row>104</xdr:row>
      <xdr:rowOff>384810</xdr:rowOff>
    </xdr:to>
    <xdr:graphicFrame macro="">
      <xdr:nvGraphicFramePr>
        <xdr:cNvPr id="30" name="Chart 5">
          <a:extLst>
            <a:ext uri="{FF2B5EF4-FFF2-40B4-BE49-F238E27FC236}">
              <a16:creationId xmlns:a16="http://schemas.microsoft.com/office/drawing/2014/main" id="{79DD8726-8507-40E6-B0AE-9C1BAD54727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42</xdr:col>
      <xdr:colOff>41911</xdr:colOff>
      <xdr:row>0</xdr:row>
      <xdr:rowOff>0</xdr:rowOff>
    </xdr:from>
    <xdr:to>
      <xdr:col>54</xdr:col>
      <xdr:colOff>316230</xdr:colOff>
      <xdr:row>14</xdr:row>
      <xdr:rowOff>100694</xdr:rowOff>
    </xdr:to>
    <xdr:graphicFrame macro="">
      <xdr:nvGraphicFramePr>
        <xdr:cNvPr id="4" name="Chart 3">
          <a:extLst>
            <a:ext uri="{FF2B5EF4-FFF2-40B4-BE49-F238E27FC236}">
              <a16:creationId xmlns:a16="http://schemas.microsoft.com/office/drawing/2014/main" id="{EB275F31-1CC4-F076-453A-94AE73BDC7D3}"/>
            </a:ext>
            <a:ext uri="{147F2762-F138-4A5C-976F-8EAC2B608ADB}">
              <a16:predDERef xmlns:a16="http://schemas.microsoft.com/office/drawing/2014/main" pred="{167FA323-5F8A-6A75-7512-42D1482769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19048</xdr:colOff>
      <xdr:row>0</xdr:row>
      <xdr:rowOff>0</xdr:rowOff>
    </xdr:from>
    <xdr:to>
      <xdr:col>40</xdr:col>
      <xdr:colOff>383720</xdr:colOff>
      <xdr:row>16</xdr:row>
      <xdr:rowOff>41365</xdr:rowOff>
    </xdr:to>
    <xdr:graphicFrame macro="">
      <xdr:nvGraphicFramePr>
        <xdr:cNvPr id="5" name="Chart 4">
          <a:extLst>
            <a:ext uri="{FF2B5EF4-FFF2-40B4-BE49-F238E27FC236}">
              <a16:creationId xmlns:a16="http://schemas.microsoft.com/office/drawing/2014/main" id="{CEF7484E-8D6F-403A-99E3-AAF871BD3B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0</xdr:colOff>
      <xdr:row>17</xdr:row>
      <xdr:rowOff>29936</xdr:rowOff>
    </xdr:from>
    <xdr:to>
      <xdr:col>40</xdr:col>
      <xdr:colOff>299606</xdr:colOff>
      <xdr:row>143</xdr:row>
      <xdr:rowOff>70481</xdr:rowOff>
    </xdr:to>
    <xdr:graphicFrame macro="">
      <xdr:nvGraphicFramePr>
        <xdr:cNvPr id="10" name="Chart 5">
          <a:extLst>
            <a:ext uri="{FF2B5EF4-FFF2-40B4-BE49-F238E27FC236}">
              <a16:creationId xmlns:a16="http://schemas.microsoft.com/office/drawing/2014/main" id="{FB746F2F-643D-412E-93A9-5490A2A8F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19</xdr:row>
      <xdr:rowOff>0</xdr:rowOff>
    </xdr:from>
    <xdr:to>
      <xdr:col>11</xdr:col>
      <xdr:colOff>1260906</xdr:colOff>
      <xdr:row>161</xdr:row>
      <xdr:rowOff>127554</xdr:rowOff>
    </xdr:to>
    <xdr:pic>
      <xdr:nvPicPr>
        <xdr:cNvPr id="11" name="Picture 1">
          <a:extLst>
            <a:ext uri="{FF2B5EF4-FFF2-40B4-BE49-F238E27FC236}">
              <a16:creationId xmlns:a16="http://schemas.microsoft.com/office/drawing/2014/main" id="{24C16834-3D73-3C3D-0FB3-6B5A0ED451E4}"/>
            </a:ext>
          </a:extLst>
        </xdr:cNvPr>
        <xdr:cNvPicPr>
          <a:picLocks noChangeAspect="1"/>
        </xdr:cNvPicPr>
      </xdr:nvPicPr>
      <xdr:blipFill>
        <a:blip xmlns:r="http://schemas.openxmlformats.org/officeDocument/2006/relationships" r:embed="rId4"/>
        <a:stretch>
          <a:fillRect/>
        </a:stretch>
      </xdr:blipFill>
      <xdr:spPr>
        <a:xfrm>
          <a:off x="988219" y="5226844"/>
          <a:ext cx="10833531" cy="7852329"/>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ahla.com/sites/default/files/25_SOTI.pdf" TargetMode="External"/><Relationship Id="rId13" Type="http://schemas.openxmlformats.org/officeDocument/2006/relationships/hyperlink" Target="https://www.govinfo.gov/content/pkg/CFR-2013-title10-vol3/pdf/CFR-2013-title10-vol3-part431.pdf" TargetMode="External"/><Relationship Id="rId3" Type="http://schemas.openxmlformats.org/officeDocument/2006/relationships/hyperlink" Target="https://github.com/sound-data/DEER-Prototypes-EnergyPlus" TargetMode="External"/><Relationship Id="rId7" Type="http://schemas.openxmlformats.org/officeDocument/2006/relationships/hyperlink" Target="https://www.energy.ca.gov/publications/2022/2022-nonresidential-and-multifamily-alternative-calculation-method-reference" TargetMode="External"/><Relationship Id="rId12" Type="http://schemas.openxmlformats.org/officeDocument/2006/relationships/hyperlink" Target="https://www.govinfo.gov/content/pkg/CFR-2024-title10-vol3/pdf/CFR-2024-title10-vol3-part431-subpartF.pdf" TargetMode="External"/><Relationship Id="rId2" Type="http://schemas.openxmlformats.org/officeDocument/2006/relationships/hyperlink" Target="https://www.energycodes.gov/prototype-building-models" TargetMode="External"/><Relationship Id="rId16" Type="http://schemas.openxmlformats.org/officeDocument/2006/relationships/drawing" Target="../drawings/drawing1.xml"/><Relationship Id="rId1" Type="http://schemas.openxmlformats.org/officeDocument/2006/relationships/hyperlink" Target="https://bees.noresco.com/software2022.html" TargetMode="External"/><Relationship Id="rId6" Type="http://schemas.openxmlformats.org/officeDocument/2006/relationships/hyperlink" Target="https://title24stakeholders.com/wp-content/uploads/2016/10/T24-2019-CASE-Study-Results-Report-Outdoor-Sources_Final_with-Attachments.pdf" TargetMode="External"/><Relationship Id="rId11" Type="http://schemas.openxmlformats.org/officeDocument/2006/relationships/hyperlink" Target="https://www.govinfo.gov/content/pkg/FR-2009-03-23/pdf/FR-2009-03-23.pdf" TargetMode="External"/><Relationship Id="rId5" Type="http://schemas.openxmlformats.org/officeDocument/2006/relationships/hyperlink" Target="https://title24stakeholders.com/wp-content/uploads/2020/10/2022-T24-Final-CASE-Report_Reduce-Infiltration.pdf" TargetMode="External"/><Relationship Id="rId15" Type="http://schemas.openxmlformats.org/officeDocument/2006/relationships/printerSettings" Target="../printerSettings/printerSettings1.bin"/><Relationship Id="rId10"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4" Type="http://schemas.openxmlformats.org/officeDocument/2006/relationships/hyperlink" Target="https://prod-edam.honeywell.com/content/dam/honeywell-edam/hbt/en-us/documents/manuals-and-guides/installation-guides/inncom/hbt-bms-INNCOM-e7-USER-GUIDE.pdf?download=false" TargetMode="External"/><Relationship Id="rId9" Type="http://schemas.openxmlformats.org/officeDocument/2006/relationships/hyperlink" Target="https://www.pnnl.gov/main/publications/external/technical_reports/PNNL-20405.pdf" TargetMode="External"/><Relationship Id="rId14" Type="http://schemas.openxmlformats.org/officeDocument/2006/relationships/hyperlink" Target="https://efiling.energy.ca.gov/GetDocument.aspx?tn=265693&amp;DocumentContentId=102545"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onRes-Vintage%20bins-Draft%20Report-30Nov2023-Final.docx?d=w8560be34ea9744e086bccf7767b0a3cf&amp;csf=1&amp;web=1&amp;e=tpxacv"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 Id="rId1" Type="http://schemas.openxmlformats.org/officeDocument/2006/relationships/hyperlink" Target="https://title24stakeholders.com/wp-content/uploads/2020/10/2022-T24-Final-CASE-Report_Reduce-Infiltration.pdf" TargetMode="Externa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H63"/>
  <sheetViews>
    <sheetView zoomScale="85" zoomScaleNormal="85" workbookViewId="0">
      <selection sqref="A1:C1"/>
    </sheetView>
  </sheetViews>
  <sheetFormatPr defaultColWidth="9.28515625" defaultRowHeight="13.15"/>
  <cols>
    <col min="1" max="1" width="14.7109375" style="5" customWidth="1"/>
    <col min="2" max="2" width="89.28515625" style="5" customWidth="1"/>
    <col min="3" max="3" width="50.42578125" style="5" customWidth="1"/>
    <col min="4" max="4" width="9.28515625" style="5"/>
    <col min="5" max="5" width="21.7109375" style="5" customWidth="1"/>
    <col min="6" max="6" width="10.7109375" style="5" customWidth="1"/>
    <col min="7" max="7" width="9.7109375" style="5" customWidth="1"/>
    <col min="8" max="8" width="9.7109375" style="5" bestFit="1" customWidth="1"/>
    <col min="9" max="16384" width="9.28515625" style="5"/>
  </cols>
  <sheetData>
    <row r="1" spans="1:4" ht="20.45" customHeight="1">
      <c r="A1" s="569" t="s">
        <v>0</v>
      </c>
      <c r="B1" s="569"/>
      <c r="C1" s="569"/>
    </row>
    <row r="2" spans="1:4">
      <c r="A2" s="568" t="s">
        <v>1</v>
      </c>
      <c r="B2" s="5" t="s">
        <v>2</v>
      </c>
      <c r="C2" s="547"/>
    </row>
    <row r="3" spans="1:4">
      <c r="A3" s="568"/>
      <c r="B3" s="5" t="s">
        <v>3</v>
      </c>
      <c r="C3" s="547"/>
    </row>
    <row r="4" spans="1:4">
      <c r="A4" s="568"/>
      <c r="B4" s="5" t="s">
        <v>4</v>
      </c>
      <c r="C4" s="547"/>
    </row>
    <row r="5" spans="1:4">
      <c r="A5" s="568"/>
      <c r="B5" s="5" t="s">
        <v>5</v>
      </c>
      <c r="C5" s="547"/>
    </row>
    <row r="6" spans="1:4" ht="14.45">
      <c r="A6" s="568" t="s">
        <v>6</v>
      </c>
      <c r="B6" s="5" t="s">
        <v>7</v>
      </c>
      <c r="C6" s="445" t="s">
        <v>8</v>
      </c>
      <c r="D6" s="5" t="s">
        <v>9</v>
      </c>
    </row>
    <row r="7" spans="1:4" ht="14.45">
      <c r="A7" s="568"/>
      <c r="B7" s="5" t="s">
        <v>10</v>
      </c>
      <c r="C7" s="445" t="s">
        <v>11</v>
      </c>
      <c r="D7" s="5" t="s">
        <v>9</v>
      </c>
    </row>
    <row r="8" spans="1:4" ht="14.45">
      <c r="A8" s="568"/>
      <c r="B8" s="5" t="s">
        <v>12</v>
      </c>
      <c r="C8" s="445" t="s">
        <v>13</v>
      </c>
      <c r="D8" s="5" t="s">
        <v>9</v>
      </c>
    </row>
    <row r="9" spans="1:4" ht="14.45">
      <c r="A9" s="568"/>
      <c r="C9" s="445"/>
      <c r="D9" s="5" t="s">
        <v>9</v>
      </c>
    </row>
    <row r="10" spans="1:4">
      <c r="A10" s="568" t="s">
        <v>14</v>
      </c>
      <c r="B10" s="5" t="s">
        <v>15</v>
      </c>
      <c r="C10" s="547"/>
      <c r="D10" s="5" t="s">
        <v>9</v>
      </c>
    </row>
    <row r="11" spans="1:4">
      <c r="A11" s="568"/>
      <c r="B11" s="5" t="s">
        <v>16</v>
      </c>
      <c r="C11" s="547"/>
      <c r="D11" s="5" t="s">
        <v>9</v>
      </c>
    </row>
    <row r="12" spans="1:4" ht="14.45">
      <c r="A12" s="568"/>
      <c r="B12" s="5" t="s">
        <v>17</v>
      </c>
      <c r="C12" s="445" t="s">
        <v>18</v>
      </c>
      <c r="D12" s="5" t="s">
        <v>9</v>
      </c>
    </row>
    <row r="13" spans="1:4" ht="14.45">
      <c r="A13" s="568"/>
      <c r="B13" s="5" t="s">
        <v>19</v>
      </c>
      <c r="C13" s="445" t="s">
        <v>20</v>
      </c>
      <c r="D13" s="5" t="s">
        <v>9</v>
      </c>
    </row>
    <row r="14" spans="1:4" ht="14.45">
      <c r="A14" s="568"/>
      <c r="B14" s="5" t="s">
        <v>21</v>
      </c>
      <c r="C14" s="445" t="s">
        <v>22</v>
      </c>
      <c r="D14" s="5" t="s">
        <v>9</v>
      </c>
    </row>
    <row r="15" spans="1:4">
      <c r="A15" s="568"/>
      <c r="B15" s="11"/>
      <c r="C15" s="547"/>
      <c r="D15" s="5" t="s">
        <v>9</v>
      </c>
    </row>
    <row r="16" spans="1:4">
      <c r="A16" s="568" t="s">
        <v>23</v>
      </c>
      <c r="B16" s="5" t="s">
        <v>24</v>
      </c>
      <c r="C16" s="547"/>
      <c r="D16" s="5" t="s">
        <v>9</v>
      </c>
    </row>
    <row r="17" spans="1:4" ht="14.45">
      <c r="A17" s="568"/>
      <c r="B17" s="5" t="s">
        <v>25</v>
      </c>
      <c r="C17" s="445" t="s">
        <v>26</v>
      </c>
      <c r="D17" s="5" t="s">
        <v>9</v>
      </c>
    </row>
    <row r="18" spans="1:4" ht="14.45">
      <c r="A18" s="568"/>
      <c r="B18" s="12" t="s">
        <v>27</v>
      </c>
      <c r="C18" s="445" t="s">
        <v>28</v>
      </c>
      <c r="D18" s="5" t="s">
        <v>9</v>
      </c>
    </row>
    <row r="19" spans="1:4" ht="14.45">
      <c r="A19" s="568"/>
      <c r="B19" s="5" t="s">
        <v>29</v>
      </c>
      <c r="C19" s="445" t="s">
        <v>30</v>
      </c>
      <c r="D19" s="5" t="s">
        <v>9</v>
      </c>
    </row>
    <row r="20" spans="1:4" ht="14.45">
      <c r="A20" s="568"/>
      <c r="B20" s="5" t="s">
        <v>31</v>
      </c>
      <c r="C20" s="445" t="s">
        <v>32</v>
      </c>
      <c r="D20" s="5" t="s">
        <v>9</v>
      </c>
    </row>
    <row r="21" spans="1:4" ht="14.45">
      <c r="A21" s="568"/>
      <c r="B21" s="5" t="s">
        <v>33</v>
      </c>
      <c r="C21" s="445" t="s">
        <v>34</v>
      </c>
      <c r="D21" s="5" t="s">
        <v>9</v>
      </c>
    </row>
    <row r="22" spans="1:4" ht="14.45">
      <c r="A22" s="568"/>
      <c r="B22" s="5" t="s">
        <v>35</v>
      </c>
      <c r="C22" s="445" t="s">
        <v>36</v>
      </c>
      <c r="D22" s="5" t="s">
        <v>9</v>
      </c>
    </row>
    <row r="23" spans="1:4" ht="14.45">
      <c r="A23" s="568"/>
      <c r="B23" s="5" t="s">
        <v>37</v>
      </c>
      <c r="C23" s="445" t="s">
        <v>38</v>
      </c>
      <c r="D23" s="5" t="s">
        <v>9</v>
      </c>
    </row>
    <row r="24" spans="1:4" ht="29.45" customHeight="1">
      <c r="A24" s="568"/>
      <c r="B24" s="12" t="s">
        <v>39</v>
      </c>
      <c r="C24" s="160" t="s">
        <v>40</v>
      </c>
      <c r="D24" s="5" t="s">
        <v>9</v>
      </c>
    </row>
    <row r="25" spans="1:4">
      <c r="C25" s="545"/>
      <c r="D25" s="5" t="s">
        <v>9</v>
      </c>
    </row>
    <row r="26" spans="1:4" ht="18.600000000000001" customHeight="1">
      <c r="A26" s="569" t="s">
        <v>41</v>
      </c>
      <c r="B26" s="569"/>
      <c r="C26" s="569"/>
    </row>
    <row r="27" spans="1:4">
      <c r="C27" s="547"/>
    </row>
    <row r="28" spans="1:4">
      <c r="C28" s="547"/>
    </row>
    <row r="29" spans="1:4">
      <c r="C29" s="547"/>
    </row>
    <row r="30" spans="1:4">
      <c r="C30" s="547"/>
    </row>
    <row r="31" spans="1:4">
      <c r="C31" s="547"/>
    </row>
    <row r="32" spans="1:4">
      <c r="C32" s="547"/>
    </row>
    <row r="33" spans="1:8">
      <c r="C33" s="547"/>
    </row>
    <row r="34" spans="1:8">
      <c r="C34" s="547"/>
    </row>
    <row r="35" spans="1:8">
      <c r="C35" s="547"/>
    </row>
    <row r="36" spans="1:8">
      <c r="C36" s="547"/>
    </row>
    <row r="37" spans="1:8">
      <c r="C37" s="547"/>
    </row>
    <row r="38" spans="1:8">
      <c r="C38" s="547"/>
    </row>
    <row r="39" spans="1:8" ht="19.149999999999999" customHeight="1">
      <c r="A39" s="569" t="s">
        <v>42</v>
      </c>
      <c r="B39" s="569"/>
      <c r="C39" s="569"/>
    </row>
    <row r="40" spans="1:8" s="227" customFormat="1" ht="19.149999999999999" customHeight="1">
      <c r="A40" s="244" t="s">
        <v>43</v>
      </c>
      <c r="B40" s="572" t="s">
        <v>44</v>
      </c>
      <c r="C40" s="572"/>
    </row>
    <row r="41" spans="1:8" ht="81.599999999999994" customHeight="1">
      <c r="A41" s="523" t="s">
        <v>45</v>
      </c>
      <c r="B41" s="570" t="s">
        <v>46</v>
      </c>
      <c r="C41" s="570"/>
      <c r="E41" s="523"/>
      <c r="F41" s="7"/>
      <c r="G41" s="7"/>
      <c r="H41" s="7"/>
    </row>
    <row r="42" spans="1:8" ht="14.45" customHeight="1">
      <c r="A42" s="527"/>
      <c r="B42" s="571"/>
      <c r="C42" s="571"/>
      <c r="E42" s="523"/>
      <c r="F42" s="39"/>
      <c r="G42" s="39"/>
      <c r="H42" s="39"/>
    </row>
    <row r="43" spans="1:8" ht="17.45" customHeight="1">
      <c r="A43" s="527"/>
      <c r="B43" s="571"/>
      <c r="C43" s="571"/>
    </row>
    <row r="44" spans="1:8" ht="16.149999999999999" customHeight="1">
      <c r="A44" s="527"/>
      <c r="B44" s="571"/>
      <c r="C44" s="571"/>
    </row>
    <row r="58" spans="1:2" ht="14.45">
      <c r="B58"/>
    </row>
    <row r="63" spans="1:2" ht="14.45">
      <c r="A63" s="5" t="s">
        <v>2</v>
      </c>
      <c r="B63"/>
    </row>
  </sheetData>
  <mergeCells count="12">
    <mergeCell ref="B41:C41"/>
    <mergeCell ref="B42:C42"/>
    <mergeCell ref="B43:C43"/>
    <mergeCell ref="B44:C44"/>
    <mergeCell ref="A39:C39"/>
    <mergeCell ref="B40:C40"/>
    <mergeCell ref="A16:A24"/>
    <mergeCell ref="A1:C1"/>
    <mergeCell ref="A26:C26"/>
    <mergeCell ref="A10:A15"/>
    <mergeCell ref="A2:A5"/>
    <mergeCell ref="A6:A9"/>
  </mergeCells>
  <hyperlinks>
    <hyperlink ref="C6" r:id="rId1" xr:uid="{BE11EEF8-3AF7-48F0-A38B-7309CE5A9491}"/>
    <hyperlink ref="C7" r:id="rId2" location="Commercial" xr:uid="{626A4776-C2FA-489E-88C0-BC9C7C8EA36F}"/>
    <hyperlink ref="C8" r:id="rId3" xr:uid="{0DEB00BB-3A26-4527-9ED4-40D17F93A579}"/>
    <hyperlink ref="C19" r:id="rId4" xr:uid="{801D50F4-7482-41EE-BD31-AF1CB2A29E35}"/>
    <hyperlink ref="C18" r:id="rId5" xr:uid="{7BC0A138-7263-4149-BD2A-C3254205E46C}"/>
    <hyperlink ref="C20" r:id="rId6" xr:uid="{A7ED0F9E-99D0-4B4C-8F2C-1E7EF685FF6F}"/>
    <hyperlink ref="C17" r:id="rId7" xr:uid="{CC45709C-990D-4843-804F-936C9E44C980}"/>
    <hyperlink ref="C21" r:id="rId8" xr:uid="{0D4FBB50-F40B-46FC-A176-D058C9DB135D}"/>
    <hyperlink ref="C22" r:id="rId9" xr:uid="{D484475D-B400-4E96-9505-CCD7FE965875}"/>
    <hyperlink ref="C23" r:id="rId10" xr:uid="{AF920CF1-9F76-42E1-A73A-8C1EB915243B}"/>
    <hyperlink ref="C12" r:id="rId11" xr:uid="{A2C4FC6D-EE96-4198-8D38-FEFAF579976B}"/>
    <hyperlink ref="C14" r:id="rId12" xr:uid="{6DC7B75F-F9C4-4B4B-A7C6-BB63167C8674}"/>
    <hyperlink ref="C13" r:id="rId13" xr:uid="{D6326C34-F87A-45B5-BFF8-66DC95C507FF}"/>
    <hyperlink ref="C24" r:id="rId14" xr:uid="{F63B36D5-02CC-4372-8B66-24650A505249}"/>
  </hyperlinks>
  <pageMargins left="0.7" right="0.7" top="0.75" bottom="0.75" header="0.3" footer="0.3"/>
  <pageSetup orientation="portrait" r:id="rId15"/>
  <drawing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I30"/>
  <sheetViews>
    <sheetView tabSelected="1" zoomScaleNormal="100" workbookViewId="0">
      <selection sqref="A1:C1"/>
    </sheetView>
  </sheetViews>
  <sheetFormatPr defaultColWidth="9.28515625" defaultRowHeight="13.9"/>
  <cols>
    <col min="1" max="1" width="25" style="3" customWidth="1"/>
    <col min="2" max="2" width="51.28515625" style="3" customWidth="1"/>
    <col min="3" max="3" width="49.7109375" style="3" customWidth="1"/>
    <col min="4" max="7" width="8.7109375" style="3" customWidth="1"/>
    <col min="8" max="8" width="37.140625" style="3" customWidth="1"/>
    <col min="9" max="9" width="8.7109375" style="3" customWidth="1"/>
    <col min="10" max="16384" width="9.28515625" style="3"/>
  </cols>
  <sheetData>
    <row r="1" spans="1:9" ht="17.45">
      <c r="A1" s="576" t="s">
        <v>47</v>
      </c>
      <c r="B1" s="576"/>
      <c r="C1" s="576"/>
      <c r="D1" s="13"/>
      <c r="E1" s="13"/>
      <c r="F1" s="13"/>
    </row>
    <row r="2" spans="1:9" ht="25.15" customHeight="1">
      <c r="A2" s="577" t="s">
        <v>48</v>
      </c>
      <c r="B2" s="578"/>
      <c r="C2" s="578"/>
      <c r="D2" s="13"/>
      <c r="E2" s="13"/>
      <c r="F2" s="13"/>
    </row>
    <row r="3" spans="1:9" ht="20.45" customHeight="1">
      <c r="A3" s="19" t="s">
        <v>49</v>
      </c>
      <c r="B3" s="20" t="s">
        <v>50</v>
      </c>
      <c r="C3" s="21" t="s">
        <v>0</v>
      </c>
    </row>
    <row r="4" spans="1:9" ht="16.149999999999999" customHeight="1">
      <c r="A4" s="17" t="s">
        <v>51</v>
      </c>
      <c r="B4" s="559" t="s">
        <v>52</v>
      </c>
      <c r="C4" s="17"/>
    </row>
    <row r="5" spans="1:9" ht="16.149999999999999" customHeight="1">
      <c r="A5" s="17" t="s">
        <v>53</v>
      </c>
      <c r="B5" s="559" t="s">
        <v>54</v>
      </c>
      <c r="C5" s="17"/>
    </row>
    <row r="6" spans="1:9" ht="28.9" customHeight="1">
      <c r="A6" s="17" t="s">
        <v>55</v>
      </c>
      <c r="B6" s="252" t="s">
        <v>56</v>
      </c>
      <c r="C6" s="18" t="s">
        <v>57</v>
      </c>
      <c r="D6" s="160" t="s">
        <v>58</v>
      </c>
    </row>
    <row r="7" spans="1:9" ht="97.15" customHeight="1">
      <c r="A7" s="17" t="s">
        <v>59</v>
      </c>
      <c r="B7" s="559"/>
      <c r="C7" s="271" t="s">
        <v>60</v>
      </c>
      <c r="D7" s="218"/>
      <c r="I7" s="4"/>
    </row>
    <row r="8" spans="1:9" ht="32.450000000000003" customHeight="1">
      <c r="A8" s="14" t="s">
        <v>61</v>
      </c>
      <c r="B8" s="270" t="s">
        <v>62</v>
      </c>
      <c r="C8" s="274" t="s">
        <v>63</v>
      </c>
    </row>
    <row r="9" spans="1:9" ht="21" customHeight="1">
      <c r="A9" s="14" t="s">
        <v>64</v>
      </c>
      <c r="B9" s="159">
        <v>3</v>
      </c>
      <c r="C9" s="272" t="s">
        <v>65</v>
      </c>
    </row>
    <row r="10" spans="1:9" ht="24" customHeight="1">
      <c r="A10" s="15" t="s">
        <v>66</v>
      </c>
      <c r="B10" s="559">
        <v>3</v>
      </c>
      <c r="C10" s="37" t="s">
        <v>67</v>
      </c>
    </row>
    <row r="11" spans="1:9" ht="24.75" customHeight="1">
      <c r="A11" s="15" t="s">
        <v>68</v>
      </c>
      <c r="B11" s="559" t="s">
        <v>69</v>
      </c>
      <c r="C11" s="177" t="s">
        <v>65</v>
      </c>
    </row>
    <row r="12" spans="1:9" ht="44.65" customHeight="1">
      <c r="A12" s="15" t="s">
        <v>70</v>
      </c>
      <c r="B12" s="252" t="s">
        <v>71</v>
      </c>
      <c r="C12" s="18"/>
    </row>
    <row r="13" spans="1:9" ht="14.65" customHeight="1">
      <c r="A13" s="14" t="s">
        <v>72</v>
      </c>
      <c r="B13" s="16" t="s">
        <v>73</v>
      </c>
      <c r="C13" s="17" t="s">
        <v>65</v>
      </c>
    </row>
    <row r="14" spans="1:9" ht="33" customHeight="1">
      <c r="A14" s="14" t="s">
        <v>74</v>
      </c>
      <c r="B14" s="252" t="s">
        <v>75</v>
      </c>
      <c r="C14" s="17" t="s">
        <v>65</v>
      </c>
    </row>
    <row r="15" spans="1:9" ht="16.149999999999999" customHeight="1">
      <c r="A15" s="14" t="s">
        <v>76</v>
      </c>
      <c r="B15" s="559" t="s">
        <v>77</v>
      </c>
      <c r="C15" s="17" t="s">
        <v>65</v>
      </c>
    </row>
    <row r="16" spans="1:9">
      <c r="A16" s="14" t="s">
        <v>78</v>
      </c>
      <c r="B16" s="252" t="s">
        <v>79</v>
      </c>
      <c r="C16" s="17" t="s">
        <v>65</v>
      </c>
    </row>
    <row r="21" spans="1:3" ht="16.899999999999999" customHeight="1">
      <c r="A21" s="237" t="s">
        <v>80</v>
      </c>
    </row>
    <row r="22" spans="1:3" ht="14.65" customHeight="1">
      <c r="A22" s="574" t="s">
        <v>81</v>
      </c>
      <c r="B22" s="575"/>
      <c r="C22" s="184" t="s">
        <v>82</v>
      </c>
    </row>
    <row r="23" spans="1:3" ht="183.6" customHeight="1">
      <c r="A23" s="573"/>
      <c r="B23" s="573"/>
      <c r="C23" s="559" t="e" vm="1">
        <v>#VALUE!</v>
      </c>
    </row>
    <row r="24" spans="1:3" ht="14.65" customHeight="1"/>
    <row r="25" spans="1:3" ht="14.65" customHeight="1"/>
    <row r="26" spans="1:3" ht="14.65" customHeight="1"/>
    <row r="29" spans="1:3" ht="14.65" customHeight="1"/>
    <row r="30" spans="1:3" ht="14.65" customHeight="1"/>
  </sheetData>
  <mergeCells count="4">
    <mergeCell ref="A23:B23"/>
    <mergeCell ref="A22:B22"/>
    <mergeCell ref="A1:C1"/>
    <mergeCell ref="A2:C2"/>
  </mergeCells>
  <hyperlinks>
    <hyperlink ref="D6" r:id="rId1" display="https://2050partners.sharepoint.com/:w:/r/sites/CalBEMCollaborativeEfforts/Shared Documents/Working Group 1 - Streamlined Process/D - Complexity of Compliance/Prototype Unification/Project Development/Phase 2 (Collect Inputs) Development/NonRes-Vintage bins-Draft Report-30Nov2023-Final.docx?d=w8560be34ea9744e086bccf7767b0a3cf&amp;csf=1&amp;web=1&amp;e=tpxacv" xr:uid="{9B264631-F0F0-4192-B5C5-F574CB46B1DA}"/>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M83"/>
  <sheetViews>
    <sheetView zoomScale="85" zoomScaleNormal="85" workbookViewId="0">
      <selection sqref="A1:K1"/>
    </sheetView>
  </sheetViews>
  <sheetFormatPr defaultColWidth="8.7109375" defaultRowHeight="13.15"/>
  <cols>
    <col min="1" max="1" width="37.7109375" style="5" customWidth="1"/>
    <col min="2" max="2" width="52.28515625" style="5" bestFit="1" customWidth="1"/>
    <col min="3" max="4" width="26.28515625" style="5" customWidth="1"/>
    <col min="5" max="5" width="20.28515625" style="5" customWidth="1"/>
    <col min="6" max="6" width="13.85546875" style="5" customWidth="1"/>
    <col min="7" max="7" width="12.7109375" style="5" customWidth="1"/>
    <col min="8" max="8" width="10.7109375" style="5" customWidth="1"/>
    <col min="9" max="10" width="11.28515625" style="5" customWidth="1"/>
    <col min="11" max="11" width="21.5703125" style="5" customWidth="1"/>
    <col min="12" max="12" width="12.7109375" style="5" customWidth="1"/>
    <col min="13" max="13" width="25.28515625" style="5" customWidth="1"/>
    <col min="14" max="14" width="22.28515625" style="5" bestFit="1" customWidth="1"/>
    <col min="15" max="15" width="18.28515625" style="5" customWidth="1"/>
    <col min="16" max="16" width="25.7109375" style="5" customWidth="1"/>
    <col min="17" max="17" width="22.7109375" style="5" customWidth="1"/>
    <col min="18" max="18" width="16.28515625" style="5" customWidth="1"/>
    <col min="19" max="19" width="6.7109375" style="5" bestFit="1" customWidth="1"/>
    <col min="20" max="24" width="17.28515625" style="5" customWidth="1"/>
    <col min="25" max="16384" width="8.7109375" style="5"/>
  </cols>
  <sheetData>
    <row r="1" spans="1:13" ht="25.9" customHeight="1">
      <c r="A1" s="579" t="s">
        <v>83</v>
      </c>
      <c r="B1" s="579"/>
      <c r="C1" s="579"/>
      <c r="D1" s="579"/>
      <c r="E1" s="579"/>
      <c r="F1" s="579"/>
      <c r="G1" s="579"/>
      <c r="H1" s="579"/>
      <c r="I1" s="579"/>
      <c r="J1" s="579"/>
      <c r="K1" s="579"/>
    </row>
    <row r="2" spans="1:13" ht="52.9">
      <c r="A2" s="21" t="s">
        <v>84</v>
      </c>
      <c r="B2" s="21" t="s">
        <v>85</v>
      </c>
      <c r="C2" s="21" t="s">
        <v>86</v>
      </c>
      <c r="D2" s="21" t="s">
        <v>87</v>
      </c>
      <c r="E2" s="34" t="s">
        <v>88</v>
      </c>
      <c r="F2" s="35" t="s">
        <v>89</v>
      </c>
      <c r="G2" s="35" t="s">
        <v>90</v>
      </c>
      <c r="H2" s="34" t="s">
        <v>91</v>
      </c>
      <c r="I2" s="34" t="s">
        <v>92</v>
      </c>
      <c r="J2" s="34" t="s">
        <v>93</v>
      </c>
      <c r="K2" s="34" t="s">
        <v>94</v>
      </c>
      <c r="M2" s="1"/>
    </row>
    <row r="3" spans="1:13" ht="15.6" customHeight="1">
      <c r="A3" s="373" t="s">
        <v>95</v>
      </c>
      <c r="B3" s="373" t="s">
        <v>96</v>
      </c>
      <c r="C3" s="373" t="s">
        <v>97</v>
      </c>
      <c r="D3" s="560" t="s">
        <v>98</v>
      </c>
      <c r="E3" s="22" t="s">
        <v>99</v>
      </c>
      <c r="F3" s="374">
        <f t="shared" ref="F3:F50" si="0">G3/$G$51</f>
        <v>5.4998656055419259E-2</v>
      </c>
      <c r="G3" s="185">
        <v>1782.21</v>
      </c>
      <c r="H3" s="203">
        <v>19605.240000000002</v>
      </c>
      <c r="I3" s="186">
        <v>1</v>
      </c>
      <c r="J3" s="22">
        <f>(G3/1000)*K3</f>
        <v>8.9110499999999995</v>
      </c>
      <c r="K3" s="185">
        <v>5</v>
      </c>
    </row>
    <row r="4" spans="1:13" ht="15.6" customHeight="1">
      <c r="A4" s="373" t="s">
        <v>100</v>
      </c>
      <c r="B4" s="373" t="s">
        <v>96</v>
      </c>
      <c r="C4" s="373" t="s">
        <v>101</v>
      </c>
      <c r="D4" s="560" t="s">
        <v>98</v>
      </c>
      <c r="E4" s="22" t="s">
        <v>99</v>
      </c>
      <c r="F4" s="374">
        <f t="shared" si="0"/>
        <v>4.6664965262658599E-2</v>
      </c>
      <c r="G4" s="185">
        <v>1512.16</v>
      </c>
      <c r="H4" s="203">
        <v>13610.11</v>
      </c>
      <c r="I4" s="186">
        <v>1</v>
      </c>
      <c r="J4" s="22">
        <f t="shared" ref="J4:J50" si="1">(G4/1000)*K4</f>
        <v>7.5608000000000004</v>
      </c>
      <c r="K4" s="185">
        <v>5</v>
      </c>
    </row>
    <row r="5" spans="1:13" ht="15.6" customHeight="1">
      <c r="A5" s="373" t="s">
        <v>102</v>
      </c>
      <c r="B5" s="373" t="s">
        <v>96</v>
      </c>
      <c r="C5" s="373" t="s">
        <v>103</v>
      </c>
      <c r="D5" s="560" t="s">
        <v>98</v>
      </c>
      <c r="E5" s="22" t="s">
        <v>99</v>
      </c>
      <c r="F5" s="374">
        <f t="shared" si="0"/>
        <v>4.6664965262658599E-2</v>
      </c>
      <c r="G5" s="185">
        <v>1512.16</v>
      </c>
      <c r="H5" s="224">
        <v>13610.11</v>
      </c>
      <c r="I5" s="186">
        <v>1</v>
      </c>
      <c r="J5" s="22">
        <f t="shared" si="1"/>
        <v>7.5608000000000004</v>
      </c>
      <c r="K5" s="185">
        <v>5</v>
      </c>
    </row>
    <row r="6" spans="1:13" ht="15.6" customHeight="1">
      <c r="A6" s="373" t="s">
        <v>104</v>
      </c>
      <c r="B6" s="373" t="s">
        <v>105</v>
      </c>
      <c r="C6" s="373" t="s">
        <v>97</v>
      </c>
      <c r="D6" s="560" t="s">
        <v>98</v>
      </c>
      <c r="E6" s="22" t="s">
        <v>99</v>
      </c>
      <c r="F6" s="374">
        <f t="shared" si="0"/>
        <v>1.0832717937355204E-2</v>
      </c>
      <c r="G6" s="185">
        <v>351.03</v>
      </c>
      <c r="H6" s="203">
        <v>3861.57</v>
      </c>
      <c r="I6" s="186">
        <v>1</v>
      </c>
      <c r="J6" s="22">
        <f t="shared" si="1"/>
        <v>11.583989999999998</v>
      </c>
      <c r="K6" s="186">
        <v>33</v>
      </c>
    </row>
    <row r="7" spans="1:13" ht="15.6" customHeight="1">
      <c r="A7" s="373" t="s">
        <v>106</v>
      </c>
      <c r="B7" s="373" t="s">
        <v>107</v>
      </c>
      <c r="C7" s="373" t="s">
        <v>97</v>
      </c>
      <c r="D7" s="560" t="s">
        <v>108</v>
      </c>
      <c r="E7" s="22" t="s">
        <v>99</v>
      </c>
      <c r="F7" s="374">
        <f t="shared" si="0"/>
        <v>1.0832717937355204E-2</v>
      </c>
      <c r="G7" s="185">
        <v>351.03</v>
      </c>
      <c r="H7" s="203">
        <v>3861.57</v>
      </c>
      <c r="I7" s="186">
        <v>1</v>
      </c>
      <c r="J7" s="22">
        <f t="shared" si="1"/>
        <v>3.5102999999999995</v>
      </c>
      <c r="K7" s="186">
        <v>10</v>
      </c>
    </row>
    <row r="8" spans="1:13" ht="16.149999999999999" customHeight="1">
      <c r="A8" s="373" t="s">
        <v>109</v>
      </c>
      <c r="B8" s="373" t="s">
        <v>105</v>
      </c>
      <c r="C8" s="373" t="s">
        <v>97</v>
      </c>
      <c r="D8" s="560" t="s">
        <v>98</v>
      </c>
      <c r="E8" s="22" t="s">
        <v>99</v>
      </c>
      <c r="F8" s="374">
        <f t="shared" si="0"/>
        <v>5.4168218657777378E-2</v>
      </c>
      <c r="G8" s="185">
        <v>1755.3</v>
      </c>
      <c r="H8" s="203">
        <v>19309.259999999998</v>
      </c>
      <c r="I8" s="186">
        <v>1</v>
      </c>
      <c r="J8" s="22">
        <f>(G8/1000)*K8</f>
        <v>57.924899999999994</v>
      </c>
      <c r="K8" s="186">
        <v>33</v>
      </c>
    </row>
    <row r="9" spans="1:13" ht="15.6" customHeight="1">
      <c r="A9" s="373" t="s">
        <v>110</v>
      </c>
      <c r="B9" s="373" t="s">
        <v>111</v>
      </c>
      <c r="C9" s="373" t="s">
        <v>97</v>
      </c>
      <c r="D9" s="560" t="s">
        <v>112</v>
      </c>
      <c r="E9" s="22" t="s">
        <v>99</v>
      </c>
      <c r="F9" s="374">
        <f t="shared" si="0"/>
        <v>4.3331488945554338E-2</v>
      </c>
      <c r="G9" s="185">
        <v>1404.14</v>
      </c>
      <c r="H9" s="203">
        <v>15446.26</v>
      </c>
      <c r="I9" s="186">
        <v>1</v>
      </c>
      <c r="J9" s="22">
        <f t="shared" si="1"/>
        <v>7.0207000000000006</v>
      </c>
      <c r="K9" s="186">
        <v>5</v>
      </c>
    </row>
    <row r="10" spans="1:13" ht="15.6" customHeight="1">
      <c r="A10" s="373" t="s">
        <v>113</v>
      </c>
      <c r="B10" s="373" t="s">
        <v>114</v>
      </c>
      <c r="C10" s="373" t="s">
        <v>97</v>
      </c>
      <c r="D10" s="560" t="s">
        <v>98</v>
      </c>
      <c r="E10" s="22" t="s">
        <v>99</v>
      </c>
      <c r="F10" s="374">
        <f t="shared" si="0"/>
        <v>6.6663354380750127E-3</v>
      </c>
      <c r="G10" s="185">
        <v>216.02</v>
      </c>
      <c r="H10" s="203">
        <v>2376.35</v>
      </c>
      <c r="I10" s="186">
        <v>1</v>
      </c>
      <c r="J10" s="429">
        <f t="shared" si="1"/>
        <v>0</v>
      </c>
      <c r="K10" s="186">
        <v>0</v>
      </c>
    </row>
    <row r="11" spans="1:13" ht="15.6" customHeight="1">
      <c r="A11" s="373" t="s">
        <v>115</v>
      </c>
      <c r="B11" s="373" t="s">
        <v>114</v>
      </c>
      <c r="C11" s="373" t="s">
        <v>101</v>
      </c>
      <c r="D11" s="560" t="s">
        <v>98</v>
      </c>
      <c r="E11" s="22" t="s">
        <v>99</v>
      </c>
      <c r="F11" s="374">
        <f t="shared" si="0"/>
        <v>6.6663354380750127E-3</v>
      </c>
      <c r="G11" s="185">
        <v>216.02</v>
      </c>
      <c r="H11" s="203">
        <v>1944.29</v>
      </c>
      <c r="I11" s="186">
        <v>1</v>
      </c>
      <c r="J11" s="429">
        <f t="shared" si="1"/>
        <v>0</v>
      </c>
      <c r="K11" s="186">
        <v>0</v>
      </c>
    </row>
    <row r="12" spans="1:13" ht="15.6" customHeight="1">
      <c r="A12" s="373" t="s">
        <v>116</v>
      </c>
      <c r="B12" s="373" t="s">
        <v>114</v>
      </c>
      <c r="C12" s="373" t="s">
        <v>103</v>
      </c>
      <c r="D12" s="560" t="s">
        <v>98</v>
      </c>
      <c r="E12" s="22" t="s">
        <v>99</v>
      </c>
      <c r="F12" s="374">
        <f t="shared" si="0"/>
        <v>6.6663354380750127E-3</v>
      </c>
      <c r="G12" s="185">
        <v>216.02</v>
      </c>
      <c r="H12" s="224">
        <v>1944.29</v>
      </c>
      <c r="I12" s="186">
        <v>1</v>
      </c>
      <c r="J12" s="429">
        <f t="shared" si="1"/>
        <v>0</v>
      </c>
      <c r="K12" s="186">
        <v>0</v>
      </c>
    </row>
    <row r="13" spans="1:13" ht="15.6" customHeight="1">
      <c r="A13" s="373" t="s">
        <v>117</v>
      </c>
      <c r="B13" s="373" t="s">
        <v>118</v>
      </c>
      <c r="C13" s="373" t="s">
        <v>97</v>
      </c>
      <c r="D13" s="560" t="s">
        <v>108</v>
      </c>
      <c r="E13" s="22" t="s">
        <v>99</v>
      </c>
      <c r="F13" s="374">
        <f t="shared" si="0"/>
        <v>4.1663824992801933E-3</v>
      </c>
      <c r="G13" s="185">
        <v>135.01</v>
      </c>
      <c r="H13" s="203">
        <v>1485.22</v>
      </c>
      <c r="I13" s="186">
        <v>1</v>
      </c>
      <c r="J13" s="429">
        <f t="shared" si="1"/>
        <v>0.27001999999999998</v>
      </c>
      <c r="K13" s="186">
        <v>2</v>
      </c>
    </row>
    <row r="14" spans="1:13" ht="15.6" customHeight="1">
      <c r="A14" s="373" t="s">
        <v>119</v>
      </c>
      <c r="B14" s="373" t="s">
        <v>118</v>
      </c>
      <c r="C14" s="373" t="s">
        <v>101</v>
      </c>
      <c r="D14" s="438" t="s">
        <v>108</v>
      </c>
      <c r="E14" s="22" t="s">
        <v>99</v>
      </c>
      <c r="F14" s="374">
        <f t="shared" si="0"/>
        <v>4.1663824992801933E-3</v>
      </c>
      <c r="G14" s="185">
        <v>135.01</v>
      </c>
      <c r="H14" s="203">
        <v>1215.18</v>
      </c>
      <c r="I14" s="186">
        <v>1</v>
      </c>
      <c r="J14" s="22">
        <f t="shared" si="1"/>
        <v>0.27001999999999998</v>
      </c>
      <c r="K14" s="186">
        <v>2</v>
      </c>
    </row>
    <row r="15" spans="1:13" ht="15.6" customHeight="1">
      <c r="A15" s="373" t="s">
        <v>120</v>
      </c>
      <c r="B15" s="373" t="s">
        <v>118</v>
      </c>
      <c r="C15" s="373" t="s">
        <v>103</v>
      </c>
      <c r="D15" s="438" t="s">
        <v>108</v>
      </c>
      <c r="E15" s="22" t="s">
        <v>99</v>
      </c>
      <c r="F15" s="374">
        <f t="shared" si="0"/>
        <v>4.1663824992801933E-3</v>
      </c>
      <c r="G15" s="185">
        <v>135.01</v>
      </c>
      <c r="H15" s="224">
        <v>1215.18</v>
      </c>
      <c r="I15" s="186">
        <v>1</v>
      </c>
      <c r="J15" s="22">
        <f t="shared" si="1"/>
        <v>0.27001999999999998</v>
      </c>
      <c r="K15" s="186">
        <v>2</v>
      </c>
    </row>
    <row r="16" spans="1:13" ht="15.6" customHeight="1">
      <c r="A16" s="373" t="s">
        <v>121</v>
      </c>
      <c r="B16" s="373" t="s">
        <v>122</v>
      </c>
      <c r="C16" s="373" t="s">
        <v>123</v>
      </c>
      <c r="D16" s="438" t="s">
        <v>124</v>
      </c>
      <c r="E16" s="22" t="s">
        <v>99</v>
      </c>
      <c r="F16" s="374">
        <f t="shared" si="0"/>
        <v>1.0833643731555476E-2</v>
      </c>
      <c r="G16" s="185">
        <v>351.06</v>
      </c>
      <c r="H16" s="203">
        <v>3861.85</v>
      </c>
      <c r="I16" s="186">
        <v>1</v>
      </c>
      <c r="J16" s="22">
        <f t="shared" si="1"/>
        <v>1.05318</v>
      </c>
      <c r="K16" s="186">
        <v>3</v>
      </c>
    </row>
    <row r="17" spans="1:11" ht="15.6" customHeight="1">
      <c r="A17" s="373" t="s">
        <v>125</v>
      </c>
      <c r="B17" s="373" t="s">
        <v>122</v>
      </c>
      <c r="C17" s="373" t="s">
        <v>126</v>
      </c>
      <c r="D17" s="438" t="s">
        <v>124</v>
      </c>
      <c r="E17" s="22" t="s">
        <v>99</v>
      </c>
      <c r="F17" s="374">
        <f t="shared" si="0"/>
        <v>1.0833643731555476E-2</v>
      </c>
      <c r="G17" s="185">
        <v>351.06</v>
      </c>
      <c r="H17" s="203">
        <v>3861.85</v>
      </c>
      <c r="I17" s="186">
        <v>1</v>
      </c>
      <c r="J17" s="22">
        <f t="shared" si="1"/>
        <v>1.05318</v>
      </c>
      <c r="K17" s="186">
        <v>3</v>
      </c>
    </row>
    <row r="18" spans="1:11" ht="15.6" customHeight="1">
      <c r="A18" s="373" t="s">
        <v>127</v>
      </c>
      <c r="B18" s="373" t="s">
        <v>122</v>
      </c>
      <c r="C18" s="373" t="s">
        <v>128</v>
      </c>
      <c r="D18" s="438" t="s">
        <v>124</v>
      </c>
      <c r="E18" s="22" t="s">
        <v>99</v>
      </c>
      <c r="F18" s="374">
        <f t="shared" si="0"/>
        <v>1.0833643731555476E-2</v>
      </c>
      <c r="G18" s="185">
        <v>351.06</v>
      </c>
      <c r="H18" s="203">
        <v>3861.85</v>
      </c>
      <c r="I18" s="186">
        <v>1</v>
      </c>
      <c r="J18" s="22">
        <f t="shared" si="1"/>
        <v>1.05318</v>
      </c>
      <c r="K18" s="186">
        <v>3</v>
      </c>
    </row>
    <row r="19" spans="1:11" ht="15.6" customHeight="1">
      <c r="A19" s="373" t="s">
        <v>129</v>
      </c>
      <c r="B19" s="373" t="s">
        <v>122</v>
      </c>
      <c r="C19" s="373" t="s">
        <v>130</v>
      </c>
      <c r="D19" s="438" t="s">
        <v>124</v>
      </c>
      <c r="E19" s="22" t="s">
        <v>99</v>
      </c>
      <c r="F19" s="374">
        <f t="shared" si="0"/>
        <v>1.0832717937355204E-2</v>
      </c>
      <c r="G19" s="185">
        <v>351.03</v>
      </c>
      <c r="H19" s="203">
        <v>3861.57</v>
      </c>
      <c r="I19" s="186">
        <v>1</v>
      </c>
      <c r="J19" s="22">
        <f t="shared" si="1"/>
        <v>1.0530899999999999</v>
      </c>
      <c r="K19" s="186">
        <v>3</v>
      </c>
    </row>
    <row r="20" spans="1:11" ht="15.6" customHeight="1">
      <c r="A20" s="373" t="s">
        <v>131</v>
      </c>
      <c r="B20" s="373" t="s">
        <v>122</v>
      </c>
      <c r="C20" s="373" t="s">
        <v>132</v>
      </c>
      <c r="D20" s="438" t="s">
        <v>124</v>
      </c>
      <c r="E20" s="22" t="s">
        <v>99</v>
      </c>
      <c r="F20" s="374">
        <f t="shared" si="0"/>
        <v>1.0832717937355204E-2</v>
      </c>
      <c r="G20" s="185">
        <v>351.03</v>
      </c>
      <c r="H20" s="203">
        <v>3861.57</v>
      </c>
      <c r="I20" s="186">
        <v>1</v>
      </c>
      <c r="J20" s="22">
        <f t="shared" si="1"/>
        <v>1.0530899999999999</v>
      </c>
      <c r="K20" s="186">
        <v>3</v>
      </c>
    </row>
    <row r="21" spans="1:11" ht="15.6" customHeight="1">
      <c r="A21" s="373" t="s">
        <v>133</v>
      </c>
      <c r="B21" s="373" t="s">
        <v>122</v>
      </c>
      <c r="C21" s="373" t="s">
        <v>134</v>
      </c>
      <c r="D21" s="438" t="s">
        <v>124</v>
      </c>
      <c r="E21" s="22" t="s">
        <v>99</v>
      </c>
      <c r="F21" s="374">
        <f t="shared" si="0"/>
        <v>1.0833643731555476E-2</v>
      </c>
      <c r="G21" s="185">
        <v>351.06</v>
      </c>
      <c r="H21" s="203">
        <v>3159.7</v>
      </c>
      <c r="I21" s="186">
        <v>1</v>
      </c>
      <c r="J21" s="22">
        <f t="shared" si="1"/>
        <v>1.05318</v>
      </c>
      <c r="K21" s="186">
        <v>3</v>
      </c>
    </row>
    <row r="22" spans="1:11" ht="15.6" customHeight="1">
      <c r="A22" s="373" t="s">
        <v>135</v>
      </c>
      <c r="B22" s="373" t="s">
        <v>122</v>
      </c>
      <c r="C22" s="373" t="s">
        <v>136</v>
      </c>
      <c r="D22" s="438" t="s">
        <v>124</v>
      </c>
      <c r="E22" s="22" t="s">
        <v>99</v>
      </c>
      <c r="F22" s="374">
        <f t="shared" si="0"/>
        <v>4.3334574926221905E-2</v>
      </c>
      <c r="G22" s="185">
        <v>1404.24</v>
      </c>
      <c r="H22" s="203">
        <v>12638.78</v>
      </c>
      <c r="I22" s="186">
        <v>1</v>
      </c>
      <c r="J22" s="22">
        <f t="shared" si="1"/>
        <v>4.21272</v>
      </c>
      <c r="K22" s="186">
        <v>3</v>
      </c>
    </row>
    <row r="23" spans="1:11" ht="15.6" customHeight="1">
      <c r="A23" s="373" t="s">
        <v>137</v>
      </c>
      <c r="B23" s="373" t="s">
        <v>122</v>
      </c>
      <c r="C23" s="373" t="s">
        <v>138</v>
      </c>
      <c r="D23" s="438" t="s">
        <v>124</v>
      </c>
      <c r="E23" s="22" t="s">
        <v>99</v>
      </c>
      <c r="F23" s="374">
        <f t="shared" si="0"/>
        <v>3.5001192731528005E-2</v>
      </c>
      <c r="G23" s="185">
        <v>1134.2</v>
      </c>
      <c r="H23" s="203">
        <v>10208.299999999999</v>
      </c>
      <c r="I23" s="186">
        <v>1</v>
      </c>
      <c r="J23" s="22">
        <f t="shared" si="1"/>
        <v>3.4026000000000005</v>
      </c>
      <c r="K23" s="186">
        <v>3</v>
      </c>
    </row>
    <row r="24" spans="1:11" ht="15.6" customHeight="1">
      <c r="A24" s="373" t="s">
        <v>139</v>
      </c>
      <c r="B24" s="373" t="s">
        <v>122</v>
      </c>
      <c r="C24" s="373" t="s">
        <v>140</v>
      </c>
      <c r="D24" s="438" t="s">
        <v>124</v>
      </c>
      <c r="E24" s="22" t="s">
        <v>99</v>
      </c>
      <c r="F24" s="374">
        <f t="shared" si="0"/>
        <v>4.3334574926221905E-2</v>
      </c>
      <c r="G24" s="185">
        <v>1404.24</v>
      </c>
      <c r="H24" s="203">
        <v>12638.78</v>
      </c>
      <c r="I24" s="186">
        <v>1</v>
      </c>
      <c r="J24" s="22">
        <f t="shared" si="1"/>
        <v>4.21272</v>
      </c>
      <c r="K24" s="186">
        <v>3</v>
      </c>
    </row>
    <row r="25" spans="1:11" ht="15.6" customHeight="1">
      <c r="A25" s="373" t="s">
        <v>141</v>
      </c>
      <c r="B25" s="373" t="s">
        <v>122</v>
      </c>
      <c r="C25" s="373" t="s">
        <v>142</v>
      </c>
      <c r="D25" s="438" t="s">
        <v>124</v>
      </c>
      <c r="E25" s="22" t="s">
        <v>99</v>
      </c>
      <c r="F25" s="374">
        <f t="shared" si="0"/>
        <v>1.0833643731555476E-2</v>
      </c>
      <c r="G25" s="185">
        <v>351.06</v>
      </c>
      <c r="H25" s="203">
        <v>3159.7</v>
      </c>
      <c r="I25" s="186">
        <v>1</v>
      </c>
      <c r="J25" s="22">
        <f t="shared" si="1"/>
        <v>1.05318</v>
      </c>
      <c r="K25" s="186">
        <v>3</v>
      </c>
    </row>
    <row r="26" spans="1:11" ht="15.6" customHeight="1">
      <c r="A26" s="373" t="s">
        <v>143</v>
      </c>
      <c r="B26" s="373" t="s">
        <v>122</v>
      </c>
      <c r="C26" s="373" t="s">
        <v>144</v>
      </c>
      <c r="D26" s="438" t="s">
        <v>124</v>
      </c>
      <c r="E26" s="22" t="s">
        <v>99</v>
      </c>
      <c r="F26" s="374">
        <f t="shared" si="0"/>
        <v>1.0832717937355204E-2</v>
      </c>
      <c r="G26" s="185">
        <v>351.03</v>
      </c>
      <c r="H26" s="203">
        <v>3159.46</v>
      </c>
      <c r="I26" s="186">
        <v>1</v>
      </c>
      <c r="J26" s="22">
        <f t="shared" si="1"/>
        <v>1.0530899999999999</v>
      </c>
      <c r="K26" s="186">
        <v>3</v>
      </c>
    </row>
    <row r="27" spans="1:11" ht="15.6" customHeight="1">
      <c r="A27" s="373" t="s">
        <v>145</v>
      </c>
      <c r="B27" s="373" t="s">
        <v>122</v>
      </c>
      <c r="C27" s="373" t="s">
        <v>146</v>
      </c>
      <c r="D27" s="438" t="s">
        <v>124</v>
      </c>
      <c r="E27" s="22" t="s">
        <v>99</v>
      </c>
      <c r="F27" s="374">
        <f t="shared" si="0"/>
        <v>4.3331488945554338E-2</v>
      </c>
      <c r="G27" s="185">
        <v>1404.14</v>
      </c>
      <c r="H27" s="203">
        <v>12637.85</v>
      </c>
      <c r="I27" s="186">
        <v>1</v>
      </c>
      <c r="J27" s="22">
        <f t="shared" si="1"/>
        <v>4.2124200000000007</v>
      </c>
      <c r="K27" s="186">
        <v>3</v>
      </c>
    </row>
    <row r="28" spans="1:11" ht="15.6" customHeight="1">
      <c r="A28" s="373" t="s">
        <v>147</v>
      </c>
      <c r="B28" s="373" t="s">
        <v>122</v>
      </c>
      <c r="C28" s="373" t="s">
        <v>148</v>
      </c>
      <c r="D28" s="438" t="s">
        <v>124</v>
      </c>
      <c r="E28" s="22" t="s">
        <v>99</v>
      </c>
      <c r="F28" s="374">
        <f t="shared" si="0"/>
        <v>1.0833026535421963E-2</v>
      </c>
      <c r="G28" s="185">
        <v>351.04</v>
      </c>
      <c r="H28" s="203">
        <v>3159.51</v>
      </c>
      <c r="I28" s="186">
        <v>1</v>
      </c>
      <c r="J28" s="22">
        <f t="shared" si="1"/>
        <v>1.0531200000000001</v>
      </c>
      <c r="K28" s="186">
        <v>3</v>
      </c>
    </row>
    <row r="29" spans="1:11" ht="15.6" customHeight="1">
      <c r="A29" s="373" t="s">
        <v>149</v>
      </c>
      <c r="B29" s="373" t="s">
        <v>122</v>
      </c>
      <c r="C29" s="373" t="s">
        <v>150</v>
      </c>
      <c r="D29" s="438" t="s">
        <v>124</v>
      </c>
      <c r="E29" s="22" t="s">
        <v>99</v>
      </c>
      <c r="F29" s="374">
        <f t="shared" si="0"/>
        <v>4.3331488945554338E-2</v>
      </c>
      <c r="G29" s="185">
        <v>1404.14</v>
      </c>
      <c r="H29" s="203">
        <v>12637.85</v>
      </c>
      <c r="I29" s="186">
        <v>1</v>
      </c>
      <c r="J29" s="22">
        <f t="shared" si="1"/>
        <v>4.2124200000000007</v>
      </c>
      <c r="K29" s="186">
        <v>3</v>
      </c>
    </row>
    <row r="30" spans="1:11" ht="15.6" customHeight="1">
      <c r="A30" s="373" t="s">
        <v>151</v>
      </c>
      <c r="B30" s="373" t="s">
        <v>122</v>
      </c>
      <c r="C30" s="373" t="s">
        <v>152</v>
      </c>
      <c r="D30" s="438" t="s">
        <v>124</v>
      </c>
      <c r="E30" s="22" t="s">
        <v>99</v>
      </c>
      <c r="F30" s="374">
        <f t="shared" si="0"/>
        <v>1.0832717937355204E-2</v>
      </c>
      <c r="G30" s="185">
        <v>351.03</v>
      </c>
      <c r="H30" s="203">
        <v>3159.46</v>
      </c>
      <c r="I30" s="186">
        <v>1</v>
      </c>
      <c r="J30" s="22">
        <f t="shared" si="1"/>
        <v>1.0530899999999999</v>
      </c>
      <c r="K30" s="186">
        <v>3</v>
      </c>
    </row>
    <row r="31" spans="1:11" ht="15.6" customHeight="1">
      <c r="A31" s="373" t="s">
        <v>153</v>
      </c>
      <c r="B31" s="373" t="s">
        <v>122</v>
      </c>
      <c r="C31" s="373" t="s">
        <v>154</v>
      </c>
      <c r="D31" s="438" t="s">
        <v>124</v>
      </c>
      <c r="E31" s="22" t="s">
        <v>99</v>
      </c>
      <c r="F31" s="374">
        <f t="shared" si="0"/>
        <v>1.0833643731555476E-2</v>
      </c>
      <c r="G31" s="185">
        <v>351.06</v>
      </c>
      <c r="H31" s="203">
        <v>3159.7</v>
      </c>
      <c r="I31" s="186">
        <v>1</v>
      </c>
      <c r="J31" s="22">
        <f t="shared" si="1"/>
        <v>1.05318</v>
      </c>
      <c r="K31" s="186">
        <v>3</v>
      </c>
    </row>
    <row r="32" spans="1:11" ht="15.6" customHeight="1">
      <c r="A32" s="373" t="s">
        <v>155</v>
      </c>
      <c r="B32" s="373" t="s">
        <v>122</v>
      </c>
      <c r="C32" s="373" t="s">
        <v>156</v>
      </c>
      <c r="D32" s="438" t="s">
        <v>124</v>
      </c>
      <c r="E32" s="22" t="s">
        <v>99</v>
      </c>
      <c r="F32" s="374">
        <f t="shared" si="0"/>
        <v>4.3334574926221905E-2</v>
      </c>
      <c r="G32" s="185">
        <v>1404.24</v>
      </c>
      <c r="H32" s="203">
        <v>12638.78</v>
      </c>
      <c r="I32" s="186">
        <v>1</v>
      </c>
      <c r="J32" s="22">
        <f t="shared" si="1"/>
        <v>4.21272</v>
      </c>
      <c r="K32" s="186">
        <v>3</v>
      </c>
    </row>
    <row r="33" spans="1:11" ht="15.6" customHeight="1">
      <c r="A33" s="373" t="s">
        <v>157</v>
      </c>
      <c r="B33" s="373" t="s">
        <v>122</v>
      </c>
      <c r="C33" s="373" t="s">
        <v>158</v>
      </c>
      <c r="D33" s="438" t="s">
        <v>124</v>
      </c>
      <c r="E33" s="22" t="s">
        <v>99</v>
      </c>
      <c r="F33" s="374">
        <f t="shared" si="0"/>
        <v>3.5001192731528005E-2</v>
      </c>
      <c r="G33" s="185">
        <v>1134.2</v>
      </c>
      <c r="H33" s="203">
        <v>10208.299999999999</v>
      </c>
      <c r="I33" s="186">
        <v>1</v>
      </c>
      <c r="J33" s="22">
        <f t="shared" si="1"/>
        <v>3.4026000000000005</v>
      </c>
      <c r="K33" s="186">
        <v>3</v>
      </c>
    </row>
    <row r="34" spans="1:11" ht="15.6" customHeight="1">
      <c r="A34" s="373" t="s">
        <v>159</v>
      </c>
      <c r="B34" s="373" t="s">
        <v>122</v>
      </c>
      <c r="C34" s="373" t="s">
        <v>160</v>
      </c>
      <c r="D34" s="438" t="s">
        <v>124</v>
      </c>
      <c r="E34" s="22" t="s">
        <v>99</v>
      </c>
      <c r="F34" s="374">
        <f t="shared" si="0"/>
        <v>4.3334574926221905E-2</v>
      </c>
      <c r="G34" s="185">
        <v>1404.24</v>
      </c>
      <c r="H34" s="203">
        <v>12638.78</v>
      </c>
      <c r="I34" s="186">
        <v>1</v>
      </c>
      <c r="J34" s="22">
        <f t="shared" si="1"/>
        <v>4.21272</v>
      </c>
      <c r="K34" s="186">
        <v>3</v>
      </c>
    </row>
    <row r="35" spans="1:11" ht="15.6" customHeight="1">
      <c r="A35" s="373" t="s">
        <v>161</v>
      </c>
      <c r="B35" s="373" t="s">
        <v>122</v>
      </c>
      <c r="C35" s="373" t="s">
        <v>162</v>
      </c>
      <c r="D35" s="438" t="s">
        <v>124</v>
      </c>
      <c r="E35" s="22" t="s">
        <v>99</v>
      </c>
      <c r="F35" s="374">
        <f t="shared" si="0"/>
        <v>1.0833643731555476E-2</v>
      </c>
      <c r="G35" s="185">
        <v>351.06</v>
      </c>
      <c r="H35" s="203">
        <v>3159.7</v>
      </c>
      <c r="I35" s="186">
        <v>1</v>
      </c>
      <c r="J35" s="22">
        <f t="shared" si="1"/>
        <v>1.05318</v>
      </c>
      <c r="K35" s="186">
        <v>3</v>
      </c>
    </row>
    <row r="36" spans="1:11" ht="15.6" customHeight="1">
      <c r="A36" s="373" t="s">
        <v>163</v>
      </c>
      <c r="B36" s="373" t="s">
        <v>122</v>
      </c>
      <c r="C36" s="373" t="s">
        <v>164</v>
      </c>
      <c r="D36" s="438" t="s">
        <v>124</v>
      </c>
      <c r="E36" s="22" t="s">
        <v>99</v>
      </c>
      <c r="F36" s="374">
        <f t="shared" si="0"/>
        <v>1.0832717937355204E-2</v>
      </c>
      <c r="G36" s="185">
        <v>351.03</v>
      </c>
      <c r="H36" s="203">
        <v>3159.46</v>
      </c>
      <c r="I36" s="186">
        <v>1</v>
      </c>
      <c r="J36" s="22">
        <f t="shared" si="1"/>
        <v>1.0530899999999999</v>
      </c>
      <c r="K36" s="186">
        <v>3</v>
      </c>
    </row>
    <row r="37" spans="1:11" ht="15.6" customHeight="1">
      <c r="A37" s="373" t="s">
        <v>165</v>
      </c>
      <c r="B37" s="373" t="s">
        <v>122</v>
      </c>
      <c r="C37" s="373" t="s">
        <v>166</v>
      </c>
      <c r="D37" s="438" t="s">
        <v>124</v>
      </c>
      <c r="E37" s="22" t="s">
        <v>99</v>
      </c>
      <c r="F37" s="374">
        <f t="shared" si="0"/>
        <v>4.3331488945554338E-2</v>
      </c>
      <c r="G37" s="185">
        <v>1404.14</v>
      </c>
      <c r="H37" s="203">
        <v>12637.85</v>
      </c>
      <c r="I37" s="186">
        <v>1</v>
      </c>
      <c r="J37" s="22">
        <f t="shared" si="1"/>
        <v>4.2124200000000007</v>
      </c>
      <c r="K37" s="186">
        <v>3</v>
      </c>
    </row>
    <row r="38" spans="1:11" ht="15.6" customHeight="1">
      <c r="A38" s="373" t="s">
        <v>167</v>
      </c>
      <c r="B38" s="373" t="s">
        <v>122</v>
      </c>
      <c r="C38" s="373" t="s">
        <v>168</v>
      </c>
      <c r="D38" s="438" t="s">
        <v>124</v>
      </c>
      <c r="E38" s="22" t="s">
        <v>99</v>
      </c>
      <c r="F38" s="374">
        <f t="shared" si="0"/>
        <v>1.0833026535421963E-2</v>
      </c>
      <c r="G38" s="185">
        <v>351.04</v>
      </c>
      <c r="H38" s="203">
        <v>3159.51</v>
      </c>
      <c r="I38" s="186">
        <v>1</v>
      </c>
      <c r="J38" s="22">
        <f t="shared" si="1"/>
        <v>1.0531200000000001</v>
      </c>
      <c r="K38" s="186">
        <v>3</v>
      </c>
    </row>
    <row r="39" spans="1:11" ht="15.6" customHeight="1">
      <c r="A39" s="373" t="s">
        <v>169</v>
      </c>
      <c r="B39" s="373" t="s">
        <v>122</v>
      </c>
      <c r="C39" s="373" t="s">
        <v>170</v>
      </c>
      <c r="D39" s="438" t="s">
        <v>124</v>
      </c>
      <c r="E39" s="22" t="s">
        <v>99</v>
      </c>
      <c r="F39" s="374">
        <f t="shared" si="0"/>
        <v>4.3331488945554338E-2</v>
      </c>
      <c r="G39" s="185">
        <v>1404.14</v>
      </c>
      <c r="H39" s="203">
        <v>12637.85</v>
      </c>
      <c r="I39" s="186">
        <v>1</v>
      </c>
      <c r="J39" s="22">
        <f t="shared" si="1"/>
        <v>4.2124200000000007</v>
      </c>
      <c r="K39" s="186">
        <v>3</v>
      </c>
    </row>
    <row r="40" spans="1:11" ht="15.6" customHeight="1">
      <c r="A40" s="373" t="s">
        <v>171</v>
      </c>
      <c r="B40" s="373" t="s">
        <v>122</v>
      </c>
      <c r="C40" s="373" t="s">
        <v>172</v>
      </c>
      <c r="D40" s="438" t="s">
        <v>124</v>
      </c>
      <c r="E40" s="22" t="s">
        <v>99</v>
      </c>
      <c r="F40" s="374">
        <f t="shared" si="0"/>
        <v>1.0832717937355204E-2</v>
      </c>
      <c r="G40" s="185">
        <v>351.03</v>
      </c>
      <c r="H40" s="203">
        <v>3159.46</v>
      </c>
      <c r="I40" s="186">
        <v>1</v>
      </c>
      <c r="J40" s="22">
        <f t="shared" si="1"/>
        <v>1.0530899999999999</v>
      </c>
      <c r="K40" s="186">
        <v>3</v>
      </c>
    </row>
    <row r="41" spans="1:11" ht="15.6" customHeight="1">
      <c r="A41" s="373" t="s">
        <v>173</v>
      </c>
      <c r="B41" s="373" t="s">
        <v>174</v>
      </c>
      <c r="C41" s="373" t="s">
        <v>97</v>
      </c>
      <c r="D41" s="438" t="s">
        <v>108</v>
      </c>
      <c r="E41" s="22" t="s">
        <v>99</v>
      </c>
      <c r="F41" s="374">
        <f t="shared" si="0"/>
        <v>3.2498771008199125E-2</v>
      </c>
      <c r="G41" s="185">
        <v>1053.1099999999999</v>
      </c>
      <c r="H41" s="203">
        <v>11584.76</v>
      </c>
      <c r="I41" s="186">
        <v>1</v>
      </c>
      <c r="J41" s="22">
        <f t="shared" si="1"/>
        <v>5.2655500000000002</v>
      </c>
      <c r="K41" s="186">
        <v>5</v>
      </c>
    </row>
    <row r="42" spans="1:11" ht="15.6" customHeight="1">
      <c r="A42" s="373" t="s">
        <v>175</v>
      </c>
      <c r="B42" s="373" t="s">
        <v>176</v>
      </c>
      <c r="C42" s="373" t="s">
        <v>97</v>
      </c>
      <c r="D42" s="438" t="s">
        <v>108</v>
      </c>
      <c r="E42" s="22" t="s">
        <v>99</v>
      </c>
      <c r="F42" s="374">
        <f t="shared" si="0"/>
        <v>1.0833643731555476E-2</v>
      </c>
      <c r="G42" s="185">
        <v>351.06</v>
      </c>
      <c r="H42" s="203">
        <v>3861.85</v>
      </c>
      <c r="I42" s="186">
        <v>1</v>
      </c>
      <c r="J42" s="22">
        <f t="shared" si="1"/>
        <v>0</v>
      </c>
      <c r="K42" s="186">
        <v>0</v>
      </c>
    </row>
    <row r="43" spans="1:11" ht="15.6" customHeight="1">
      <c r="A43" s="373" t="s">
        <v>177</v>
      </c>
      <c r="B43" s="373" t="s">
        <v>178</v>
      </c>
      <c r="C43" s="373" t="s">
        <v>97</v>
      </c>
      <c r="D43" s="438" t="s">
        <v>108</v>
      </c>
      <c r="E43" s="22" t="s">
        <v>99</v>
      </c>
      <c r="F43" s="374">
        <f t="shared" si="0"/>
        <v>2.6667501938767345E-2</v>
      </c>
      <c r="G43" s="185">
        <v>864.15</v>
      </c>
      <c r="H43" s="203">
        <v>9506.15</v>
      </c>
      <c r="I43" s="186">
        <v>1</v>
      </c>
      <c r="J43" s="22">
        <f t="shared" si="1"/>
        <v>28.516949999999998</v>
      </c>
      <c r="K43" s="186">
        <v>33</v>
      </c>
    </row>
    <row r="44" spans="1:11" ht="15.6" customHeight="1">
      <c r="A44" s="373" t="s">
        <v>179</v>
      </c>
      <c r="B44" s="373" t="s">
        <v>114</v>
      </c>
      <c r="C44" s="373" t="s">
        <v>97</v>
      </c>
      <c r="D44" s="560" t="s">
        <v>98</v>
      </c>
      <c r="E44" s="561" t="s">
        <v>99</v>
      </c>
      <c r="F44" s="375">
        <f t="shared" si="0"/>
        <v>6.6681870264755517E-3</v>
      </c>
      <c r="G44" s="562">
        <v>216.08</v>
      </c>
      <c r="H44" s="224">
        <v>2376.94</v>
      </c>
      <c r="I44" s="563">
        <v>1</v>
      </c>
      <c r="J44" s="564">
        <f t="shared" si="1"/>
        <v>1.0804</v>
      </c>
      <c r="K44" s="563">
        <v>5</v>
      </c>
    </row>
    <row r="45" spans="1:11" ht="15.6" customHeight="1">
      <c r="A45" s="373" t="s">
        <v>180</v>
      </c>
      <c r="B45" s="373" t="s">
        <v>114</v>
      </c>
      <c r="C45" s="373" t="s">
        <v>101</v>
      </c>
      <c r="D45" s="560" t="s">
        <v>98</v>
      </c>
      <c r="E45" s="561" t="s">
        <v>99</v>
      </c>
      <c r="F45" s="375">
        <f t="shared" si="0"/>
        <v>6.6681870264755517E-3</v>
      </c>
      <c r="G45" s="562">
        <v>216.08</v>
      </c>
      <c r="H45" s="224">
        <v>1944.77</v>
      </c>
      <c r="I45" s="563">
        <v>1</v>
      </c>
      <c r="J45" s="564">
        <f t="shared" si="1"/>
        <v>1.0804</v>
      </c>
      <c r="K45" s="563">
        <v>5</v>
      </c>
    </row>
    <row r="46" spans="1:11" ht="15.6" customHeight="1">
      <c r="A46" s="373" t="s">
        <v>181</v>
      </c>
      <c r="B46" s="373" t="s">
        <v>114</v>
      </c>
      <c r="C46" s="373" t="s">
        <v>103</v>
      </c>
      <c r="D46" s="560" t="s">
        <v>98</v>
      </c>
      <c r="E46" s="561" t="s">
        <v>99</v>
      </c>
      <c r="F46" s="375">
        <f t="shared" si="0"/>
        <v>6.6681870264755517E-3</v>
      </c>
      <c r="G46" s="562">
        <v>216.08</v>
      </c>
      <c r="H46" s="224">
        <v>1944.77</v>
      </c>
      <c r="I46" s="563">
        <v>1</v>
      </c>
      <c r="J46" s="564">
        <f t="shared" si="1"/>
        <v>1.0804</v>
      </c>
      <c r="K46" s="563">
        <v>5</v>
      </c>
    </row>
    <row r="47" spans="1:11" ht="15.6" customHeight="1">
      <c r="A47" s="373" t="s">
        <v>182</v>
      </c>
      <c r="B47" s="373" t="s">
        <v>118</v>
      </c>
      <c r="C47" s="373" t="s">
        <v>97</v>
      </c>
      <c r="D47" s="560" t="s">
        <v>108</v>
      </c>
      <c r="E47" s="561" t="s">
        <v>99</v>
      </c>
      <c r="F47" s="375">
        <f t="shared" si="0"/>
        <v>6.6684956245423085E-3</v>
      </c>
      <c r="G47" s="562">
        <v>216.09</v>
      </c>
      <c r="H47" s="224">
        <v>2377.12</v>
      </c>
      <c r="I47" s="563">
        <v>1</v>
      </c>
      <c r="J47" s="561">
        <f t="shared" si="1"/>
        <v>0.43218000000000001</v>
      </c>
      <c r="K47" s="563">
        <v>2</v>
      </c>
    </row>
    <row r="48" spans="1:11" ht="15.6" customHeight="1">
      <c r="A48" s="373" t="s">
        <v>183</v>
      </c>
      <c r="B48" s="373" t="s">
        <v>118</v>
      </c>
      <c r="C48" s="373" t="s">
        <v>101</v>
      </c>
      <c r="D48" s="560" t="s">
        <v>108</v>
      </c>
      <c r="E48" s="561" t="s">
        <v>99</v>
      </c>
      <c r="F48" s="375">
        <f t="shared" si="0"/>
        <v>6.6684956245423085E-3</v>
      </c>
      <c r="G48" s="562">
        <v>216.09</v>
      </c>
      <c r="H48" s="224">
        <v>1944.91</v>
      </c>
      <c r="I48" s="563">
        <v>1</v>
      </c>
      <c r="J48" s="561">
        <f t="shared" si="1"/>
        <v>0.43218000000000001</v>
      </c>
      <c r="K48" s="563">
        <v>2</v>
      </c>
    </row>
    <row r="49" spans="1:11" ht="15.6" customHeight="1">
      <c r="A49" s="373" t="s">
        <v>184</v>
      </c>
      <c r="B49" s="373" t="s">
        <v>118</v>
      </c>
      <c r="C49" s="373" t="s">
        <v>103</v>
      </c>
      <c r="D49" s="560" t="s">
        <v>108</v>
      </c>
      <c r="E49" s="561" t="s">
        <v>99</v>
      </c>
      <c r="F49" s="375">
        <f t="shared" si="0"/>
        <v>6.6684956245423085E-3</v>
      </c>
      <c r="G49" s="562">
        <v>216.09</v>
      </c>
      <c r="H49" s="224">
        <v>1944.91</v>
      </c>
      <c r="I49" s="563">
        <v>1</v>
      </c>
      <c r="J49" s="561">
        <f t="shared" si="1"/>
        <v>0.43218000000000001</v>
      </c>
      <c r="K49" s="563">
        <v>2</v>
      </c>
    </row>
    <row r="50" spans="1:11" ht="15.6" customHeight="1">
      <c r="A50" s="373" t="s">
        <v>185</v>
      </c>
      <c r="B50" s="373" t="s">
        <v>186</v>
      </c>
      <c r="C50" s="373" t="s">
        <v>97</v>
      </c>
      <c r="D50" s="560" t="s">
        <v>98</v>
      </c>
      <c r="E50" s="561" t="s">
        <v>99</v>
      </c>
      <c r="F50" s="375">
        <f t="shared" si="0"/>
        <v>1.0833643731555476E-2</v>
      </c>
      <c r="G50" s="562">
        <v>351.06</v>
      </c>
      <c r="H50" s="224">
        <v>3861.85</v>
      </c>
      <c r="I50" s="563">
        <v>1</v>
      </c>
      <c r="J50" s="561">
        <f t="shared" si="1"/>
        <v>1.7552999999999999</v>
      </c>
      <c r="K50" s="563">
        <v>5</v>
      </c>
    </row>
    <row r="51" spans="1:11" ht="30.6" customHeight="1">
      <c r="A51" s="152" t="s">
        <v>187</v>
      </c>
      <c r="B51" s="152" t="s">
        <v>188</v>
      </c>
      <c r="C51" s="152" t="s">
        <v>189</v>
      </c>
      <c r="D51" s="152" t="s">
        <v>190</v>
      </c>
      <c r="E51" s="24" t="s">
        <v>191</v>
      </c>
      <c r="F51" s="565">
        <f>SUM(F3:F50)</f>
        <v>0.99999999999999978</v>
      </c>
      <c r="G51" s="24">
        <f>SUM(G3:G50)</f>
        <v>32404.610000000011</v>
      </c>
      <c r="H51" s="561"/>
      <c r="I51" s="561"/>
      <c r="J51" s="561">
        <f>SUM(J3:J50)</f>
        <v>201.26093999999998</v>
      </c>
      <c r="K51" s="566">
        <v>0</v>
      </c>
    </row>
    <row r="52" spans="1:11">
      <c r="G52" s="27"/>
      <c r="H52" s="27"/>
      <c r="I52" s="27"/>
      <c r="J52" s="27"/>
      <c r="K52" s="540"/>
    </row>
    <row r="53" spans="1:11">
      <c r="B53" s="6" t="s">
        <v>192</v>
      </c>
      <c r="C53" s="6"/>
      <c r="D53" s="6"/>
      <c r="E53" s="6"/>
      <c r="F53" s="6"/>
      <c r="G53" s="28"/>
      <c r="I53" s="27"/>
      <c r="J53" s="27"/>
      <c r="K53" s="27"/>
    </row>
    <row r="54" spans="1:11" ht="14.65" customHeight="1">
      <c r="B54" s="11"/>
      <c r="C54" s="11"/>
      <c r="D54" s="11"/>
      <c r="E54" s="11"/>
      <c r="G54" s="27"/>
      <c r="H54" s="27"/>
      <c r="I54" s="27"/>
      <c r="J54" s="27"/>
      <c r="K54" s="27"/>
    </row>
    <row r="55" spans="1:11">
      <c r="B55" s="29"/>
      <c r="C55" s="29"/>
      <c r="D55" s="29"/>
      <c r="E55" s="29"/>
      <c r="G55" s="27"/>
      <c r="H55" s="401"/>
      <c r="I55" s="27"/>
      <c r="J55" s="27"/>
      <c r="K55" s="27"/>
    </row>
    <row r="56" spans="1:11">
      <c r="B56" s="27"/>
      <c r="C56" s="27"/>
      <c r="D56" s="27"/>
      <c r="E56" s="27"/>
      <c r="G56" s="27"/>
      <c r="H56" s="27"/>
      <c r="I56" s="27"/>
      <c r="J56" s="27"/>
      <c r="K56" s="27"/>
    </row>
    <row r="57" spans="1:11">
      <c r="B57" s="27"/>
      <c r="C57" s="27"/>
      <c r="D57" s="27"/>
      <c r="E57" s="27"/>
      <c r="G57" s="402"/>
      <c r="H57" s="27"/>
      <c r="I57" s="27"/>
      <c r="J57" s="27"/>
      <c r="K57" s="27"/>
    </row>
    <row r="58" spans="1:11">
      <c r="G58" s="27"/>
      <c r="H58" s="27"/>
      <c r="I58" s="27"/>
      <c r="J58" s="27"/>
      <c r="K58" s="27"/>
    </row>
    <row r="59" spans="1:11">
      <c r="G59" s="27"/>
      <c r="H59" s="27"/>
      <c r="I59" s="27"/>
      <c r="J59" s="27"/>
      <c r="K59" s="27"/>
    </row>
    <row r="60" spans="1:11">
      <c r="G60" s="27"/>
      <c r="H60" s="27"/>
      <c r="I60" s="27"/>
      <c r="J60" s="27"/>
      <c r="K60" s="27"/>
    </row>
    <row r="61" spans="1:11">
      <c r="G61" s="27"/>
      <c r="H61" s="27"/>
      <c r="I61" s="27"/>
      <c r="J61" s="27"/>
      <c r="K61" s="27"/>
    </row>
    <row r="62" spans="1:11">
      <c r="G62" s="27"/>
      <c r="H62" s="27"/>
      <c r="I62" s="27"/>
      <c r="J62" s="27"/>
      <c r="K62" s="27"/>
    </row>
    <row r="63" spans="1:11" s="30" customFormat="1" hidden="1">
      <c r="A63" s="30" t="s">
        <v>193</v>
      </c>
      <c r="G63" s="31"/>
      <c r="H63" s="33"/>
    </row>
    <row r="64" spans="1:11">
      <c r="B64" s="26"/>
      <c r="C64" s="26"/>
      <c r="D64" s="26"/>
      <c r="E64" s="26"/>
      <c r="F64" s="26"/>
    </row>
    <row r="70" spans="2:13">
      <c r="B70" s="582"/>
      <c r="C70" s="582"/>
      <c r="D70" s="582"/>
      <c r="E70" s="582"/>
      <c r="F70" s="582"/>
      <c r="G70" s="236"/>
      <c r="K70" s="582"/>
      <c r="L70" s="582"/>
      <c r="M70" s="582"/>
    </row>
    <row r="71" spans="2:13">
      <c r="B71" s="527"/>
      <c r="C71" s="527"/>
      <c r="D71" s="527"/>
      <c r="E71" s="527"/>
      <c r="F71" s="7"/>
      <c r="G71" s="527"/>
      <c r="K71" s="189"/>
    </row>
    <row r="72" spans="2:13">
      <c r="B72" s="581"/>
      <c r="C72" s="527"/>
      <c r="D72" s="527"/>
      <c r="E72" s="527"/>
      <c r="F72" s="7"/>
      <c r="G72" s="190"/>
    </row>
    <row r="73" spans="2:13">
      <c r="B73" s="581"/>
      <c r="C73" s="527"/>
      <c r="D73" s="527"/>
      <c r="E73" s="527"/>
      <c r="F73" s="527"/>
      <c r="G73" s="190"/>
    </row>
    <row r="74" spans="2:13">
      <c r="B74" s="581"/>
      <c r="C74" s="527"/>
      <c r="D74" s="527"/>
      <c r="E74" s="527"/>
      <c r="F74" s="527"/>
      <c r="G74" s="190"/>
    </row>
    <row r="75" spans="2:13">
      <c r="B75" s="581"/>
      <c r="C75" s="527"/>
      <c r="D75" s="527"/>
      <c r="E75" s="527"/>
      <c r="F75" s="7"/>
      <c r="G75" s="190"/>
    </row>
    <row r="76" spans="2:13">
      <c r="B76" s="581"/>
      <c r="C76" s="527"/>
      <c r="D76" s="527"/>
      <c r="E76" s="527"/>
      <c r="F76" s="527"/>
      <c r="G76" s="190"/>
    </row>
    <row r="77" spans="2:13">
      <c r="B77" s="581"/>
      <c r="C77" s="527"/>
      <c r="D77" s="527"/>
      <c r="E77" s="527"/>
      <c r="F77" s="527"/>
      <c r="G77" s="190"/>
    </row>
    <row r="78" spans="2:13">
      <c r="B78" s="580"/>
      <c r="C78" s="526"/>
      <c r="D78" s="526"/>
      <c r="E78" s="526"/>
      <c r="F78" s="191"/>
      <c r="G78" s="192"/>
    </row>
    <row r="79" spans="2:13">
      <c r="B79" s="580"/>
      <c r="C79" s="526"/>
      <c r="D79" s="526"/>
      <c r="E79" s="526"/>
      <c r="F79" s="526"/>
      <c r="G79" s="192"/>
    </row>
    <row r="80" spans="2:13">
      <c r="B80" s="580"/>
      <c r="C80" s="526"/>
      <c r="D80" s="526"/>
      <c r="E80" s="526"/>
      <c r="F80" s="526"/>
      <c r="G80" s="192"/>
    </row>
    <row r="81" spans="2:7">
      <c r="B81" s="580"/>
      <c r="C81" s="526"/>
      <c r="D81" s="526"/>
      <c r="E81" s="526"/>
      <c r="F81" s="191"/>
      <c r="G81" s="192"/>
    </row>
    <row r="82" spans="2:7">
      <c r="B82" s="580"/>
      <c r="C82" s="526"/>
      <c r="D82" s="526"/>
      <c r="E82" s="526"/>
      <c r="F82" s="526"/>
      <c r="G82" s="192"/>
    </row>
    <row r="83" spans="2:7">
      <c r="B83" s="580"/>
      <c r="C83" s="526"/>
      <c r="D83" s="526"/>
      <c r="E83" s="526"/>
      <c r="F83" s="526"/>
      <c r="G83" s="192"/>
    </row>
  </sheetData>
  <autoFilter ref="B2:M51" xr:uid="{2E9DC9C1-ABE9-4C74-8C0A-F769CBEC5074}"/>
  <mergeCells count="5">
    <mergeCell ref="A1:K1"/>
    <mergeCell ref="B78:B83"/>
    <mergeCell ref="B72:B77"/>
    <mergeCell ref="B70:F70"/>
    <mergeCell ref="K70:M70"/>
  </mergeCells>
  <phoneticPr fontId="8" type="noConversion"/>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FE1BF1D-760B-41CF-BF68-E9CCA8A91162}">
          <x14:formula1>
            <xm:f>Data!$A$2:$A$200</xm:f>
          </x14:formula1>
          <xm:sqref>B3:B50</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N104"/>
  <sheetViews>
    <sheetView zoomScale="90" zoomScaleNormal="90" workbookViewId="0">
      <selection sqref="A1:F1"/>
    </sheetView>
  </sheetViews>
  <sheetFormatPr defaultColWidth="8.7109375" defaultRowHeight="13.15"/>
  <cols>
    <col min="1" max="1" width="20.28515625" style="5" customWidth="1"/>
    <col min="2" max="2" width="28.28515625" style="5" customWidth="1"/>
    <col min="3" max="3" width="29.140625" style="5" customWidth="1"/>
    <col min="4" max="4" width="31" style="5" customWidth="1"/>
    <col min="5" max="5" width="27.5703125" style="5" customWidth="1"/>
    <col min="6" max="6" width="32.7109375" style="5" customWidth="1"/>
    <col min="7" max="7" width="25.7109375" style="5" customWidth="1"/>
    <col min="8" max="8" width="36.140625" style="5" customWidth="1"/>
    <col min="9" max="11" width="12.7109375" style="5" customWidth="1"/>
    <col min="12" max="19" width="15.28515625" style="5" customWidth="1"/>
    <col min="20" max="20" width="14.7109375" style="5" customWidth="1"/>
    <col min="21" max="21" width="13.5703125" style="5" customWidth="1"/>
    <col min="22" max="22" width="15.7109375" style="5" customWidth="1"/>
    <col min="23" max="29" width="11" style="5" customWidth="1"/>
    <col min="30" max="38" width="6.5703125" style="5" customWidth="1"/>
    <col min="39" max="39" width="8.7109375" style="5" customWidth="1"/>
    <col min="40" max="16384" width="8.7109375" style="5"/>
  </cols>
  <sheetData>
    <row r="1" spans="1:9" ht="27" customHeight="1">
      <c r="A1" s="589" t="str">
        <f>"HVAC system - "&amp;Prototype!A2</f>
        <v>HVAC system - HotelSmall</v>
      </c>
      <c r="B1" s="589"/>
      <c r="C1" s="589"/>
      <c r="D1" s="589"/>
      <c r="E1" s="589"/>
      <c r="F1" s="589"/>
      <c r="G1" s="531"/>
    </row>
    <row r="2" spans="1:9" ht="22.15" customHeight="1">
      <c r="A2" s="60" t="s">
        <v>194</v>
      </c>
      <c r="B2" s="194" t="s">
        <v>195</v>
      </c>
      <c r="C2" s="194" t="s">
        <v>196</v>
      </c>
      <c r="D2" s="194" t="s">
        <v>197</v>
      </c>
      <c r="E2" s="194" t="s">
        <v>198</v>
      </c>
      <c r="F2" s="194" t="s">
        <v>199</v>
      </c>
      <c r="G2" s="194" t="s">
        <v>200</v>
      </c>
    </row>
    <row r="3" spans="1:9" ht="31.9" customHeight="1">
      <c r="A3" s="588" t="s">
        <v>201</v>
      </c>
      <c r="B3" s="532" t="s">
        <v>202</v>
      </c>
      <c r="C3" s="534" t="s">
        <v>203</v>
      </c>
      <c r="D3" s="533" t="s">
        <v>204</v>
      </c>
      <c r="E3" s="533" t="s">
        <v>205</v>
      </c>
      <c r="F3" s="533" t="s">
        <v>3</v>
      </c>
      <c r="G3" s="533"/>
      <c r="H3" s="525"/>
      <c r="I3" s="525"/>
    </row>
    <row r="4" spans="1:9" ht="13.15" customHeight="1">
      <c r="A4" s="588"/>
      <c r="B4" s="588" t="s">
        <v>206</v>
      </c>
      <c r="C4" s="599" t="s">
        <v>203</v>
      </c>
      <c r="D4" s="593" t="s">
        <v>204</v>
      </c>
      <c r="E4" s="592" t="s">
        <v>207</v>
      </c>
      <c r="F4" s="593" t="s">
        <v>3</v>
      </c>
      <c r="G4" s="588"/>
      <c r="H4" s="187"/>
      <c r="I4" s="187"/>
    </row>
    <row r="5" spans="1:9" ht="22.15" customHeight="1">
      <c r="A5" s="588"/>
      <c r="B5" s="588"/>
      <c r="C5" s="599"/>
      <c r="D5" s="593"/>
      <c r="E5" s="592"/>
      <c r="F5" s="593"/>
      <c r="G5" s="588"/>
    </row>
    <row r="6" spans="1:9" ht="42" customHeight="1">
      <c r="A6" s="593" t="s">
        <v>208</v>
      </c>
      <c r="B6" s="532" t="s">
        <v>202</v>
      </c>
      <c r="C6" s="425" t="s">
        <v>209</v>
      </c>
      <c r="D6" s="533" t="s">
        <v>210</v>
      </c>
      <c r="E6" s="533" t="s">
        <v>205</v>
      </c>
      <c r="F6" s="533" t="s">
        <v>211</v>
      </c>
      <c r="G6" s="532" t="s">
        <v>212</v>
      </c>
      <c r="H6" s="522"/>
    </row>
    <row r="7" spans="1:9" ht="31.9" customHeight="1">
      <c r="A7" s="593"/>
      <c r="B7" s="532" t="s">
        <v>206</v>
      </c>
      <c r="C7" s="425" t="s">
        <v>213</v>
      </c>
      <c r="D7" s="537" t="s">
        <v>214</v>
      </c>
      <c r="E7" s="532" t="s">
        <v>215</v>
      </c>
      <c r="F7" s="533" t="s">
        <v>211</v>
      </c>
      <c r="G7" s="532" t="s">
        <v>216</v>
      </c>
    </row>
    <row r="8" spans="1:9" ht="17.649999999999999" customHeight="1">
      <c r="A8" s="525"/>
    </row>
    <row r="9" spans="1:9" ht="17.649999999999999" customHeight="1"/>
    <row r="10" spans="1:9" ht="17.649999999999999" customHeight="1"/>
    <row r="11" spans="1:9" ht="48" customHeight="1">
      <c r="A11" s="589" t="s">
        <v>217</v>
      </c>
      <c r="B11" s="589"/>
      <c r="C11" s="589"/>
      <c r="D11" s="589"/>
      <c r="E11" s="589"/>
      <c r="F11" s="589"/>
      <c r="G11" s="589"/>
      <c r="H11" s="225"/>
    </row>
    <row r="12" spans="1:9" ht="37.9" customHeight="1">
      <c r="A12" s="60" t="s">
        <v>194</v>
      </c>
      <c r="B12" s="60" t="s">
        <v>218</v>
      </c>
      <c r="C12" s="213" t="s">
        <v>219</v>
      </c>
      <c r="D12" s="213" t="s">
        <v>220</v>
      </c>
      <c r="E12" s="554" t="s">
        <v>221</v>
      </c>
      <c r="F12" s="194" t="s">
        <v>222</v>
      </c>
      <c r="G12" s="60" t="s">
        <v>200</v>
      </c>
    </row>
    <row r="13" spans="1:9" ht="16.899999999999999" customHeight="1">
      <c r="A13" s="251" t="s">
        <v>223</v>
      </c>
      <c r="B13" s="597">
        <v>2008</v>
      </c>
      <c r="C13" s="596" t="s">
        <v>224</v>
      </c>
      <c r="D13" s="590" t="s">
        <v>225</v>
      </c>
      <c r="E13" s="590" t="s">
        <v>225</v>
      </c>
      <c r="F13" s="591" t="s">
        <v>226</v>
      </c>
      <c r="G13" s="598"/>
    </row>
    <row r="14" spans="1:9" ht="21" customHeight="1">
      <c r="A14" s="251" t="s">
        <v>227</v>
      </c>
      <c r="B14" s="597"/>
      <c r="C14" s="596"/>
      <c r="D14" s="590"/>
      <c r="E14" s="590"/>
      <c r="F14" s="591"/>
      <c r="G14" s="598"/>
    </row>
    <row r="15" spans="1:9" ht="21.6" customHeight="1">
      <c r="A15" s="251" t="s">
        <v>228</v>
      </c>
      <c r="B15" s="597"/>
      <c r="C15" s="596"/>
      <c r="D15" s="590"/>
      <c r="E15" s="590"/>
      <c r="F15" s="591"/>
      <c r="G15" s="598"/>
    </row>
    <row r="16" spans="1:9" ht="33.6" customHeight="1">
      <c r="A16" s="251" t="s">
        <v>229</v>
      </c>
      <c r="B16" s="209">
        <v>2013</v>
      </c>
      <c r="C16" s="251" t="s">
        <v>224</v>
      </c>
      <c r="D16" s="300" t="s">
        <v>225</v>
      </c>
      <c r="E16" s="301" t="s">
        <v>225</v>
      </c>
      <c r="F16" s="210" t="s">
        <v>230</v>
      </c>
      <c r="G16" s="211"/>
    </row>
    <row r="17" spans="1:8" ht="66" customHeight="1">
      <c r="A17" s="539" t="s">
        <v>208</v>
      </c>
      <c r="B17" s="209">
        <v>2025</v>
      </c>
      <c r="C17" s="251" t="s">
        <v>224</v>
      </c>
      <c r="D17" s="538" t="s">
        <v>231</v>
      </c>
      <c r="E17" s="538" t="s">
        <v>232</v>
      </c>
      <c r="F17" s="210" t="s">
        <v>233</v>
      </c>
      <c r="G17" s="211" t="s">
        <v>234</v>
      </c>
    </row>
    <row r="18" spans="1:8" ht="20.45" customHeight="1">
      <c r="A18" s="7"/>
      <c r="B18" s="7"/>
      <c r="C18" s="527"/>
      <c r="D18" s="527"/>
      <c r="E18" s="247"/>
      <c r="F18" s="248"/>
      <c r="G18" s="249"/>
    </row>
    <row r="19" spans="1:8" ht="20.45" customHeight="1">
      <c r="A19" s="7"/>
      <c r="B19" s="7"/>
      <c r="C19" s="527"/>
      <c r="D19" s="527"/>
      <c r="E19" s="247"/>
      <c r="F19" s="248"/>
      <c r="G19" s="249"/>
    </row>
    <row r="20" spans="1:8" ht="20.45" customHeight="1">
      <c r="D20" s="249"/>
    </row>
    <row r="21" spans="1:8" ht="32.450000000000003" customHeight="1">
      <c r="A21" s="587" t="s">
        <v>235</v>
      </c>
      <c r="B21" s="587"/>
      <c r="C21" s="587"/>
      <c r="D21" s="587"/>
      <c r="E21" s="587"/>
      <c r="F21" s="587"/>
      <c r="G21" s="587"/>
      <c r="H21" s="587"/>
    </row>
    <row r="22" spans="1:8" ht="43.9" customHeight="1">
      <c r="A22" s="286" t="s">
        <v>194</v>
      </c>
      <c r="B22" s="286" t="s">
        <v>236</v>
      </c>
      <c r="C22" s="286" t="s">
        <v>237</v>
      </c>
      <c r="D22" s="287" t="s">
        <v>238</v>
      </c>
      <c r="E22" s="287" t="s">
        <v>239</v>
      </c>
      <c r="F22" s="287" t="s">
        <v>240</v>
      </c>
      <c r="G22" s="287" t="s">
        <v>241</v>
      </c>
      <c r="H22" s="293" t="s">
        <v>242</v>
      </c>
    </row>
    <row r="23" spans="1:8" ht="58.9" customHeight="1">
      <c r="A23" s="535" t="s">
        <v>243</v>
      </c>
      <c r="B23" s="285" t="s">
        <v>244</v>
      </c>
      <c r="C23" s="508" t="s">
        <v>245</v>
      </c>
      <c r="D23" s="508">
        <v>1.33</v>
      </c>
      <c r="E23" s="508">
        <v>0.65</v>
      </c>
      <c r="F23" s="294" t="s">
        <v>246</v>
      </c>
      <c r="G23" s="306"/>
      <c r="H23" s="508" t="s">
        <v>247</v>
      </c>
    </row>
    <row r="24" spans="1:8">
      <c r="A24" s="288" t="s">
        <v>248</v>
      </c>
      <c r="B24" s="291"/>
      <c r="C24" s="292"/>
      <c r="D24" s="292"/>
      <c r="E24" s="292"/>
      <c r="F24" s="297"/>
      <c r="G24" s="297"/>
      <c r="H24" s="298"/>
    </row>
    <row r="25" spans="1:8">
      <c r="A25" s="288" t="s">
        <v>249</v>
      </c>
      <c r="B25" s="291"/>
      <c r="C25" s="292"/>
      <c r="D25" s="292"/>
      <c r="E25" s="292"/>
      <c r="F25" s="297"/>
      <c r="G25" s="297"/>
      <c r="H25" s="298"/>
    </row>
    <row r="26" spans="1:8" ht="14.45">
      <c r="A26" s="289" t="s">
        <v>250</v>
      </c>
      <c r="B26" s="291"/>
      <c r="C26" s="292"/>
      <c r="D26" s="292"/>
      <c r="E26" s="292"/>
      <c r="F26" s="297"/>
      <c r="G26" s="297"/>
      <c r="H26" s="298"/>
    </row>
    <row r="27" spans="1:8">
      <c r="A27" s="290" t="s">
        <v>251</v>
      </c>
      <c r="B27" s="291"/>
      <c r="C27" s="292"/>
      <c r="D27" s="292"/>
      <c r="E27" s="292"/>
      <c r="F27" s="297"/>
      <c r="G27" s="227"/>
      <c r="H27" s="298"/>
    </row>
    <row r="28" spans="1:8">
      <c r="A28" s="290" t="s">
        <v>252</v>
      </c>
      <c r="B28" s="292"/>
      <c r="C28" s="292"/>
      <c r="D28" s="404"/>
      <c r="E28" s="292"/>
      <c r="F28" s="227"/>
      <c r="G28" s="297"/>
      <c r="H28" s="299"/>
    </row>
    <row r="29" spans="1:8" ht="27" customHeight="1">
      <c r="A29" s="601" t="s">
        <v>208</v>
      </c>
      <c r="B29" s="601" t="s">
        <v>253</v>
      </c>
      <c r="C29" s="508" t="s">
        <v>254</v>
      </c>
      <c r="D29" s="399">
        <f>G29*$F$29*$E$29/746*6356</f>
        <v>3.7082914745308311</v>
      </c>
      <c r="E29" s="583">
        <v>0.65</v>
      </c>
      <c r="F29" s="583">
        <v>0.9</v>
      </c>
      <c r="G29" s="295">
        <v>0.74399999999999999</v>
      </c>
      <c r="H29" s="585" t="s">
        <v>255</v>
      </c>
    </row>
    <row r="30" spans="1:8" ht="27" customHeight="1">
      <c r="A30" s="601"/>
      <c r="B30" s="601"/>
      <c r="C30" s="508" t="s">
        <v>256</v>
      </c>
      <c r="D30" s="399">
        <f>G30*$F$29*$E$29/746*6356</f>
        <v>4.8048292761394098</v>
      </c>
      <c r="E30" s="584"/>
      <c r="F30" s="584"/>
      <c r="G30" s="295">
        <v>0.96399999999999997</v>
      </c>
      <c r="H30" s="586"/>
    </row>
    <row r="31" spans="1:8" ht="18" customHeight="1">
      <c r="A31" s="7"/>
      <c r="B31" s="7"/>
      <c r="C31" s="214"/>
      <c r="D31" s="400"/>
      <c r="E31" s="7"/>
      <c r="F31" s="525" t="s">
        <v>257</v>
      </c>
      <c r="G31" s="249"/>
      <c r="H31" s="7"/>
    </row>
    <row r="32" spans="1:8" ht="18.600000000000001" customHeight="1">
      <c r="A32" s="5" t="s">
        <v>258</v>
      </c>
      <c r="B32" s="244"/>
      <c r="C32" s="244"/>
      <c r="D32" s="398"/>
      <c r="E32" s="8"/>
      <c r="F32" s="8"/>
    </row>
    <row r="33" spans="1:38" ht="18.600000000000001" customHeight="1">
      <c r="A33" s="8" t="s">
        <v>259</v>
      </c>
      <c r="B33" s="244"/>
      <c r="C33" s="244"/>
      <c r="D33" s="398"/>
      <c r="E33" s="8"/>
      <c r="F33" s="8"/>
    </row>
    <row r="34" spans="1:38" ht="16.899999999999999" customHeight="1">
      <c r="A34" s="426" t="s">
        <v>260</v>
      </c>
      <c r="B34" s="214"/>
      <c r="C34" s="214"/>
      <c r="D34" s="397"/>
      <c r="E34" s="8"/>
      <c r="H34" s="309"/>
      <c r="I34" s="309"/>
      <c r="J34" s="309"/>
    </row>
    <row r="35" spans="1:38">
      <c r="A35" s="214"/>
      <c r="B35" s="214"/>
      <c r="C35" s="426"/>
      <c r="D35" s="246"/>
      <c r="E35" s="245"/>
      <c r="F35" s="244"/>
      <c r="G35" s="45"/>
      <c r="H35" s="309"/>
      <c r="I35" s="309"/>
      <c r="J35" s="309"/>
      <c r="M35" s="43"/>
      <c r="N35" s="43"/>
      <c r="O35" s="43"/>
      <c r="P35" s="43"/>
      <c r="Q35" s="43"/>
      <c r="R35" s="43"/>
      <c r="S35" s="43"/>
      <c r="T35" s="43"/>
      <c r="U35" s="62"/>
      <c r="V35" s="62"/>
      <c r="W35" s="136"/>
      <c r="X35" s="136"/>
      <c r="Y35" s="136"/>
      <c r="Z35" s="136"/>
      <c r="AA35" s="136"/>
      <c r="AB35" s="136"/>
      <c r="AC35" s="136"/>
      <c r="AD35" s="136"/>
      <c r="AE35" s="136"/>
      <c r="AF35" s="136"/>
      <c r="AG35" s="136"/>
      <c r="AH35" s="136"/>
      <c r="AI35" s="136"/>
      <c r="AJ35" s="136"/>
      <c r="AK35" s="136"/>
      <c r="AL35" s="136"/>
    </row>
    <row r="36" spans="1:38" s="234" customFormat="1" ht="21" hidden="1" customHeight="1">
      <c r="A36" s="234" t="s">
        <v>193</v>
      </c>
    </row>
    <row r="37" spans="1:38" hidden="1">
      <c r="A37" s="188"/>
      <c r="B37" s="204"/>
      <c r="C37" s="39"/>
      <c r="D37" s="39"/>
      <c r="E37" s="39"/>
      <c r="F37" s="39"/>
      <c r="G37" s="45"/>
      <c r="H37" s="547"/>
      <c r="I37" s="547"/>
      <c r="J37" s="45"/>
      <c r="M37" s="43"/>
      <c r="N37" s="43"/>
      <c r="O37" s="43"/>
      <c r="P37" s="43"/>
      <c r="Q37" s="43"/>
      <c r="R37" s="43"/>
      <c r="S37" s="43"/>
      <c r="T37" s="43"/>
      <c r="U37" s="62"/>
      <c r="V37" s="62"/>
      <c r="W37" s="136"/>
      <c r="X37" s="136"/>
      <c r="Y37" s="136"/>
      <c r="Z37" s="136"/>
      <c r="AA37" s="136"/>
      <c r="AB37" s="136"/>
      <c r="AC37" s="136"/>
      <c r="AD37" s="136"/>
      <c r="AE37" s="136"/>
      <c r="AF37" s="136"/>
      <c r="AG37" s="136"/>
      <c r="AH37" s="136"/>
      <c r="AI37" s="136"/>
      <c r="AJ37" s="136"/>
      <c r="AK37" s="136"/>
      <c r="AL37" s="136"/>
    </row>
    <row r="38" spans="1:38" hidden="1">
      <c r="H38" s="547"/>
      <c r="I38" s="547"/>
      <c r="J38" s="45"/>
      <c r="M38" s="43"/>
      <c r="N38" s="43"/>
      <c r="O38" s="43"/>
      <c r="P38" s="43"/>
      <c r="Q38" s="43"/>
      <c r="R38" s="43"/>
      <c r="S38" s="43"/>
      <c r="T38" s="43"/>
      <c r="U38" s="62"/>
      <c r="V38" s="62"/>
      <c r="W38" s="136"/>
      <c r="X38" s="136"/>
      <c r="Y38" s="136"/>
      <c r="Z38" s="136"/>
      <c r="AA38" s="136"/>
      <c r="AB38" s="136"/>
      <c r="AC38" s="136"/>
      <c r="AD38" s="136"/>
      <c r="AE38" s="136"/>
      <c r="AF38" s="136"/>
      <c r="AG38" s="136"/>
      <c r="AH38" s="136"/>
      <c r="AI38" s="136"/>
      <c r="AJ38" s="136"/>
      <c r="AK38" s="136"/>
      <c r="AL38" s="136"/>
    </row>
    <row r="39" spans="1:38" hidden="1">
      <c r="H39" s="547"/>
      <c r="I39" s="547"/>
      <c r="J39" s="45"/>
      <c r="M39" s="43"/>
      <c r="N39" s="43"/>
      <c r="O39" s="43"/>
      <c r="P39" s="43"/>
      <c r="Q39" s="43"/>
      <c r="R39" s="43"/>
      <c r="S39" s="43"/>
      <c r="T39" s="43"/>
      <c r="U39" s="62"/>
      <c r="V39" s="62"/>
      <c r="W39" s="136"/>
      <c r="X39" s="136"/>
      <c r="Y39" s="136"/>
      <c r="Z39" s="136"/>
      <c r="AA39" s="136"/>
      <c r="AB39" s="136"/>
      <c r="AC39" s="136"/>
      <c r="AD39" s="136"/>
      <c r="AE39" s="136"/>
      <c r="AF39" s="136"/>
      <c r="AG39" s="136"/>
      <c r="AH39" s="136"/>
      <c r="AI39" s="136"/>
      <c r="AJ39" s="136"/>
      <c r="AK39" s="136"/>
      <c r="AL39" s="136"/>
    </row>
    <row r="40" spans="1:38" hidden="1">
      <c r="H40" s="547"/>
      <c r="I40" s="547"/>
      <c r="J40" s="45"/>
      <c r="M40" s="43"/>
      <c r="N40" s="43"/>
      <c r="O40" s="43"/>
      <c r="P40" s="43"/>
      <c r="Q40" s="43"/>
      <c r="R40" s="43"/>
      <c r="S40" s="43"/>
      <c r="T40" s="43"/>
      <c r="U40" s="62"/>
      <c r="V40" s="62"/>
      <c r="W40" s="136"/>
      <c r="X40" s="136"/>
      <c r="Y40" s="136"/>
      <c r="Z40" s="136"/>
      <c r="AA40" s="136"/>
      <c r="AB40" s="136"/>
      <c r="AC40" s="136"/>
      <c r="AD40" s="136"/>
      <c r="AE40" s="136"/>
      <c r="AF40" s="136"/>
      <c r="AG40" s="136"/>
      <c r="AH40" s="136"/>
      <c r="AI40" s="136"/>
      <c r="AJ40" s="136"/>
      <c r="AK40" s="136"/>
      <c r="AL40" s="136"/>
    </row>
    <row r="41" spans="1:38" ht="15.6" hidden="1">
      <c r="A41" s="600" t="s">
        <v>3</v>
      </c>
      <c r="B41" s="606" t="s">
        <v>196</v>
      </c>
      <c r="C41" s="606"/>
      <c r="D41" s="606"/>
      <c r="E41" s="606"/>
      <c r="F41" s="607" t="s">
        <v>197</v>
      </c>
      <c r="G41" s="607"/>
      <c r="H41" s="528" t="s">
        <v>198</v>
      </c>
      <c r="I41" s="602" t="s">
        <v>261</v>
      </c>
      <c r="J41" s="602"/>
      <c r="M41" s="43"/>
      <c r="N41" s="43"/>
      <c r="O41" s="43"/>
      <c r="P41" s="43"/>
      <c r="Q41" s="43"/>
      <c r="R41" s="43"/>
      <c r="S41" s="43"/>
      <c r="T41" s="43"/>
      <c r="U41" s="62"/>
      <c r="V41" s="62"/>
      <c r="W41" s="136"/>
      <c r="X41" s="136"/>
      <c r="Y41" s="136"/>
      <c r="Z41" s="136"/>
      <c r="AA41" s="136"/>
      <c r="AB41" s="136"/>
      <c r="AC41" s="136"/>
      <c r="AD41" s="136"/>
      <c r="AE41" s="136"/>
      <c r="AF41" s="136"/>
      <c r="AG41" s="136"/>
      <c r="AH41" s="136"/>
      <c r="AI41" s="136"/>
      <c r="AJ41" s="136"/>
      <c r="AK41" s="136"/>
      <c r="AL41" s="136"/>
    </row>
    <row r="42" spans="1:38" ht="14.45" hidden="1">
      <c r="A42" s="600"/>
      <c r="B42" s="603" t="s">
        <v>262</v>
      </c>
      <c r="C42" s="603" t="s">
        <v>263</v>
      </c>
      <c r="D42" s="603" t="s">
        <v>264</v>
      </c>
      <c r="E42" s="603"/>
      <c r="F42" s="604" t="s">
        <v>265</v>
      </c>
      <c r="G42" s="604" t="s">
        <v>266</v>
      </c>
      <c r="H42" s="604" t="s">
        <v>267</v>
      </c>
      <c r="I42" s="605" t="s">
        <v>264</v>
      </c>
      <c r="J42" s="605"/>
      <c r="M42" s="43"/>
      <c r="N42" s="43"/>
      <c r="O42" s="43"/>
      <c r="P42" s="43"/>
      <c r="Q42" s="43"/>
      <c r="R42" s="43"/>
      <c r="S42" s="43"/>
      <c r="T42" s="43"/>
      <c r="U42" s="62"/>
      <c r="V42" s="62"/>
      <c r="W42" s="136"/>
      <c r="X42" s="136"/>
      <c r="Y42" s="136"/>
      <c r="Z42" s="136"/>
      <c r="AA42" s="136"/>
      <c r="AB42" s="136"/>
      <c r="AC42" s="136"/>
      <c r="AD42" s="136"/>
      <c r="AE42" s="136"/>
      <c r="AF42" s="136"/>
      <c r="AG42" s="136"/>
      <c r="AH42" s="136"/>
      <c r="AI42" s="136"/>
      <c r="AJ42" s="136"/>
      <c r="AK42" s="136"/>
      <c r="AL42" s="136"/>
    </row>
    <row r="43" spans="1:38" customFormat="1" ht="25.9" hidden="1" customHeight="1">
      <c r="A43" s="600"/>
      <c r="B43" s="603"/>
      <c r="C43" s="603"/>
      <c r="D43" s="392" t="s">
        <v>268</v>
      </c>
      <c r="E43" s="307" t="s">
        <v>269</v>
      </c>
      <c r="F43" s="604"/>
      <c r="G43" s="604"/>
      <c r="H43" s="604"/>
      <c r="I43" s="529" t="s">
        <v>268</v>
      </c>
      <c r="J43" s="529" t="s">
        <v>269</v>
      </c>
    </row>
    <row r="44" spans="1:38" ht="115.15" hidden="1">
      <c r="A44" s="302" t="s">
        <v>270</v>
      </c>
      <c r="B44" s="303">
        <v>0.99109825822186048</v>
      </c>
      <c r="C44" s="304" t="s">
        <v>271</v>
      </c>
      <c r="D44" s="305">
        <v>0.40239999999999998</v>
      </c>
      <c r="E44" s="308">
        <v>0.56599999999999995</v>
      </c>
      <c r="F44" s="310">
        <v>0.97514167089669301</v>
      </c>
      <c r="G44" s="311" t="s">
        <v>272</v>
      </c>
      <c r="H44" s="311" t="s">
        <v>273</v>
      </c>
      <c r="I44" s="310">
        <v>3.31008345536562E-2</v>
      </c>
      <c r="J44" s="310">
        <v>0.83999182616082579</v>
      </c>
      <c r="M44" s="43"/>
      <c r="N44" s="43"/>
      <c r="O44" s="43"/>
      <c r="P44" s="43"/>
      <c r="Q44" s="43"/>
      <c r="R44" s="43"/>
      <c r="S44" s="43"/>
      <c r="T44" s="43"/>
      <c r="U44" s="62"/>
      <c r="V44" s="62"/>
      <c r="W44" s="136"/>
      <c r="X44" s="136"/>
      <c r="Y44" s="136"/>
      <c r="Z44" s="136"/>
      <c r="AA44" s="136"/>
      <c r="AB44" s="136"/>
      <c r="AC44" s="136"/>
      <c r="AD44" s="136"/>
      <c r="AE44" s="136"/>
      <c r="AF44" s="136"/>
      <c r="AG44" s="136"/>
      <c r="AH44" s="136"/>
      <c r="AI44" s="136"/>
      <c r="AJ44" s="136"/>
      <c r="AK44" s="136"/>
      <c r="AL44" s="136"/>
    </row>
    <row r="45" spans="1:38" hidden="1">
      <c r="A45" s="212"/>
      <c r="B45" s="212"/>
      <c r="C45" s="212"/>
      <c r="D45" s="212"/>
      <c r="E45" s="212"/>
      <c r="F45" s="212"/>
      <c r="G45" s="212"/>
      <c r="J45" s="45"/>
      <c r="M45" s="43"/>
      <c r="N45" s="43"/>
      <c r="O45" s="43"/>
      <c r="P45" s="43"/>
      <c r="Q45" s="43"/>
      <c r="R45" s="43"/>
      <c r="S45" s="43"/>
      <c r="T45" s="43"/>
      <c r="U45" s="62"/>
      <c r="V45" s="62"/>
      <c r="W45" s="136"/>
      <c r="X45" s="136"/>
      <c r="Y45" s="136"/>
      <c r="Z45" s="136"/>
      <c r="AA45" s="136"/>
      <c r="AB45" s="136"/>
      <c r="AC45" s="136"/>
      <c r="AD45" s="136"/>
      <c r="AE45" s="136"/>
      <c r="AF45" s="136"/>
      <c r="AG45" s="136"/>
      <c r="AH45" s="136"/>
      <c r="AI45" s="136"/>
      <c r="AJ45" s="136"/>
      <c r="AK45" s="136"/>
      <c r="AL45" s="136"/>
    </row>
    <row r="46" spans="1:38">
      <c r="A46" s="594"/>
      <c r="B46" s="595"/>
      <c r="C46" s="595"/>
      <c r="D46" s="595"/>
      <c r="E46" s="530"/>
      <c r="F46" s="595"/>
      <c r="G46" s="595"/>
      <c r="U46" s="62"/>
      <c r="V46" s="62"/>
      <c r="W46" s="136"/>
      <c r="X46" s="136"/>
      <c r="Y46" s="136"/>
      <c r="Z46" s="136"/>
      <c r="AA46" s="136"/>
      <c r="AB46" s="136"/>
      <c r="AC46" s="136"/>
      <c r="AD46" s="136"/>
      <c r="AE46" s="136"/>
      <c r="AF46" s="136"/>
      <c r="AG46" s="136"/>
      <c r="AH46" s="136"/>
      <c r="AI46" s="136"/>
      <c r="AJ46" s="136"/>
      <c r="AK46" s="136"/>
      <c r="AL46" s="136"/>
    </row>
    <row r="47" spans="1:38">
      <c r="A47" s="594"/>
      <c r="B47" s="205"/>
      <c r="C47" s="205"/>
      <c r="D47" s="205"/>
      <c r="E47" s="206"/>
      <c r="F47" s="236"/>
      <c r="G47" s="236"/>
      <c r="U47" s="62"/>
      <c r="V47" s="62"/>
      <c r="W47" s="136"/>
      <c r="X47" s="136"/>
      <c r="Y47" s="136"/>
      <c r="Z47" s="136"/>
      <c r="AA47" s="136"/>
      <c r="AB47" s="136"/>
      <c r="AC47" s="136"/>
      <c r="AD47" s="136"/>
      <c r="AE47" s="136"/>
      <c r="AF47" s="136"/>
      <c r="AG47" s="136"/>
      <c r="AH47" s="136"/>
      <c r="AI47" s="136"/>
      <c r="AJ47" s="136"/>
      <c r="AK47" s="136"/>
      <c r="AL47" s="136"/>
    </row>
    <row r="48" spans="1:38">
      <c r="A48" s="207"/>
      <c r="B48" s="141"/>
      <c r="C48" s="141"/>
      <c r="D48" s="141"/>
      <c r="E48" s="141"/>
      <c r="F48" s="547"/>
      <c r="G48" s="547"/>
      <c r="U48" s="62"/>
      <c r="V48" s="62"/>
      <c r="W48" s="136"/>
      <c r="X48" s="136"/>
      <c r="Y48" s="136"/>
      <c r="Z48" s="136"/>
      <c r="AA48" s="136"/>
      <c r="AB48" s="136"/>
      <c r="AC48" s="136"/>
      <c r="AD48" s="136"/>
      <c r="AE48" s="136"/>
      <c r="AF48" s="136"/>
      <c r="AG48" s="136"/>
      <c r="AH48" s="136"/>
      <c r="AI48" s="136"/>
      <c r="AJ48" s="136"/>
      <c r="AK48" s="136"/>
      <c r="AL48" s="136"/>
    </row>
    <row r="49" spans="1:40">
      <c r="A49" s="207"/>
      <c r="B49" s="141"/>
      <c r="C49" s="141"/>
      <c r="E49" s="141"/>
      <c r="F49" s="141"/>
      <c r="G49" s="141"/>
      <c r="I49" s="547"/>
      <c r="W49" s="62"/>
      <c r="X49" s="62"/>
      <c r="Y49" s="136"/>
      <c r="Z49" s="136"/>
      <c r="AA49" s="136"/>
      <c r="AB49" s="136"/>
      <c r="AC49" s="136"/>
      <c r="AD49" s="136"/>
      <c r="AE49" s="136"/>
      <c r="AF49" s="136"/>
      <c r="AG49" s="136"/>
      <c r="AH49" s="136"/>
      <c r="AI49" s="136"/>
      <c r="AJ49" s="136"/>
      <c r="AK49" s="136"/>
      <c r="AL49" s="136"/>
      <c r="AM49" s="136"/>
      <c r="AN49" s="136"/>
    </row>
    <row r="50" spans="1:40">
      <c r="A50" s="207"/>
      <c r="B50" s="141"/>
      <c r="C50" s="141"/>
      <c r="E50" s="141"/>
      <c r="F50" s="395"/>
      <c r="G50" s="141"/>
      <c r="H50" s="547"/>
      <c r="I50" s="547"/>
      <c r="W50" s="62"/>
      <c r="X50" s="208"/>
      <c r="Y50" s="136"/>
      <c r="Z50" s="136"/>
      <c r="AA50" s="136"/>
      <c r="AB50" s="136"/>
      <c r="AC50" s="136"/>
      <c r="AD50" s="136"/>
      <c r="AE50" s="136"/>
      <c r="AF50" s="136"/>
      <c r="AG50" s="136"/>
      <c r="AH50" s="136"/>
      <c r="AI50" s="136"/>
      <c r="AJ50" s="136"/>
      <c r="AK50" s="136"/>
      <c r="AL50" s="136"/>
      <c r="AM50" s="136"/>
      <c r="AN50" s="136"/>
    </row>
    <row r="51" spans="1:40">
      <c r="A51" s="207"/>
      <c r="B51" s="141"/>
      <c r="C51" s="141"/>
      <c r="D51" s="141"/>
      <c r="E51" s="141"/>
      <c r="F51" s="141"/>
      <c r="G51" s="141"/>
      <c r="H51" s="547"/>
      <c r="I51" s="547"/>
      <c r="W51" s="525"/>
      <c r="X51" s="525"/>
      <c r="Y51" s="62"/>
      <c r="Z51" s="62"/>
      <c r="AA51" s="62"/>
      <c r="AB51" s="62"/>
      <c r="AC51" s="62"/>
      <c r="AD51" s="62"/>
      <c r="AE51" s="62"/>
      <c r="AF51" s="62"/>
      <c r="AG51" s="62"/>
      <c r="AH51" s="62"/>
      <c r="AI51" s="62"/>
      <c r="AJ51" s="62"/>
      <c r="AK51" s="62"/>
      <c r="AL51" s="62"/>
      <c r="AM51" s="62"/>
      <c r="AN51" s="62"/>
    </row>
    <row r="52" spans="1:40">
      <c r="A52" s="207"/>
      <c r="B52" s="141"/>
      <c r="C52" s="141"/>
      <c r="D52" s="141"/>
      <c r="E52" s="141"/>
      <c r="F52" s="547"/>
      <c r="G52" s="547"/>
      <c r="W52" s="45"/>
      <c r="X52" s="45"/>
      <c r="Y52" s="45"/>
      <c r="Z52" s="45"/>
      <c r="AA52" s="45"/>
      <c r="AB52" s="45"/>
      <c r="AC52" s="45"/>
      <c r="AD52" s="45"/>
      <c r="AE52" s="45"/>
      <c r="AF52" s="45"/>
      <c r="AG52" s="45"/>
      <c r="AH52" s="45"/>
      <c r="AI52" s="45"/>
      <c r="AJ52" s="45"/>
      <c r="AK52" s="45"/>
      <c r="AL52" s="45"/>
    </row>
    <row r="53" spans="1:40">
      <c r="A53" s="207"/>
      <c r="B53" s="396"/>
      <c r="C53" s="141"/>
      <c r="D53" s="141"/>
      <c r="E53" s="141"/>
      <c r="F53" s="547"/>
      <c r="G53" s="547"/>
    </row>
    <row r="54" spans="1:40">
      <c r="A54" s="207"/>
      <c r="B54" s="141"/>
      <c r="C54" s="141"/>
      <c r="D54" s="141"/>
      <c r="E54" s="141"/>
      <c r="F54" s="547"/>
      <c r="G54" s="547"/>
      <c r="U54" s="42"/>
      <c r="V54" s="42"/>
      <c r="W54" s="137"/>
      <c r="X54" s="137"/>
      <c r="Y54" s="137"/>
      <c r="Z54" s="137"/>
      <c r="AA54" s="137"/>
      <c r="AB54" s="137"/>
      <c r="AC54" s="137"/>
      <c r="AD54" s="137"/>
      <c r="AE54" s="137"/>
      <c r="AF54" s="137"/>
      <c r="AG54" s="137"/>
      <c r="AH54" s="137"/>
      <c r="AI54" s="137"/>
      <c r="AJ54" s="137"/>
      <c r="AK54" s="137"/>
      <c r="AL54" s="137"/>
    </row>
    <row r="55" spans="1:40" ht="16.899999999999999" customHeight="1">
      <c r="A55" s="207"/>
      <c r="B55" s="141"/>
      <c r="C55" s="141"/>
      <c r="D55" s="141"/>
      <c r="E55" s="141"/>
      <c r="F55" s="547"/>
      <c r="G55" s="547"/>
      <c r="V55" s="138"/>
      <c r="W55" s="139"/>
      <c r="X55" s="139"/>
      <c r="Y55" s="139"/>
      <c r="Z55" s="139"/>
      <c r="AA55" s="139"/>
      <c r="AB55" s="139"/>
      <c r="AC55" s="139"/>
      <c r="AD55" s="139"/>
      <c r="AE55" s="139"/>
      <c r="AF55" s="139"/>
      <c r="AG55" s="139"/>
      <c r="AH55" s="139"/>
      <c r="AI55" s="139"/>
      <c r="AJ55" s="139"/>
      <c r="AK55" s="139"/>
      <c r="AL55" s="139"/>
    </row>
    <row r="56" spans="1:40">
      <c r="A56" s="207"/>
      <c r="B56" s="141"/>
      <c r="C56" s="141"/>
      <c r="D56" s="141"/>
      <c r="E56" s="141"/>
      <c r="F56" s="547"/>
      <c r="G56" s="547"/>
      <c r="T56" s="547"/>
      <c r="U56" s="45"/>
      <c r="V56" s="138"/>
      <c r="W56" s="139"/>
      <c r="X56" s="139"/>
      <c r="Y56" s="139"/>
      <c r="Z56" s="139"/>
      <c r="AA56" s="139"/>
      <c r="AB56" s="139"/>
      <c r="AC56" s="139"/>
      <c r="AD56" s="139"/>
      <c r="AE56" s="139"/>
      <c r="AF56" s="139"/>
      <c r="AG56" s="139"/>
      <c r="AH56" s="139"/>
      <c r="AI56" s="139"/>
      <c r="AJ56" s="139"/>
      <c r="AK56" s="139"/>
      <c r="AL56" s="139"/>
    </row>
    <row r="57" spans="1:40">
      <c r="A57" s="207"/>
      <c r="B57" s="141"/>
      <c r="C57" s="141"/>
      <c r="D57" s="141"/>
      <c r="E57" s="141"/>
      <c r="F57" s="547"/>
      <c r="G57" s="547"/>
      <c r="T57" s="545"/>
      <c r="U57" s="45"/>
      <c r="V57" s="138"/>
      <c r="W57" s="139"/>
      <c r="X57" s="139"/>
      <c r="Y57" s="139"/>
      <c r="Z57" s="139"/>
      <c r="AA57" s="139"/>
      <c r="AB57" s="139"/>
      <c r="AC57" s="139"/>
      <c r="AD57" s="139"/>
      <c r="AE57" s="139"/>
      <c r="AF57" s="139"/>
      <c r="AG57" s="139"/>
      <c r="AH57" s="139"/>
      <c r="AI57" s="139"/>
      <c r="AJ57" s="139"/>
      <c r="AK57" s="139"/>
      <c r="AL57" s="139"/>
    </row>
    <row r="58" spans="1:40">
      <c r="A58" s="207"/>
      <c r="B58" s="141"/>
      <c r="C58" s="141"/>
      <c r="D58" s="141"/>
      <c r="E58" s="141"/>
      <c r="F58" s="547"/>
      <c r="G58" s="547"/>
      <c r="T58" s="545"/>
      <c r="U58" s="45"/>
      <c r="V58" s="138"/>
      <c r="W58" s="139"/>
      <c r="X58" s="139"/>
      <c r="Y58" s="139"/>
      <c r="Z58" s="139"/>
      <c r="AA58" s="139"/>
      <c r="AB58" s="139"/>
      <c r="AC58" s="139"/>
      <c r="AD58" s="139"/>
      <c r="AE58" s="139"/>
      <c r="AF58" s="139"/>
      <c r="AG58" s="139"/>
      <c r="AH58" s="139"/>
      <c r="AI58" s="139"/>
      <c r="AJ58" s="139"/>
      <c r="AK58" s="139"/>
      <c r="AL58" s="139"/>
    </row>
    <row r="59" spans="1:40">
      <c r="A59" s="207"/>
      <c r="B59" s="141"/>
      <c r="C59" s="141"/>
      <c r="D59" s="141"/>
      <c r="E59" s="141"/>
      <c r="F59" s="547"/>
      <c r="G59" s="547"/>
      <c r="U59" s="45"/>
      <c r="V59" s="138"/>
      <c r="W59" s="139"/>
      <c r="X59" s="139"/>
      <c r="Y59" s="139"/>
      <c r="Z59" s="139"/>
      <c r="AA59" s="139"/>
      <c r="AB59" s="139"/>
      <c r="AC59" s="139"/>
      <c r="AD59" s="139"/>
      <c r="AE59" s="139"/>
      <c r="AF59" s="139"/>
      <c r="AG59" s="139"/>
      <c r="AH59" s="139"/>
      <c r="AI59" s="139"/>
      <c r="AJ59" s="139"/>
      <c r="AK59" s="139"/>
      <c r="AL59" s="139"/>
    </row>
    <row r="60" spans="1:40">
      <c r="A60" s="207"/>
      <c r="B60" s="141"/>
      <c r="C60" s="141"/>
      <c r="D60" s="141"/>
      <c r="E60" s="141"/>
      <c r="F60" s="547"/>
      <c r="G60" s="547"/>
      <c r="U60" s="45"/>
      <c r="V60" s="138"/>
      <c r="W60" s="139"/>
      <c r="X60" s="139"/>
      <c r="Y60" s="139"/>
      <c r="Z60" s="139"/>
      <c r="AA60" s="139"/>
      <c r="AB60" s="139"/>
      <c r="AC60" s="139"/>
      <c r="AD60" s="139"/>
      <c r="AE60" s="139"/>
      <c r="AF60" s="139"/>
      <c r="AG60" s="139"/>
      <c r="AH60" s="139"/>
      <c r="AI60" s="139"/>
      <c r="AJ60" s="139"/>
      <c r="AK60" s="139"/>
      <c r="AL60" s="139"/>
    </row>
    <row r="61" spans="1:40">
      <c r="A61" s="207"/>
      <c r="B61" s="141"/>
      <c r="C61" s="141"/>
      <c r="D61" s="141"/>
      <c r="E61" s="141"/>
      <c r="F61" s="547"/>
      <c r="G61" s="547"/>
      <c r="U61" s="45"/>
      <c r="V61" s="138"/>
      <c r="W61" s="139"/>
      <c r="X61" s="139"/>
      <c r="Y61" s="139"/>
      <c r="Z61" s="139"/>
      <c r="AA61" s="139"/>
      <c r="AB61" s="139"/>
      <c r="AC61" s="139"/>
      <c r="AD61" s="139"/>
      <c r="AE61" s="139"/>
      <c r="AF61" s="139"/>
      <c r="AG61" s="139"/>
      <c r="AH61" s="139"/>
      <c r="AI61" s="139"/>
      <c r="AJ61" s="139"/>
      <c r="AK61" s="139"/>
      <c r="AL61" s="139"/>
    </row>
    <row r="62" spans="1:40">
      <c r="A62" s="207"/>
      <c r="B62" s="141"/>
      <c r="C62" s="141"/>
      <c r="D62" s="141"/>
      <c r="E62" s="141"/>
      <c r="F62" s="547"/>
      <c r="G62" s="547"/>
      <c r="U62" s="45"/>
      <c r="V62" s="138"/>
      <c r="W62" s="139"/>
      <c r="X62" s="139"/>
      <c r="Y62" s="139"/>
      <c r="Z62" s="139"/>
      <c r="AA62" s="139"/>
      <c r="AB62" s="139"/>
      <c r="AC62" s="139"/>
      <c r="AD62" s="139"/>
      <c r="AE62" s="139"/>
      <c r="AF62" s="139"/>
      <c r="AG62" s="139"/>
      <c r="AH62" s="139"/>
      <c r="AI62" s="139"/>
      <c r="AJ62" s="139"/>
      <c r="AK62" s="139"/>
      <c r="AL62" s="139"/>
    </row>
    <row r="63" spans="1:40">
      <c r="A63" s="207"/>
      <c r="B63" s="141"/>
      <c r="C63" s="141"/>
      <c r="D63" s="141"/>
      <c r="E63" s="141"/>
      <c r="F63" s="547"/>
      <c r="G63" s="547"/>
      <c r="U63" s="45"/>
      <c r="V63" s="138"/>
      <c r="W63" s="139"/>
      <c r="X63" s="139"/>
      <c r="Y63" s="139"/>
      <c r="Z63" s="139"/>
      <c r="AA63" s="139"/>
      <c r="AB63" s="139"/>
      <c r="AC63" s="139"/>
      <c r="AD63" s="139"/>
      <c r="AE63" s="139"/>
      <c r="AF63" s="139"/>
      <c r="AG63" s="139"/>
      <c r="AH63" s="139"/>
      <c r="AI63" s="139"/>
      <c r="AJ63" s="139"/>
      <c r="AK63" s="139"/>
      <c r="AL63" s="139"/>
    </row>
    <row r="64" spans="1:40">
      <c r="U64" s="45"/>
      <c r="V64" s="138"/>
      <c r="W64" s="139"/>
      <c r="X64" s="139"/>
      <c r="Y64" s="139"/>
      <c r="Z64" s="139"/>
      <c r="AA64" s="139"/>
      <c r="AB64" s="139"/>
      <c r="AC64" s="139"/>
      <c r="AD64" s="139"/>
      <c r="AE64" s="139"/>
      <c r="AF64" s="139"/>
      <c r="AG64" s="139"/>
      <c r="AH64" s="139"/>
      <c r="AI64" s="139"/>
      <c r="AJ64" s="139"/>
      <c r="AK64" s="139"/>
      <c r="AL64" s="139"/>
    </row>
    <row r="65" spans="14:38">
      <c r="N65" s="63"/>
      <c r="O65" s="63"/>
      <c r="U65" s="45"/>
      <c r="V65" s="138"/>
      <c r="W65" s="139"/>
      <c r="X65" s="139"/>
      <c r="Y65" s="139"/>
      <c r="Z65" s="139"/>
      <c r="AA65" s="139"/>
      <c r="AB65" s="139"/>
      <c r="AC65" s="139"/>
      <c r="AD65" s="139"/>
      <c r="AE65" s="139"/>
      <c r="AF65" s="139"/>
      <c r="AG65" s="139"/>
      <c r="AH65" s="139"/>
      <c r="AI65" s="139"/>
      <c r="AJ65" s="139"/>
      <c r="AK65" s="139"/>
      <c r="AL65" s="139"/>
    </row>
    <row r="66" spans="14:38">
      <c r="U66" s="45"/>
      <c r="V66" s="138"/>
      <c r="W66" s="139"/>
      <c r="X66" s="139"/>
      <c r="Y66" s="139"/>
      <c r="Z66" s="139"/>
      <c r="AA66" s="139"/>
      <c r="AB66" s="139"/>
      <c r="AC66" s="139"/>
      <c r="AD66" s="139"/>
      <c r="AE66" s="139"/>
      <c r="AF66" s="139"/>
      <c r="AG66" s="139"/>
      <c r="AH66" s="139"/>
      <c r="AI66" s="139"/>
      <c r="AJ66" s="139"/>
      <c r="AK66" s="139"/>
      <c r="AL66" s="139"/>
    </row>
    <row r="68" spans="14:38">
      <c r="U68" s="45"/>
      <c r="V68" s="138"/>
      <c r="W68" s="139"/>
      <c r="X68" s="139"/>
      <c r="Y68" s="139"/>
      <c r="Z68" s="139"/>
      <c r="AA68" s="139"/>
      <c r="AB68" s="139"/>
      <c r="AC68" s="139"/>
      <c r="AD68" s="139"/>
      <c r="AE68" s="139"/>
      <c r="AF68" s="139"/>
      <c r="AG68" s="139"/>
      <c r="AH68" s="139"/>
      <c r="AI68" s="139"/>
      <c r="AJ68" s="139"/>
      <c r="AK68" s="139"/>
      <c r="AL68" s="139"/>
    </row>
    <row r="69" spans="14:38">
      <c r="U69" s="45"/>
      <c r="V69" s="138"/>
      <c r="W69" s="139"/>
      <c r="X69" s="139"/>
      <c r="Y69" s="139"/>
      <c r="Z69" s="139"/>
      <c r="AA69" s="139"/>
      <c r="AB69" s="139"/>
      <c r="AC69" s="139"/>
      <c r="AD69" s="139"/>
      <c r="AE69" s="139"/>
      <c r="AF69" s="139"/>
      <c r="AG69" s="139"/>
      <c r="AH69" s="139"/>
      <c r="AI69" s="139"/>
      <c r="AJ69" s="139"/>
      <c r="AK69" s="139"/>
      <c r="AL69" s="139"/>
    </row>
    <row r="70" spans="14:38">
      <c r="U70" s="45"/>
      <c r="V70" s="138"/>
      <c r="W70" s="139"/>
      <c r="X70" s="139"/>
      <c r="Y70" s="139"/>
      <c r="Z70" s="139"/>
      <c r="AA70" s="139"/>
      <c r="AB70" s="139"/>
      <c r="AC70" s="139"/>
      <c r="AD70" s="139"/>
      <c r="AE70" s="139"/>
      <c r="AF70" s="139"/>
      <c r="AG70" s="139"/>
      <c r="AH70" s="139"/>
      <c r="AI70" s="139"/>
      <c r="AJ70" s="139"/>
      <c r="AK70" s="139"/>
      <c r="AL70" s="139"/>
    </row>
    <row r="71" spans="14:38">
      <c r="U71" s="45"/>
      <c r="V71" s="138"/>
      <c r="W71" s="139"/>
      <c r="X71" s="139"/>
      <c r="Y71" s="139"/>
      <c r="Z71" s="139"/>
      <c r="AA71" s="139"/>
      <c r="AB71" s="139"/>
      <c r="AC71" s="139"/>
      <c r="AD71" s="139"/>
      <c r="AE71" s="139"/>
      <c r="AF71" s="139"/>
      <c r="AG71" s="139"/>
      <c r="AH71" s="139"/>
      <c r="AI71" s="139"/>
      <c r="AJ71" s="139"/>
      <c r="AK71" s="139"/>
      <c r="AL71" s="139"/>
    </row>
    <row r="72" spans="14:38">
      <c r="U72" s="45"/>
      <c r="V72" s="138"/>
      <c r="W72" s="139"/>
      <c r="X72" s="139"/>
      <c r="Y72" s="139"/>
      <c r="Z72" s="139"/>
      <c r="AA72" s="139"/>
      <c r="AB72" s="139"/>
      <c r="AC72" s="139"/>
      <c r="AD72" s="139"/>
      <c r="AE72" s="139"/>
      <c r="AF72" s="139"/>
      <c r="AG72" s="139"/>
      <c r="AH72" s="139"/>
      <c r="AI72" s="139"/>
      <c r="AJ72" s="139"/>
      <c r="AK72" s="139"/>
      <c r="AL72" s="139"/>
    </row>
    <row r="73" spans="14:38">
      <c r="U73" s="45"/>
      <c r="V73" s="138"/>
      <c r="W73" s="139"/>
      <c r="X73" s="139"/>
      <c r="Y73" s="139"/>
      <c r="Z73" s="139"/>
      <c r="AA73" s="139"/>
      <c r="AB73" s="139"/>
      <c r="AC73" s="139"/>
      <c r="AD73" s="139"/>
      <c r="AE73" s="139"/>
      <c r="AF73" s="139"/>
      <c r="AG73" s="139"/>
      <c r="AH73" s="139"/>
      <c r="AI73" s="139"/>
      <c r="AJ73" s="139"/>
      <c r="AK73" s="139"/>
      <c r="AL73" s="139"/>
    </row>
    <row r="74" spans="14:38">
      <c r="U74" s="45"/>
      <c r="V74" s="138"/>
      <c r="W74" s="139"/>
      <c r="X74" s="139"/>
      <c r="Y74" s="139"/>
      <c r="Z74" s="139"/>
      <c r="AA74" s="139"/>
      <c r="AB74" s="139"/>
      <c r="AC74" s="139"/>
      <c r="AD74" s="139"/>
      <c r="AE74" s="139"/>
      <c r="AF74" s="139"/>
      <c r="AG74" s="139"/>
      <c r="AH74" s="139"/>
      <c r="AI74" s="139"/>
      <c r="AJ74" s="139"/>
      <c r="AK74" s="139"/>
      <c r="AL74" s="139"/>
    </row>
    <row r="75" spans="14:38">
      <c r="U75" s="45"/>
      <c r="V75" s="138"/>
      <c r="W75" s="139"/>
      <c r="X75" s="139"/>
      <c r="Y75" s="139"/>
      <c r="Z75" s="139"/>
      <c r="AA75" s="139"/>
      <c r="AB75" s="139"/>
      <c r="AC75" s="139"/>
      <c r="AD75" s="139"/>
      <c r="AE75" s="139"/>
      <c r="AF75" s="139"/>
      <c r="AG75" s="139"/>
      <c r="AH75" s="139"/>
      <c r="AI75" s="139"/>
      <c r="AJ75" s="139"/>
      <c r="AK75" s="139"/>
      <c r="AL75" s="139"/>
    </row>
    <row r="76" spans="14:38">
      <c r="U76" s="45"/>
      <c r="W76" s="44"/>
      <c r="X76" s="44"/>
      <c r="Y76" s="44"/>
      <c r="Z76" s="44"/>
      <c r="AA76" s="44"/>
      <c r="AB76" s="44"/>
      <c r="AC76" s="44"/>
      <c r="AD76" s="44"/>
      <c r="AE76" s="44"/>
      <c r="AF76" s="44"/>
      <c r="AG76" s="44"/>
      <c r="AH76" s="44"/>
      <c r="AI76" s="44"/>
      <c r="AJ76" s="44"/>
      <c r="AK76" s="44"/>
      <c r="AL76" s="44"/>
    </row>
    <row r="77" spans="14:38">
      <c r="U77" s="58"/>
      <c r="W77" s="45"/>
      <c r="X77" s="45"/>
      <c r="Y77" s="45"/>
      <c r="Z77" s="45"/>
      <c r="AA77" s="45"/>
      <c r="AB77" s="45"/>
      <c r="AC77" s="45"/>
      <c r="AD77" s="45"/>
      <c r="AE77" s="45"/>
      <c r="AF77" s="45"/>
      <c r="AG77" s="45"/>
      <c r="AH77" s="45"/>
      <c r="AI77" s="45"/>
      <c r="AJ77" s="45"/>
      <c r="AK77" s="45"/>
      <c r="AL77" s="45"/>
    </row>
    <row r="78" spans="14:38">
      <c r="U78" s="45"/>
    </row>
    <row r="81" spans="21:38">
      <c r="U81" s="42"/>
      <c r="V81" s="42"/>
      <c r="W81" s="137"/>
      <c r="X81" s="137"/>
      <c r="Y81" s="137"/>
      <c r="Z81" s="137"/>
      <c r="AA81" s="137"/>
      <c r="AB81" s="137"/>
      <c r="AC81" s="137"/>
      <c r="AD81" s="137"/>
      <c r="AE81" s="137"/>
      <c r="AF81" s="137"/>
      <c r="AG81" s="137"/>
      <c r="AH81" s="137"/>
      <c r="AI81" s="137"/>
      <c r="AJ81" s="137"/>
      <c r="AK81" s="137"/>
      <c r="AL81" s="137"/>
    </row>
    <row r="82" spans="21:38">
      <c r="V82" s="59"/>
    </row>
    <row r="83" spans="21:38">
      <c r="U83" s="45"/>
      <c r="V83" s="59"/>
    </row>
    <row r="84" spans="21:38">
      <c r="U84" s="45"/>
      <c r="V84" s="59"/>
    </row>
    <row r="85" spans="21:38">
      <c r="U85" s="45"/>
      <c r="V85" s="59"/>
    </row>
    <row r="86" spans="21:38">
      <c r="U86" s="45"/>
      <c r="V86" s="59"/>
    </row>
    <row r="87" spans="21:38">
      <c r="U87" s="45"/>
      <c r="V87" s="59"/>
    </row>
    <row r="88" spans="21:38">
      <c r="U88" s="45"/>
      <c r="V88" s="59"/>
    </row>
    <row r="89" spans="21:38">
      <c r="U89" s="45"/>
      <c r="V89" s="59"/>
    </row>
    <row r="90" spans="21:38">
      <c r="U90" s="45"/>
      <c r="V90" s="59"/>
    </row>
    <row r="91" spans="21:38">
      <c r="U91" s="45"/>
      <c r="V91" s="59"/>
    </row>
    <row r="92" spans="21:38">
      <c r="U92" s="45"/>
      <c r="V92" s="59"/>
    </row>
    <row r="93" spans="21:38">
      <c r="U93" s="45"/>
      <c r="V93" s="59"/>
    </row>
    <row r="94" spans="21:38">
      <c r="U94" s="45"/>
      <c r="V94" s="59"/>
    </row>
    <row r="95" spans="21:38">
      <c r="U95" s="45"/>
      <c r="V95" s="59"/>
    </row>
    <row r="96" spans="21:38">
      <c r="U96" s="45"/>
      <c r="V96" s="59"/>
    </row>
    <row r="97" spans="21:38">
      <c r="U97" s="45"/>
      <c r="V97" s="59"/>
    </row>
    <row r="98" spans="21:38">
      <c r="U98" s="45"/>
      <c r="V98" s="59"/>
    </row>
    <row r="99" spans="21:38">
      <c r="U99" s="45"/>
      <c r="V99" s="59"/>
    </row>
    <row r="100" spans="21:38">
      <c r="U100" s="45"/>
      <c r="V100" s="59"/>
    </row>
    <row r="101" spans="21:38">
      <c r="U101" s="45"/>
      <c r="V101" s="59"/>
    </row>
    <row r="102" spans="21:38">
      <c r="U102" s="45"/>
      <c r="V102" s="59"/>
    </row>
    <row r="103" spans="21:38">
      <c r="U103" s="45"/>
      <c r="W103" s="44"/>
      <c r="X103" s="44"/>
      <c r="Y103" s="44"/>
      <c r="Z103" s="44"/>
      <c r="AA103" s="44"/>
      <c r="AB103" s="44"/>
      <c r="AC103" s="44"/>
      <c r="AD103" s="44"/>
      <c r="AE103" s="44"/>
      <c r="AF103" s="44"/>
      <c r="AG103" s="44"/>
      <c r="AH103" s="44"/>
      <c r="AI103" s="44"/>
      <c r="AJ103" s="44"/>
      <c r="AK103" s="44"/>
      <c r="AL103" s="44"/>
    </row>
    <row r="104" spans="21:38">
      <c r="U104" s="58"/>
      <c r="W104" s="45"/>
      <c r="X104" s="45"/>
      <c r="Y104" s="45"/>
      <c r="Z104" s="45"/>
      <c r="AA104" s="45"/>
      <c r="AB104" s="45"/>
      <c r="AC104" s="45"/>
      <c r="AD104" s="45"/>
      <c r="AE104" s="45"/>
      <c r="AF104" s="45"/>
      <c r="AG104" s="45"/>
      <c r="AH104" s="45"/>
      <c r="AI104" s="45"/>
      <c r="AJ104" s="45"/>
      <c r="AK104" s="45"/>
      <c r="AL104" s="45"/>
    </row>
  </sheetData>
  <mergeCells count="36">
    <mergeCell ref="I41:J41"/>
    <mergeCell ref="B42:B43"/>
    <mergeCell ref="C42:C43"/>
    <mergeCell ref="D42:E42"/>
    <mergeCell ref="F42:F43"/>
    <mergeCell ref="G42:G43"/>
    <mergeCell ref="H42:H43"/>
    <mergeCell ref="I42:J42"/>
    <mergeCell ref="B41:E41"/>
    <mergeCell ref="F41:G41"/>
    <mergeCell ref="A46:A47"/>
    <mergeCell ref="B46:D46"/>
    <mergeCell ref="F46:G46"/>
    <mergeCell ref="A1:F1"/>
    <mergeCell ref="A3:A5"/>
    <mergeCell ref="A6:A7"/>
    <mergeCell ref="C13:C15"/>
    <mergeCell ref="E13:E15"/>
    <mergeCell ref="B13:B15"/>
    <mergeCell ref="G13:G15"/>
    <mergeCell ref="B4:B5"/>
    <mergeCell ref="C4:C5"/>
    <mergeCell ref="D4:D5"/>
    <mergeCell ref="A41:A43"/>
    <mergeCell ref="B29:B30"/>
    <mergeCell ref="A29:A30"/>
    <mergeCell ref="E29:E30"/>
    <mergeCell ref="F29:F30"/>
    <mergeCell ref="H29:H30"/>
    <mergeCell ref="A21:H21"/>
    <mergeCell ref="G4:G5"/>
    <mergeCell ref="A11:G11"/>
    <mergeCell ref="D13:D15"/>
    <mergeCell ref="F13:F15"/>
    <mergeCell ref="E4:E5"/>
    <mergeCell ref="F4:F5"/>
  </mergeCells>
  <phoneticPr fontId="8" type="noConversion"/>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BN106"/>
  <sheetViews>
    <sheetView topLeftCell="D1" zoomScale="80" zoomScaleNormal="80" workbookViewId="0">
      <selection sqref="A1:X1"/>
    </sheetView>
  </sheetViews>
  <sheetFormatPr defaultColWidth="9.28515625" defaultRowHeight="13.9"/>
  <cols>
    <col min="1" max="1" width="24.85546875" style="155" customWidth="1"/>
    <col min="2" max="2" width="13.5703125" style="157" customWidth="1"/>
    <col min="3" max="3" width="29.140625" style="155" customWidth="1"/>
    <col min="4" max="4" width="40.85546875" style="155" customWidth="1"/>
    <col min="5" max="5" width="15.7109375" style="155" customWidth="1"/>
    <col min="6" max="6" width="10.7109375" style="155" customWidth="1"/>
    <col min="7" max="7" width="19.28515625" style="158" customWidth="1"/>
    <col min="8" max="8" width="45.85546875" style="155" customWidth="1"/>
    <col min="9" max="9" width="6.85546875" style="155" customWidth="1"/>
    <col min="10" max="12" width="7" style="155" customWidth="1"/>
    <col min="13" max="13" width="7.85546875" style="155" customWidth="1"/>
    <col min="14" max="14" width="8.7109375" style="155" customWidth="1"/>
    <col min="15" max="15" width="7" style="155" customWidth="1"/>
    <col min="16" max="16" width="7.140625" style="155" customWidth="1"/>
    <col min="17" max="17" width="7.5703125" style="155" customWidth="1"/>
    <col min="18" max="21" width="7" style="155" customWidth="1"/>
    <col min="22" max="22" width="7.7109375" style="155" customWidth="1"/>
    <col min="23" max="23" width="7" style="155" customWidth="1"/>
    <col min="24" max="24" width="7.5703125" style="155" customWidth="1"/>
    <col min="25" max="25" width="9.28515625" style="155"/>
    <col min="26" max="29" width="7.7109375" style="155" customWidth="1"/>
    <col min="30" max="30" width="9.7109375" style="155" customWidth="1"/>
    <col min="31" max="31" width="7.5703125" style="155" customWidth="1"/>
    <col min="32" max="32" width="11.42578125" style="155" customWidth="1"/>
    <col min="33" max="34" width="7.7109375" style="155" customWidth="1"/>
    <col min="35" max="35" width="11.85546875" style="155" customWidth="1"/>
    <col min="36" max="37" width="7.7109375" style="155" customWidth="1"/>
    <col min="38" max="38" width="20.7109375" style="155" customWidth="1"/>
    <col min="39" max="39" width="27.7109375" style="155" customWidth="1"/>
    <col min="40" max="40" width="18.140625" style="155" customWidth="1"/>
    <col min="41" max="41" width="15.28515625" style="155" customWidth="1"/>
    <col min="42" max="45" width="10.42578125" style="155" customWidth="1"/>
    <col min="46" max="46" width="9.85546875" style="155" customWidth="1"/>
    <col min="47" max="47" width="10.42578125" style="155" customWidth="1"/>
    <col min="48" max="48" width="21.7109375" style="155" customWidth="1"/>
    <col min="49" max="49" width="10.42578125" style="155" customWidth="1"/>
    <col min="50" max="52" width="7.42578125" style="155" customWidth="1"/>
    <col min="53" max="53" width="7.7109375" style="155" customWidth="1"/>
    <col min="54" max="54" width="7.42578125" style="155" customWidth="1"/>
    <col min="55" max="55" width="13.7109375" style="155" customWidth="1"/>
    <col min="56" max="59" width="7.42578125" style="155" customWidth="1"/>
    <col min="60" max="61" width="9.7109375" style="155" bestFit="1" customWidth="1"/>
    <col min="62" max="16384" width="9.28515625" style="155"/>
  </cols>
  <sheetData>
    <row r="1" spans="1:24" ht="31.9" customHeight="1">
      <c r="A1" s="589" t="s">
        <v>274</v>
      </c>
      <c r="B1" s="589"/>
      <c r="C1" s="589"/>
      <c r="D1" s="589"/>
      <c r="E1" s="589"/>
      <c r="F1" s="589"/>
      <c r="G1" s="589"/>
      <c r="H1" s="589"/>
      <c r="I1" s="589"/>
      <c r="J1" s="589"/>
      <c r="K1" s="589"/>
      <c r="L1" s="589"/>
      <c r="M1" s="589"/>
      <c r="N1" s="589"/>
      <c r="O1" s="589"/>
      <c r="P1" s="589"/>
      <c r="Q1" s="589"/>
      <c r="R1" s="589"/>
      <c r="S1" s="589"/>
      <c r="T1" s="589"/>
      <c r="U1" s="589"/>
      <c r="V1" s="589"/>
      <c r="W1" s="589"/>
      <c r="X1" s="589"/>
    </row>
    <row r="2" spans="1:24" ht="28.15" customHeight="1">
      <c r="A2" s="195" t="s">
        <v>275</v>
      </c>
      <c r="B2" s="195" t="s">
        <v>6</v>
      </c>
      <c r="C2" s="195" t="s">
        <v>276</v>
      </c>
      <c r="D2" s="195" t="s">
        <v>277</v>
      </c>
      <c r="E2" s="273" t="s">
        <v>278</v>
      </c>
      <c r="F2" s="195" t="s">
        <v>194</v>
      </c>
      <c r="G2" s="202" t="s">
        <v>279</v>
      </c>
      <c r="H2" s="253" t="s">
        <v>200</v>
      </c>
      <c r="I2" s="195" t="s">
        <v>280</v>
      </c>
      <c r="J2" s="195" t="s">
        <v>281</v>
      </c>
      <c r="K2" s="195" t="s">
        <v>282</v>
      </c>
      <c r="L2" s="195" t="s">
        <v>283</v>
      </c>
      <c r="M2" s="195" t="s">
        <v>284</v>
      </c>
      <c r="N2" s="195" t="s">
        <v>285</v>
      </c>
      <c r="O2" s="195" t="s">
        <v>286</v>
      </c>
      <c r="P2" s="195" t="s">
        <v>287</v>
      </c>
      <c r="Q2" s="195" t="s">
        <v>288</v>
      </c>
      <c r="R2" s="195" t="s">
        <v>289</v>
      </c>
      <c r="S2" s="195" t="s">
        <v>290</v>
      </c>
      <c r="T2" s="195" t="s">
        <v>291</v>
      </c>
      <c r="U2" s="195" t="s">
        <v>292</v>
      </c>
      <c r="V2" s="195" t="s">
        <v>293</v>
      </c>
      <c r="W2" s="195" t="s">
        <v>294</v>
      </c>
      <c r="X2" s="195" t="s">
        <v>295</v>
      </c>
    </row>
    <row r="3" spans="1:24" ht="17.45" customHeight="1">
      <c r="A3" s="611" t="s">
        <v>296</v>
      </c>
      <c r="B3" s="611" t="s">
        <v>48</v>
      </c>
      <c r="C3" s="616" t="s">
        <v>297</v>
      </c>
      <c r="D3" s="629" t="s">
        <v>298</v>
      </c>
      <c r="E3" s="611" t="s">
        <v>299</v>
      </c>
      <c r="F3" s="266" t="s">
        <v>223</v>
      </c>
      <c r="G3" s="533" t="s">
        <v>300</v>
      </c>
      <c r="H3" s="274" t="s">
        <v>301</v>
      </c>
      <c r="I3" s="254">
        <v>0.35199999999999998</v>
      </c>
      <c r="J3" s="254">
        <v>0.35199999999999998</v>
      </c>
      <c r="K3" s="254">
        <v>0.35199999999999998</v>
      </c>
      <c r="L3" s="254">
        <v>0.35199999999999998</v>
      </c>
      <c r="M3" s="254">
        <v>0.35199999999999998</v>
      </c>
      <c r="N3" s="254">
        <v>0.35199999999999998</v>
      </c>
      <c r="O3" s="254">
        <v>0.35199999999999998</v>
      </c>
      <c r="P3" s="254">
        <v>0.35199999999999998</v>
      </c>
      <c r="Q3" s="254">
        <v>0.35199999999999998</v>
      </c>
      <c r="R3" s="254">
        <v>0.35199999999999998</v>
      </c>
      <c r="S3" s="254">
        <v>0.35199999999999998</v>
      </c>
      <c r="T3" s="254">
        <v>0.35199999999999998</v>
      </c>
      <c r="U3" s="254">
        <v>0.35199999999999998</v>
      </c>
      <c r="V3" s="254">
        <v>0.35199999999999998</v>
      </c>
      <c r="W3" s="254">
        <v>0.35199999999999998</v>
      </c>
      <c r="X3" s="254">
        <v>0.35199999999999998</v>
      </c>
    </row>
    <row r="4" spans="1:24" ht="51" customHeight="1">
      <c r="A4" s="612"/>
      <c r="B4" s="612"/>
      <c r="C4" s="627"/>
      <c r="D4" s="629"/>
      <c r="E4" s="612"/>
      <c r="F4" s="267" t="s">
        <v>227</v>
      </c>
      <c r="G4" s="255">
        <v>1986</v>
      </c>
      <c r="H4" s="284" t="s">
        <v>302</v>
      </c>
      <c r="I4" s="280">
        <f>1/4.7</f>
        <v>0.21276595744680851</v>
      </c>
      <c r="J4" s="280">
        <f>1/4.4</f>
        <v>0.22727272727272727</v>
      </c>
      <c r="K4" s="280">
        <f>1/4.4</f>
        <v>0.22727272727272727</v>
      </c>
      <c r="L4" s="280">
        <f>1/4.6</f>
        <v>0.21739130434782611</v>
      </c>
      <c r="M4" s="280">
        <f t="shared" ref="M4:R4" si="0">1/3.9</f>
        <v>0.25641025641025644</v>
      </c>
      <c r="N4" s="280">
        <f t="shared" si="0"/>
        <v>0.25641025641025644</v>
      </c>
      <c r="O4" s="280">
        <f t="shared" si="0"/>
        <v>0.25641025641025644</v>
      </c>
      <c r="P4" s="280">
        <f t="shared" si="0"/>
        <v>0.25641025641025644</v>
      </c>
      <c r="Q4" s="280">
        <f t="shared" si="0"/>
        <v>0.25641025641025644</v>
      </c>
      <c r="R4" s="280">
        <f t="shared" si="0"/>
        <v>0.25641025641025644</v>
      </c>
      <c r="S4" s="280">
        <f>1/4.2</f>
        <v>0.23809523809523808</v>
      </c>
      <c r="T4" s="280">
        <f>1/4.2</f>
        <v>0.23809523809523808</v>
      </c>
      <c r="U4" s="280">
        <f>1/4.2</f>
        <v>0.23809523809523808</v>
      </c>
      <c r="V4" s="280">
        <f>1/4.8</f>
        <v>0.20833333333333334</v>
      </c>
      <c r="W4" s="280">
        <f>1/4.8</f>
        <v>0.20833333333333334</v>
      </c>
      <c r="X4" s="280">
        <f>1/4.7</f>
        <v>0.21276595744680851</v>
      </c>
    </row>
    <row r="5" spans="1:24" ht="18.600000000000001" customHeight="1">
      <c r="A5" s="612"/>
      <c r="B5" s="612"/>
      <c r="C5" s="627"/>
      <c r="D5" s="629"/>
      <c r="E5" s="612"/>
      <c r="F5" s="278" t="s">
        <v>228</v>
      </c>
      <c r="G5" s="257">
        <v>2001</v>
      </c>
      <c r="H5" s="277" t="s">
        <v>303</v>
      </c>
      <c r="I5" s="258">
        <v>0.14000000000000001</v>
      </c>
      <c r="J5" s="257">
        <v>0.17499999999999999</v>
      </c>
      <c r="K5" s="257">
        <v>0.18099999999999999</v>
      </c>
      <c r="L5" s="257">
        <v>0.18099999999999999</v>
      </c>
      <c r="M5" s="257">
        <v>0.18099999999999999</v>
      </c>
      <c r="N5" s="257">
        <v>0.18099999999999999</v>
      </c>
      <c r="O5" s="257">
        <v>0.18099999999999999</v>
      </c>
      <c r="P5" s="257">
        <v>0.18099999999999999</v>
      </c>
      <c r="Q5" s="257">
        <v>0.18099999999999999</v>
      </c>
      <c r="R5" s="257">
        <v>0.17499999999999999</v>
      </c>
      <c r="S5" s="257">
        <v>0.17499999999999999</v>
      </c>
      <c r="T5" s="257">
        <v>0.17499999999999999</v>
      </c>
      <c r="U5" s="257">
        <v>0.17499999999999999</v>
      </c>
      <c r="V5" s="257">
        <v>0.17499999999999999</v>
      </c>
      <c r="W5" s="257">
        <v>0.17499999999999999</v>
      </c>
      <c r="X5" s="258">
        <v>0.14000000000000001</v>
      </c>
    </row>
    <row r="6" spans="1:24" ht="18.600000000000001" customHeight="1">
      <c r="A6" s="612"/>
      <c r="B6" s="612"/>
      <c r="C6" s="627"/>
      <c r="D6" s="629"/>
      <c r="E6" s="612"/>
      <c r="F6" s="275" t="s">
        <v>229</v>
      </c>
      <c r="G6" s="259">
        <v>2013</v>
      </c>
      <c r="H6" s="276" t="s">
        <v>304</v>
      </c>
      <c r="I6" s="259">
        <v>0.105</v>
      </c>
      <c r="J6" s="259">
        <v>0.105</v>
      </c>
      <c r="K6" s="259">
        <v>0.105</v>
      </c>
      <c r="L6" s="259">
        <v>0.105</v>
      </c>
      <c r="M6" s="259">
        <v>0.105</v>
      </c>
      <c r="N6" s="259">
        <v>0.105</v>
      </c>
      <c r="O6" s="259">
        <v>0.105</v>
      </c>
      <c r="P6" s="259">
        <v>0.105</v>
      </c>
      <c r="Q6" s="259">
        <v>0.105</v>
      </c>
      <c r="R6" s="259">
        <v>0.105</v>
      </c>
      <c r="S6" s="259">
        <v>0.105</v>
      </c>
      <c r="T6" s="259">
        <v>0.105</v>
      </c>
      <c r="U6" s="259">
        <v>0.105</v>
      </c>
      <c r="V6" s="259">
        <v>0.105</v>
      </c>
      <c r="W6" s="259">
        <v>0.105</v>
      </c>
      <c r="X6" s="259">
        <v>0.105</v>
      </c>
    </row>
    <row r="7" spans="1:24" ht="18.600000000000001" customHeight="1">
      <c r="A7" s="613"/>
      <c r="B7" s="613"/>
      <c r="C7" s="617"/>
      <c r="D7" s="629"/>
      <c r="E7" s="613"/>
      <c r="F7" s="279" t="s">
        <v>305</v>
      </c>
      <c r="G7" s="261">
        <v>2025</v>
      </c>
      <c r="H7" s="281" t="s">
        <v>304</v>
      </c>
      <c r="I7" s="262">
        <v>6.9000000000000006E-2</v>
      </c>
      <c r="J7" s="262">
        <v>6.9000000000000006E-2</v>
      </c>
      <c r="K7" s="262">
        <v>6.9000000000000006E-2</v>
      </c>
      <c r="L7" s="262">
        <v>6.9000000000000006E-2</v>
      </c>
      <c r="M7" s="262">
        <v>6.9000000000000006E-2</v>
      </c>
      <c r="N7" s="262">
        <v>6.9000000000000006E-2</v>
      </c>
      <c r="O7" s="262">
        <v>0.105</v>
      </c>
      <c r="P7" s="262">
        <v>6.9000000000000006E-2</v>
      </c>
      <c r="Q7" s="262">
        <v>6.9000000000000006E-2</v>
      </c>
      <c r="R7" s="262">
        <v>6.9000000000000006E-2</v>
      </c>
      <c r="S7" s="262">
        <v>6.9000000000000006E-2</v>
      </c>
      <c r="T7" s="262">
        <v>6.9000000000000006E-2</v>
      </c>
      <c r="U7" s="262">
        <v>6.9000000000000006E-2</v>
      </c>
      <c r="V7" s="262">
        <v>6.9000000000000006E-2</v>
      </c>
      <c r="W7" s="262">
        <v>4.8000000000000001E-2</v>
      </c>
      <c r="X7" s="262">
        <v>6.9000000000000006E-2</v>
      </c>
    </row>
    <row r="8" spans="1:24" ht="16.899999999999999" customHeight="1">
      <c r="A8" s="611" t="s">
        <v>306</v>
      </c>
      <c r="B8" s="611" t="s">
        <v>48</v>
      </c>
      <c r="C8" s="616" t="s">
        <v>307</v>
      </c>
      <c r="D8" s="628" t="s">
        <v>308</v>
      </c>
      <c r="E8" s="611" t="s">
        <v>299</v>
      </c>
      <c r="F8" s="266" t="s">
        <v>223</v>
      </c>
      <c r="G8" s="533" t="s">
        <v>300</v>
      </c>
      <c r="H8" s="274" t="s">
        <v>301</v>
      </c>
      <c r="I8" s="254">
        <v>0.35199999999999998</v>
      </c>
      <c r="J8" s="254">
        <v>0.35199999999999998</v>
      </c>
      <c r="K8" s="254">
        <v>0.35199999999999998</v>
      </c>
      <c r="L8" s="254">
        <v>0.35199999999999998</v>
      </c>
      <c r="M8" s="254">
        <v>0.35199999999999998</v>
      </c>
      <c r="N8" s="254">
        <v>0.35199999999999998</v>
      </c>
      <c r="O8" s="254">
        <v>0.35199999999999998</v>
      </c>
      <c r="P8" s="254">
        <v>0.35199999999999998</v>
      </c>
      <c r="Q8" s="254">
        <v>0.35199999999999998</v>
      </c>
      <c r="R8" s="254">
        <v>0.35199999999999998</v>
      </c>
      <c r="S8" s="254">
        <v>0.35199999999999998</v>
      </c>
      <c r="T8" s="254">
        <v>0.35199999999999998</v>
      </c>
      <c r="U8" s="254">
        <v>0.35199999999999998</v>
      </c>
      <c r="V8" s="254">
        <v>0.35199999999999998</v>
      </c>
      <c r="W8" s="254">
        <v>0.35199999999999998</v>
      </c>
      <c r="X8" s="254">
        <v>0.35199999999999998</v>
      </c>
    </row>
    <row r="9" spans="1:24" ht="34.15" customHeight="1">
      <c r="A9" s="612"/>
      <c r="B9" s="612"/>
      <c r="C9" s="627"/>
      <c r="D9" s="628"/>
      <c r="E9" s="612"/>
      <c r="F9" s="267" t="s">
        <v>227</v>
      </c>
      <c r="G9" s="255">
        <v>1986</v>
      </c>
      <c r="H9" s="284" t="s">
        <v>302</v>
      </c>
      <c r="I9" s="256">
        <v>0.21276595744680851</v>
      </c>
      <c r="J9" s="256">
        <v>0.22727272727272727</v>
      </c>
      <c r="K9" s="256">
        <v>0.22727272727272727</v>
      </c>
      <c r="L9" s="256">
        <v>0.21739130434782611</v>
      </c>
      <c r="M9" s="256">
        <v>0.25641025641025644</v>
      </c>
      <c r="N9" s="256">
        <v>0.25641025641025644</v>
      </c>
      <c r="O9" s="256">
        <v>0.25641025641025644</v>
      </c>
      <c r="P9" s="256">
        <v>0.25641025641025644</v>
      </c>
      <c r="Q9" s="256">
        <v>0.25641025641025644</v>
      </c>
      <c r="R9" s="256">
        <v>0.25641025641025644</v>
      </c>
      <c r="S9" s="256">
        <v>0.23809523809523808</v>
      </c>
      <c r="T9" s="256">
        <v>0.23809523809523808</v>
      </c>
      <c r="U9" s="256">
        <v>0.23809523809523808</v>
      </c>
      <c r="V9" s="256">
        <v>0.20833333333333334</v>
      </c>
      <c r="W9" s="256">
        <v>0.20833333333333334</v>
      </c>
      <c r="X9" s="256">
        <v>0.21276595744680851</v>
      </c>
    </row>
    <row r="10" spans="1:24" ht="19.149999999999999" customHeight="1">
      <c r="A10" s="612"/>
      <c r="B10" s="612"/>
      <c r="C10" s="627"/>
      <c r="D10" s="628"/>
      <c r="E10" s="612"/>
      <c r="F10" s="268" t="s">
        <v>228</v>
      </c>
      <c r="G10" s="257">
        <v>2001</v>
      </c>
      <c r="H10" s="500" t="s">
        <v>309</v>
      </c>
      <c r="I10" s="258">
        <v>0.182</v>
      </c>
      <c r="J10" s="258">
        <v>0.182</v>
      </c>
      <c r="K10" s="258">
        <v>0.189</v>
      </c>
      <c r="L10" s="258">
        <v>0.189</v>
      </c>
      <c r="M10" s="258">
        <v>0.189</v>
      </c>
      <c r="N10" s="258">
        <v>0.189</v>
      </c>
      <c r="O10" s="258">
        <v>0.189</v>
      </c>
      <c r="P10" s="258">
        <v>0.189</v>
      </c>
      <c r="Q10" s="258">
        <v>0.189</v>
      </c>
      <c r="R10" s="258">
        <v>0.182</v>
      </c>
      <c r="S10" s="258">
        <v>0.182</v>
      </c>
      <c r="T10" s="258">
        <v>0.182</v>
      </c>
      <c r="U10" s="258">
        <v>0.182</v>
      </c>
      <c r="V10" s="258">
        <v>0.182</v>
      </c>
      <c r="W10" s="258">
        <v>0.182</v>
      </c>
      <c r="X10" s="258">
        <v>0.182</v>
      </c>
    </row>
    <row r="11" spans="1:24" ht="19.149999999999999" customHeight="1">
      <c r="A11" s="612"/>
      <c r="B11" s="612"/>
      <c r="C11" s="627"/>
      <c r="D11" s="628"/>
      <c r="E11" s="612"/>
      <c r="F11" s="275" t="s">
        <v>229</v>
      </c>
      <c r="G11" s="259">
        <v>2013</v>
      </c>
      <c r="H11" s="501" t="s">
        <v>310</v>
      </c>
      <c r="I11" s="259">
        <v>9.8000000000000004E-2</v>
      </c>
      <c r="J11" s="259">
        <v>6.2E-2</v>
      </c>
      <c r="K11" s="259">
        <v>8.2000000000000003E-2</v>
      </c>
      <c r="L11" s="259">
        <v>6.2E-2</v>
      </c>
      <c r="M11" s="259">
        <v>6.2E-2</v>
      </c>
      <c r="N11" s="259">
        <v>9.8000000000000004E-2</v>
      </c>
      <c r="O11" s="259">
        <v>9.8000000000000004E-2</v>
      </c>
      <c r="P11" s="259">
        <v>6.2E-2</v>
      </c>
      <c r="Q11" s="259">
        <v>6.2E-2</v>
      </c>
      <c r="R11" s="259">
        <v>6.2E-2</v>
      </c>
      <c r="S11" s="259">
        <v>6.2E-2</v>
      </c>
      <c r="T11" s="259">
        <v>6.2E-2</v>
      </c>
      <c r="U11" s="259">
        <v>6.2E-2</v>
      </c>
      <c r="V11" s="259">
        <v>6.2E-2</v>
      </c>
      <c r="W11" s="259">
        <v>6.2E-2</v>
      </c>
      <c r="X11" s="259">
        <v>6.2E-2</v>
      </c>
    </row>
    <row r="12" spans="1:24" ht="19.149999999999999" customHeight="1">
      <c r="A12" s="613"/>
      <c r="B12" s="613"/>
      <c r="C12" s="617"/>
      <c r="D12" s="628"/>
      <c r="E12" s="613"/>
      <c r="F12" s="279" t="s">
        <v>305</v>
      </c>
      <c r="G12" s="261">
        <v>2025</v>
      </c>
      <c r="H12" s="502" t="s">
        <v>310</v>
      </c>
      <c r="I12" s="262">
        <v>0.06</v>
      </c>
      <c r="J12" s="261">
        <v>5.5E-2</v>
      </c>
      <c r="K12" s="261">
        <v>7.0999999999999994E-2</v>
      </c>
      <c r="L12" s="261">
        <v>5.5E-2</v>
      </c>
      <c r="M12" s="261">
        <v>5.5E-2</v>
      </c>
      <c r="N12" s="262">
        <v>0.06</v>
      </c>
      <c r="O12" s="262">
        <v>0.06</v>
      </c>
      <c r="P12" s="261">
        <v>5.5E-2</v>
      </c>
      <c r="Q12" s="261">
        <v>5.5E-2</v>
      </c>
      <c r="R12" s="261">
        <v>5.5E-2</v>
      </c>
      <c r="S12" s="261">
        <v>5.5E-2</v>
      </c>
      <c r="T12" s="261">
        <v>5.5E-2</v>
      </c>
      <c r="U12" s="261">
        <v>5.5E-2</v>
      </c>
      <c r="V12" s="261">
        <v>5.5E-2</v>
      </c>
      <c r="W12" s="261">
        <v>5.5E-2</v>
      </c>
      <c r="X12" s="261">
        <v>5.5E-2</v>
      </c>
    </row>
    <row r="13" spans="1:24" ht="20.45" customHeight="1">
      <c r="A13" s="611" t="s">
        <v>311</v>
      </c>
      <c r="B13" s="611" t="s">
        <v>48</v>
      </c>
      <c r="C13" s="616" t="s">
        <v>312</v>
      </c>
      <c r="D13" s="618" t="s">
        <v>313</v>
      </c>
      <c r="E13" s="611" t="s">
        <v>299</v>
      </c>
      <c r="F13" s="266" t="s">
        <v>223</v>
      </c>
      <c r="G13" s="533" t="s">
        <v>300</v>
      </c>
      <c r="H13" s="614" t="s">
        <v>314</v>
      </c>
      <c r="I13" s="263">
        <v>3.6999999999999998E-2</v>
      </c>
      <c r="J13" s="263">
        <v>5.0999999999999997E-2</v>
      </c>
      <c r="K13" s="263">
        <v>5.0999999999999997E-2</v>
      </c>
      <c r="L13" s="263">
        <v>5.0999999999999997E-2</v>
      </c>
      <c r="M13" s="263">
        <v>5.0999999999999997E-2</v>
      </c>
      <c r="N13" s="263">
        <v>5.0999999999999997E-2</v>
      </c>
      <c r="O13" s="263">
        <v>5.0999999999999997E-2</v>
      </c>
      <c r="P13" s="263">
        <v>5.0999999999999997E-2</v>
      </c>
      <c r="Q13" s="263">
        <v>5.0999999999999997E-2</v>
      </c>
      <c r="R13" s="263">
        <v>5.0999999999999997E-2</v>
      </c>
      <c r="S13" s="263">
        <v>3.6999999999999998E-2</v>
      </c>
      <c r="T13" s="263">
        <v>3.6999999999999998E-2</v>
      </c>
      <c r="U13" s="263">
        <v>3.6999999999999998E-2</v>
      </c>
      <c r="V13" s="263">
        <v>3.6999999999999998E-2</v>
      </c>
      <c r="W13" s="263">
        <v>3.6999999999999998E-2</v>
      </c>
      <c r="X13" s="263">
        <v>3.6999999999999998E-2</v>
      </c>
    </row>
    <row r="14" spans="1:24" ht="20.45" customHeight="1">
      <c r="A14" s="612"/>
      <c r="B14" s="612"/>
      <c r="C14" s="627"/>
      <c r="D14" s="619"/>
      <c r="E14" s="612"/>
      <c r="F14" s="266" t="s">
        <v>227</v>
      </c>
      <c r="G14" s="533" t="s">
        <v>300</v>
      </c>
      <c r="H14" s="615"/>
      <c r="I14" s="255">
        <v>3.6999999999999998E-2</v>
      </c>
      <c r="J14" s="255">
        <v>5.0999999999999997E-2</v>
      </c>
      <c r="K14" s="255">
        <v>5.0999999999999997E-2</v>
      </c>
      <c r="L14" s="255">
        <v>5.0999999999999997E-2</v>
      </c>
      <c r="M14" s="255">
        <v>5.0999999999999997E-2</v>
      </c>
      <c r="N14" s="255">
        <v>5.0999999999999997E-2</v>
      </c>
      <c r="O14" s="255">
        <v>5.0999999999999997E-2</v>
      </c>
      <c r="P14" s="255">
        <v>5.0999999999999997E-2</v>
      </c>
      <c r="Q14" s="255">
        <v>5.0999999999999997E-2</v>
      </c>
      <c r="R14" s="255">
        <v>5.0999999999999997E-2</v>
      </c>
      <c r="S14" s="255">
        <v>3.6999999999999998E-2</v>
      </c>
      <c r="T14" s="255">
        <v>3.6999999999999998E-2</v>
      </c>
      <c r="U14" s="255">
        <v>3.6999999999999998E-2</v>
      </c>
      <c r="V14" s="255">
        <v>3.6999999999999998E-2</v>
      </c>
      <c r="W14" s="255">
        <v>3.6999999999999998E-2</v>
      </c>
      <c r="X14" s="255">
        <v>3.6999999999999998E-2</v>
      </c>
    </row>
    <row r="15" spans="1:24" ht="18.600000000000001" customHeight="1">
      <c r="A15" s="612"/>
      <c r="B15" s="612"/>
      <c r="C15" s="627"/>
      <c r="D15" s="619"/>
      <c r="E15" s="612"/>
      <c r="F15" s="278" t="s">
        <v>228</v>
      </c>
      <c r="G15" s="257">
        <v>2001</v>
      </c>
      <c r="H15" s="503" t="s">
        <v>303</v>
      </c>
      <c r="I15" s="257">
        <v>3.6999999999999998E-2</v>
      </c>
      <c r="J15" s="257">
        <v>3.6999999999999998E-2</v>
      </c>
      <c r="K15" s="257">
        <v>5.0999999999999997E-2</v>
      </c>
      <c r="L15" s="257">
        <v>5.0999999999999997E-2</v>
      </c>
      <c r="M15" s="257">
        <v>5.0999999999999997E-2</v>
      </c>
      <c r="N15" s="257">
        <v>5.0999999999999997E-2</v>
      </c>
      <c r="O15" s="257">
        <v>5.0999999999999997E-2</v>
      </c>
      <c r="P15" s="257">
        <v>5.0999999999999997E-2</v>
      </c>
      <c r="Q15" s="257">
        <v>5.0999999999999997E-2</v>
      </c>
      <c r="R15" s="257">
        <v>3.6999999999999998E-2</v>
      </c>
      <c r="S15" s="257">
        <v>3.6999999999999998E-2</v>
      </c>
      <c r="T15" s="257">
        <v>3.6999999999999998E-2</v>
      </c>
      <c r="U15" s="257">
        <v>3.6999999999999998E-2</v>
      </c>
      <c r="V15" s="257">
        <v>3.6999999999999998E-2</v>
      </c>
      <c r="W15" s="257">
        <v>3.6999999999999998E-2</v>
      </c>
      <c r="X15" s="257">
        <v>3.6999999999999998E-2</v>
      </c>
    </row>
    <row r="16" spans="1:24" ht="18.600000000000001" customHeight="1">
      <c r="A16" s="612"/>
      <c r="B16" s="612"/>
      <c r="C16" s="627"/>
      <c r="D16" s="619"/>
      <c r="E16" s="612"/>
      <c r="F16" s="275" t="s">
        <v>229</v>
      </c>
      <c r="G16" s="259">
        <v>2013</v>
      </c>
      <c r="H16" s="504" t="s">
        <v>304</v>
      </c>
      <c r="I16" s="259">
        <v>3.4000000000000002E-2</v>
      </c>
      <c r="J16" s="259">
        <v>2.8000000000000001E-2</v>
      </c>
      <c r="K16" s="259">
        <v>3.9E-2</v>
      </c>
      <c r="L16" s="259">
        <v>2.8000000000000001E-2</v>
      </c>
      <c r="M16" s="259">
        <v>3.9E-2</v>
      </c>
      <c r="N16" s="259">
        <v>3.9E-2</v>
      </c>
      <c r="O16" s="259">
        <v>3.9E-2</v>
      </c>
      <c r="P16" s="259">
        <v>2.8000000000000001E-2</v>
      </c>
      <c r="Q16" s="259">
        <v>2.8000000000000001E-2</v>
      </c>
      <c r="R16" s="259">
        <v>2.8000000000000001E-2</v>
      </c>
      <c r="S16" s="259">
        <v>2.8000000000000001E-2</v>
      </c>
      <c r="T16" s="259">
        <v>2.8000000000000001E-2</v>
      </c>
      <c r="U16" s="259">
        <v>2.8000000000000001E-2</v>
      </c>
      <c r="V16" s="259">
        <v>2.8000000000000001E-2</v>
      </c>
      <c r="W16" s="259">
        <v>2.8000000000000001E-2</v>
      </c>
      <c r="X16" s="259">
        <v>2.8000000000000001E-2</v>
      </c>
    </row>
    <row r="17" spans="1:61" ht="18.600000000000001" customHeight="1">
      <c r="A17" s="613"/>
      <c r="B17" s="613"/>
      <c r="C17" s="617"/>
      <c r="D17" s="620"/>
      <c r="E17" s="613"/>
      <c r="F17" s="279" t="s">
        <v>305</v>
      </c>
      <c r="G17" s="261">
        <v>2025</v>
      </c>
      <c r="H17" s="505" t="s">
        <v>304</v>
      </c>
      <c r="I17" s="261">
        <v>2.8000000000000001E-2</v>
      </c>
      <c r="J17" s="261">
        <v>2.8000000000000001E-2</v>
      </c>
      <c r="K17" s="261">
        <v>3.4000000000000002E-2</v>
      </c>
      <c r="L17" s="261">
        <v>2.8000000000000001E-2</v>
      </c>
      <c r="M17" s="261">
        <v>3.4000000000000002E-2</v>
      </c>
      <c r="N17" s="261">
        <v>3.4000000000000002E-2</v>
      </c>
      <c r="O17" s="261">
        <v>3.9E-2</v>
      </c>
      <c r="P17" s="261">
        <v>2.8000000000000001E-2</v>
      </c>
      <c r="Q17" s="261">
        <v>2.8000000000000001E-2</v>
      </c>
      <c r="R17" s="261">
        <v>2.8000000000000001E-2</v>
      </c>
      <c r="S17" s="261">
        <v>2.8000000000000001E-2</v>
      </c>
      <c r="T17" s="261">
        <v>2.8000000000000001E-2</v>
      </c>
      <c r="U17" s="261">
        <v>2.8000000000000001E-2</v>
      </c>
      <c r="V17" s="261">
        <v>2.8000000000000001E-2</v>
      </c>
      <c r="W17" s="261">
        <v>2.8000000000000001E-2</v>
      </c>
      <c r="X17" s="261">
        <v>2.8000000000000001E-2</v>
      </c>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row>
    <row r="18" spans="1:61" ht="17.45" customHeight="1">
      <c r="A18" s="611" t="s">
        <v>315</v>
      </c>
      <c r="B18" s="611" t="s">
        <v>48</v>
      </c>
      <c r="C18" s="611" t="s">
        <v>316</v>
      </c>
      <c r="D18" s="588" t="s">
        <v>317</v>
      </c>
      <c r="E18" s="593" t="s">
        <v>299</v>
      </c>
      <c r="F18" s="266" t="s">
        <v>223</v>
      </c>
      <c r="G18" s="533" t="s">
        <v>300</v>
      </c>
      <c r="H18" s="614" t="s">
        <v>318</v>
      </c>
      <c r="I18" s="264">
        <f t="shared" ref="I18:X19" si="1">0.33*1.12+0.67*0.36</f>
        <v>0.61080000000000001</v>
      </c>
      <c r="J18" s="264">
        <f t="shared" si="1"/>
        <v>0.61080000000000001</v>
      </c>
      <c r="K18" s="264">
        <f t="shared" si="1"/>
        <v>0.61080000000000001</v>
      </c>
      <c r="L18" s="264">
        <f t="shared" si="1"/>
        <v>0.61080000000000001</v>
      </c>
      <c r="M18" s="264">
        <f t="shared" si="1"/>
        <v>0.61080000000000001</v>
      </c>
      <c r="N18" s="264">
        <f t="shared" si="1"/>
        <v>0.61080000000000001</v>
      </c>
      <c r="O18" s="264">
        <f t="shared" si="1"/>
        <v>0.61080000000000001</v>
      </c>
      <c r="P18" s="264">
        <f t="shared" si="1"/>
        <v>0.61080000000000001</v>
      </c>
      <c r="Q18" s="264">
        <f t="shared" si="1"/>
        <v>0.61080000000000001</v>
      </c>
      <c r="R18" s="264">
        <f t="shared" si="1"/>
        <v>0.61080000000000001</v>
      </c>
      <c r="S18" s="264">
        <f t="shared" si="1"/>
        <v>0.61080000000000001</v>
      </c>
      <c r="T18" s="264">
        <f t="shared" si="1"/>
        <v>0.61080000000000001</v>
      </c>
      <c r="U18" s="264">
        <f t="shared" si="1"/>
        <v>0.61080000000000001</v>
      </c>
      <c r="V18" s="264">
        <f t="shared" si="1"/>
        <v>0.61080000000000001</v>
      </c>
      <c r="W18" s="264">
        <f t="shared" si="1"/>
        <v>0.61080000000000001</v>
      </c>
      <c r="X18" s="264">
        <f t="shared" si="1"/>
        <v>0.61080000000000001</v>
      </c>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row>
    <row r="19" spans="1:61" ht="17.45" customHeight="1">
      <c r="A19" s="612"/>
      <c r="B19" s="612"/>
      <c r="C19" s="612"/>
      <c r="D19" s="588"/>
      <c r="E19" s="593"/>
      <c r="F19" s="266" t="s">
        <v>227</v>
      </c>
      <c r="G19" s="533" t="s">
        <v>300</v>
      </c>
      <c r="H19" s="615"/>
      <c r="I19" s="264">
        <f t="shared" si="1"/>
        <v>0.61080000000000001</v>
      </c>
      <c r="J19" s="264">
        <f t="shared" si="1"/>
        <v>0.61080000000000001</v>
      </c>
      <c r="K19" s="264">
        <f t="shared" si="1"/>
        <v>0.61080000000000001</v>
      </c>
      <c r="L19" s="264">
        <f t="shared" si="1"/>
        <v>0.61080000000000001</v>
      </c>
      <c r="M19" s="264">
        <f t="shared" si="1"/>
        <v>0.61080000000000001</v>
      </c>
      <c r="N19" s="264">
        <f t="shared" si="1"/>
        <v>0.61080000000000001</v>
      </c>
      <c r="O19" s="264">
        <f t="shared" si="1"/>
        <v>0.61080000000000001</v>
      </c>
      <c r="P19" s="264">
        <f t="shared" si="1"/>
        <v>0.61080000000000001</v>
      </c>
      <c r="Q19" s="264">
        <f t="shared" si="1"/>
        <v>0.61080000000000001</v>
      </c>
      <c r="R19" s="264">
        <f t="shared" si="1"/>
        <v>0.61080000000000001</v>
      </c>
      <c r="S19" s="264">
        <f t="shared" si="1"/>
        <v>0.61080000000000001</v>
      </c>
      <c r="T19" s="264">
        <f t="shared" si="1"/>
        <v>0.61080000000000001</v>
      </c>
      <c r="U19" s="264">
        <f t="shared" si="1"/>
        <v>0.61080000000000001</v>
      </c>
      <c r="V19" s="264">
        <f t="shared" si="1"/>
        <v>0.61080000000000001</v>
      </c>
      <c r="W19" s="264">
        <f t="shared" si="1"/>
        <v>0.61080000000000001</v>
      </c>
      <c r="X19" s="264">
        <f t="shared" si="1"/>
        <v>0.61080000000000001</v>
      </c>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row>
    <row r="20" spans="1:61" ht="17.45" customHeight="1">
      <c r="A20" s="612"/>
      <c r="B20" s="612"/>
      <c r="C20" s="612"/>
      <c r="D20" s="611" t="s">
        <v>319</v>
      </c>
      <c r="E20" s="593"/>
      <c r="F20" s="278" t="s">
        <v>228</v>
      </c>
      <c r="G20" s="257">
        <v>2001</v>
      </c>
      <c r="H20" s="500" t="s">
        <v>303</v>
      </c>
      <c r="I20" s="257">
        <v>0.49</v>
      </c>
      <c r="J20" s="257">
        <v>0.49</v>
      </c>
      <c r="K20" s="257">
        <v>0.49</v>
      </c>
      <c r="L20" s="257">
        <v>0.49</v>
      </c>
      <c r="M20" s="257">
        <v>0.49</v>
      </c>
      <c r="N20" s="257">
        <v>0.49</v>
      </c>
      <c r="O20" s="257">
        <v>0.49</v>
      </c>
      <c r="P20" s="257">
        <v>0.49</v>
      </c>
      <c r="Q20" s="257">
        <v>0.49</v>
      </c>
      <c r="R20" s="257">
        <v>0.49</v>
      </c>
      <c r="S20" s="257">
        <v>0.49</v>
      </c>
      <c r="T20" s="257">
        <v>0.49</v>
      </c>
      <c r="U20" s="257">
        <v>0.49</v>
      </c>
      <c r="V20" s="257">
        <v>0.49</v>
      </c>
      <c r="W20" s="257">
        <v>0.49</v>
      </c>
      <c r="X20" s="257">
        <v>0.49</v>
      </c>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row>
    <row r="21" spans="1:61" ht="17.45" customHeight="1">
      <c r="A21" s="612"/>
      <c r="B21" s="612"/>
      <c r="C21" s="612"/>
      <c r="D21" s="612"/>
      <c r="E21" s="593"/>
      <c r="F21" s="275" t="s">
        <v>229</v>
      </c>
      <c r="G21" s="259">
        <v>2013</v>
      </c>
      <c r="H21" s="501" t="s">
        <v>304</v>
      </c>
      <c r="I21" s="259">
        <v>0.36</v>
      </c>
      <c r="J21" s="259">
        <v>0.36</v>
      </c>
      <c r="K21" s="259">
        <v>0.36</v>
      </c>
      <c r="L21" s="259">
        <v>0.36</v>
      </c>
      <c r="M21" s="259">
        <v>0.36</v>
      </c>
      <c r="N21" s="259">
        <v>0.36</v>
      </c>
      <c r="O21" s="259">
        <v>0.36</v>
      </c>
      <c r="P21" s="259">
        <v>0.36</v>
      </c>
      <c r="Q21" s="259">
        <v>0.36</v>
      </c>
      <c r="R21" s="259">
        <v>0.36</v>
      </c>
      <c r="S21" s="259">
        <v>0.36</v>
      </c>
      <c r="T21" s="259">
        <v>0.36</v>
      </c>
      <c r="U21" s="259">
        <v>0.36</v>
      </c>
      <c r="V21" s="259">
        <v>0.36</v>
      </c>
      <c r="W21" s="259">
        <v>0.36</v>
      </c>
      <c r="X21" s="259">
        <v>0.36</v>
      </c>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row>
    <row r="22" spans="1:61" ht="17.45" customHeight="1">
      <c r="A22" s="612"/>
      <c r="B22" s="612"/>
      <c r="C22" s="612"/>
      <c r="D22" s="613"/>
      <c r="E22" s="593"/>
      <c r="F22" s="279" t="s">
        <v>305</v>
      </c>
      <c r="G22" s="261">
        <v>2025</v>
      </c>
      <c r="H22" s="506" t="s">
        <v>304</v>
      </c>
      <c r="I22" s="261">
        <v>0.36</v>
      </c>
      <c r="J22" s="261">
        <v>0.36</v>
      </c>
      <c r="K22" s="261">
        <v>0.36</v>
      </c>
      <c r="L22" s="261">
        <v>0.36</v>
      </c>
      <c r="M22" s="261">
        <v>0.36</v>
      </c>
      <c r="N22" s="261">
        <v>0.36</v>
      </c>
      <c r="O22" s="261">
        <v>0.36</v>
      </c>
      <c r="P22" s="261">
        <v>0.36</v>
      </c>
      <c r="Q22" s="261">
        <v>0.36</v>
      </c>
      <c r="R22" s="261">
        <v>0.36</v>
      </c>
      <c r="S22" s="261">
        <v>0.36</v>
      </c>
      <c r="T22" s="261">
        <v>0.36</v>
      </c>
      <c r="U22" s="261">
        <v>0.36</v>
      </c>
      <c r="V22" s="261">
        <v>0.36</v>
      </c>
      <c r="W22" s="261">
        <v>0.36</v>
      </c>
      <c r="X22" s="261">
        <v>0.36</v>
      </c>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row>
    <row r="23" spans="1:61" ht="18" customHeight="1">
      <c r="A23" s="612"/>
      <c r="B23" s="612"/>
      <c r="C23" s="612"/>
      <c r="D23" s="616" t="s">
        <v>317</v>
      </c>
      <c r="E23" s="611" t="s">
        <v>320</v>
      </c>
      <c r="F23" s="266" t="s">
        <v>223</v>
      </c>
      <c r="G23" s="533" t="s">
        <v>300</v>
      </c>
      <c r="H23" s="614" t="s">
        <v>321</v>
      </c>
      <c r="I23" s="264">
        <f>0.79*0.33+0.67*I36</f>
        <v>0.42820000000000003</v>
      </c>
      <c r="J23" s="264">
        <f t="shared" ref="J23:X23" si="2">0.79*0.33+0.67*J36</f>
        <v>0.42820000000000003</v>
      </c>
      <c r="K23" s="264">
        <f t="shared" si="2"/>
        <v>0.42820000000000003</v>
      </c>
      <c r="L23" s="264">
        <f t="shared" si="2"/>
        <v>0.42820000000000003</v>
      </c>
      <c r="M23" s="264">
        <f t="shared" si="2"/>
        <v>0.42820000000000003</v>
      </c>
      <c r="N23" s="264">
        <f t="shared" si="2"/>
        <v>0.42820000000000003</v>
      </c>
      <c r="O23" s="264">
        <f t="shared" si="2"/>
        <v>0.42820000000000003</v>
      </c>
      <c r="P23" s="264">
        <f t="shared" si="2"/>
        <v>0.42820000000000003</v>
      </c>
      <c r="Q23" s="264">
        <f t="shared" si="2"/>
        <v>0.42820000000000003</v>
      </c>
      <c r="R23" s="264">
        <f t="shared" si="2"/>
        <v>0.42820000000000003</v>
      </c>
      <c r="S23" s="264">
        <f t="shared" si="2"/>
        <v>0.42820000000000003</v>
      </c>
      <c r="T23" s="264">
        <f t="shared" si="2"/>
        <v>0.42820000000000003</v>
      </c>
      <c r="U23" s="264">
        <f t="shared" si="2"/>
        <v>0.42820000000000003</v>
      </c>
      <c r="V23" s="264">
        <f t="shared" si="2"/>
        <v>0.42820000000000003</v>
      </c>
      <c r="W23" s="264">
        <f t="shared" si="2"/>
        <v>0.42820000000000003</v>
      </c>
      <c r="X23" s="264">
        <f t="shared" si="2"/>
        <v>0.42820000000000003</v>
      </c>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row>
    <row r="24" spans="1:61" ht="18" customHeight="1">
      <c r="A24" s="612"/>
      <c r="B24" s="612"/>
      <c r="C24" s="612"/>
      <c r="D24" s="617"/>
      <c r="E24" s="612"/>
      <c r="F24" s="266" t="s">
        <v>227</v>
      </c>
      <c r="G24" s="533" t="s">
        <v>300</v>
      </c>
      <c r="H24" s="615"/>
      <c r="I24" s="264">
        <f>0.79*0.33+0.67*I26</f>
        <v>0.42820000000000003</v>
      </c>
      <c r="J24" s="264">
        <f t="shared" ref="J24:X24" si="3">0.79*0.33+0.67*J26</f>
        <v>0.42820000000000003</v>
      </c>
      <c r="K24" s="264">
        <f t="shared" si="3"/>
        <v>0.42820000000000003</v>
      </c>
      <c r="L24" s="264">
        <f t="shared" si="3"/>
        <v>0.42820000000000003</v>
      </c>
      <c r="M24" s="264">
        <f t="shared" si="3"/>
        <v>0.42820000000000003</v>
      </c>
      <c r="N24" s="264">
        <f t="shared" si="3"/>
        <v>0.42820000000000003</v>
      </c>
      <c r="O24" s="264">
        <f t="shared" si="3"/>
        <v>0.42820000000000003</v>
      </c>
      <c r="P24" s="264">
        <f t="shared" si="3"/>
        <v>0.42820000000000003</v>
      </c>
      <c r="Q24" s="264">
        <f t="shared" si="3"/>
        <v>0.42820000000000003</v>
      </c>
      <c r="R24" s="264">
        <f t="shared" si="3"/>
        <v>0.42820000000000003</v>
      </c>
      <c r="S24" s="264">
        <f t="shared" si="3"/>
        <v>0.42820000000000003</v>
      </c>
      <c r="T24" s="264">
        <f t="shared" si="3"/>
        <v>0.42820000000000003</v>
      </c>
      <c r="U24" s="264">
        <f t="shared" si="3"/>
        <v>0.42820000000000003</v>
      </c>
      <c r="V24" s="264">
        <f t="shared" si="3"/>
        <v>0.42820000000000003</v>
      </c>
      <c r="W24" s="264">
        <f t="shared" si="3"/>
        <v>0.42820000000000003</v>
      </c>
      <c r="X24" s="264">
        <f t="shared" si="3"/>
        <v>0.42820000000000003</v>
      </c>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row>
    <row r="25" spans="1:61" ht="18" customHeight="1">
      <c r="A25" s="612"/>
      <c r="B25" s="612"/>
      <c r="C25" s="612"/>
      <c r="D25" s="611" t="s">
        <v>319</v>
      </c>
      <c r="E25" s="612"/>
      <c r="F25" s="278" t="s">
        <v>228</v>
      </c>
      <c r="G25" s="257">
        <v>2001</v>
      </c>
      <c r="H25" s="503" t="s">
        <v>322</v>
      </c>
      <c r="I25" s="499">
        <v>0.46</v>
      </c>
      <c r="J25" s="499">
        <v>0.36</v>
      </c>
      <c r="K25" s="499">
        <v>0.4</v>
      </c>
      <c r="L25" s="499">
        <v>0.4</v>
      </c>
      <c r="M25" s="499">
        <v>0.4</v>
      </c>
      <c r="N25" s="499">
        <v>0.4</v>
      </c>
      <c r="O25" s="499">
        <v>0.4</v>
      </c>
      <c r="P25" s="499">
        <v>0.4</v>
      </c>
      <c r="Q25" s="499">
        <v>0.4</v>
      </c>
      <c r="R25" s="499">
        <v>0.36</v>
      </c>
      <c r="S25" s="499">
        <v>0.36</v>
      </c>
      <c r="T25" s="499">
        <v>0.36</v>
      </c>
      <c r="U25" s="499">
        <v>0.36</v>
      </c>
      <c r="V25" s="499">
        <v>0.31</v>
      </c>
      <c r="W25" s="499">
        <v>0.31</v>
      </c>
      <c r="X25" s="499">
        <v>0.46</v>
      </c>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row>
    <row r="26" spans="1:61" ht="18" customHeight="1">
      <c r="A26" s="612"/>
      <c r="B26" s="612"/>
      <c r="C26" s="612"/>
      <c r="D26" s="612"/>
      <c r="E26" s="612"/>
      <c r="F26" s="275" t="s">
        <v>229</v>
      </c>
      <c r="G26" s="259">
        <v>2013</v>
      </c>
      <c r="H26" s="501" t="s">
        <v>304</v>
      </c>
      <c r="I26" s="259">
        <v>0.25</v>
      </c>
      <c r="J26" s="259">
        <v>0.25</v>
      </c>
      <c r="K26" s="259">
        <v>0.25</v>
      </c>
      <c r="L26" s="259">
        <v>0.25</v>
      </c>
      <c r="M26" s="259">
        <v>0.25</v>
      </c>
      <c r="N26" s="259">
        <v>0.25</v>
      </c>
      <c r="O26" s="259">
        <v>0.25</v>
      </c>
      <c r="P26" s="259">
        <v>0.25</v>
      </c>
      <c r="Q26" s="259">
        <v>0.25</v>
      </c>
      <c r="R26" s="259">
        <v>0.25</v>
      </c>
      <c r="S26" s="259">
        <v>0.25</v>
      </c>
      <c r="T26" s="259">
        <v>0.25</v>
      </c>
      <c r="U26" s="259">
        <v>0.25</v>
      </c>
      <c r="V26" s="259">
        <v>0.25</v>
      </c>
      <c r="W26" s="259">
        <v>0.25</v>
      </c>
      <c r="X26" s="259">
        <v>0.25</v>
      </c>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row>
    <row r="27" spans="1:61" ht="18" customHeight="1">
      <c r="A27" s="613"/>
      <c r="B27" s="613"/>
      <c r="C27" s="613"/>
      <c r="D27" s="613"/>
      <c r="E27" s="613"/>
      <c r="F27" s="279" t="s">
        <v>305</v>
      </c>
      <c r="G27" s="261">
        <v>2025</v>
      </c>
      <c r="H27" s="502" t="s">
        <v>304</v>
      </c>
      <c r="I27" s="261">
        <v>0.25</v>
      </c>
      <c r="J27" s="261">
        <v>0.25</v>
      </c>
      <c r="K27" s="261">
        <v>0.25</v>
      </c>
      <c r="L27" s="261">
        <v>0.25</v>
      </c>
      <c r="M27" s="261">
        <v>0.25</v>
      </c>
      <c r="N27" s="261">
        <v>0.25</v>
      </c>
      <c r="O27" s="261">
        <v>0.25</v>
      </c>
      <c r="P27" s="261">
        <v>0.25</v>
      </c>
      <c r="Q27" s="261">
        <v>0.25</v>
      </c>
      <c r="R27" s="261">
        <v>0.25</v>
      </c>
      <c r="S27" s="261">
        <v>0.25</v>
      </c>
      <c r="T27" s="261">
        <v>0.25</v>
      </c>
      <c r="U27" s="261">
        <v>0.25</v>
      </c>
      <c r="V27" s="261">
        <v>0.25</v>
      </c>
      <c r="W27" s="261">
        <v>0.25</v>
      </c>
      <c r="X27" s="261">
        <v>0.25</v>
      </c>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row>
    <row r="28" spans="1:61" ht="17.45" customHeight="1">
      <c r="A28" s="611" t="s">
        <v>323</v>
      </c>
      <c r="B28" s="611" t="s">
        <v>48</v>
      </c>
      <c r="C28" s="611" t="s">
        <v>324</v>
      </c>
      <c r="D28" s="588" t="s">
        <v>317</v>
      </c>
      <c r="E28" s="611" t="s">
        <v>299</v>
      </c>
      <c r="F28" s="266" t="s">
        <v>223</v>
      </c>
      <c r="G28" s="533" t="s">
        <v>300</v>
      </c>
      <c r="H28" s="614" t="s">
        <v>318</v>
      </c>
      <c r="I28" s="264">
        <f>0.338*1.12+0.67*0.36</f>
        <v>0.61976000000000009</v>
      </c>
      <c r="J28" s="264">
        <f t="shared" ref="J28:X29" si="4">0.338*1.12+0.67*0.36</f>
        <v>0.61976000000000009</v>
      </c>
      <c r="K28" s="264">
        <f t="shared" si="4"/>
        <v>0.61976000000000009</v>
      </c>
      <c r="L28" s="264">
        <f t="shared" si="4"/>
        <v>0.61976000000000009</v>
      </c>
      <c r="M28" s="264">
        <f t="shared" si="4"/>
        <v>0.61976000000000009</v>
      </c>
      <c r="N28" s="264">
        <f t="shared" si="4"/>
        <v>0.61976000000000009</v>
      </c>
      <c r="O28" s="264">
        <f t="shared" si="4"/>
        <v>0.61976000000000009</v>
      </c>
      <c r="P28" s="264">
        <f t="shared" si="4"/>
        <v>0.61976000000000009</v>
      </c>
      <c r="Q28" s="264">
        <f t="shared" si="4"/>
        <v>0.61976000000000009</v>
      </c>
      <c r="R28" s="264">
        <f t="shared" si="4"/>
        <v>0.61976000000000009</v>
      </c>
      <c r="S28" s="264">
        <f t="shared" si="4"/>
        <v>0.61976000000000009</v>
      </c>
      <c r="T28" s="264">
        <f t="shared" si="4"/>
        <v>0.61976000000000009</v>
      </c>
      <c r="U28" s="264">
        <f t="shared" si="4"/>
        <v>0.61976000000000009</v>
      </c>
      <c r="V28" s="264">
        <f t="shared" si="4"/>
        <v>0.61976000000000009</v>
      </c>
      <c r="W28" s="264">
        <f t="shared" si="4"/>
        <v>0.61976000000000009</v>
      </c>
      <c r="X28" s="264">
        <f t="shared" si="4"/>
        <v>0.61976000000000009</v>
      </c>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row>
    <row r="29" spans="1:61" ht="17.45" customHeight="1">
      <c r="A29" s="612"/>
      <c r="B29" s="612"/>
      <c r="C29" s="612"/>
      <c r="D29" s="588"/>
      <c r="E29" s="612"/>
      <c r="F29" s="266" t="s">
        <v>227</v>
      </c>
      <c r="G29" s="533" t="s">
        <v>300</v>
      </c>
      <c r="H29" s="615"/>
      <c r="I29" s="264">
        <f>0.338*1.12+0.67*0.36</f>
        <v>0.61976000000000009</v>
      </c>
      <c r="J29" s="264">
        <f t="shared" si="4"/>
        <v>0.61976000000000009</v>
      </c>
      <c r="K29" s="264">
        <f t="shared" si="4"/>
        <v>0.61976000000000009</v>
      </c>
      <c r="L29" s="264">
        <f t="shared" si="4"/>
        <v>0.61976000000000009</v>
      </c>
      <c r="M29" s="264">
        <f t="shared" si="4"/>
        <v>0.61976000000000009</v>
      </c>
      <c r="N29" s="264">
        <f t="shared" si="4"/>
        <v>0.61976000000000009</v>
      </c>
      <c r="O29" s="264">
        <f t="shared" si="4"/>
        <v>0.61976000000000009</v>
      </c>
      <c r="P29" s="264">
        <f t="shared" si="4"/>
        <v>0.61976000000000009</v>
      </c>
      <c r="Q29" s="264">
        <f t="shared" si="4"/>
        <v>0.61976000000000009</v>
      </c>
      <c r="R29" s="264">
        <f t="shared" si="4"/>
        <v>0.61976000000000009</v>
      </c>
      <c r="S29" s="264">
        <f t="shared" si="4"/>
        <v>0.61976000000000009</v>
      </c>
      <c r="T29" s="264">
        <f t="shared" si="4"/>
        <v>0.61976000000000009</v>
      </c>
      <c r="U29" s="264">
        <f t="shared" si="4"/>
        <v>0.61976000000000009</v>
      </c>
      <c r="V29" s="264">
        <f t="shared" si="4"/>
        <v>0.61976000000000009</v>
      </c>
      <c r="W29" s="264">
        <f t="shared" si="4"/>
        <v>0.61976000000000009</v>
      </c>
      <c r="X29" s="264">
        <f t="shared" si="4"/>
        <v>0.61976000000000009</v>
      </c>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row>
    <row r="30" spans="1:61" ht="17.45" customHeight="1">
      <c r="A30" s="612"/>
      <c r="B30" s="612"/>
      <c r="C30" s="612"/>
      <c r="D30" s="618" t="s">
        <v>319</v>
      </c>
      <c r="E30" s="612"/>
      <c r="F30" s="278" t="s">
        <v>228</v>
      </c>
      <c r="G30" s="257">
        <v>2001</v>
      </c>
      <c r="H30" s="500" t="s">
        <v>309</v>
      </c>
      <c r="I30" s="265">
        <v>0.49</v>
      </c>
      <c r="J30" s="265">
        <v>0.49</v>
      </c>
      <c r="K30" s="265">
        <v>0.81</v>
      </c>
      <c r="L30" s="265">
        <v>0.81</v>
      </c>
      <c r="M30" s="265">
        <v>0.81</v>
      </c>
      <c r="N30" s="265">
        <v>0.81</v>
      </c>
      <c r="O30" s="265">
        <v>0.81</v>
      </c>
      <c r="P30" s="265">
        <v>0.81</v>
      </c>
      <c r="Q30" s="265">
        <v>0.81</v>
      </c>
      <c r="R30" s="265">
        <v>0.49</v>
      </c>
      <c r="S30" s="265">
        <v>0.49</v>
      </c>
      <c r="T30" s="265">
        <v>0.49</v>
      </c>
      <c r="U30" s="265">
        <v>0.49</v>
      </c>
      <c r="V30" s="265">
        <v>0.49</v>
      </c>
      <c r="W30" s="265">
        <v>0.49</v>
      </c>
      <c r="X30" s="265">
        <v>0.49</v>
      </c>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row>
    <row r="31" spans="1:61" ht="17.45" customHeight="1">
      <c r="A31" s="612"/>
      <c r="B31" s="612"/>
      <c r="C31" s="612"/>
      <c r="D31" s="619"/>
      <c r="E31" s="612"/>
      <c r="F31" s="275" t="s">
        <v>229</v>
      </c>
      <c r="G31" s="259">
        <v>2013</v>
      </c>
      <c r="H31" s="501" t="s">
        <v>310</v>
      </c>
      <c r="I31" s="259">
        <v>0.36</v>
      </c>
      <c r="J31" s="259">
        <v>0.36</v>
      </c>
      <c r="K31" s="259">
        <v>0.36</v>
      </c>
      <c r="L31" s="259">
        <v>0.36</v>
      </c>
      <c r="M31" s="259">
        <v>0.36</v>
      </c>
      <c r="N31" s="259">
        <v>0.36</v>
      </c>
      <c r="O31" s="259">
        <v>0.36</v>
      </c>
      <c r="P31" s="259">
        <v>0.36</v>
      </c>
      <c r="Q31" s="259">
        <v>0.36</v>
      </c>
      <c r="R31" s="259">
        <v>0.36</v>
      </c>
      <c r="S31" s="259">
        <v>0.36</v>
      </c>
      <c r="T31" s="259">
        <v>0.36</v>
      </c>
      <c r="U31" s="259">
        <v>0.36</v>
      </c>
      <c r="V31" s="259">
        <v>0.36</v>
      </c>
      <c r="W31" s="259">
        <v>0.36</v>
      </c>
      <c r="X31" s="259">
        <v>0.36</v>
      </c>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row>
    <row r="32" spans="1:61" ht="17.45" customHeight="1">
      <c r="A32" s="612"/>
      <c r="B32" s="612"/>
      <c r="C32" s="612"/>
      <c r="D32" s="620"/>
      <c r="E32" s="613"/>
      <c r="F32" s="279" t="s">
        <v>305</v>
      </c>
      <c r="G32" s="261">
        <v>2025</v>
      </c>
      <c r="H32" s="502" t="s">
        <v>310</v>
      </c>
      <c r="I32" s="260">
        <v>0.36</v>
      </c>
      <c r="J32" s="260">
        <v>0.36</v>
      </c>
      <c r="K32" s="260">
        <v>0.36</v>
      </c>
      <c r="L32" s="260">
        <v>0.36</v>
      </c>
      <c r="M32" s="260">
        <v>0.36</v>
      </c>
      <c r="N32" s="260">
        <v>0.36</v>
      </c>
      <c r="O32" s="260">
        <v>0.36</v>
      </c>
      <c r="P32" s="260">
        <v>0.36</v>
      </c>
      <c r="Q32" s="260">
        <v>0.34</v>
      </c>
      <c r="R32" s="260">
        <v>0.36</v>
      </c>
      <c r="S32" s="261">
        <v>0.34</v>
      </c>
      <c r="T32" s="261">
        <v>0.34</v>
      </c>
      <c r="U32" s="261">
        <v>0.34</v>
      </c>
      <c r="V32" s="261">
        <v>0.34</v>
      </c>
      <c r="W32" s="261">
        <v>0.34</v>
      </c>
      <c r="X32" s="261">
        <v>0.36</v>
      </c>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row>
    <row r="33" spans="1:66" ht="18" customHeight="1">
      <c r="A33" s="612"/>
      <c r="B33" s="612"/>
      <c r="C33" s="612"/>
      <c r="D33" s="616" t="s">
        <v>317</v>
      </c>
      <c r="E33" s="611" t="s">
        <v>320</v>
      </c>
      <c r="F33" s="266" t="s">
        <v>223</v>
      </c>
      <c r="G33" s="533" t="s">
        <v>300</v>
      </c>
      <c r="H33" s="614" t="s">
        <v>321</v>
      </c>
      <c r="I33" s="264">
        <f>0.79*0.33+0.67*I36</f>
        <v>0.42820000000000003</v>
      </c>
      <c r="J33" s="264">
        <f t="shared" ref="J33:X33" si="5">0.79*0.33+0.67*J36</f>
        <v>0.42820000000000003</v>
      </c>
      <c r="K33" s="264">
        <f t="shared" si="5"/>
        <v>0.42820000000000003</v>
      </c>
      <c r="L33" s="264">
        <f t="shared" si="5"/>
        <v>0.42820000000000003</v>
      </c>
      <c r="M33" s="264">
        <f t="shared" si="5"/>
        <v>0.42820000000000003</v>
      </c>
      <c r="N33" s="264">
        <f t="shared" si="5"/>
        <v>0.42820000000000003</v>
      </c>
      <c r="O33" s="264">
        <f t="shared" si="5"/>
        <v>0.42820000000000003</v>
      </c>
      <c r="P33" s="264">
        <f t="shared" si="5"/>
        <v>0.42820000000000003</v>
      </c>
      <c r="Q33" s="264">
        <f t="shared" si="5"/>
        <v>0.42820000000000003</v>
      </c>
      <c r="R33" s="264">
        <f t="shared" si="5"/>
        <v>0.42820000000000003</v>
      </c>
      <c r="S33" s="264">
        <f t="shared" si="5"/>
        <v>0.42820000000000003</v>
      </c>
      <c r="T33" s="264">
        <f t="shared" si="5"/>
        <v>0.42820000000000003</v>
      </c>
      <c r="U33" s="264">
        <f t="shared" si="5"/>
        <v>0.42820000000000003</v>
      </c>
      <c r="V33" s="264">
        <f t="shared" si="5"/>
        <v>0.42820000000000003</v>
      </c>
      <c r="W33" s="264">
        <f t="shared" si="5"/>
        <v>0.42820000000000003</v>
      </c>
      <c r="X33" s="264">
        <f t="shared" si="5"/>
        <v>0.42820000000000003</v>
      </c>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row>
    <row r="34" spans="1:66" ht="18" customHeight="1">
      <c r="A34" s="612"/>
      <c r="B34" s="612"/>
      <c r="C34" s="612"/>
      <c r="D34" s="617"/>
      <c r="E34" s="612"/>
      <c r="F34" s="266" t="s">
        <v>227</v>
      </c>
      <c r="G34" s="533" t="s">
        <v>300</v>
      </c>
      <c r="H34" s="615"/>
      <c r="I34" s="264">
        <f>0.79*0.33+0.67*I36</f>
        <v>0.42820000000000003</v>
      </c>
      <c r="J34" s="264">
        <f t="shared" ref="J34:X34" si="6">0.79*0.33+0.67*J36</f>
        <v>0.42820000000000003</v>
      </c>
      <c r="K34" s="264">
        <f t="shared" si="6"/>
        <v>0.42820000000000003</v>
      </c>
      <c r="L34" s="264">
        <f t="shared" si="6"/>
        <v>0.42820000000000003</v>
      </c>
      <c r="M34" s="264">
        <f t="shared" si="6"/>
        <v>0.42820000000000003</v>
      </c>
      <c r="N34" s="264">
        <f t="shared" si="6"/>
        <v>0.42820000000000003</v>
      </c>
      <c r="O34" s="264">
        <f t="shared" si="6"/>
        <v>0.42820000000000003</v>
      </c>
      <c r="P34" s="264">
        <f t="shared" si="6"/>
        <v>0.42820000000000003</v>
      </c>
      <c r="Q34" s="264">
        <f t="shared" si="6"/>
        <v>0.42820000000000003</v>
      </c>
      <c r="R34" s="264">
        <f t="shared" si="6"/>
        <v>0.42820000000000003</v>
      </c>
      <c r="S34" s="264">
        <f t="shared" si="6"/>
        <v>0.42820000000000003</v>
      </c>
      <c r="T34" s="264">
        <f t="shared" si="6"/>
        <v>0.42820000000000003</v>
      </c>
      <c r="U34" s="264">
        <f t="shared" si="6"/>
        <v>0.42820000000000003</v>
      </c>
      <c r="V34" s="264">
        <f t="shared" si="6"/>
        <v>0.42820000000000003</v>
      </c>
      <c r="W34" s="264">
        <f t="shared" si="6"/>
        <v>0.42820000000000003</v>
      </c>
      <c r="X34" s="264">
        <f t="shared" si="6"/>
        <v>0.42820000000000003</v>
      </c>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row>
    <row r="35" spans="1:66" ht="18" customHeight="1">
      <c r="A35" s="612"/>
      <c r="B35" s="612"/>
      <c r="C35" s="612"/>
      <c r="D35" s="611" t="s">
        <v>319</v>
      </c>
      <c r="E35" s="612"/>
      <c r="F35" s="278" t="s">
        <v>228</v>
      </c>
      <c r="G35" s="257">
        <v>2001</v>
      </c>
      <c r="H35" s="283" t="s">
        <v>325</v>
      </c>
      <c r="I35" s="265">
        <v>0.43</v>
      </c>
      <c r="J35" s="265">
        <v>0.36</v>
      </c>
      <c r="K35" s="265">
        <v>0.55000000000000004</v>
      </c>
      <c r="L35" s="265">
        <v>0.55000000000000004</v>
      </c>
      <c r="M35" s="265">
        <v>0.55000000000000004</v>
      </c>
      <c r="N35" s="265">
        <v>0.61</v>
      </c>
      <c r="O35" s="265">
        <v>0.61</v>
      </c>
      <c r="P35" s="265">
        <v>0.61</v>
      </c>
      <c r="Q35" s="265">
        <v>0.61</v>
      </c>
      <c r="R35" s="265">
        <v>0.36</v>
      </c>
      <c r="S35" s="265">
        <v>0.36</v>
      </c>
      <c r="T35" s="265">
        <v>0.36</v>
      </c>
      <c r="U35" s="265">
        <v>0.36</v>
      </c>
      <c r="V35" s="265">
        <v>0.36</v>
      </c>
      <c r="W35" s="265">
        <v>0.36</v>
      </c>
      <c r="X35" s="265">
        <v>0.43</v>
      </c>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row>
    <row r="36" spans="1:66" ht="18" customHeight="1">
      <c r="A36" s="612"/>
      <c r="B36" s="612"/>
      <c r="C36" s="612"/>
      <c r="D36" s="612"/>
      <c r="E36" s="612"/>
      <c r="F36" s="275" t="s">
        <v>229</v>
      </c>
      <c r="G36" s="259">
        <v>2013</v>
      </c>
      <c r="H36" s="276" t="s">
        <v>310</v>
      </c>
      <c r="I36" s="259">
        <v>0.25</v>
      </c>
      <c r="J36" s="259">
        <v>0.25</v>
      </c>
      <c r="K36" s="259">
        <v>0.25</v>
      </c>
      <c r="L36" s="259">
        <v>0.25</v>
      </c>
      <c r="M36" s="259">
        <v>0.25</v>
      </c>
      <c r="N36" s="259">
        <v>0.25</v>
      </c>
      <c r="O36" s="259">
        <v>0.25</v>
      </c>
      <c r="P36" s="259">
        <v>0.25</v>
      </c>
      <c r="Q36" s="259">
        <v>0.25</v>
      </c>
      <c r="R36" s="259">
        <v>0.25</v>
      </c>
      <c r="S36" s="259">
        <v>0.25</v>
      </c>
      <c r="T36" s="259">
        <v>0.25</v>
      </c>
      <c r="U36" s="259">
        <v>0.25</v>
      </c>
      <c r="V36" s="259">
        <v>0.25</v>
      </c>
      <c r="W36" s="259">
        <v>0.25</v>
      </c>
      <c r="X36" s="259">
        <v>0.25</v>
      </c>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row>
    <row r="37" spans="1:66" ht="18" customHeight="1">
      <c r="A37" s="613"/>
      <c r="B37" s="613"/>
      <c r="C37" s="613"/>
      <c r="D37" s="613"/>
      <c r="E37" s="613"/>
      <c r="F37" s="279" t="s">
        <v>305</v>
      </c>
      <c r="G37" s="261">
        <v>2025</v>
      </c>
      <c r="H37" s="281" t="s">
        <v>310</v>
      </c>
      <c r="I37" s="261">
        <v>0.25</v>
      </c>
      <c r="J37" s="261">
        <v>0.25</v>
      </c>
      <c r="K37" s="261">
        <v>0.25</v>
      </c>
      <c r="L37" s="261">
        <v>0.25</v>
      </c>
      <c r="M37" s="261">
        <v>0.25</v>
      </c>
      <c r="N37" s="261">
        <v>0.25</v>
      </c>
      <c r="O37" s="261">
        <v>0.25</v>
      </c>
      <c r="P37" s="261">
        <v>0.25</v>
      </c>
      <c r="Q37" s="261">
        <v>0.22</v>
      </c>
      <c r="R37" s="261">
        <v>0.25</v>
      </c>
      <c r="S37" s="261">
        <v>0.22</v>
      </c>
      <c r="T37" s="261">
        <v>0.22</v>
      </c>
      <c r="U37" s="261">
        <v>0.22</v>
      </c>
      <c r="V37" s="261">
        <v>0.22</v>
      </c>
      <c r="W37" s="261">
        <v>0.22</v>
      </c>
      <c r="X37" s="261">
        <v>0.25</v>
      </c>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row>
    <row r="38" spans="1:66" ht="22.9"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row>
    <row r="39" spans="1:66" ht="21" customHeight="1">
      <c r="A39" s="3"/>
      <c r="B39" s="3"/>
      <c r="C39" s="3"/>
      <c r="D39" s="3"/>
      <c r="E39" s="626" t="s">
        <v>326</v>
      </c>
      <c r="F39" s="626"/>
      <c r="G39" s="626"/>
      <c r="H39" s="626"/>
      <c r="I39" s="626"/>
      <c r="J39" s="626"/>
      <c r="K39" s="626"/>
      <c r="L39" s="626"/>
      <c r="M39" s="626"/>
      <c r="N39" s="626"/>
      <c r="O39" s="626"/>
      <c r="P39" s="626"/>
      <c r="Q39" s="626"/>
      <c r="R39" s="626"/>
      <c r="S39" s="626"/>
      <c r="T39" s="626"/>
      <c r="U39" s="626"/>
      <c r="V39" s="626"/>
      <c r="W39" s="626"/>
      <c r="X39" s="626"/>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row>
    <row r="40" spans="1:66" ht="39.6">
      <c r="A40" s="3"/>
      <c r="B40" s="3"/>
      <c r="C40" s="3"/>
      <c r="D40" s="3"/>
      <c r="E40" s="273"/>
      <c r="F40" s="60" t="s">
        <v>194</v>
      </c>
      <c r="G40" s="202" t="s">
        <v>327</v>
      </c>
      <c r="H40" s="202" t="s">
        <v>199</v>
      </c>
      <c r="I40" s="621" t="s">
        <v>328</v>
      </c>
      <c r="J40" s="622"/>
      <c r="K40" s="622"/>
      <c r="L40" s="622"/>
      <c r="M40" s="622"/>
      <c r="N40" s="622"/>
      <c r="O40" s="622"/>
      <c r="P40" s="622"/>
      <c r="Q40" s="622"/>
      <c r="R40" s="622"/>
      <c r="S40" s="622"/>
      <c r="T40" s="622"/>
      <c r="U40" s="622"/>
      <c r="V40" s="622"/>
      <c r="W40" s="622"/>
      <c r="X40" s="62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row>
    <row r="41" spans="1:66" ht="21.6" customHeight="1">
      <c r="A41" s="3"/>
      <c r="B41" s="3"/>
      <c r="C41" s="3"/>
      <c r="D41" s="3"/>
      <c r="E41" s="596" t="s">
        <v>326</v>
      </c>
      <c r="F41" s="251" t="s">
        <v>223</v>
      </c>
      <c r="G41" s="251">
        <v>1.1000000000000001</v>
      </c>
      <c r="H41" s="269" t="s">
        <v>329</v>
      </c>
      <c r="I41" s="588">
        <v>0.31440000000000001</v>
      </c>
      <c r="J41" s="588"/>
      <c r="K41" s="588"/>
      <c r="L41" s="588"/>
      <c r="M41" s="588"/>
      <c r="N41" s="588"/>
      <c r="O41" s="588"/>
      <c r="P41" s="588"/>
      <c r="Q41" s="588"/>
      <c r="R41" s="588"/>
      <c r="S41" s="588"/>
      <c r="T41" s="588"/>
      <c r="U41" s="588"/>
      <c r="V41" s="588"/>
      <c r="W41" s="588"/>
      <c r="X41" s="588"/>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row>
    <row r="42" spans="1:66" ht="21.6" customHeight="1">
      <c r="A42" s="3"/>
      <c r="B42" s="3"/>
      <c r="C42" s="3"/>
      <c r="D42" s="3"/>
      <c r="E42" s="624"/>
      <c r="F42" s="251" t="s">
        <v>227</v>
      </c>
      <c r="G42" s="251">
        <v>1.1000000000000001</v>
      </c>
      <c r="H42" s="269" t="s">
        <v>329</v>
      </c>
      <c r="I42" s="588">
        <v>0.31440000000000001</v>
      </c>
      <c r="J42" s="588"/>
      <c r="K42" s="588"/>
      <c r="L42" s="588"/>
      <c r="M42" s="588"/>
      <c r="N42" s="588"/>
      <c r="O42" s="588"/>
      <c r="P42" s="588"/>
      <c r="Q42" s="588"/>
      <c r="R42" s="588"/>
      <c r="S42" s="588"/>
      <c r="T42" s="588"/>
      <c r="U42" s="588"/>
      <c r="V42" s="588"/>
      <c r="W42" s="588"/>
      <c r="X42" s="588"/>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row>
    <row r="43" spans="1:66" ht="21.6" customHeight="1">
      <c r="A43" s="3"/>
      <c r="B43" s="3"/>
      <c r="C43" s="3"/>
      <c r="D43" s="3"/>
      <c r="E43" s="624"/>
      <c r="F43" s="251" t="s">
        <v>228</v>
      </c>
      <c r="G43" s="251">
        <v>1.1000000000000001</v>
      </c>
      <c r="H43" s="269" t="s">
        <v>329</v>
      </c>
      <c r="I43" s="588">
        <v>0.31440000000000001</v>
      </c>
      <c r="J43" s="588"/>
      <c r="K43" s="588"/>
      <c r="L43" s="588"/>
      <c r="M43" s="588"/>
      <c r="N43" s="588"/>
      <c r="O43" s="588"/>
      <c r="P43" s="588"/>
      <c r="Q43" s="588"/>
      <c r="R43" s="588"/>
      <c r="S43" s="588"/>
      <c r="T43" s="588"/>
      <c r="U43" s="588"/>
      <c r="V43" s="588"/>
      <c r="W43" s="588"/>
      <c r="X43" s="588"/>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row>
    <row r="44" spans="1:66" ht="34.15" customHeight="1">
      <c r="A44" s="3"/>
      <c r="B44" s="3"/>
      <c r="C44" s="3"/>
      <c r="D44" s="3"/>
      <c r="E44" s="624"/>
      <c r="F44" s="251" t="s">
        <v>229</v>
      </c>
      <c r="G44" s="251" t="s">
        <v>330</v>
      </c>
      <c r="H44" s="538" t="s">
        <v>331</v>
      </c>
      <c r="I44" s="588">
        <v>0.28770000000000001</v>
      </c>
      <c r="J44" s="588"/>
      <c r="K44" s="588"/>
      <c r="L44" s="588"/>
      <c r="M44" s="588"/>
      <c r="N44" s="588"/>
      <c r="O44" s="588"/>
      <c r="P44" s="588"/>
      <c r="Q44" s="588"/>
      <c r="R44" s="588"/>
      <c r="S44" s="588"/>
      <c r="T44" s="588"/>
      <c r="U44" s="588"/>
      <c r="V44" s="588"/>
      <c r="W44" s="588"/>
      <c r="X44" s="588"/>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row>
    <row r="45" spans="1:66" ht="34.15" customHeight="1">
      <c r="A45" s="3"/>
      <c r="B45" s="3"/>
      <c r="C45" s="3"/>
      <c r="D45" s="3"/>
      <c r="E45" s="625"/>
      <c r="F45" s="251" t="s">
        <v>305</v>
      </c>
      <c r="G45" s="251" t="s">
        <v>332</v>
      </c>
      <c r="H45" s="538" t="s">
        <v>333</v>
      </c>
      <c r="I45" s="588">
        <v>0.17150000000000001</v>
      </c>
      <c r="J45" s="588"/>
      <c r="K45" s="588"/>
      <c r="L45" s="588"/>
      <c r="M45" s="588"/>
      <c r="N45" s="588"/>
      <c r="O45" s="588"/>
      <c r="P45" s="588"/>
      <c r="Q45" s="588"/>
      <c r="R45" s="588"/>
      <c r="S45" s="588"/>
      <c r="T45" s="588"/>
      <c r="U45" s="588"/>
      <c r="V45" s="588"/>
      <c r="W45" s="588"/>
      <c r="X45" s="588"/>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row>
    <row r="46" spans="1:66" s="3" customFormat="1" ht="14.45">
      <c r="B46" s="235"/>
      <c r="E46" s="610" t="s">
        <v>38</v>
      </c>
      <c r="F46" s="610"/>
      <c r="G46" s="610"/>
      <c r="H46" s="610"/>
      <c r="I46" s="610"/>
      <c r="J46" s="610"/>
      <c r="K46" s="610"/>
      <c r="L46" s="610"/>
      <c r="M46" s="610"/>
      <c r="N46" s="610"/>
      <c r="O46" s="610"/>
      <c r="P46" s="610"/>
      <c r="Q46" s="610"/>
      <c r="R46" s="610"/>
      <c r="S46" s="610"/>
      <c r="T46" s="610"/>
      <c r="U46" s="610"/>
      <c r="V46" s="610"/>
      <c r="W46" s="610"/>
      <c r="X46" s="610"/>
    </row>
    <row r="47" spans="1:66" s="216" customFormat="1" ht="22.15" customHeight="1">
      <c r="B47" s="282"/>
      <c r="E47" s="570" t="s">
        <v>334</v>
      </c>
      <c r="F47" s="570"/>
      <c r="G47" s="570"/>
      <c r="H47" s="570"/>
      <c r="I47" s="570"/>
      <c r="J47" s="570"/>
      <c r="K47" s="570"/>
      <c r="L47" s="570"/>
      <c r="M47" s="570"/>
      <c r="N47" s="570"/>
      <c r="O47" s="570"/>
      <c r="P47" s="570"/>
      <c r="Q47" s="570"/>
      <c r="R47" s="570"/>
      <c r="S47" s="570"/>
      <c r="T47" s="570"/>
      <c r="U47" s="570"/>
      <c r="V47" s="570"/>
      <c r="W47" s="570"/>
      <c r="X47" s="570"/>
    </row>
    <row r="48" spans="1:66" s="3" customFormat="1" ht="83.45" customHeight="1">
      <c r="B48" s="235"/>
      <c r="E48" s="609" t="s">
        <v>335</v>
      </c>
      <c r="F48" s="609"/>
      <c r="G48" s="609"/>
      <c r="H48" s="609"/>
      <c r="I48" s="609"/>
      <c r="J48" s="609"/>
      <c r="K48" s="609"/>
      <c r="L48" s="609"/>
      <c r="M48" s="609"/>
      <c r="N48" s="609"/>
      <c r="O48" s="609"/>
      <c r="P48" s="609"/>
      <c r="Q48" s="609"/>
      <c r="R48" s="609"/>
      <c r="S48" s="609"/>
      <c r="T48" s="609"/>
      <c r="U48" s="609"/>
      <c r="V48" s="609"/>
      <c r="W48" s="609"/>
      <c r="X48" s="609"/>
    </row>
    <row r="49" spans="1:61" s="3" customFormat="1">
      <c r="B49" s="235"/>
      <c r="E49" s="570"/>
      <c r="F49" s="570"/>
      <c r="G49" s="570"/>
      <c r="H49" s="570"/>
      <c r="I49" s="570"/>
      <c r="J49" s="570"/>
      <c r="K49" s="570"/>
      <c r="L49" s="570"/>
      <c r="M49" s="570"/>
      <c r="N49" s="570"/>
      <c r="O49" s="570"/>
      <c r="P49" s="570"/>
      <c r="Q49" s="570"/>
      <c r="R49" s="570"/>
      <c r="S49" s="570"/>
      <c r="T49" s="570"/>
      <c r="U49" s="570"/>
      <c r="V49" s="570"/>
      <c r="W49" s="570"/>
      <c r="X49" s="570"/>
    </row>
    <row r="50" spans="1:61" s="3" customFormat="1" ht="14.45" customHeight="1">
      <c r="B50" s="235"/>
      <c r="E50" s="608" t="s">
        <v>336</v>
      </c>
      <c r="F50" s="608"/>
      <c r="G50" s="608"/>
      <c r="H50" s="608"/>
      <c r="I50" s="608"/>
      <c r="J50" s="608"/>
      <c r="K50" s="608"/>
      <c r="L50" s="608"/>
      <c r="M50" s="608"/>
      <c r="N50" s="608"/>
      <c r="O50" s="608"/>
      <c r="P50" s="608"/>
      <c r="Q50" s="608"/>
      <c r="R50" s="608"/>
      <c r="S50" s="608"/>
      <c r="T50" s="608"/>
      <c r="U50" s="608"/>
      <c r="V50" s="608"/>
      <c r="W50" s="608"/>
      <c r="X50" s="608"/>
    </row>
    <row r="51" spans="1:61">
      <c r="A51" s="3"/>
      <c r="B51" s="235"/>
      <c r="C51" s="3"/>
      <c r="D51" s="3"/>
      <c r="E51" s="12"/>
      <c r="F51" s="12"/>
      <c r="G51" s="12"/>
      <c r="H51" s="12"/>
      <c r="I51" s="12"/>
      <c r="J51" s="12"/>
      <c r="K51" s="12"/>
      <c r="L51" s="12"/>
      <c r="M51" s="12"/>
      <c r="N51" s="12"/>
      <c r="O51" s="12"/>
      <c r="P51" s="12"/>
      <c r="Q51" s="12"/>
      <c r="R51" s="12"/>
      <c r="S51" s="12"/>
      <c r="T51" s="12"/>
      <c r="U51" s="12"/>
      <c r="V51" s="12"/>
      <c r="W51" s="12"/>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row>
    <row r="54" spans="1:61" hidden="1">
      <c r="A54" s="3"/>
      <c r="B54" s="235"/>
      <c r="C54" s="3"/>
      <c r="D54" s="3"/>
      <c r="E54" s="3"/>
      <c r="F54" s="3"/>
      <c r="G54" s="39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row>
    <row r="55" spans="1:61" hidden="1">
      <c r="A55" s="3"/>
      <c r="B55" s="235"/>
      <c r="C55" s="3"/>
      <c r="D55" s="3"/>
      <c r="E55" s="3"/>
      <c r="F55" s="3"/>
      <c r="G55" s="39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row>
    <row r="56" spans="1:61" hidden="1">
      <c r="A56" s="3"/>
      <c r="B56" s="235"/>
      <c r="C56" s="3"/>
      <c r="D56" s="3"/>
      <c r="E56" s="3"/>
      <c r="F56" s="3"/>
      <c r="G56" s="39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row>
    <row r="57" spans="1:61" hidden="1">
      <c r="A57" s="3"/>
      <c r="B57" s="235"/>
      <c r="C57" s="3"/>
      <c r="D57" s="3"/>
      <c r="E57" s="3"/>
      <c r="F57" s="3"/>
      <c r="G57" s="39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row>
    <row r="58" spans="1:61" hidden="1">
      <c r="A58" s="3"/>
      <c r="B58" s="235"/>
      <c r="C58" s="3"/>
      <c r="D58" s="3"/>
      <c r="E58" s="3"/>
      <c r="F58" s="3"/>
      <c r="G58" s="39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row>
    <row r="59" spans="1:61" hidden="1">
      <c r="A59" s="3"/>
      <c r="B59" s="235"/>
      <c r="C59" s="3"/>
      <c r="D59" s="3"/>
      <c r="E59" s="3"/>
      <c r="F59" s="3"/>
      <c r="G59" s="39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row>
    <row r="60" spans="1:61" hidden="1">
      <c r="A60" s="3"/>
      <c r="B60" s="235"/>
      <c r="C60" s="3"/>
      <c r="D60" s="3"/>
      <c r="E60" s="3"/>
      <c r="F60" s="3"/>
      <c r="G60" s="39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row>
    <row r="61" spans="1:61" hidden="1">
      <c r="A61" s="3"/>
      <c r="B61" s="235"/>
      <c r="C61" s="3"/>
      <c r="D61" s="3"/>
      <c r="E61" s="3"/>
      <c r="F61" s="3"/>
      <c r="G61" s="39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row>
    <row r="62" spans="1:61" hidden="1">
      <c r="A62" s="3"/>
      <c r="B62" s="235"/>
      <c r="C62" s="3"/>
      <c r="D62" s="3"/>
      <c r="E62" s="3"/>
      <c r="F62" s="3"/>
      <c r="G62" s="39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row>
    <row r="63" spans="1:61" hidden="1">
      <c r="A63" s="3"/>
      <c r="B63" s="235"/>
      <c r="C63" s="3"/>
      <c r="D63" s="3"/>
      <c r="E63" s="3"/>
      <c r="F63" s="3"/>
      <c r="G63" s="39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row>
    <row r="64" spans="1:61" hidden="1">
      <c r="A64" s="3"/>
      <c r="B64" s="235"/>
      <c r="C64" s="3"/>
      <c r="D64" s="3"/>
      <c r="E64" s="3"/>
      <c r="F64" s="3"/>
      <c r="G64" s="39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row>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sheetData>
  <mergeCells count="52">
    <mergeCell ref="A1:X1"/>
    <mergeCell ref="D23:D24"/>
    <mergeCell ref="C13:C17"/>
    <mergeCell ref="B13:B17"/>
    <mergeCell ref="A13:A17"/>
    <mergeCell ref="A3:A7"/>
    <mergeCell ref="B3:B7"/>
    <mergeCell ref="H13:H14"/>
    <mergeCell ref="E8:E12"/>
    <mergeCell ref="A8:A12"/>
    <mergeCell ref="B8:B12"/>
    <mergeCell ref="C8:C12"/>
    <mergeCell ref="D8:D12"/>
    <mergeCell ref="E3:E7"/>
    <mergeCell ref="D3:D7"/>
    <mergeCell ref="C3:C7"/>
    <mergeCell ref="E13:E17"/>
    <mergeCell ref="D13:D17"/>
    <mergeCell ref="I40:X40"/>
    <mergeCell ref="E41:E45"/>
    <mergeCell ref="E39:X39"/>
    <mergeCell ref="E28:E32"/>
    <mergeCell ref="D20:D22"/>
    <mergeCell ref="E18:E22"/>
    <mergeCell ref="D18:D19"/>
    <mergeCell ref="D28:D29"/>
    <mergeCell ref="D30:D32"/>
    <mergeCell ref="I44:X44"/>
    <mergeCell ref="I43:X43"/>
    <mergeCell ref="I42:X42"/>
    <mergeCell ref="I45:X45"/>
    <mergeCell ref="I41:X41"/>
    <mergeCell ref="H18:H19"/>
    <mergeCell ref="H23:H24"/>
    <mergeCell ref="H28:H29"/>
    <mergeCell ref="H33:H34"/>
    <mergeCell ref="D33:D34"/>
    <mergeCell ref="E23:E27"/>
    <mergeCell ref="D25:D27"/>
    <mergeCell ref="E33:E37"/>
    <mergeCell ref="D35:D37"/>
    <mergeCell ref="A28:A37"/>
    <mergeCell ref="A18:A27"/>
    <mergeCell ref="B18:B27"/>
    <mergeCell ref="C18:C27"/>
    <mergeCell ref="B28:B37"/>
    <mergeCell ref="C28:C37"/>
    <mergeCell ref="E50:X50"/>
    <mergeCell ref="E47:X47"/>
    <mergeCell ref="E48:X48"/>
    <mergeCell ref="E46:X46"/>
    <mergeCell ref="E49:X49"/>
  </mergeCells>
  <phoneticPr fontId="8" type="noConversion"/>
  <hyperlinks>
    <hyperlink ref="H41" r:id="rId1" xr:uid="{8E627805-0D71-4CE0-8DCD-B56FF7F9D45D}"/>
    <hyperlink ref="E46" r:id="rId2" display="https://2050partners.sharepoint.com/:w:/r/sites/CalBEMCollaborativeEfforts/Shared Documents/Working Group 1 - Streamlined Process/D - Complexity of Compliance/Prototype Unification/Project Development/Phase 2 (Collect Inputs) Development/NR/Air Leakage Memo/Infiltration_rate_report_14May2025-Short-Version.docx?d=w3bef8f747fac44f2a70cd76617660066&amp;csf=1&amp;web=1&amp;e=wh5Dm4" xr:uid="{789A677C-CF10-4A88-A0D2-CAFD5BCA875F}"/>
  </hyperlinks>
  <pageMargins left="0.7" right="0.7" top="0.75" bottom="0.75" header="0.3" footer="0.3"/>
  <pageSetup orientation="portrait" r:id="rId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FC53F-1807-4559-8373-63C735E89DB9}">
  <sheetPr codeName="Sheet7"/>
  <dimension ref="A1:R46"/>
  <sheetViews>
    <sheetView zoomScaleNormal="100" workbookViewId="0">
      <selection sqref="A1:R1"/>
    </sheetView>
  </sheetViews>
  <sheetFormatPr defaultRowHeight="14.45"/>
  <cols>
    <col min="1" max="1" width="57.85546875" customWidth="1"/>
    <col min="18" max="18" width="35.28515625" customWidth="1"/>
  </cols>
  <sheetData>
    <row r="1" spans="1:18" ht="31.15" customHeight="1">
      <c r="A1" s="589" t="s">
        <v>337</v>
      </c>
      <c r="B1" s="589"/>
      <c r="C1" s="589"/>
      <c r="D1" s="589"/>
      <c r="E1" s="589"/>
      <c r="F1" s="589"/>
      <c r="G1" s="589"/>
      <c r="H1" s="589"/>
      <c r="I1" s="589"/>
      <c r="J1" s="589"/>
      <c r="K1" s="589"/>
      <c r="L1" s="589"/>
      <c r="M1" s="589"/>
      <c r="N1" s="589"/>
      <c r="O1" s="589"/>
      <c r="P1" s="589"/>
      <c r="Q1" s="589"/>
      <c r="R1" s="589"/>
    </row>
    <row r="2" spans="1:18" ht="25.9" customHeight="1" thickBot="1">
      <c r="A2" s="194" t="s">
        <v>338</v>
      </c>
      <c r="B2" s="195" t="s">
        <v>280</v>
      </c>
      <c r="C2" s="195" t="s">
        <v>281</v>
      </c>
      <c r="D2" s="195" t="s">
        <v>282</v>
      </c>
      <c r="E2" s="195" t="s">
        <v>283</v>
      </c>
      <c r="F2" s="195" t="s">
        <v>284</v>
      </c>
      <c r="G2" s="195" t="s">
        <v>285</v>
      </c>
      <c r="H2" s="195" t="s">
        <v>286</v>
      </c>
      <c r="I2" s="195" t="s">
        <v>287</v>
      </c>
      <c r="J2" s="195" t="s">
        <v>288</v>
      </c>
      <c r="K2" s="195" t="s">
        <v>289</v>
      </c>
      <c r="L2" s="195" t="s">
        <v>290</v>
      </c>
      <c r="M2" s="195" t="s">
        <v>291</v>
      </c>
      <c r="N2" s="195" t="s">
        <v>292</v>
      </c>
      <c r="O2" s="195" t="s">
        <v>293</v>
      </c>
      <c r="P2" s="195" t="s">
        <v>294</v>
      </c>
      <c r="Q2" s="195" t="s">
        <v>295</v>
      </c>
      <c r="R2" s="195" t="s">
        <v>199</v>
      </c>
    </row>
    <row r="3" spans="1:18" ht="26.45" customHeight="1">
      <c r="A3" s="196" t="s">
        <v>339</v>
      </c>
      <c r="B3" s="193">
        <v>70</v>
      </c>
      <c r="C3" s="193">
        <v>70</v>
      </c>
      <c r="D3" s="193">
        <v>70</v>
      </c>
      <c r="E3" s="193">
        <v>70</v>
      </c>
      <c r="F3" s="193">
        <v>70</v>
      </c>
      <c r="G3" s="193">
        <v>70</v>
      </c>
      <c r="H3" s="193">
        <v>70</v>
      </c>
      <c r="I3" s="193">
        <v>70</v>
      </c>
      <c r="J3" s="193">
        <v>70</v>
      </c>
      <c r="K3" s="193">
        <v>70</v>
      </c>
      <c r="L3" s="193">
        <v>70</v>
      </c>
      <c r="M3" s="193">
        <v>70</v>
      </c>
      <c r="N3" s="193">
        <v>70</v>
      </c>
      <c r="O3" s="193">
        <v>70</v>
      </c>
      <c r="P3" s="193">
        <v>70</v>
      </c>
      <c r="Q3" s="193">
        <v>70</v>
      </c>
      <c r="R3" s="636" t="s">
        <v>340</v>
      </c>
    </row>
    <row r="4" spans="1:18" ht="26.45" customHeight="1">
      <c r="A4" s="197" t="s">
        <v>341</v>
      </c>
      <c r="B4" s="559">
        <v>60</v>
      </c>
      <c r="C4" s="559">
        <v>60</v>
      </c>
      <c r="D4" s="559">
        <v>60</v>
      </c>
      <c r="E4" s="559">
        <v>60</v>
      </c>
      <c r="F4" s="559">
        <v>60</v>
      </c>
      <c r="G4" s="559">
        <v>60</v>
      </c>
      <c r="H4" s="559">
        <v>60</v>
      </c>
      <c r="I4" s="559">
        <v>60</v>
      </c>
      <c r="J4" s="559">
        <v>60</v>
      </c>
      <c r="K4" s="559">
        <v>60</v>
      </c>
      <c r="L4" s="559">
        <v>60</v>
      </c>
      <c r="M4" s="559">
        <v>60</v>
      </c>
      <c r="N4" s="559">
        <v>60</v>
      </c>
      <c r="O4" s="559">
        <v>60</v>
      </c>
      <c r="P4" s="559">
        <v>60</v>
      </c>
      <c r="Q4" s="559">
        <v>60</v>
      </c>
      <c r="R4" s="637"/>
    </row>
    <row r="5" spans="1:18" ht="26.45" customHeight="1">
      <c r="A5" s="197" t="s">
        <v>342</v>
      </c>
      <c r="B5" s="559">
        <v>75</v>
      </c>
      <c r="C5" s="559">
        <v>75</v>
      </c>
      <c r="D5" s="559">
        <v>75</v>
      </c>
      <c r="E5" s="559">
        <v>75</v>
      </c>
      <c r="F5" s="559">
        <v>75</v>
      </c>
      <c r="G5" s="559">
        <v>75</v>
      </c>
      <c r="H5" s="559">
        <v>75</v>
      </c>
      <c r="I5" s="559">
        <v>75</v>
      </c>
      <c r="J5" s="559">
        <v>75</v>
      </c>
      <c r="K5" s="559">
        <v>75</v>
      </c>
      <c r="L5" s="559">
        <v>75</v>
      </c>
      <c r="M5" s="559">
        <v>75</v>
      </c>
      <c r="N5" s="559">
        <v>75</v>
      </c>
      <c r="O5" s="559">
        <v>75</v>
      </c>
      <c r="P5" s="559">
        <v>75</v>
      </c>
      <c r="Q5" s="559">
        <v>75</v>
      </c>
      <c r="R5" s="637"/>
    </row>
    <row r="6" spans="1:18" ht="26.45" customHeight="1" thickBot="1">
      <c r="A6" s="199" t="s">
        <v>343</v>
      </c>
      <c r="B6" s="536">
        <v>85</v>
      </c>
      <c r="C6" s="536">
        <v>85</v>
      </c>
      <c r="D6" s="536">
        <v>85</v>
      </c>
      <c r="E6" s="536">
        <v>85</v>
      </c>
      <c r="F6" s="536">
        <v>85</v>
      </c>
      <c r="G6" s="536">
        <v>85</v>
      </c>
      <c r="H6" s="536">
        <v>85</v>
      </c>
      <c r="I6" s="536">
        <v>85</v>
      </c>
      <c r="J6" s="536">
        <v>85</v>
      </c>
      <c r="K6" s="536">
        <v>85</v>
      </c>
      <c r="L6" s="536">
        <v>85</v>
      </c>
      <c r="M6" s="536">
        <v>85</v>
      </c>
      <c r="N6" s="536">
        <v>85</v>
      </c>
      <c r="O6" s="536">
        <v>85</v>
      </c>
      <c r="P6" s="536">
        <v>85</v>
      </c>
      <c r="Q6" s="536">
        <v>85</v>
      </c>
      <c r="R6" s="638"/>
    </row>
    <row r="7" spans="1:18" ht="26.45" customHeight="1">
      <c r="A7" s="196" t="s">
        <v>344</v>
      </c>
      <c r="B7" s="193">
        <v>68</v>
      </c>
      <c r="C7" s="193">
        <v>68</v>
      </c>
      <c r="D7" s="193">
        <v>68</v>
      </c>
      <c r="E7" s="193">
        <v>68</v>
      </c>
      <c r="F7" s="193">
        <v>68</v>
      </c>
      <c r="G7" s="193">
        <v>68</v>
      </c>
      <c r="H7" s="193">
        <v>68</v>
      </c>
      <c r="I7" s="193">
        <v>68</v>
      </c>
      <c r="J7" s="193">
        <v>68</v>
      </c>
      <c r="K7" s="193">
        <v>68</v>
      </c>
      <c r="L7" s="193">
        <v>68</v>
      </c>
      <c r="M7" s="193">
        <v>68</v>
      </c>
      <c r="N7" s="193">
        <v>68</v>
      </c>
      <c r="O7" s="193">
        <v>68</v>
      </c>
      <c r="P7" s="193">
        <v>68</v>
      </c>
      <c r="Q7" s="193">
        <v>68</v>
      </c>
      <c r="R7" s="636" t="s">
        <v>340</v>
      </c>
    </row>
    <row r="8" spans="1:18" ht="26.45" customHeight="1">
      <c r="A8" s="197" t="s">
        <v>345</v>
      </c>
      <c r="B8" s="559">
        <v>68</v>
      </c>
      <c r="C8" s="559">
        <v>68</v>
      </c>
      <c r="D8" s="559">
        <v>68</v>
      </c>
      <c r="E8" s="559">
        <v>68</v>
      </c>
      <c r="F8" s="559">
        <v>68</v>
      </c>
      <c r="G8" s="559">
        <v>68</v>
      </c>
      <c r="H8" s="559">
        <v>68</v>
      </c>
      <c r="I8" s="559">
        <v>68</v>
      </c>
      <c r="J8" s="559">
        <v>68</v>
      </c>
      <c r="K8" s="559">
        <v>68</v>
      </c>
      <c r="L8" s="559">
        <v>68</v>
      </c>
      <c r="M8" s="559">
        <v>68</v>
      </c>
      <c r="N8" s="559">
        <v>68</v>
      </c>
      <c r="O8" s="559">
        <v>68</v>
      </c>
      <c r="P8" s="559">
        <v>68</v>
      </c>
      <c r="Q8" s="559">
        <v>68</v>
      </c>
      <c r="R8" s="637"/>
    </row>
    <row r="9" spans="1:18" ht="26.45" customHeight="1">
      <c r="A9" s="197" t="s">
        <v>346</v>
      </c>
      <c r="B9" s="559">
        <v>78</v>
      </c>
      <c r="C9" s="559">
        <v>78</v>
      </c>
      <c r="D9" s="559">
        <v>78</v>
      </c>
      <c r="E9" s="559">
        <v>78</v>
      </c>
      <c r="F9" s="559">
        <v>78</v>
      </c>
      <c r="G9" s="559">
        <v>78</v>
      </c>
      <c r="H9" s="559">
        <v>78</v>
      </c>
      <c r="I9" s="559">
        <v>78</v>
      </c>
      <c r="J9" s="559">
        <v>78</v>
      </c>
      <c r="K9" s="559">
        <v>78</v>
      </c>
      <c r="L9" s="559">
        <v>78</v>
      </c>
      <c r="M9" s="559">
        <v>78</v>
      </c>
      <c r="N9" s="559">
        <v>78</v>
      </c>
      <c r="O9" s="559">
        <v>78</v>
      </c>
      <c r="P9" s="559">
        <v>78</v>
      </c>
      <c r="Q9" s="559">
        <v>78</v>
      </c>
      <c r="R9" s="637"/>
    </row>
    <row r="10" spans="1:18" ht="26.45" customHeight="1" thickBot="1">
      <c r="A10" s="199" t="s">
        <v>347</v>
      </c>
      <c r="B10" s="536">
        <v>78</v>
      </c>
      <c r="C10" s="536">
        <v>78</v>
      </c>
      <c r="D10" s="536">
        <v>78</v>
      </c>
      <c r="E10" s="536">
        <v>78</v>
      </c>
      <c r="F10" s="536">
        <v>78</v>
      </c>
      <c r="G10" s="536">
        <v>78</v>
      </c>
      <c r="H10" s="536">
        <v>78</v>
      </c>
      <c r="I10" s="536">
        <v>78</v>
      </c>
      <c r="J10" s="536">
        <v>78</v>
      </c>
      <c r="K10" s="536">
        <v>78</v>
      </c>
      <c r="L10" s="536">
        <v>78</v>
      </c>
      <c r="M10" s="536">
        <v>78</v>
      </c>
      <c r="N10" s="536">
        <v>78</v>
      </c>
      <c r="O10" s="536">
        <v>78</v>
      </c>
      <c r="P10" s="536">
        <v>78</v>
      </c>
      <c r="Q10" s="536">
        <v>78</v>
      </c>
      <c r="R10" s="638"/>
    </row>
    <row r="11" spans="1:18" ht="27" customHeight="1">
      <c r="A11" s="196" t="s">
        <v>348</v>
      </c>
      <c r="B11" s="193">
        <v>70</v>
      </c>
      <c r="C11" s="193">
        <v>70</v>
      </c>
      <c r="D11" s="193">
        <v>70</v>
      </c>
      <c r="E11" s="193">
        <v>70</v>
      </c>
      <c r="F11" s="193">
        <v>70</v>
      </c>
      <c r="G11" s="193">
        <v>70</v>
      </c>
      <c r="H11" s="193">
        <v>70</v>
      </c>
      <c r="I11" s="193">
        <v>70</v>
      </c>
      <c r="J11" s="193">
        <v>70</v>
      </c>
      <c r="K11" s="193">
        <v>70</v>
      </c>
      <c r="L11" s="193">
        <v>70</v>
      </c>
      <c r="M11" s="193">
        <v>70</v>
      </c>
      <c r="N11" s="193">
        <v>70</v>
      </c>
      <c r="O11" s="193">
        <v>70</v>
      </c>
      <c r="P11" s="193">
        <v>70</v>
      </c>
      <c r="Q11" s="193">
        <v>70</v>
      </c>
      <c r="R11" s="377"/>
    </row>
    <row r="12" spans="1:18" ht="27" customHeight="1">
      <c r="A12" s="197" t="s">
        <v>349</v>
      </c>
      <c r="B12" s="559">
        <v>70</v>
      </c>
      <c r="C12" s="559">
        <v>70</v>
      </c>
      <c r="D12" s="559">
        <v>70</v>
      </c>
      <c r="E12" s="559">
        <v>70</v>
      </c>
      <c r="F12" s="559">
        <v>70</v>
      </c>
      <c r="G12" s="559">
        <v>70</v>
      </c>
      <c r="H12" s="559">
        <v>70</v>
      </c>
      <c r="I12" s="559">
        <v>70</v>
      </c>
      <c r="J12" s="559">
        <v>70</v>
      </c>
      <c r="K12" s="559">
        <v>70</v>
      </c>
      <c r="L12" s="559">
        <v>70</v>
      </c>
      <c r="M12" s="559">
        <v>70</v>
      </c>
      <c r="N12" s="559">
        <v>70</v>
      </c>
      <c r="O12" s="559">
        <v>70</v>
      </c>
      <c r="P12" s="559">
        <v>70</v>
      </c>
      <c r="Q12" s="559">
        <v>70</v>
      </c>
      <c r="R12" s="378"/>
    </row>
    <row r="13" spans="1:18" ht="27" customHeight="1">
      <c r="A13" s="197" t="s">
        <v>350</v>
      </c>
      <c r="B13" s="559">
        <v>72</v>
      </c>
      <c r="C13" s="559">
        <v>72</v>
      </c>
      <c r="D13" s="559">
        <v>72</v>
      </c>
      <c r="E13" s="559">
        <v>72</v>
      </c>
      <c r="F13" s="559">
        <v>72</v>
      </c>
      <c r="G13" s="559">
        <v>72</v>
      </c>
      <c r="H13" s="559">
        <v>72</v>
      </c>
      <c r="I13" s="559">
        <v>72</v>
      </c>
      <c r="J13" s="559">
        <v>72</v>
      </c>
      <c r="K13" s="559">
        <v>72</v>
      </c>
      <c r="L13" s="559">
        <v>72</v>
      </c>
      <c r="M13" s="559">
        <v>72</v>
      </c>
      <c r="N13" s="559">
        <v>72</v>
      </c>
      <c r="O13" s="559">
        <v>72</v>
      </c>
      <c r="P13" s="559">
        <v>72</v>
      </c>
      <c r="Q13" s="559">
        <v>72</v>
      </c>
      <c r="R13" s="379" t="s">
        <v>351</v>
      </c>
    </row>
    <row r="14" spans="1:18" ht="27" customHeight="1" thickBot="1">
      <c r="A14" s="198" t="s">
        <v>352</v>
      </c>
      <c r="B14" s="376">
        <v>72</v>
      </c>
      <c r="C14" s="376">
        <v>72</v>
      </c>
      <c r="D14" s="376">
        <v>72</v>
      </c>
      <c r="E14" s="376">
        <v>72</v>
      </c>
      <c r="F14" s="376">
        <v>72</v>
      </c>
      <c r="G14" s="376">
        <v>72</v>
      </c>
      <c r="H14" s="376">
        <v>72</v>
      </c>
      <c r="I14" s="376">
        <v>72</v>
      </c>
      <c r="J14" s="376">
        <v>72</v>
      </c>
      <c r="K14" s="376">
        <v>72</v>
      </c>
      <c r="L14" s="376">
        <v>72</v>
      </c>
      <c r="M14" s="376">
        <v>72</v>
      </c>
      <c r="N14" s="376">
        <v>72</v>
      </c>
      <c r="O14" s="376">
        <v>72</v>
      </c>
      <c r="P14" s="376">
        <v>72</v>
      </c>
      <c r="Q14" s="376">
        <v>72</v>
      </c>
      <c r="R14" s="380" t="s">
        <v>353</v>
      </c>
    </row>
    <row r="15" spans="1:18" ht="32.25" customHeight="1">
      <c r="A15" s="226" t="s">
        <v>354</v>
      </c>
      <c r="B15" s="523"/>
      <c r="C15" s="523"/>
      <c r="D15" s="523"/>
      <c r="E15" s="523"/>
      <c r="F15" s="523"/>
      <c r="G15" s="523"/>
      <c r="H15" s="523"/>
      <c r="I15" s="523"/>
      <c r="J15" s="523"/>
      <c r="K15" s="523"/>
      <c r="L15" s="523"/>
      <c r="M15" s="523"/>
      <c r="N15" s="523"/>
      <c r="O15" s="523"/>
      <c r="P15" s="523"/>
      <c r="Q15" s="523"/>
      <c r="R15" s="3"/>
    </row>
    <row r="16" spans="1:18">
      <c r="A16" s="5" t="s">
        <v>355</v>
      </c>
      <c r="B16" s="5"/>
      <c r="C16" s="5"/>
      <c r="D16" s="5"/>
      <c r="E16" s="5"/>
      <c r="F16" s="5"/>
      <c r="G16" s="5"/>
      <c r="H16" s="5"/>
      <c r="I16" s="5"/>
      <c r="J16" s="5"/>
      <c r="K16" s="5"/>
      <c r="L16" s="5"/>
      <c r="M16" s="5"/>
      <c r="N16" s="3"/>
      <c r="O16" s="3"/>
      <c r="P16" s="3"/>
      <c r="Q16" s="3"/>
      <c r="R16" s="3"/>
    </row>
    <row r="17" spans="1:18" ht="20.25" customHeight="1">
      <c r="A17" s="5" t="s">
        <v>356</v>
      </c>
      <c r="B17" s="5"/>
      <c r="C17" s="5"/>
      <c r="D17" s="5"/>
      <c r="E17" s="5"/>
      <c r="F17" s="5"/>
      <c r="G17" s="5"/>
      <c r="H17" s="5"/>
      <c r="I17" s="5"/>
      <c r="J17" s="5"/>
      <c r="K17" s="5"/>
      <c r="L17" s="5"/>
      <c r="M17" s="5"/>
      <c r="N17" s="3"/>
      <c r="O17" s="3"/>
      <c r="P17" s="3"/>
      <c r="Q17" s="3"/>
      <c r="R17" s="3"/>
    </row>
    <row r="18" spans="1:18">
      <c r="A18" s="525" t="s">
        <v>357</v>
      </c>
      <c r="B18" s="5"/>
      <c r="C18" s="5"/>
      <c r="D18" s="5"/>
      <c r="E18" s="5"/>
      <c r="F18" s="5"/>
      <c r="G18" s="5"/>
      <c r="H18" s="5"/>
      <c r="I18" s="5"/>
      <c r="J18" s="5"/>
      <c r="K18" s="5"/>
      <c r="L18" s="5"/>
      <c r="M18" s="5"/>
      <c r="N18" s="3"/>
      <c r="O18" s="3"/>
      <c r="P18" s="3"/>
      <c r="Q18" s="3"/>
      <c r="R18" s="3"/>
    </row>
    <row r="19" spans="1:18">
      <c r="A19" s="567"/>
      <c r="B19" s="352"/>
      <c r="C19" s="352"/>
      <c r="D19" s="352"/>
      <c r="E19" s="352"/>
      <c r="F19" s="352"/>
      <c r="G19" s="352"/>
      <c r="H19" s="352"/>
      <c r="I19" s="352"/>
      <c r="J19" s="352"/>
      <c r="K19" s="352"/>
      <c r="L19" s="352"/>
      <c r="M19" s="352"/>
    </row>
    <row r="20" spans="1:18">
      <c r="A20" s="7"/>
    </row>
    <row r="21" spans="1:18" hidden="1"/>
    <row r="22" spans="1:18" s="148" customFormat="1" ht="21.6" hidden="1" customHeight="1">
      <c r="A22" s="632" t="s">
        <v>193</v>
      </c>
      <c r="B22" s="632"/>
      <c r="C22" s="632"/>
      <c r="D22" s="632"/>
      <c r="E22" s="632"/>
    </row>
    <row r="23" spans="1:18" hidden="1">
      <c r="B23" s="633" t="s">
        <v>358</v>
      </c>
      <c r="C23" s="634"/>
      <c r="D23" s="635"/>
      <c r="E23" s="633" t="s">
        <v>197</v>
      </c>
      <c r="F23" s="634"/>
      <c r="G23" s="635"/>
    </row>
    <row r="24" spans="1:18" hidden="1">
      <c r="B24" s="178" t="s">
        <v>359</v>
      </c>
      <c r="C24" s="179" t="s">
        <v>360</v>
      </c>
      <c r="D24" s="180" t="s">
        <v>361</v>
      </c>
      <c r="E24" s="178" t="s">
        <v>362</v>
      </c>
      <c r="F24" s="179" t="s">
        <v>360</v>
      </c>
      <c r="G24" s="180" t="s">
        <v>361</v>
      </c>
    </row>
    <row r="25" spans="1:18" hidden="1">
      <c r="A25" s="630" t="s">
        <v>363</v>
      </c>
      <c r="B25" s="181" t="s">
        <v>364</v>
      </c>
      <c r="C25" t="s">
        <v>364</v>
      </c>
      <c r="D25" s="182" t="s">
        <v>365</v>
      </c>
      <c r="E25" s="181" t="s">
        <v>364</v>
      </c>
      <c r="F25" t="s">
        <v>364</v>
      </c>
      <c r="G25" s="182" t="s">
        <v>365</v>
      </c>
    </row>
    <row r="26" spans="1:18" hidden="1">
      <c r="A26" s="630"/>
      <c r="B26" s="181">
        <v>15.56</v>
      </c>
      <c r="C26">
        <v>15.56</v>
      </c>
      <c r="D26" s="182">
        <v>15.56</v>
      </c>
      <c r="E26" s="181">
        <v>29.22</v>
      </c>
      <c r="F26">
        <v>29.22</v>
      </c>
      <c r="G26" s="182">
        <v>29.22</v>
      </c>
    </row>
    <row r="27" spans="1:18" hidden="1">
      <c r="A27" s="630"/>
      <c r="B27" s="183" t="s">
        <v>366</v>
      </c>
      <c r="C27" t="s">
        <v>367</v>
      </c>
      <c r="D27" s="182"/>
      <c r="E27" s="183" t="s">
        <v>366</v>
      </c>
      <c r="F27" t="s">
        <v>367</v>
      </c>
      <c r="G27" s="182"/>
    </row>
    <row r="28" spans="1:18" hidden="1">
      <c r="A28" s="630"/>
      <c r="B28" s="178">
        <v>21.11</v>
      </c>
      <c r="C28" s="179">
        <v>21.11</v>
      </c>
      <c r="D28" s="180"/>
      <c r="E28" s="178">
        <v>23.88</v>
      </c>
      <c r="F28" s="179">
        <v>23.88</v>
      </c>
      <c r="G28" s="180"/>
    </row>
    <row r="29" spans="1:18" hidden="1"/>
    <row r="30" spans="1:18" hidden="1"/>
    <row r="31" spans="1:18" ht="42" hidden="1" customHeight="1">
      <c r="A31" s="631" t="s">
        <v>368</v>
      </c>
      <c r="B31" s="631"/>
      <c r="C31" s="631"/>
      <c r="D31" s="631"/>
      <c r="E31" s="631"/>
      <c r="F31" s="631"/>
      <c r="G31" s="631"/>
      <c r="H31" s="631"/>
      <c r="I31" s="631"/>
    </row>
    <row r="32" spans="1:18" hidden="1"/>
    <row r="33" hidden="1"/>
    <row r="34" hidden="1"/>
    <row r="35" hidden="1"/>
    <row r="36" hidden="1"/>
    <row r="37" hidden="1"/>
    <row r="38" hidden="1"/>
    <row r="39" hidden="1"/>
    <row r="40" hidden="1"/>
    <row r="41" hidden="1"/>
    <row r="42" hidden="1"/>
    <row r="43" hidden="1"/>
    <row r="44" hidden="1"/>
    <row r="45" hidden="1"/>
    <row r="46" hidden="1"/>
  </sheetData>
  <mergeCells count="8">
    <mergeCell ref="A1:R1"/>
    <mergeCell ref="A25:A28"/>
    <mergeCell ref="A31:I31"/>
    <mergeCell ref="A22:E22"/>
    <mergeCell ref="B23:D23"/>
    <mergeCell ref="E23:G23"/>
    <mergeCell ref="R3:R6"/>
    <mergeCell ref="R7:R1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W72"/>
  <sheetViews>
    <sheetView zoomScale="85" zoomScaleNormal="85" workbookViewId="0"/>
  </sheetViews>
  <sheetFormatPr defaultColWidth="9.28515625" defaultRowHeight="13.9"/>
  <cols>
    <col min="1" max="1" width="31.7109375" style="155" customWidth="1"/>
    <col min="2" max="2" width="20.28515625" style="155" customWidth="1"/>
    <col min="3" max="3" width="14.7109375" style="155" customWidth="1"/>
    <col min="4" max="4" width="23.42578125" style="155" customWidth="1"/>
    <col min="5" max="5" width="24.28515625" style="155" customWidth="1"/>
    <col min="6" max="6" width="34.28515625" style="155" customWidth="1"/>
    <col min="7" max="7" width="17.85546875" style="155" customWidth="1"/>
    <col min="8" max="8" width="17.42578125" style="155" customWidth="1"/>
    <col min="9" max="9" width="15.28515625" style="155" customWidth="1"/>
    <col min="10" max="10" width="12.140625" style="155" customWidth="1"/>
    <col min="11" max="11" width="36.7109375" style="155" customWidth="1"/>
    <col min="12" max="12" width="27.28515625" style="155" customWidth="1"/>
    <col min="13" max="13" width="13.7109375" style="155" customWidth="1"/>
    <col min="14" max="14" width="12.28515625" style="155" customWidth="1"/>
    <col min="15" max="15" width="13.7109375" style="155" customWidth="1"/>
    <col min="16" max="16" width="11.7109375" style="155" customWidth="1"/>
    <col min="17" max="17" width="13.7109375" style="155" customWidth="1"/>
    <col min="18" max="18" width="12.28515625" style="155" customWidth="1"/>
    <col min="19" max="19" width="13.7109375" style="155" customWidth="1"/>
    <col min="20" max="20" width="12.28515625" style="155" customWidth="1"/>
    <col min="21" max="21" width="13.7109375" style="155" customWidth="1"/>
    <col min="22" max="22" width="11.7109375" style="155" customWidth="1"/>
    <col min="23" max="24" width="10.7109375" style="155" customWidth="1"/>
    <col min="25" max="25" width="9.28515625" style="155"/>
    <col min="26" max="30" width="11.28515625" style="155" customWidth="1"/>
    <col min="31" max="16384" width="9.28515625" style="155"/>
  </cols>
  <sheetData>
    <row r="1" spans="1:19" ht="24.6" customHeight="1">
      <c r="A1" s="640" t="s">
        <v>369</v>
      </c>
      <c r="B1" s="640"/>
      <c r="C1" s="640"/>
      <c r="D1" s="640"/>
      <c r="E1" s="640"/>
      <c r="F1" s="640"/>
      <c r="G1" s="640"/>
      <c r="H1" s="640"/>
      <c r="I1" s="640"/>
      <c r="J1" s="640"/>
      <c r="K1" s="640"/>
      <c r="L1" s="3"/>
      <c r="M1" s="3"/>
      <c r="N1" s="3"/>
      <c r="O1" s="3"/>
      <c r="P1" s="3"/>
      <c r="Q1" s="3"/>
      <c r="R1" s="3"/>
      <c r="S1" s="3"/>
    </row>
    <row r="2" spans="1:19" s="156" customFormat="1" ht="52.9">
      <c r="A2" s="316" t="s">
        <v>370</v>
      </c>
      <c r="B2" s="317" t="s">
        <v>371</v>
      </c>
      <c r="C2" s="318" t="s">
        <v>372</v>
      </c>
      <c r="D2" s="319" t="s">
        <v>373</v>
      </c>
      <c r="E2" s="319" t="s">
        <v>374</v>
      </c>
      <c r="F2" s="319" t="s">
        <v>375</v>
      </c>
      <c r="G2" s="319" t="s">
        <v>376</v>
      </c>
      <c r="H2" s="319" t="s">
        <v>377</v>
      </c>
      <c r="I2" s="319" t="s">
        <v>378</v>
      </c>
      <c r="J2" s="316" t="s">
        <v>379</v>
      </c>
      <c r="K2" s="316" t="s">
        <v>200</v>
      </c>
      <c r="L2" s="230"/>
      <c r="M2" s="5"/>
      <c r="N2" s="5"/>
      <c r="O2" s="5"/>
      <c r="P2" s="5"/>
      <c r="Q2" s="5"/>
      <c r="R2" s="5"/>
      <c r="S2" s="5"/>
    </row>
    <row r="3" spans="1:19" s="156" customFormat="1" ht="14.45" customHeight="1">
      <c r="A3" s="320" t="str">
        <f>Zones!A3</f>
        <v>Corridor_FloorG</v>
      </c>
      <c r="B3" s="321">
        <f>Zones!J3</f>
        <v>8.9110499999999995</v>
      </c>
      <c r="C3" s="322">
        <f>Zones!G3</f>
        <v>1782.21</v>
      </c>
      <c r="D3" s="535">
        <v>15</v>
      </c>
      <c r="E3" s="535">
        <v>0.15</v>
      </c>
      <c r="F3" s="323"/>
      <c r="G3" s="327">
        <f>B3*D3</f>
        <v>133.66575</v>
      </c>
      <c r="H3" s="327">
        <f>C3*E3</f>
        <v>267.33150000000001</v>
      </c>
      <c r="I3" s="394"/>
      <c r="J3" s="314">
        <f>MAX(G3:I3)</f>
        <v>267.33150000000001</v>
      </c>
      <c r="K3" s="324"/>
      <c r="L3" s="230"/>
      <c r="M3" s="5"/>
      <c r="N3" s="5"/>
      <c r="O3" s="5"/>
      <c r="P3" s="5"/>
      <c r="Q3" s="5"/>
      <c r="R3" s="5"/>
      <c r="S3" s="5"/>
    </row>
    <row r="4" spans="1:19" s="156" customFormat="1" ht="14.45" customHeight="1">
      <c r="A4" s="320" t="str">
        <f>Zones!A4</f>
        <v>Corridor_FloorM</v>
      </c>
      <c r="B4" s="321">
        <f>Zones!J4</f>
        <v>7.5608000000000004</v>
      </c>
      <c r="C4" s="322">
        <f>Zones!G4</f>
        <v>1512.16</v>
      </c>
      <c r="D4" s="535">
        <v>15</v>
      </c>
      <c r="E4" s="535">
        <v>0.15</v>
      </c>
      <c r="F4" s="323"/>
      <c r="G4" s="327">
        <f t="shared" ref="G4:G16" si="0">B4*D4</f>
        <v>113.41200000000001</v>
      </c>
      <c r="H4" s="327">
        <f t="shared" ref="H4:H16" si="1">C4*E4</f>
        <v>226.82400000000001</v>
      </c>
      <c r="I4" s="394"/>
      <c r="J4" s="314">
        <f t="shared" ref="J4:J50" si="2">MAX(G4:I4)</f>
        <v>226.82400000000001</v>
      </c>
      <c r="K4" s="324"/>
      <c r="L4" s="230"/>
      <c r="M4" s="5"/>
      <c r="N4" s="5"/>
      <c r="O4" s="5"/>
      <c r="P4" s="5"/>
      <c r="Q4" s="5"/>
      <c r="R4" s="5"/>
      <c r="S4" s="5"/>
    </row>
    <row r="5" spans="1:19" s="156" customFormat="1" ht="14.45" customHeight="1">
      <c r="A5" s="320" t="str">
        <f>Zones!A5</f>
        <v>Corridor_FloorT</v>
      </c>
      <c r="B5" s="321">
        <f>Zones!J5</f>
        <v>7.5608000000000004</v>
      </c>
      <c r="C5" s="322">
        <f>Zones!G5</f>
        <v>1512.16</v>
      </c>
      <c r="D5" s="535">
        <v>15</v>
      </c>
      <c r="E5" s="535">
        <v>0.15</v>
      </c>
      <c r="F5" s="323"/>
      <c r="G5" s="327">
        <f t="shared" si="0"/>
        <v>113.41200000000001</v>
      </c>
      <c r="H5" s="327">
        <f t="shared" si="1"/>
        <v>226.82400000000001</v>
      </c>
      <c r="I5" s="394"/>
      <c r="J5" s="314">
        <f t="shared" si="2"/>
        <v>226.82400000000001</v>
      </c>
      <c r="K5" s="324"/>
      <c r="L5" s="230"/>
      <c r="M5" s="5"/>
      <c r="N5" s="5"/>
      <c r="O5" s="5"/>
      <c r="P5" s="5"/>
      <c r="Q5" s="5"/>
      <c r="R5" s="5"/>
      <c r="S5" s="5"/>
    </row>
    <row r="6" spans="1:19" s="156" customFormat="1" ht="14.45" customHeight="1">
      <c r="A6" s="320" t="str">
        <f>Zones!A6</f>
        <v>Lounge_FloorG</v>
      </c>
      <c r="B6" s="321">
        <f>Zones!J6</f>
        <v>11.583989999999998</v>
      </c>
      <c r="C6" s="322">
        <f>Zones!G6</f>
        <v>351.03</v>
      </c>
      <c r="D6" s="535">
        <v>15</v>
      </c>
      <c r="E6" s="535">
        <v>0.15</v>
      </c>
      <c r="F6" s="323"/>
      <c r="G6" s="327">
        <f t="shared" si="0"/>
        <v>173.75984999999997</v>
      </c>
      <c r="H6" s="327">
        <f t="shared" si="1"/>
        <v>52.654499999999992</v>
      </c>
      <c r="I6" s="394"/>
      <c r="J6" s="314">
        <f t="shared" si="2"/>
        <v>173.75984999999997</v>
      </c>
      <c r="K6" s="324"/>
      <c r="L6" s="230"/>
      <c r="M6" s="5"/>
      <c r="N6" s="5"/>
      <c r="O6" s="5"/>
      <c r="P6" s="5"/>
      <c r="Q6" s="5"/>
      <c r="R6" s="5"/>
      <c r="S6" s="5"/>
    </row>
    <row r="7" spans="1:19" s="156" customFormat="1" ht="14.45" customHeight="1">
      <c r="A7" s="320" t="str">
        <f>Zones!A7</f>
        <v>Gym_FloorG</v>
      </c>
      <c r="B7" s="321">
        <f>Zones!J7</f>
        <v>3.5102999999999995</v>
      </c>
      <c r="C7" s="322">
        <f>Zones!G7</f>
        <v>351.03</v>
      </c>
      <c r="D7" s="535">
        <v>15</v>
      </c>
      <c r="E7" s="535">
        <v>0.15</v>
      </c>
      <c r="F7" s="323"/>
      <c r="G7" s="327">
        <f t="shared" si="0"/>
        <v>52.654499999999992</v>
      </c>
      <c r="H7" s="327">
        <f t="shared" si="1"/>
        <v>52.654499999999992</v>
      </c>
      <c r="I7" s="394"/>
      <c r="J7" s="314">
        <f t="shared" si="2"/>
        <v>52.654499999999992</v>
      </c>
      <c r="K7" s="324"/>
      <c r="L7" s="230"/>
      <c r="M7" s="5"/>
      <c r="N7" s="5"/>
      <c r="O7" s="5"/>
      <c r="P7" s="5"/>
      <c r="Q7" s="5"/>
      <c r="R7" s="5"/>
      <c r="S7" s="5"/>
    </row>
    <row r="8" spans="1:19" s="156" customFormat="1" ht="14.45" customHeight="1">
      <c r="A8" s="320" t="str">
        <f>Zones!A8</f>
        <v>Front_Lounge_FloorG</v>
      </c>
      <c r="B8" s="321">
        <f>Zones!J8</f>
        <v>57.924899999999994</v>
      </c>
      <c r="C8" s="322">
        <f>Zones!G8</f>
        <v>1755.3</v>
      </c>
      <c r="D8" s="535">
        <v>15</v>
      </c>
      <c r="E8" s="535">
        <v>0.15</v>
      </c>
      <c r="F8" s="323"/>
      <c r="G8" s="327">
        <f t="shared" si="0"/>
        <v>868.87349999999992</v>
      </c>
      <c r="H8" s="327">
        <f t="shared" si="1"/>
        <v>263.29499999999996</v>
      </c>
      <c r="I8" s="394"/>
      <c r="J8" s="314">
        <f t="shared" si="2"/>
        <v>868.87349999999992</v>
      </c>
      <c r="K8" s="324"/>
      <c r="L8" s="230"/>
      <c r="M8" s="5"/>
      <c r="N8" s="5"/>
      <c r="O8" s="5"/>
      <c r="P8" s="5"/>
      <c r="Q8" s="5"/>
      <c r="R8" s="5"/>
      <c r="S8" s="5"/>
    </row>
    <row r="9" spans="1:19" s="156" customFormat="1" ht="14.45" customHeight="1">
      <c r="A9" s="320" t="str">
        <f>Zones!A9</f>
        <v>Front_Office_FloorG</v>
      </c>
      <c r="B9" s="321">
        <f>Zones!J9</f>
        <v>7.0207000000000006</v>
      </c>
      <c r="C9" s="322">
        <f>Zones!G9</f>
        <v>1404.14</v>
      </c>
      <c r="D9" s="535">
        <v>15</v>
      </c>
      <c r="E9" s="535">
        <v>0.15</v>
      </c>
      <c r="F9" s="323"/>
      <c r="G9" s="327">
        <f t="shared" si="0"/>
        <v>105.3105</v>
      </c>
      <c r="H9" s="327">
        <f t="shared" si="1"/>
        <v>210.62100000000001</v>
      </c>
      <c r="I9" s="394"/>
      <c r="J9" s="314">
        <f t="shared" si="2"/>
        <v>210.62100000000001</v>
      </c>
      <c r="K9" s="324"/>
      <c r="L9" s="230"/>
      <c r="M9" s="5"/>
      <c r="N9" s="5"/>
      <c r="O9" s="5"/>
      <c r="P9" s="5"/>
      <c r="Q9" s="5"/>
      <c r="R9" s="5"/>
      <c r="S9" s="5"/>
    </row>
    <row r="10" spans="1:19" s="156" customFormat="1" ht="14.45" customHeight="1">
      <c r="A10" s="320" t="str">
        <f>Zones!A10</f>
        <v>Front_Stair_FloorG</v>
      </c>
      <c r="B10" s="321">
        <f>Zones!J10</f>
        <v>0</v>
      </c>
      <c r="C10" s="322">
        <f>Zones!G10</f>
        <v>216.02</v>
      </c>
      <c r="D10" s="535">
        <v>15</v>
      </c>
      <c r="E10" s="535">
        <v>0.15</v>
      </c>
      <c r="F10" s="323"/>
      <c r="G10" s="327">
        <f t="shared" si="0"/>
        <v>0</v>
      </c>
      <c r="H10" s="327">
        <f t="shared" si="1"/>
        <v>32.402999999999999</v>
      </c>
      <c r="I10" s="394"/>
      <c r="J10" s="314">
        <f t="shared" si="2"/>
        <v>32.402999999999999</v>
      </c>
      <c r="K10" s="324"/>
      <c r="L10" s="230"/>
      <c r="M10" s="5"/>
      <c r="N10" s="5"/>
      <c r="O10" s="5"/>
      <c r="P10" s="5"/>
      <c r="Q10" s="5"/>
      <c r="R10" s="5"/>
      <c r="S10" s="5"/>
    </row>
    <row r="11" spans="1:19" s="156" customFormat="1" ht="14.45" customHeight="1">
      <c r="A11" s="320" t="str">
        <f>Zones!A11</f>
        <v>Front_Stair_FloorM</v>
      </c>
      <c r="B11" s="321">
        <f>Zones!J11</f>
        <v>0</v>
      </c>
      <c r="C11" s="322">
        <f>Zones!G11</f>
        <v>216.02</v>
      </c>
      <c r="D11" s="535">
        <v>15</v>
      </c>
      <c r="E11" s="535">
        <v>0.15</v>
      </c>
      <c r="F11" s="323"/>
      <c r="G11" s="327">
        <f t="shared" si="0"/>
        <v>0</v>
      </c>
      <c r="H11" s="327">
        <f t="shared" si="1"/>
        <v>32.402999999999999</v>
      </c>
      <c r="I11" s="394"/>
      <c r="J11" s="314">
        <f t="shared" si="2"/>
        <v>32.402999999999999</v>
      </c>
      <c r="K11" s="324"/>
      <c r="L11" s="230"/>
      <c r="M11" s="5"/>
      <c r="N11" s="5"/>
      <c r="O11" s="5"/>
      <c r="P11" s="5"/>
      <c r="Q11" s="5"/>
      <c r="R11" s="5"/>
      <c r="S11" s="5"/>
    </row>
    <row r="12" spans="1:19" s="156" customFormat="1" ht="14.45" customHeight="1">
      <c r="A12" s="320" t="str">
        <f>Zones!A12</f>
        <v>Front_Stair_FloorT</v>
      </c>
      <c r="B12" s="321">
        <f>Zones!J12</f>
        <v>0</v>
      </c>
      <c r="C12" s="322">
        <f>Zones!G12</f>
        <v>216.02</v>
      </c>
      <c r="D12" s="535">
        <v>15</v>
      </c>
      <c r="E12" s="535">
        <v>0.15</v>
      </c>
      <c r="F12" s="323"/>
      <c r="G12" s="327">
        <f t="shared" si="0"/>
        <v>0</v>
      </c>
      <c r="H12" s="327">
        <f t="shared" si="1"/>
        <v>32.402999999999999</v>
      </c>
      <c r="I12" s="394"/>
      <c r="J12" s="314">
        <f t="shared" si="2"/>
        <v>32.402999999999999</v>
      </c>
      <c r="K12" s="324"/>
      <c r="L12" s="230"/>
      <c r="M12" s="5"/>
      <c r="N12" s="5"/>
      <c r="O12" s="5"/>
      <c r="P12" s="5"/>
      <c r="Q12" s="5"/>
      <c r="R12" s="5"/>
      <c r="S12" s="5"/>
    </row>
    <row r="13" spans="1:19" s="156" customFormat="1" ht="14.45" customHeight="1">
      <c r="A13" s="320" t="str">
        <f>Zones!A13</f>
        <v>Front_Storage_FloorG</v>
      </c>
      <c r="B13" s="321">
        <f>Zones!J13</f>
        <v>0.27001999999999998</v>
      </c>
      <c r="C13" s="322">
        <f>Zones!G13</f>
        <v>135.01</v>
      </c>
      <c r="D13" s="535">
        <v>15</v>
      </c>
      <c r="E13" s="535">
        <v>0.15</v>
      </c>
      <c r="F13" s="323"/>
      <c r="G13" s="327">
        <f t="shared" si="0"/>
        <v>4.0503</v>
      </c>
      <c r="H13" s="327">
        <f t="shared" si="1"/>
        <v>20.251499999999997</v>
      </c>
      <c r="I13" s="394"/>
      <c r="J13" s="314">
        <f t="shared" si="2"/>
        <v>20.251499999999997</v>
      </c>
      <c r="K13" s="324"/>
      <c r="L13" s="230"/>
      <c r="M13" s="5"/>
      <c r="N13" s="5"/>
      <c r="O13" s="5"/>
      <c r="P13" s="5"/>
      <c r="Q13" s="5"/>
      <c r="R13" s="5"/>
      <c r="S13" s="5"/>
    </row>
    <row r="14" spans="1:19" s="156" customFormat="1" ht="14.45" customHeight="1">
      <c r="A14" s="320" t="str">
        <f>Zones!A14</f>
        <v>Front_Storage_FloorM</v>
      </c>
      <c r="B14" s="321">
        <f>Zones!J14</f>
        <v>0.27001999999999998</v>
      </c>
      <c r="C14" s="322">
        <f>Zones!G14</f>
        <v>135.01</v>
      </c>
      <c r="D14" s="535">
        <v>15</v>
      </c>
      <c r="E14" s="535">
        <v>0.15</v>
      </c>
      <c r="F14" s="296"/>
      <c r="G14" s="327">
        <f t="shared" si="0"/>
        <v>4.0503</v>
      </c>
      <c r="H14" s="327">
        <f t="shared" si="1"/>
        <v>20.251499999999997</v>
      </c>
      <c r="I14" s="394"/>
      <c r="J14" s="314">
        <f t="shared" si="2"/>
        <v>20.251499999999997</v>
      </c>
      <c r="K14" s="296"/>
      <c r="L14" s="5"/>
      <c r="M14" s="5"/>
      <c r="N14" s="5"/>
      <c r="O14" s="5"/>
      <c r="P14" s="5"/>
      <c r="Q14" s="5"/>
      <c r="R14" s="5"/>
      <c r="S14" s="5"/>
    </row>
    <row r="15" spans="1:19" s="156" customFormat="1" ht="14.45" customHeight="1">
      <c r="A15" s="320" t="str">
        <f>Zones!A15</f>
        <v>Front_Storage_FloorT</v>
      </c>
      <c r="B15" s="321">
        <f>Zones!J15</f>
        <v>0.27001999999999998</v>
      </c>
      <c r="C15" s="322">
        <f>Zones!G15</f>
        <v>135.01</v>
      </c>
      <c r="D15" s="535">
        <v>15</v>
      </c>
      <c r="E15" s="535">
        <v>0.15</v>
      </c>
      <c r="F15" s="296"/>
      <c r="G15" s="327">
        <f t="shared" si="0"/>
        <v>4.0503</v>
      </c>
      <c r="H15" s="327">
        <f t="shared" si="1"/>
        <v>20.251499999999997</v>
      </c>
      <c r="I15" s="394"/>
      <c r="J15" s="314">
        <f t="shared" si="2"/>
        <v>20.251499999999997</v>
      </c>
      <c r="K15" s="296"/>
      <c r="L15" s="5"/>
      <c r="M15" s="5"/>
      <c r="N15" s="5"/>
      <c r="O15" s="5"/>
      <c r="P15" s="5"/>
      <c r="Q15" s="5"/>
      <c r="R15" s="5"/>
      <c r="S15" s="5"/>
    </row>
    <row r="16" spans="1:19" s="156" customFormat="1" ht="14.45" customHeight="1">
      <c r="A16" s="320" t="str">
        <f>Zones!A16</f>
        <v>GuestRoom_1_FloorG</v>
      </c>
      <c r="B16" s="321">
        <f>Zones!J16</f>
        <v>1.05318</v>
      </c>
      <c r="C16" s="322">
        <f>Zones!G16</f>
        <v>351.06</v>
      </c>
      <c r="D16" s="535">
        <v>15</v>
      </c>
      <c r="E16" s="535">
        <v>0.15</v>
      </c>
      <c r="F16" s="541" t="s">
        <v>380</v>
      </c>
      <c r="G16" s="327">
        <f t="shared" si="0"/>
        <v>15.797700000000001</v>
      </c>
      <c r="H16" s="327">
        <f t="shared" si="1"/>
        <v>52.658999999999999</v>
      </c>
      <c r="I16" s="394">
        <f>50</f>
        <v>50</v>
      </c>
      <c r="J16" s="314">
        <f t="shared" si="2"/>
        <v>52.658999999999999</v>
      </c>
      <c r="K16" s="641" t="s">
        <v>381</v>
      </c>
      <c r="L16" s="5"/>
      <c r="M16" s="5"/>
      <c r="N16" s="5"/>
      <c r="O16" s="5"/>
      <c r="P16" s="5"/>
      <c r="Q16" s="5"/>
      <c r="R16" s="5"/>
      <c r="S16" s="5"/>
    </row>
    <row r="17" spans="1:23" s="156" customFormat="1" ht="14.45" customHeight="1">
      <c r="A17" s="320" t="str">
        <f>Zones!A17</f>
        <v>GuestRoom_2_FloorG</v>
      </c>
      <c r="B17" s="321">
        <f>Zones!J17</f>
        <v>1.05318</v>
      </c>
      <c r="C17" s="322">
        <f>Zones!G17</f>
        <v>351.06</v>
      </c>
      <c r="D17" s="535">
        <v>15</v>
      </c>
      <c r="E17" s="535">
        <v>0.15</v>
      </c>
      <c r="F17" s="541" t="s">
        <v>380</v>
      </c>
      <c r="G17" s="327">
        <f t="shared" ref="G17:G33" si="3">B17*D17</f>
        <v>15.797700000000001</v>
      </c>
      <c r="H17" s="327">
        <f t="shared" ref="H17:H33" si="4">C17*E17</f>
        <v>52.658999999999999</v>
      </c>
      <c r="I17" s="394">
        <f>50</f>
        <v>50</v>
      </c>
      <c r="J17" s="314">
        <f t="shared" si="2"/>
        <v>52.658999999999999</v>
      </c>
      <c r="K17" s="641"/>
      <c r="L17" s="315"/>
      <c r="M17" s="315"/>
      <c r="N17" s="639"/>
      <c r="O17" s="639"/>
      <c r="P17" s="639"/>
      <c r="Q17" s="639"/>
      <c r="R17" s="639"/>
      <c r="S17" s="639"/>
      <c r="T17" s="5"/>
      <c r="U17" s="5"/>
      <c r="V17" s="5"/>
      <c r="W17" s="5"/>
    </row>
    <row r="18" spans="1:23" s="156" customFormat="1" ht="14.45" customHeight="1">
      <c r="A18" s="320" t="str">
        <f>Zones!A18</f>
        <v>GuestRoom_3_FloorG</v>
      </c>
      <c r="B18" s="321">
        <f>Zones!J18</f>
        <v>1.05318</v>
      </c>
      <c r="C18" s="322">
        <f>Zones!G18</f>
        <v>351.06</v>
      </c>
      <c r="D18" s="535">
        <v>15</v>
      </c>
      <c r="E18" s="535">
        <v>0.15</v>
      </c>
      <c r="F18" s="541" t="s">
        <v>380</v>
      </c>
      <c r="G18" s="327">
        <f t="shared" si="3"/>
        <v>15.797700000000001</v>
      </c>
      <c r="H18" s="327">
        <f t="shared" si="4"/>
        <v>52.658999999999999</v>
      </c>
      <c r="I18" s="394">
        <f>50</f>
        <v>50</v>
      </c>
      <c r="J18" s="314">
        <f t="shared" si="2"/>
        <v>52.658999999999999</v>
      </c>
      <c r="K18" s="641"/>
      <c r="L18" s="121"/>
      <c r="M18" s="121"/>
      <c r="N18" s="120"/>
      <c r="O18" s="120"/>
      <c r="P18" s="120"/>
      <c r="Q18" s="231"/>
      <c r="R18" s="121"/>
      <c r="S18" s="121"/>
      <c r="T18" s="5"/>
      <c r="U18" s="5"/>
      <c r="V18" s="5"/>
      <c r="W18" s="5"/>
    </row>
    <row r="19" spans="1:23" s="156" customFormat="1" ht="14.45" customHeight="1">
      <c r="A19" s="320" t="str">
        <f>Zones!A19</f>
        <v>GuestRoom_4_FloorG</v>
      </c>
      <c r="B19" s="321">
        <f>Zones!J19</f>
        <v>1.0530899999999999</v>
      </c>
      <c r="C19" s="322">
        <f>Zones!G19</f>
        <v>351.03</v>
      </c>
      <c r="D19" s="535">
        <v>15</v>
      </c>
      <c r="E19" s="535">
        <v>0.15</v>
      </c>
      <c r="F19" s="541" t="s">
        <v>380</v>
      </c>
      <c r="G19" s="327">
        <f t="shared" si="3"/>
        <v>15.796349999999999</v>
      </c>
      <c r="H19" s="327">
        <f t="shared" si="4"/>
        <v>52.654499999999992</v>
      </c>
      <c r="I19" s="394">
        <f>50</f>
        <v>50</v>
      </c>
      <c r="J19" s="314">
        <f t="shared" si="2"/>
        <v>52.654499999999992</v>
      </c>
      <c r="K19" s="641"/>
      <c r="L19" s="230"/>
      <c r="M19" s="230"/>
      <c r="N19" s="230"/>
      <c r="O19" s="230"/>
      <c r="P19" s="230"/>
      <c r="Q19" s="230"/>
      <c r="R19" s="230"/>
      <c r="S19" s="230"/>
      <c r="T19" s="5"/>
      <c r="U19" s="5"/>
      <c r="V19" s="5"/>
      <c r="W19" s="5"/>
    </row>
    <row r="20" spans="1:23" s="156" customFormat="1" ht="14.45" customHeight="1">
      <c r="A20" s="320" t="str">
        <f>Zones!A20</f>
        <v>GuestRoom_5_FloorG</v>
      </c>
      <c r="B20" s="321">
        <f>Zones!J20</f>
        <v>1.0530899999999999</v>
      </c>
      <c r="C20" s="322">
        <f>Zones!G20</f>
        <v>351.03</v>
      </c>
      <c r="D20" s="535">
        <v>15</v>
      </c>
      <c r="E20" s="535">
        <v>0.15</v>
      </c>
      <c r="F20" s="541" t="s">
        <v>380</v>
      </c>
      <c r="G20" s="327">
        <f t="shared" si="3"/>
        <v>15.796349999999999</v>
      </c>
      <c r="H20" s="327">
        <f t="shared" si="4"/>
        <v>52.654499999999992</v>
      </c>
      <c r="I20" s="394">
        <f>50</f>
        <v>50</v>
      </c>
      <c r="J20" s="314">
        <f t="shared" si="2"/>
        <v>52.654499999999992</v>
      </c>
      <c r="K20" s="641"/>
      <c r="L20" s="230"/>
      <c r="M20" s="230"/>
      <c r="N20" s="230"/>
      <c r="O20" s="230"/>
      <c r="P20" s="230"/>
      <c r="Q20" s="230"/>
      <c r="R20" s="230"/>
      <c r="S20" s="230"/>
      <c r="T20" s="5"/>
      <c r="U20" s="5"/>
      <c r="V20" s="5"/>
      <c r="W20" s="5"/>
    </row>
    <row r="21" spans="1:23" s="156" customFormat="1" ht="14.45" customHeight="1">
      <c r="A21" s="320" t="str">
        <f>Zones!A21</f>
        <v>GuestRoom_1_FloorM</v>
      </c>
      <c r="B21" s="321">
        <f>Zones!J21</f>
        <v>1.05318</v>
      </c>
      <c r="C21" s="322">
        <f>Zones!G21</f>
        <v>351.06</v>
      </c>
      <c r="D21" s="535">
        <v>15</v>
      </c>
      <c r="E21" s="535">
        <v>0.15</v>
      </c>
      <c r="F21" s="541" t="s">
        <v>380</v>
      </c>
      <c r="G21" s="327">
        <f t="shared" si="3"/>
        <v>15.797700000000001</v>
      </c>
      <c r="H21" s="327">
        <f t="shared" si="4"/>
        <v>52.658999999999999</v>
      </c>
      <c r="I21" s="394">
        <f>50</f>
        <v>50</v>
      </c>
      <c r="J21" s="314">
        <f t="shared" si="2"/>
        <v>52.658999999999999</v>
      </c>
      <c r="K21" s="641"/>
      <c r="L21" s="230"/>
      <c r="M21" s="230"/>
      <c r="N21" s="230"/>
      <c r="O21" s="230"/>
      <c r="P21" s="230"/>
      <c r="Q21" s="230"/>
      <c r="R21" s="230"/>
      <c r="S21" s="230"/>
      <c r="T21" s="5"/>
      <c r="U21" s="5"/>
      <c r="V21" s="5"/>
      <c r="W21" s="5"/>
    </row>
    <row r="22" spans="1:23" s="156" customFormat="1" ht="14.45" customHeight="1">
      <c r="A22" s="320" t="str">
        <f>Zones!A22</f>
        <v>GuestRoom_2_5_FloorM</v>
      </c>
      <c r="B22" s="321">
        <f>Zones!J22</f>
        <v>4.21272</v>
      </c>
      <c r="C22" s="322">
        <f>Zones!G22</f>
        <v>1404.24</v>
      </c>
      <c r="D22" s="535">
        <v>15</v>
      </c>
      <c r="E22" s="535">
        <v>0.15</v>
      </c>
      <c r="F22" s="541" t="s">
        <v>380</v>
      </c>
      <c r="G22" s="327">
        <f t="shared" si="3"/>
        <v>63.190800000000003</v>
      </c>
      <c r="H22" s="327">
        <f>C22*E22</f>
        <v>210.636</v>
      </c>
      <c r="I22" s="394">
        <f>50*B22</f>
        <v>210.636</v>
      </c>
      <c r="J22" s="314">
        <f t="shared" si="2"/>
        <v>210.636</v>
      </c>
      <c r="K22" s="641"/>
      <c r="L22" s="230"/>
      <c r="M22" s="230"/>
      <c r="N22" s="230"/>
      <c r="O22" s="230"/>
      <c r="P22" s="230"/>
      <c r="Q22" s="230"/>
      <c r="R22" s="230"/>
      <c r="S22" s="230"/>
      <c r="T22" s="5"/>
      <c r="U22" s="5"/>
      <c r="V22" s="5"/>
      <c r="W22" s="5"/>
    </row>
    <row r="23" spans="1:23" s="156" customFormat="1" ht="14.45" customHeight="1">
      <c r="A23" s="320" t="str">
        <f>Zones!A23</f>
        <v>GuestRoom_6_8_FloorM</v>
      </c>
      <c r="B23" s="321">
        <f>Zones!J23</f>
        <v>3.4026000000000005</v>
      </c>
      <c r="C23" s="322">
        <f>Zones!G23</f>
        <v>1134.2</v>
      </c>
      <c r="D23" s="535">
        <v>15</v>
      </c>
      <c r="E23" s="535">
        <v>0.15</v>
      </c>
      <c r="F23" s="541" t="s">
        <v>380</v>
      </c>
      <c r="G23" s="327">
        <f t="shared" si="3"/>
        <v>51.039000000000009</v>
      </c>
      <c r="H23" s="327">
        <f t="shared" si="4"/>
        <v>170.13</v>
      </c>
      <c r="I23" s="394">
        <f t="shared" ref="I23:I40" si="5">50*B23</f>
        <v>170.13000000000002</v>
      </c>
      <c r="J23" s="314">
        <f t="shared" si="2"/>
        <v>170.13000000000002</v>
      </c>
      <c r="K23" s="641"/>
      <c r="L23" s="230"/>
      <c r="M23" s="230"/>
      <c r="N23" s="230"/>
      <c r="O23" s="230"/>
      <c r="P23" s="230"/>
      <c r="Q23" s="230"/>
      <c r="R23" s="230"/>
      <c r="S23" s="230"/>
      <c r="T23" s="5"/>
      <c r="U23" s="5"/>
      <c r="V23" s="5"/>
      <c r="W23" s="5"/>
    </row>
    <row r="24" spans="1:23" s="156" customFormat="1" ht="14.45" customHeight="1">
      <c r="A24" s="320" t="str">
        <f>Zones!A24</f>
        <v>GuestRoom_9_12_FloorM</v>
      </c>
      <c r="B24" s="321">
        <f>Zones!J24</f>
        <v>4.21272</v>
      </c>
      <c r="C24" s="322">
        <f>Zones!G24</f>
        <v>1404.24</v>
      </c>
      <c r="D24" s="535">
        <v>15</v>
      </c>
      <c r="E24" s="535">
        <v>0.15</v>
      </c>
      <c r="F24" s="541" t="s">
        <v>380</v>
      </c>
      <c r="G24" s="327">
        <f t="shared" si="3"/>
        <v>63.190800000000003</v>
      </c>
      <c r="H24" s="327">
        <f t="shared" si="4"/>
        <v>210.636</v>
      </c>
      <c r="I24" s="394">
        <f t="shared" si="5"/>
        <v>210.636</v>
      </c>
      <c r="J24" s="314">
        <f t="shared" si="2"/>
        <v>210.636</v>
      </c>
      <c r="K24" s="641"/>
      <c r="L24" s="230"/>
      <c r="M24" s="230"/>
      <c r="N24" s="230"/>
      <c r="O24" s="230"/>
      <c r="P24" s="230"/>
      <c r="Q24" s="230"/>
      <c r="R24" s="230"/>
      <c r="S24" s="230"/>
      <c r="T24" s="5"/>
      <c r="U24" s="5"/>
      <c r="V24" s="5"/>
      <c r="W24" s="5"/>
    </row>
    <row r="25" spans="1:23" s="156" customFormat="1" ht="14.45" customHeight="1">
      <c r="A25" s="320" t="str">
        <f>Zones!A25</f>
        <v>GuestRoom_13_FloorM</v>
      </c>
      <c r="B25" s="321">
        <f>Zones!J25</f>
        <v>1.05318</v>
      </c>
      <c r="C25" s="322">
        <f>Zones!G25</f>
        <v>351.06</v>
      </c>
      <c r="D25" s="535">
        <v>15</v>
      </c>
      <c r="E25" s="535">
        <v>0.15</v>
      </c>
      <c r="F25" s="541" t="s">
        <v>380</v>
      </c>
      <c r="G25" s="327">
        <f t="shared" si="3"/>
        <v>15.797700000000001</v>
      </c>
      <c r="H25" s="327">
        <f t="shared" si="4"/>
        <v>52.658999999999999</v>
      </c>
      <c r="I25" s="394">
        <f>50*B25</f>
        <v>52.658999999999999</v>
      </c>
      <c r="J25" s="314">
        <f t="shared" si="2"/>
        <v>52.658999999999999</v>
      </c>
      <c r="K25" s="641"/>
      <c r="L25" s="230"/>
      <c r="M25" s="230"/>
      <c r="N25" s="230"/>
      <c r="O25" s="230"/>
      <c r="P25" s="230"/>
      <c r="Q25" s="230"/>
      <c r="R25" s="230"/>
      <c r="S25" s="230"/>
      <c r="T25" s="5"/>
      <c r="U25" s="5"/>
      <c r="V25" s="5"/>
      <c r="W25" s="5"/>
    </row>
    <row r="26" spans="1:23" s="156" customFormat="1" ht="14.45" customHeight="1">
      <c r="A26" s="320" t="str">
        <f>Zones!A26</f>
        <v>GuestRoom_14_FloorM</v>
      </c>
      <c r="B26" s="321">
        <f>Zones!J26</f>
        <v>1.0530899999999999</v>
      </c>
      <c r="C26" s="322">
        <f>Zones!G26</f>
        <v>351.03</v>
      </c>
      <c r="D26" s="535">
        <v>15</v>
      </c>
      <c r="E26" s="535">
        <v>0.15</v>
      </c>
      <c r="F26" s="541" t="s">
        <v>380</v>
      </c>
      <c r="G26" s="327">
        <f t="shared" si="3"/>
        <v>15.796349999999999</v>
      </c>
      <c r="H26" s="327">
        <f t="shared" si="4"/>
        <v>52.654499999999992</v>
      </c>
      <c r="I26" s="394">
        <f t="shared" si="5"/>
        <v>52.654499999999992</v>
      </c>
      <c r="J26" s="314">
        <f t="shared" si="2"/>
        <v>52.654499999999992</v>
      </c>
      <c r="K26" s="641"/>
      <c r="L26" s="230"/>
      <c r="M26" s="230"/>
      <c r="N26" s="230"/>
      <c r="O26" s="230"/>
      <c r="P26" s="230"/>
      <c r="Q26" s="230"/>
      <c r="R26" s="230"/>
      <c r="S26" s="230"/>
      <c r="T26" s="5"/>
      <c r="U26" s="5"/>
      <c r="V26" s="5"/>
      <c r="W26" s="5"/>
    </row>
    <row r="27" spans="1:23" s="156" customFormat="1" ht="14.45" customHeight="1">
      <c r="A27" s="320" t="str">
        <f>Zones!A27</f>
        <v>GuestRoom_15_18_FloorM</v>
      </c>
      <c r="B27" s="321">
        <f>Zones!J27</f>
        <v>4.2124200000000007</v>
      </c>
      <c r="C27" s="322">
        <f>Zones!G27</f>
        <v>1404.14</v>
      </c>
      <c r="D27" s="535">
        <v>15</v>
      </c>
      <c r="E27" s="535">
        <v>0.15</v>
      </c>
      <c r="F27" s="541" t="s">
        <v>380</v>
      </c>
      <c r="G27" s="327">
        <f t="shared" si="3"/>
        <v>63.18630000000001</v>
      </c>
      <c r="H27" s="327">
        <f t="shared" si="4"/>
        <v>210.62100000000001</v>
      </c>
      <c r="I27" s="394">
        <f t="shared" si="5"/>
        <v>210.62100000000004</v>
      </c>
      <c r="J27" s="314">
        <f t="shared" si="2"/>
        <v>210.62100000000004</v>
      </c>
      <c r="K27" s="641"/>
      <c r="L27" s="230"/>
      <c r="M27" s="230"/>
      <c r="N27" s="230"/>
      <c r="O27" s="230"/>
      <c r="P27" s="230"/>
      <c r="Q27" s="230"/>
      <c r="R27" s="230"/>
      <c r="S27" s="230"/>
      <c r="T27" s="5"/>
      <c r="U27" s="5"/>
      <c r="V27" s="5"/>
      <c r="W27" s="5"/>
    </row>
    <row r="28" spans="1:23" s="156" customFormat="1" ht="14.45" customHeight="1">
      <c r="A28" s="320" t="str">
        <f>Zones!A28</f>
        <v>GuestRoom_19_FloorM</v>
      </c>
      <c r="B28" s="321">
        <f>Zones!J28</f>
        <v>1.0531200000000001</v>
      </c>
      <c r="C28" s="322">
        <f>Zones!G28</f>
        <v>351.04</v>
      </c>
      <c r="D28" s="535">
        <v>15</v>
      </c>
      <c r="E28" s="535">
        <v>0.15</v>
      </c>
      <c r="F28" s="541" t="s">
        <v>380</v>
      </c>
      <c r="G28" s="327">
        <f t="shared" si="3"/>
        <v>15.796800000000001</v>
      </c>
      <c r="H28" s="327">
        <f t="shared" si="4"/>
        <v>52.655999999999999</v>
      </c>
      <c r="I28" s="394">
        <f t="shared" si="5"/>
        <v>52.656000000000006</v>
      </c>
      <c r="J28" s="314">
        <f t="shared" si="2"/>
        <v>52.656000000000006</v>
      </c>
      <c r="K28" s="641"/>
      <c r="L28" s="230"/>
      <c r="M28" s="230"/>
      <c r="N28" s="230"/>
      <c r="O28" s="230"/>
      <c r="P28" s="230"/>
      <c r="Q28" s="230"/>
      <c r="R28" s="230"/>
      <c r="S28" s="230"/>
      <c r="T28" s="5"/>
      <c r="U28" s="5"/>
      <c r="V28" s="5"/>
      <c r="W28" s="5"/>
    </row>
    <row r="29" spans="1:23" s="156" customFormat="1" ht="14.45" customHeight="1">
      <c r="A29" s="320" t="str">
        <f>Zones!A29</f>
        <v>GuestRoom_20_23_FloorM</v>
      </c>
      <c r="B29" s="321">
        <f>Zones!J29</f>
        <v>4.2124200000000007</v>
      </c>
      <c r="C29" s="322">
        <f>Zones!G29</f>
        <v>1404.14</v>
      </c>
      <c r="D29" s="535">
        <v>15</v>
      </c>
      <c r="E29" s="535">
        <v>0.15</v>
      </c>
      <c r="F29" s="541" t="s">
        <v>380</v>
      </c>
      <c r="G29" s="327">
        <f t="shared" si="3"/>
        <v>63.18630000000001</v>
      </c>
      <c r="H29" s="327">
        <f t="shared" si="4"/>
        <v>210.62100000000001</v>
      </c>
      <c r="I29" s="394">
        <f t="shared" si="5"/>
        <v>210.62100000000004</v>
      </c>
      <c r="J29" s="314">
        <f t="shared" si="2"/>
        <v>210.62100000000004</v>
      </c>
      <c r="K29" s="641"/>
      <c r="L29" s="230"/>
      <c r="M29" s="230"/>
      <c r="N29" s="230"/>
      <c r="O29" s="230"/>
      <c r="P29" s="230"/>
      <c r="Q29" s="230"/>
      <c r="R29" s="230"/>
      <c r="S29" s="230"/>
      <c r="T29" s="5"/>
      <c r="U29" s="5"/>
      <c r="V29" s="5"/>
      <c r="W29" s="5"/>
    </row>
    <row r="30" spans="1:23" s="156" customFormat="1" ht="14.45" customHeight="1">
      <c r="A30" s="320" t="str">
        <f>Zones!A30</f>
        <v>GuestRoom_24_FloorM</v>
      </c>
      <c r="B30" s="321">
        <f>Zones!J30</f>
        <v>1.0530899999999999</v>
      </c>
      <c r="C30" s="322">
        <f>Zones!G30</f>
        <v>351.03</v>
      </c>
      <c r="D30" s="535">
        <v>15</v>
      </c>
      <c r="E30" s="535">
        <v>0.15</v>
      </c>
      <c r="F30" s="541" t="s">
        <v>380</v>
      </c>
      <c r="G30" s="327">
        <f t="shared" si="3"/>
        <v>15.796349999999999</v>
      </c>
      <c r="H30" s="327">
        <f t="shared" si="4"/>
        <v>52.654499999999992</v>
      </c>
      <c r="I30" s="394">
        <f t="shared" si="5"/>
        <v>52.654499999999992</v>
      </c>
      <c r="J30" s="314">
        <f t="shared" si="2"/>
        <v>52.654499999999992</v>
      </c>
      <c r="K30" s="641"/>
      <c r="L30" s="230"/>
      <c r="M30" s="230"/>
      <c r="N30" s="230"/>
      <c r="O30" s="230"/>
      <c r="P30" s="230"/>
      <c r="Q30" s="230"/>
      <c r="R30" s="230"/>
      <c r="S30" s="230"/>
      <c r="T30" s="5"/>
      <c r="U30" s="5"/>
      <c r="V30" s="5"/>
      <c r="W30" s="5"/>
    </row>
    <row r="31" spans="1:23" s="156" customFormat="1" ht="14.45" customHeight="1">
      <c r="A31" s="320" t="str">
        <f>Zones!A31</f>
        <v>GuestRoom_1_FloorT</v>
      </c>
      <c r="B31" s="321">
        <f>Zones!J31</f>
        <v>1.05318</v>
      </c>
      <c r="C31" s="322">
        <f>Zones!G31</f>
        <v>351.06</v>
      </c>
      <c r="D31" s="535">
        <v>15</v>
      </c>
      <c r="E31" s="535">
        <v>0.15</v>
      </c>
      <c r="F31" s="541" t="s">
        <v>380</v>
      </c>
      <c r="G31" s="327">
        <f t="shared" si="3"/>
        <v>15.797700000000001</v>
      </c>
      <c r="H31" s="327">
        <f t="shared" si="4"/>
        <v>52.658999999999999</v>
      </c>
      <c r="I31" s="394">
        <f t="shared" si="5"/>
        <v>52.658999999999999</v>
      </c>
      <c r="J31" s="314">
        <f t="shared" si="2"/>
        <v>52.658999999999999</v>
      </c>
      <c r="K31" s="641"/>
      <c r="L31" s="230"/>
      <c r="M31" s="230"/>
      <c r="N31" s="230"/>
      <c r="O31" s="230"/>
      <c r="P31" s="230"/>
      <c r="Q31" s="230"/>
      <c r="R31" s="230"/>
      <c r="S31" s="230"/>
      <c r="T31" s="5"/>
      <c r="U31" s="5"/>
      <c r="V31" s="5"/>
      <c r="W31" s="5"/>
    </row>
    <row r="32" spans="1:23" s="156" customFormat="1" ht="14.45" customHeight="1">
      <c r="A32" s="320" t="str">
        <f>Zones!A32</f>
        <v>GuestRoom_2_5_FloorT</v>
      </c>
      <c r="B32" s="321">
        <f>Zones!J32</f>
        <v>4.21272</v>
      </c>
      <c r="C32" s="322">
        <f>Zones!G32</f>
        <v>1404.24</v>
      </c>
      <c r="D32" s="535">
        <v>15</v>
      </c>
      <c r="E32" s="535">
        <v>0.15</v>
      </c>
      <c r="F32" s="541" t="s">
        <v>380</v>
      </c>
      <c r="G32" s="327">
        <f t="shared" si="3"/>
        <v>63.190800000000003</v>
      </c>
      <c r="H32" s="327">
        <f t="shared" si="4"/>
        <v>210.636</v>
      </c>
      <c r="I32" s="394">
        <f t="shared" si="5"/>
        <v>210.636</v>
      </c>
      <c r="J32" s="314">
        <f t="shared" si="2"/>
        <v>210.636</v>
      </c>
      <c r="K32" s="641"/>
      <c r="L32" s="230"/>
      <c r="M32" s="230"/>
      <c r="N32" s="230"/>
      <c r="O32" s="230"/>
      <c r="P32" s="230"/>
      <c r="Q32" s="230"/>
      <c r="R32" s="230"/>
      <c r="S32" s="230"/>
      <c r="T32" s="5"/>
      <c r="U32" s="5"/>
      <c r="V32" s="5"/>
      <c r="W32" s="5"/>
    </row>
    <row r="33" spans="1:23" s="156" customFormat="1" ht="14.45" customHeight="1">
      <c r="A33" s="320" t="str">
        <f>Zones!A33</f>
        <v>GuestRoom_6_8_FloorT</v>
      </c>
      <c r="B33" s="321">
        <f>Zones!J33</f>
        <v>3.4026000000000005</v>
      </c>
      <c r="C33" s="322">
        <f>Zones!G33</f>
        <v>1134.2</v>
      </c>
      <c r="D33" s="535">
        <v>15</v>
      </c>
      <c r="E33" s="535">
        <v>0.15</v>
      </c>
      <c r="F33" s="541" t="s">
        <v>380</v>
      </c>
      <c r="G33" s="327">
        <f t="shared" si="3"/>
        <v>51.039000000000009</v>
      </c>
      <c r="H33" s="327">
        <f t="shared" si="4"/>
        <v>170.13</v>
      </c>
      <c r="I33" s="394">
        <f t="shared" si="5"/>
        <v>170.13000000000002</v>
      </c>
      <c r="J33" s="314">
        <f t="shared" si="2"/>
        <v>170.13000000000002</v>
      </c>
      <c r="K33" s="641"/>
      <c r="L33" s="230"/>
      <c r="M33" s="230"/>
      <c r="N33" s="230"/>
      <c r="O33" s="230"/>
      <c r="P33" s="230"/>
      <c r="Q33" s="230"/>
      <c r="R33" s="230"/>
      <c r="S33" s="230"/>
      <c r="T33" s="5"/>
      <c r="U33" s="5"/>
      <c r="V33" s="5"/>
      <c r="W33" s="5"/>
    </row>
    <row r="34" spans="1:23" s="156" customFormat="1" ht="14.45" customHeight="1">
      <c r="A34" s="320" t="str">
        <f>Zones!A34</f>
        <v>GuestRoom_9_12_FloorT</v>
      </c>
      <c r="B34" s="321">
        <f>Zones!J34</f>
        <v>4.21272</v>
      </c>
      <c r="C34" s="322">
        <f>Zones!G34</f>
        <v>1404.24</v>
      </c>
      <c r="D34" s="535">
        <v>15</v>
      </c>
      <c r="E34" s="535">
        <v>0.15</v>
      </c>
      <c r="F34" s="541" t="s">
        <v>380</v>
      </c>
      <c r="G34" s="327">
        <f t="shared" ref="G34:G50" si="6">B34*D34</f>
        <v>63.190800000000003</v>
      </c>
      <c r="H34" s="327">
        <f t="shared" ref="H34:H50" si="7">C34*E34</f>
        <v>210.636</v>
      </c>
      <c r="I34" s="394">
        <f t="shared" si="5"/>
        <v>210.636</v>
      </c>
      <c r="J34" s="314">
        <f t="shared" si="2"/>
        <v>210.636</v>
      </c>
      <c r="K34" s="641"/>
      <c r="L34" s="230"/>
      <c r="M34" s="230"/>
      <c r="N34" s="230"/>
      <c r="O34" s="230"/>
      <c r="P34" s="230"/>
      <c r="Q34" s="230"/>
      <c r="R34" s="230"/>
      <c r="S34" s="230"/>
      <c r="T34" s="5"/>
      <c r="U34" s="5"/>
      <c r="V34" s="5"/>
      <c r="W34" s="5"/>
    </row>
    <row r="35" spans="1:23" s="156" customFormat="1" ht="14.45" customHeight="1">
      <c r="A35" s="320" t="str">
        <f>Zones!A35</f>
        <v>GuestRoom_13_FloorT</v>
      </c>
      <c r="B35" s="321">
        <f>Zones!J35</f>
        <v>1.05318</v>
      </c>
      <c r="C35" s="322">
        <f>Zones!G35</f>
        <v>351.06</v>
      </c>
      <c r="D35" s="535">
        <v>15</v>
      </c>
      <c r="E35" s="535">
        <v>0.15</v>
      </c>
      <c r="F35" s="541" t="s">
        <v>380</v>
      </c>
      <c r="G35" s="327">
        <f t="shared" si="6"/>
        <v>15.797700000000001</v>
      </c>
      <c r="H35" s="327">
        <f t="shared" si="7"/>
        <v>52.658999999999999</v>
      </c>
      <c r="I35" s="394">
        <f t="shared" si="5"/>
        <v>52.658999999999999</v>
      </c>
      <c r="J35" s="314">
        <f t="shared" si="2"/>
        <v>52.658999999999999</v>
      </c>
      <c r="K35" s="641"/>
      <c r="L35" s="230"/>
      <c r="M35" s="230"/>
      <c r="N35" s="230"/>
      <c r="O35" s="230"/>
      <c r="P35" s="230"/>
      <c r="Q35" s="230"/>
      <c r="R35" s="230"/>
      <c r="S35" s="230"/>
      <c r="T35" s="5"/>
      <c r="U35" s="5"/>
      <c r="V35" s="5"/>
      <c r="W35" s="5"/>
    </row>
    <row r="36" spans="1:23" s="156" customFormat="1" ht="14.45" customHeight="1">
      <c r="A36" s="320" t="str">
        <f>Zones!A36</f>
        <v>GuestRoom_14_FloorT</v>
      </c>
      <c r="B36" s="321">
        <f>Zones!J36</f>
        <v>1.0530899999999999</v>
      </c>
      <c r="C36" s="322">
        <f>Zones!G36</f>
        <v>351.03</v>
      </c>
      <c r="D36" s="535">
        <v>15</v>
      </c>
      <c r="E36" s="535">
        <v>0.15</v>
      </c>
      <c r="F36" s="541" t="s">
        <v>380</v>
      </c>
      <c r="G36" s="327">
        <f t="shared" si="6"/>
        <v>15.796349999999999</v>
      </c>
      <c r="H36" s="327">
        <f t="shared" si="7"/>
        <v>52.654499999999992</v>
      </c>
      <c r="I36" s="394">
        <f t="shared" si="5"/>
        <v>52.654499999999992</v>
      </c>
      <c r="J36" s="314">
        <f t="shared" si="2"/>
        <v>52.654499999999992</v>
      </c>
      <c r="K36" s="641"/>
      <c r="L36" s="5"/>
      <c r="M36" s="5"/>
      <c r="N36" s="5"/>
      <c r="O36" s="5"/>
      <c r="P36" s="5"/>
      <c r="Q36" s="5"/>
      <c r="R36" s="5"/>
      <c r="S36" s="5"/>
      <c r="T36" s="5"/>
      <c r="U36" s="5"/>
      <c r="V36" s="5"/>
      <c r="W36" s="5"/>
    </row>
    <row r="37" spans="1:23" s="156" customFormat="1" ht="14.45" customHeight="1">
      <c r="A37" s="320" t="str">
        <f>Zones!A37</f>
        <v>GuestRoom_15_18_FloorT</v>
      </c>
      <c r="B37" s="321">
        <f>Zones!J37</f>
        <v>4.2124200000000007</v>
      </c>
      <c r="C37" s="322">
        <f>Zones!G37</f>
        <v>1404.14</v>
      </c>
      <c r="D37" s="535">
        <v>15</v>
      </c>
      <c r="E37" s="535">
        <v>0.15</v>
      </c>
      <c r="F37" s="541" t="s">
        <v>380</v>
      </c>
      <c r="G37" s="327">
        <f t="shared" si="6"/>
        <v>63.18630000000001</v>
      </c>
      <c r="H37" s="327">
        <f t="shared" si="7"/>
        <v>210.62100000000001</v>
      </c>
      <c r="I37" s="394">
        <f t="shared" si="5"/>
        <v>210.62100000000004</v>
      </c>
      <c r="J37" s="314">
        <f t="shared" si="2"/>
        <v>210.62100000000004</v>
      </c>
      <c r="K37" s="641"/>
      <c r="L37" s="5"/>
      <c r="M37" s="5"/>
      <c r="N37" s="5"/>
      <c r="O37" s="5"/>
      <c r="P37" s="5"/>
      <c r="Q37" s="5"/>
      <c r="R37" s="5"/>
      <c r="S37" s="5"/>
      <c r="T37" s="5"/>
      <c r="U37" s="5"/>
      <c r="V37" s="5"/>
      <c r="W37" s="5"/>
    </row>
    <row r="38" spans="1:23" s="156" customFormat="1" ht="14.45" customHeight="1">
      <c r="A38" s="320" t="str">
        <f>Zones!A38</f>
        <v>GuestRoom_19_FloorT</v>
      </c>
      <c r="B38" s="321">
        <f>Zones!J38</f>
        <v>1.0531200000000001</v>
      </c>
      <c r="C38" s="322">
        <f>Zones!G38</f>
        <v>351.04</v>
      </c>
      <c r="D38" s="535">
        <v>15</v>
      </c>
      <c r="E38" s="535">
        <v>0.15</v>
      </c>
      <c r="F38" s="541" t="s">
        <v>380</v>
      </c>
      <c r="G38" s="327">
        <f t="shared" si="6"/>
        <v>15.796800000000001</v>
      </c>
      <c r="H38" s="327">
        <f t="shared" si="7"/>
        <v>52.655999999999999</v>
      </c>
      <c r="I38" s="394">
        <f t="shared" si="5"/>
        <v>52.656000000000006</v>
      </c>
      <c r="J38" s="314">
        <f t="shared" si="2"/>
        <v>52.656000000000006</v>
      </c>
      <c r="K38" s="641"/>
      <c r="L38" s="5"/>
      <c r="M38" s="5"/>
      <c r="N38" s="5"/>
      <c r="O38" s="5"/>
      <c r="P38" s="5"/>
      <c r="Q38" s="5"/>
      <c r="R38" s="5"/>
      <c r="S38" s="5"/>
      <c r="T38" s="5"/>
      <c r="U38" s="5"/>
      <c r="V38" s="5"/>
      <c r="W38" s="5"/>
    </row>
    <row r="39" spans="1:23" s="156" customFormat="1" ht="14.45" customHeight="1">
      <c r="A39" s="320" t="str">
        <f>Zones!A39</f>
        <v>GuestRoom_20_23_FloorT</v>
      </c>
      <c r="B39" s="321">
        <f>Zones!J39</f>
        <v>4.2124200000000007</v>
      </c>
      <c r="C39" s="322">
        <f>Zones!G39</f>
        <v>1404.14</v>
      </c>
      <c r="D39" s="535">
        <v>15</v>
      </c>
      <c r="E39" s="535">
        <v>0.15</v>
      </c>
      <c r="F39" s="541" t="s">
        <v>380</v>
      </c>
      <c r="G39" s="327">
        <f t="shared" si="6"/>
        <v>63.18630000000001</v>
      </c>
      <c r="H39" s="327">
        <f t="shared" si="7"/>
        <v>210.62100000000001</v>
      </c>
      <c r="I39" s="394">
        <f t="shared" si="5"/>
        <v>210.62100000000004</v>
      </c>
      <c r="J39" s="314">
        <f t="shared" si="2"/>
        <v>210.62100000000004</v>
      </c>
      <c r="K39" s="641"/>
      <c r="L39" s="121"/>
      <c r="M39" s="121"/>
      <c r="N39" s="121"/>
      <c r="O39" s="121"/>
      <c r="P39" s="121"/>
      <c r="Q39" s="121"/>
      <c r="R39" s="121"/>
      <c r="S39" s="121"/>
      <c r="T39" s="121"/>
      <c r="U39" s="121"/>
      <c r="V39" s="200"/>
      <c r="W39" s="200"/>
    </row>
    <row r="40" spans="1:23" s="156" customFormat="1" ht="14.45" customHeight="1">
      <c r="A40" s="320" t="str">
        <f>Zones!A40</f>
        <v>GuestRoom_24_FloorT</v>
      </c>
      <c r="B40" s="321">
        <f>Zones!J40</f>
        <v>1.0530899999999999</v>
      </c>
      <c r="C40" s="322">
        <f>Zones!G40</f>
        <v>351.03</v>
      </c>
      <c r="D40" s="535">
        <v>15</v>
      </c>
      <c r="E40" s="535">
        <v>0.15</v>
      </c>
      <c r="F40" s="541" t="s">
        <v>380</v>
      </c>
      <c r="G40" s="327">
        <f t="shared" si="6"/>
        <v>15.796349999999999</v>
      </c>
      <c r="H40" s="327">
        <f t="shared" si="7"/>
        <v>52.654499999999992</v>
      </c>
      <c r="I40" s="394">
        <f t="shared" si="5"/>
        <v>52.654499999999992</v>
      </c>
      <c r="J40" s="314">
        <f t="shared" si="2"/>
        <v>52.654499999999992</v>
      </c>
      <c r="K40" s="641"/>
      <c r="L40" s="122"/>
      <c r="M40" s="122"/>
      <c r="N40" s="122"/>
      <c r="O40" s="122"/>
      <c r="P40" s="122"/>
      <c r="Q40" s="122"/>
      <c r="R40" s="122"/>
      <c r="S40" s="122"/>
      <c r="T40" s="122"/>
      <c r="U40" s="122"/>
      <c r="V40" s="5"/>
      <c r="W40" s="5"/>
    </row>
    <row r="41" spans="1:23" s="156" customFormat="1" ht="26.45" customHeight="1">
      <c r="A41" s="320" t="str">
        <f>Zones!A41</f>
        <v>Laundry_FloorG</v>
      </c>
      <c r="B41" s="321">
        <f>Zones!J41</f>
        <v>5.2655500000000002</v>
      </c>
      <c r="C41" s="322">
        <f>Zones!G41</f>
        <v>1053.1099999999999</v>
      </c>
      <c r="D41" s="535">
        <v>15</v>
      </c>
      <c r="E41" s="535">
        <v>0.15</v>
      </c>
      <c r="F41" s="541" t="s">
        <v>382</v>
      </c>
      <c r="G41" s="327">
        <f>B41*D41</f>
        <v>78.983249999999998</v>
      </c>
      <c r="H41" s="327">
        <f t="shared" si="7"/>
        <v>157.96649999999997</v>
      </c>
      <c r="I41" s="394">
        <f>1*0.2*C41</f>
        <v>210.62199999999999</v>
      </c>
      <c r="J41" s="314">
        <f t="shared" si="2"/>
        <v>210.62199999999999</v>
      </c>
      <c r="K41" s="325" t="s">
        <v>383</v>
      </c>
      <c r="L41" s="122"/>
      <c r="M41" s="122"/>
      <c r="N41" s="122"/>
      <c r="O41" s="122"/>
      <c r="P41" s="122"/>
      <c r="Q41" s="122"/>
      <c r="R41" s="122"/>
      <c r="S41" s="122"/>
      <c r="T41" s="122"/>
      <c r="U41" s="122"/>
      <c r="V41" s="5"/>
      <c r="W41" s="5"/>
    </row>
    <row r="42" spans="1:23" s="156" customFormat="1" ht="14.45" customHeight="1">
      <c r="A42" s="320" t="str">
        <f>Zones!A42</f>
        <v>Mech_FloorG</v>
      </c>
      <c r="B42" s="321">
        <f>Zones!J42</f>
        <v>0</v>
      </c>
      <c r="C42" s="322">
        <f>Zones!G42</f>
        <v>351.06</v>
      </c>
      <c r="D42" s="535">
        <v>15</v>
      </c>
      <c r="E42" s="535">
        <v>0.15</v>
      </c>
      <c r="F42" s="326"/>
      <c r="G42" s="327">
        <f t="shared" si="6"/>
        <v>0</v>
      </c>
      <c r="H42" s="327">
        <f t="shared" si="7"/>
        <v>52.658999999999999</v>
      </c>
      <c r="I42" s="394"/>
      <c r="J42" s="314">
        <f t="shared" si="2"/>
        <v>52.658999999999999</v>
      </c>
      <c r="K42" s="326"/>
      <c r="L42" s="122"/>
      <c r="M42" s="122"/>
      <c r="N42" s="122"/>
      <c r="O42" s="122"/>
      <c r="P42" s="122"/>
      <c r="Q42" s="122"/>
      <c r="R42" s="122"/>
      <c r="S42" s="122"/>
      <c r="T42" s="122"/>
      <c r="U42" s="122"/>
      <c r="V42" s="5"/>
      <c r="W42" s="5"/>
    </row>
    <row r="43" spans="1:23" s="156" customFormat="1" ht="14.45" customHeight="1">
      <c r="A43" s="320" t="str">
        <f>Zones!A43</f>
        <v>Conference_FloorG</v>
      </c>
      <c r="B43" s="321">
        <f>Zones!J43</f>
        <v>28.516949999999998</v>
      </c>
      <c r="C43" s="322">
        <f>Zones!G43</f>
        <v>864.15</v>
      </c>
      <c r="D43" s="535">
        <v>15</v>
      </c>
      <c r="E43" s="535">
        <v>0.15</v>
      </c>
      <c r="F43" s="326"/>
      <c r="G43" s="327">
        <f t="shared" si="6"/>
        <v>427.75424999999996</v>
      </c>
      <c r="H43" s="327">
        <f t="shared" si="7"/>
        <v>129.6225</v>
      </c>
      <c r="I43" s="394"/>
      <c r="J43" s="314">
        <f t="shared" si="2"/>
        <v>427.75424999999996</v>
      </c>
      <c r="K43" s="326"/>
      <c r="L43" s="122"/>
      <c r="M43" s="122"/>
      <c r="N43" s="122"/>
      <c r="O43" s="122"/>
      <c r="P43" s="122"/>
      <c r="Q43" s="122"/>
      <c r="R43" s="122"/>
      <c r="S43" s="122"/>
      <c r="T43" s="122"/>
      <c r="U43" s="122"/>
      <c r="V43" s="5"/>
      <c r="W43" s="5"/>
    </row>
    <row r="44" spans="1:23" s="156" customFormat="1" ht="14.45" customHeight="1">
      <c r="A44" s="320" t="str">
        <f>Zones!A44</f>
        <v>Rear_Stair_FloorG</v>
      </c>
      <c r="B44" s="321">
        <f>Zones!J44</f>
        <v>1.0804</v>
      </c>
      <c r="C44" s="322">
        <f>Zones!G44</f>
        <v>216.08</v>
      </c>
      <c r="D44" s="535">
        <v>15</v>
      </c>
      <c r="E44" s="535">
        <v>0.15</v>
      </c>
      <c r="F44" s="535"/>
      <c r="G44" s="327">
        <f t="shared" si="6"/>
        <v>16.206</v>
      </c>
      <c r="H44" s="327">
        <f t="shared" si="7"/>
        <v>32.411999999999999</v>
      </c>
      <c r="I44" s="394"/>
      <c r="J44" s="314">
        <f t="shared" si="2"/>
        <v>32.411999999999999</v>
      </c>
      <c r="K44" s="326"/>
      <c r="L44" s="122"/>
      <c r="M44" s="122"/>
      <c r="N44" s="122"/>
      <c r="O44" s="122"/>
      <c r="P44" s="122"/>
      <c r="Q44" s="122"/>
      <c r="R44" s="122"/>
      <c r="S44" s="122"/>
      <c r="T44" s="122"/>
      <c r="U44" s="122"/>
      <c r="V44" s="5"/>
      <c r="W44" s="5"/>
    </row>
    <row r="45" spans="1:23" s="156" customFormat="1" ht="14.45" customHeight="1">
      <c r="A45" s="320" t="str">
        <f>Zones!A45</f>
        <v>Rear_Stair_FloorT</v>
      </c>
      <c r="B45" s="321">
        <f>Zones!J45</f>
        <v>1.0804</v>
      </c>
      <c r="C45" s="322">
        <f>Zones!G45</f>
        <v>216.08</v>
      </c>
      <c r="D45" s="535">
        <v>15</v>
      </c>
      <c r="E45" s="535">
        <v>0.15</v>
      </c>
      <c r="F45" s="535"/>
      <c r="G45" s="327">
        <f t="shared" si="6"/>
        <v>16.206</v>
      </c>
      <c r="H45" s="327">
        <f t="shared" si="7"/>
        <v>32.411999999999999</v>
      </c>
      <c r="I45" s="394"/>
      <c r="J45" s="314">
        <f t="shared" si="2"/>
        <v>32.411999999999999</v>
      </c>
      <c r="K45" s="326"/>
      <c r="L45" s="122"/>
      <c r="M45" s="122"/>
      <c r="N45" s="122"/>
      <c r="O45" s="122"/>
      <c r="P45" s="122"/>
      <c r="Q45" s="122"/>
      <c r="R45" s="122"/>
      <c r="S45" s="122"/>
      <c r="T45" s="122"/>
      <c r="U45" s="122"/>
      <c r="V45" s="5"/>
      <c r="W45" s="5"/>
    </row>
    <row r="46" spans="1:23" s="156" customFormat="1" ht="14.45" customHeight="1">
      <c r="A46" s="320" t="str">
        <f>Zones!A46</f>
        <v>Rear_Stair_FloorM</v>
      </c>
      <c r="B46" s="321">
        <f>Zones!J46</f>
        <v>1.0804</v>
      </c>
      <c r="C46" s="322">
        <f>Zones!G46</f>
        <v>216.08</v>
      </c>
      <c r="D46" s="535">
        <v>15</v>
      </c>
      <c r="E46" s="535">
        <v>0.15</v>
      </c>
      <c r="F46" s="535"/>
      <c r="G46" s="327">
        <f t="shared" si="6"/>
        <v>16.206</v>
      </c>
      <c r="H46" s="327">
        <f t="shared" si="7"/>
        <v>32.411999999999999</v>
      </c>
      <c r="I46" s="394"/>
      <c r="J46" s="314">
        <f t="shared" si="2"/>
        <v>32.411999999999999</v>
      </c>
      <c r="K46" s="326"/>
      <c r="L46" s="122"/>
      <c r="M46" s="122"/>
      <c r="N46" s="122"/>
      <c r="O46" s="122"/>
      <c r="P46" s="122"/>
      <c r="Q46" s="122"/>
      <c r="R46" s="122"/>
      <c r="S46" s="122"/>
      <c r="T46" s="122"/>
      <c r="U46" s="122"/>
      <c r="V46" s="5"/>
      <c r="W46" s="5"/>
    </row>
    <row r="47" spans="1:23" s="156" customFormat="1" ht="14.45" customHeight="1">
      <c r="A47" s="320" t="str">
        <f>Zones!A47</f>
        <v>Rear_Storage_FloorG</v>
      </c>
      <c r="B47" s="321">
        <f>Zones!J47</f>
        <v>0.43218000000000001</v>
      </c>
      <c r="C47" s="322">
        <f>Zones!G47</f>
        <v>216.09</v>
      </c>
      <c r="D47" s="535">
        <v>15</v>
      </c>
      <c r="E47" s="535">
        <v>0.15</v>
      </c>
      <c r="F47" s="535"/>
      <c r="G47" s="327">
        <f t="shared" si="6"/>
        <v>6.4827000000000004</v>
      </c>
      <c r="H47" s="327">
        <f t="shared" si="7"/>
        <v>32.413499999999999</v>
      </c>
      <c r="I47" s="394"/>
      <c r="J47" s="314">
        <f t="shared" si="2"/>
        <v>32.413499999999999</v>
      </c>
      <c r="K47" s="326"/>
      <c r="L47" s="122"/>
      <c r="M47" s="122"/>
      <c r="N47" s="122"/>
      <c r="O47" s="122"/>
      <c r="P47" s="122"/>
      <c r="Q47" s="122"/>
      <c r="R47" s="122"/>
      <c r="S47" s="122"/>
      <c r="T47" s="122"/>
      <c r="U47" s="122"/>
      <c r="V47" s="5"/>
      <c r="W47" s="5"/>
    </row>
    <row r="48" spans="1:23" s="156" customFormat="1" ht="14.45" customHeight="1">
      <c r="A48" s="320" t="str">
        <f>Zones!A48</f>
        <v>Rear_Storage_FloorM</v>
      </c>
      <c r="B48" s="321">
        <f>Zones!J48</f>
        <v>0.43218000000000001</v>
      </c>
      <c r="C48" s="322">
        <f>Zones!G48</f>
        <v>216.09</v>
      </c>
      <c r="D48" s="535">
        <v>15</v>
      </c>
      <c r="E48" s="535">
        <v>0.15</v>
      </c>
      <c r="F48" s="535"/>
      <c r="G48" s="327">
        <f t="shared" si="6"/>
        <v>6.4827000000000004</v>
      </c>
      <c r="H48" s="327">
        <f t="shared" si="7"/>
        <v>32.413499999999999</v>
      </c>
      <c r="I48" s="394"/>
      <c r="J48" s="314">
        <f t="shared" si="2"/>
        <v>32.413499999999999</v>
      </c>
      <c r="K48" s="326"/>
      <c r="L48" s="122"/>
      <c r="M48" s="122"/>
      <c r="N48" s="122"/>
      <c r="O48" s="122"/>
      <c r="P48" s="122"/>
      <c r="Q48" s="122"/>
      <c r="R48" s="122"/>
      <c r="S48" s="122"/>
      <c r="T48" s="122"/>
      <c r="U48" s="122"/>
      <c r="V48" s="5"/>
      <c r="W48" s="5"/>
    </row>
    <row r="49" spans="1:23" s="156" customFormat="1" ht="14.45" customHeight="1">
      <c r="A49" s="320" t="str">
        <f>Zones!A49</f>
        <v>Rear_Storage_FloorT</v>
      </c>
      <c r="B49" s="321">
        <f>Zones!J49</f>
        <v>0.43218000000000001</v>
      </c>
      <c r="C49" s="322">
        <f>Zones!G49</f>
        <v>216.09</v>
      </c>
      <c r="D49" s="535">
        <v>15</v>
      </c>
      <c r="E49" s="535">
        <v>0.15</v>
      </c>
      <c r="F49" s="535"/>
      <c r="G49" s="327">
        <f t="shared" si="6"/>
        <v>6.4827000000000004</v>
      </c>
      <c r="H49" s="327">
        <f t="shared" si="7"/>
        <v>32.413499999999999</v>
      </c>
      <c r="I49" s="394"/>
      <c r="J49" s="314">
        <f t="shared" si="2"/>
        <v>32.413499999999999</v>
      </c>
      <c r="K49" s="326"/>
      <c r="L49" s="122"/>
      <c r="M49" s="122"/>
      <c r="N49" s="122"/>
      <c r="O49" s="122"/>
      <c r="P49" s="122"/>
      <c r="Q49" s="122"/>
      <c r="R49" s="122"/>
      <c r="S49" s="122"/>
      <c r="T49" s="122"/>
      <c r="U49" s="122"/>
      <c r="V49" s="5"/>
      <c r="W49" s="5"/>
    </row>
    <row r="50" spans="1:23" s="156" customFormat="1" ht="17.45" customHeight="1">
      <c r="A50" s="320" t="str">
        <f>Zones!A50</f>
        <v>Restroom_FloorG</v>
      </c>
      <c r="B50" s="321">
        <f>Zones!J50</f>
        <v>1.7552999999999999</v>
      </c>
      <c r="C50" s="322">
        <f>Zones!G50</f>
        <v>351.06</v>
      </c>
      <c r="D50" s="535">
        <v>15</v>
      </c>
      <c r="E50" s="535">
        <v>0.15</v>
      </c>
      <c r="F50" s="535" t="s">
        <v>384</v>
      </c>
      <c r="G50" s="327">
        <f t="shared" si="6"/>
        <v>26.329499999999999</v>
      </c>
      <c r="H50" s="327">
        <f t="shared" si="7"/>
        <v>52.658999999999999</v>
      </c>
      <c r="I50" s="394">
        <f>50*B50</f>
        <v>87.764999999999986</v>
      </c>
      <c r="J50" s="314">
        <f t="shared" si="2"/>
        <v>87.764999999999986</v>
      </c>
      <c r="K50" s="326"/>
      <c r="L50" s="122"/>
      <c r="M50" s="122"/>
      <c r="N50" s="122"/>
      <c r="O50" s="122"/>
      <c r="P50" s="122"/>
      <c r="Q50" s="122"/>
      <c r="R50" s="122"/>
      <c r="S50" s="122"/>
      <c r="T50" s="122"/>
      <c r="U50" s="122"/>
      <c r="V50" s="5"/>
      <c r="W50" s="5"/>
    </row>
    <row r="51" spans="1:23" s="156" customFormat="1" ht="13.15">
      <c r="A51" s="232"/>
      <c r="B51" s="232"/>
      <c r="C51" s="232"/>
      <c r="D51" s="524"/>
      <c r="E51" s="524"/>
      <c r="F51" s="122"/>
      <c r="G51" s="122"/>
      <c r="H51" s="122"/>
      <c r="I51" s="122"/>
      <c r="J51" s="122"/>
      <c r="K51" s="122"/>
      <c r="L51" s="122"/>
      <c r="M51" s="122"/>
      <c r="N51" s="122"/>
      <c r="O51" s="122"/>
      <c r="P51" s="122"/>
      <c r="Q51" s="122"/>
      <c r="R51" s="122"/>
      <c r="S51" s="122"/>
      <c r="T51" s="122"/>
      <c r="U51" s="5"/>
      <c r="V51" s="5"/>
      <c r="W51" s="5"/>
    </row>
    <row r="52" spans="1:23" ht="20.65" customHeight="1">
      <c r="A52" s="3" t="s">
        <v>385</v>
      </c>
      <c r="B52" s="201"/>
      <c r="C52" s="217"/>
      <c r="D52" s="4"/>
      <c r="E52" s="4"/>
      <c r="F52" s="4"/>
      <c r="G52" s="4"/>
      <c r="H52" s="228"/>
      <c r="I52" s="228"/>
      <c r="J52" s="229"/>
      <c r="K52" s="3"/>
      <c r="L52" s="3"/>
      <c r="M52" s="3"/>
      <c r="N52" s="3"/>
      <c r="O52" s="3"/>
      <c r="P52" s="3"/>
      <c r="Q52" s="3"/>
      <c r="R52" s="3"/>
      <c r="S52" s="3"/>
      <c r="T52" s="3"/>
      <c r="U52" s="3"/>
      <c r="V52" s="3"/>
      <c r="W52" s="3"/>
    </row>
    <row r="53" spans="1:23" s="156" customFormat="1" ht="13.15">
      <c r="A53" s="232"/>
      <c r="B53" s="232"/>
      <c r="C53" s="232"/>
      <c r="D53" s="524"/>
      <c r="E53" s="524"/>
      <c r="F53" s="122"/>
      <c r="G53" s="122"/>
      <c r="H53" s="122"/>
      <c r="I53" s="122"/>
      <c r="J53" s="122"/>
      <c r="K53" s="122"/>
      <c r="L53" s="122"/>
      <c r="M53" s="122"/>
      <c r="N53" s="122"/>
      <c r="O53" s="122"/>
      <c r="P53" s="122"/>
      <c r="Q53" s="122"/>
      <c r="R53" s="122"/>
      <c r="S53" s="122"/>
      <c r="T53" s="122"/>
      <c r="U53" s="5"/>
      <c r="V53" s="5"/>
      <c r="W53" s="5"/>
    </row>
    <row r="54" spans="1:23" s="156" customFormat="1" ht="43.15" customHeight="1">
      <c r="A54" s="119"/>
      <c r="B54" s="119"/>
      <c r="C54" s="119"/>
      <c r="D54" s="119"/>
      <c r="E54" s="119"/>
      <c r="F54" s="121"/>
      <c r="G54" s="121"/>
      <c r="H54" s="121"/>
      <c r="I54" s="121"/>
      <c r="J54" s="121"/>
      <c r="K54" s="121"/>
      <c r="L54" s="121"/>
      <c r="M54" s="121"/>
      <c r="N54" s="121"/>
      <c r="O54" s="121"/>
      <c r="P54" s="121"/>
      <c r="Q54" s="121"/>
      <c r="R54" s="121"/>
      <c r="S54" s="121"/>
      <c r="T54" s="121"/>
      <c r="U54" s="200"/>
      <c r="V54" s="200"/>
      <c r="W54" s="5"/>
    </row>
    <row r="55" spans="1:23" s="156" customFormat="1" ht="13.15">
      <c r="A55" s="232"/>
      <c r="B55" s="232"/>
      <c r="C55" s="232"/>
      <c r="D55" s="524"/>
      <c r="E55" s="524"/>
      <c r="F55" s="233"/>
      <c r="G55" s="233"/>
      <c r="H55" s="233"/>
      <c r="I55" s="233"/>
      <c r="J55" s="233"/>
      <c r="K55" s="233"/>
      <c r="L55" s="233"/>
      <c r="M55" s="233"/>
      <c r="N55" s="233"/>
      <c r="O55" s="233"/>
      <c r="P55" s="233"/>
      <c r="Q55" s="233"/>
      <c r="R55" s="233"/>
      <c r="S55" s="233"/>
      <c r="T55" s="233"/>
      <c r="U55" s="5"/>
      <c r="V55" s="5"/>
      <c r="W55" s="5"/>
    </row>
    <row r="56" spans="1:23" s="156" customFormat="1" ht="13.15">
      <c r="A56" s="232"/>
      <c r="B56" s="232"/>
      <c r="C56" s="232"/>
      <c r="D56" s="524"/>
      <c r="E56" s="524"/>
      <c r="F56" s="233"/>
      <c r="G56" s="233"/>
      <c r="H56" s="233"/>
      <c r="I56" s="233"/>
      <c r="J56" s="233"/>
      <c r="K56" s="233"/>
      <c r="L56" s="233"/>
      <c r="M56" s="233"/>
      <c r="N56" s="233"/>
      <c r="O56" s="233"/>
      <c r="P56" s="233"/>
      <c r="Q56" s="233"/>
      <c r="R56" s="233"/>
      <c r="S56" s="233"/>
      <c r="T56" s="233"/>
      <c r="U56" s="5"/>
      <c r="V56" s="5"/>
      <c r="W56" s="5"/>
    </row>
    <row r="57" spans="1:23" s="156" customFormat="1" ht="13.15">
      <c r="A57" s="232"/>
      <c r="B57" s="232"/>
      <c r="C57" s="232"/>
      <c r="D57" s="524"/>
      <c r="E57" s="524"/>
      <c r="F57" s="233"/>
      <c r="G57" s="233"/>
      <c r="H57" s="233"/>
      <c r="I57" s="233"/>
      <c r="J57" s="233"/>
      <c r="K57" s="233"/>
      <c r="L57" s="233"/>
      <c r="M57" s="233"/>
      <c r="N57" s="233"/>
      <c r="O57" s="233"/>
      <c r="P57" s="233"/>
      <c r="Q57" s="233"/>
      <c r="R57" s="233"/>
      <c r="S57" s="233"/>
      <c r="T57" s="233"/>
      <c r="U57" s="5"/>
      <c r="V57" s="5"/>
      <c r="W57" s="5"/>
    </row>
    <row r="58" spans="1:23" s="156" customFormat="1" ht="13.15">
      <c r="A58" s="232"/>
      <c r="B58" s="232"/>
      <c r="C58" s="232"/>
      <c r="D58" s="524"/>
      <c r="E58" s="524"/>
      <c r="F58" s="233"/>
      <c r="G58" s="233"/>
      <c r="H58" s="233"/>
      <c r="I58" s="233"/>
      <c r="J58" s="233"/>
      <c r="K58" s="233"/>
      <c r="L58" s="233"/>
      <c r="M58" s="233"/>
      <c r="N58" s="233"/>
      <c r="O58" s="233"/>
      <c r="P58" s="233"/>
      <c r="Q58" s="233"/>
      <c r="R58" s="233"/>
      <c r="S58" s="233"/>
      <c r="T58" s="233"/>
      <c r="U58" s="5"/>
      <c r="V58" s="5"/>
      <c r="W58" s="5"/>
    </row>
    <row r="59" spans="1:23" s="156" customFormat="1" ht="13.15">
      <c r="A59" s="232"/>
      <c r="B59" s="232"/>
      <c r="C59" s="232"/>
      <c r="D59" s="524"/>
      <c r="E59" s="524"/>
      <c r="F59" s="233"/>
      <c r="G59" s="233"/>
      <c r="H59" s="233"/>
      <c r="I59" s="233"/>
      <c r="J59" s="233"/>
      <c r="K59" s="233"/>
      <c r="L59" s="233"/>
      <c r="M59" s="233"/>
      <c r="N59" s="233"/>
      <c r="O59" s="233"/>
      <c r="P59" s="233"/>
      <c r="Q59" s="233"/>
      <c r="R59" s="233"/>
      <c r="S59" s="233"/>
      <c r="T59" s="233"/>
      <c r="U59" s="5"/>
      <c r="V59" s="5"/>
      <c r="W59" s="5"/>
    </row>
    <row r="60" spans="1:23" s="156" customFormat="1" ht="13.15">
      <c r="A60" s="232"/>
      <c r="B60" s="232"/>
      <c r="C60" s="232"/>
      <c r="D60" s="524"/>
      <c r="E60" s="524"/>
      <c r="F60" s="233"/>
      <c r="G60" s="233"/>
      <c r="H60" s="233"/>
      <c r="I60" s="233"/>
      <c r="J60" s="233"/>
      <c r="K60" s="233"/>
      <c r="L60" s="233"/>
      <c r="M60" s="233"/>
      <c r="N60" s="233"/>
      <c r="O60" s="233"/>
      <c r="P60" s="233"/>
      <c r="Q60" s="233"/>
      <c r="R60" s="233"/>
      <c r="S60" s="233"/>
      <c r="T60" s="233"/>
      <c r="U60" s="5"/>
      <c r="V60" s="5"/>
      <c r="W60" s="5"/>
    </row>
    <row r="61" spans="1:23" s="156" customFormat="1" ht="13.15">
      <c r="A61" s="232"/>
      <c r="B61" s="232"/>
      <c r="C61" s="232"/>
      <c r="D61" s="524"/>
      <c r="E61" s="524"/>
      <c r="F61" s="233"/>
      <c r="G61" s="233"/>
      <c r="H61" s="233"/>
      <c r="I61" s="233"/>
      <c r="J61" s="233"/>
      <c r="K61" s="233"/>
      <c r="L61" s="233"/>
      <c r="M61" s="233"/>
      <c r="N61" s="233"/>
      <c r="O61" s="233"/>
      <c r="P61" s="233"/>
      <c r="Q61" s="233"/>
      <c r="R61" s="233"/>
      <c r="S61" s="233"/>
      <c r="T61" s="233"/>
      <c r="U61" s="5"/>
      <c r="V61" s="5"/>
      <c r="W61" s="5"/>
    </row>
    <row r="62" spans="1:23" s="156" customFormat="1" ht="13.15">
      <c r="A62" s="232"/>
      <c r="B62" s="232"/>
      <c r="C62" s="232"/>
      <c r="D62" s="524"/>
      <c r="E62" s="524"/>
      <c r="F62" s="233"/>
      <c r="G62" s="233"/>
      <c r="H62" s="233"/>
      <c r="I62" s="233"/>
      <c r="J62" s="233"/>
      <c r="K62" s="233"/>
      <c r="L62" s="233"/>
      <c r="M62" s="233"/>
      <c r="N62" s="233"/>
      <c r="O62" s="233"/>
      <c r="P62" s="233"/>
      <c r="Q62" s="233"/>
      <c r="R62" s="233"/>
      <c r="S62" s="233"/>
      <c r="T62" s="233"/>
      <c r="U62" s="5"/>
      <c r="V62" s="5"/>
      <c r="W62" s="5"/>
    </row>
    <row r="63" spans="1:23" s="156" customFormat="1" ht="13.15">
      <c r="A63" s="232"/>
      <c r="B63" s="232"/>
      <c r="C63" s="232"/>
      <c r="D63" s="524"/>
      <c r="E63" s="524"/>
      <c r="F63" s="233"/>
      <c r="G63" s="233"/>
      <c r="H63" s="233"/>
      <c r="I63" s="233"/>
      <c r="J63" s="233"/>
      <c r="K63" s="233"/>
      <c r="L63" s="233"/>
      <c r="M63" s="233"/>
      <c r="N63" s="233"/>
      <c r="O63" s="233"/>
      <c r="P63" s="233"/>
      <c r="Q63" s="233"/>
      <c r="R63" s="233"/>
      <c r="S63" s="233"/>
      <c r="T63" s="233"/>
      <c r="U63" s="5"/>
      <c r="V63" s="5"/>
      <c r="W63" s="5"/>
    </row>
    <row r="64" spans="1:23" s="156" customFormat="1" ht="13.15">
      <c r="A64" s="232"/>
      <c r="B64" s="232"/>
      <c r="C64" s="232"/>
      <c r="D64" s="524"/>
      <c r="E64" s="524"/>
      <c r="F64" s="233"/>
      <c r="G64" s="233"/>
      <c r="H64" s="233"/>
      <c r="I64" s="233"/>
      <c r="J64" s="233"/>
      <c r="K64" s="233"/>
      <c r="L64" s="233"/>
      <c r="M64" s="233"/>
      <c r="N64" s="233"/>
      <c r="O64" s="233"/>
      <c r="P64" s="233"/>
      <c r="Q64" s="233"/>
      <c r="R64" s="233"/>
      <c r="S64" s="233"/>
      <c r="T64" s="233"/>
      <c r="U64" s="5"/>
      <c r="V64" s="5"/>
      <c r="W64" s="5"/>
    </row>
    <row r="65" spans="1:20" s="156" customFormat="1" ht="13.15">
      <c r="A65" s="232"/>
      <c r="B65" s="232"/>
      <c r="C65" s="232"/>
      <c r="D65" s="524"/>
      <c r="E65" s="524"/>
      <c r="F65" s="233"/>
      <c r="G65" s="233"/>
      <c r="H65" s="233"/>
      <c r="I65" s="233"/>
      <c r="J65" s="233"/>
      <c r="K65" s="233"/>
      <c r="L65" s="233"/>
      <c r="M65" s="233"/>
      <c r="N65" s="233"/>
      <c r="O65" s="233"/>
      <c r="P65" s="233"/>
      <c r="Q65" s="233"/>
      <c r="R65" s="233"/>
      <c r="S65" s="233"/>
      <c r="T65" s="233"/>
    </row>
    <row r="66" spans="1:20" s="156" customFormat="1" ht="13.15">
      <c r="A66" s="232"/>
      <c r="B66" s="232"/>
      <c r="C66" s="232"/>
      <c r="D66" s="524"/>
      <c r="E66" s="524"/>
      <c r="F66" s="233"/>
      <c r="G66" s="233"/>
      <c r="H66" s="233"/>
      <c r="I66" s="233"/>
      <c r="J66" s="233"/>
      <c r="K66" s="233"/>
      <c r="L66" s="233"/>
      <c r="M66" s="233"/>
      <c r="N66" s="233"/>
      <c r="O66" s="233"/>
      <c r="P66" s="233"/>
      <c r="Q66" s="233"/>
      <c r="R66" s="233"/>
      <c r="S66" s="233"/>
      <c r="T66" s="233"/>
    </row>
    <row r="67" spans="1:20" s="156" customFormat="1" ht="13.15">
      <c r="A67" s="232"/>
      <c r="B67" s="232"/>
      <c r="C67" s="232"/>
      <c r="D67" s="524"/>
      <c r="E67" s="524"/>
      <c r="F67" s="233"/>
      <c r="G67" s="233"/>
      <c r="H67" s="233"/>
      <c r="I67" s="233"/>
      <c r="J67" s="233"/>
      <c r="K67" s="233"/>
      <c r="L67" s="233"/>
      <c r="M67" s="233"/>
      <c r="N67" s="233"/>
      <c r="O67" s="233"/>
      <c r="P67" s="233"/>
      <c r="Q67" s="233"/>
      <c r="R67" s="233"/>
      <c r="S67" s="233"/>
      <c r="T67" s="233"/>
    </row>
    <row r="68" spans="1:20" s="156" customFormat="1" ht="13.15">
      <c r="A68" s="232"/>
      <c r="B68" s="232"/>
      <c r="C68" s="232"/>
      <c r="D68" s="524"/>
      <c r="E68" s="524"/>
      <c r="F68" s="233"/>
      <c r="G68" s="233"/>
      <c r="H68" s="233"/>
      <c r="I68" s="233"/>
      <c r="J68" s="233"/>
      <c r="K68" s="233"/>
      <c r="L68" s="233"/>
      <c r="M68" s="233"/>
      <c r="N68" s="233"/>
      <c r="O68" s="233"/>
      <c r="P68" s="233"/>
      <c r="Q68" s="233"/>
      <c r="R68" s="233"/>
      <c r="S68" s="233"/>
      <c r="T68" s="233"/>
    </row>
    <row r="69" spans="1:20" s="156" customFormat="1" ht="13.15">
      <c r="A69" s="232"/>
      <c r="B69" s="232"/>
      <c r="C69" s="232"/>
      <c r="D69" s="524"/>
      <c r="E69" s="524"/>
      <c r="F69" s="233"/>
      <c r="G69" s="233"/>
      <c r="H69" s="233"/>
      <c r="I69" s="233"/>
      <c r="J69" s="233"/>
      <c r="K69" s="233"/>
      <c r="L69" s="233"/>
      <c r="M69" s="233"/>
      <c r="N69" s="233"/>
      <c r="O69" s="233"/>
      <c r="P69" s="233"/>
      <c r="Q69" s="233"/>
      <c r="R69" s="233"/>
      <c r="S69" s="233"/>
      <c r="T69" s="233"/>
    </row>
    <row r="70" spans="1:20" s="156" customFormat="1" ht="13.15">
      <c r="A70" s="232"/>
      <c r="B70" s="232"/>
      <c r="C70" s="232"/>
      <c r="D70" s="524"/>
      <c r="E70" s="524"/>
      <c r="F70" s="233"/>
      <c r="G70" s="233"/>
      <c r="H70" s="233"/>
      <c r="I70" s="233"/>
      <c r="J70" s="233"/>
      <c r="K70" s="233"/>
      <c r="L70" s="233"/>
      <c r="M70" s="233"/>
      <c r="N70" s="233"/>
      <c r="O70" s="233"/>
      <c r="P70" s="233"/>
      <c r="Q70" s="233"/>
      <c r="R70" s="233"/>
      <c r="S70" s="233"/>
      <c r="T70" s="233"/>
    </row>
    <row r="71" spans="1:20" s="156" customFormat="1" ht="13.15">
      <c r="A71" s="232"/>
      <c r="B71" s="232"/>
      <c r="C71" s="232"/>
      <c r="D71" s="524"/>
      <c r="E71" s="524"/>
      <c r="F71" s="233"/>
      <c r="G71" s="233"/>
      <c r="H71" s="233"/>
      <c r="I71" s="233"/>
      <c r="J71" s="233"/>
      <c r="K71" s="233"/>
      <c r="L71" s="233"/>
      <c r="M71" s="233"/>
      <c r="N71" s="233"/>
      <c r="O71" s="233"/>
      <c r="P71" s="233"/>
      <c r="Q71" s="233"/>
      <c r="R71" s="233"/>
      <c r="S71" s="233"/>
      <c r="T71" s="233"/>
    </row>
    <row r="72" spans="1:20" s="156" customFormat="1" ht="13.15">
      <c r="A72" s="5"/>
      <c r="B72" s="5"/>
      <c r="C72" s="5"/>
      <c r="D72" s="5"/>
      <c r="E72" s="5"/>
      <c r="F72" s="5"/>
      <c r="G72" s="5"/>
      <c r="H72" s="5"/>
      <c r="I72" s="5"/>
      <c r="J72" s="5"/>
      <c r="K72" s="5"/>
      <c r="L72" s="5"/>
      <c r="M72" s="5"/>
      <c r="N72" s="5"/>
      <c r="O72" s="5"/>
      <c r="P72" s="5"/>
      <c r="Q72" s="5"/>
      <c r="R72" s="5"/>
      <c r="S72" s="5"/>
      <c r="T72" s="5"/>
    </row>
  </sheetData>
  <mergeCells count="3">
    <mergeCell ref="N17:S17"/>
    <mergeCell ref="A1:K1"/>
    <mergeCell ref="K16:K40"/>
  </mergeCells>
  <phoneticPr fontId="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3AA08-0AC5-4FCC-829D-381EF7CA031C}">
  <sheetPr codeName="Sheet10" filterMode="1"/>
  <dimension ref="A1:AL121"/>
  <sheetViews>
    <sheetView zoomScale="85" zoomScaleNormal="85" workbookViewId="0">
      <selection sqref="A1:G1"/>
    </sheetView>
  </sheetViews>
  <sheetFormatPr defaultColWidth="8.7109375" defaultRowHeight="13.15"/>
  <cols>
    <col min="1" max="1" width="45.7109375" style="5" customWidth="1"/>
    <col min="2" max="2" width="26.5703125" style="5" customWidth="1"/>
    <col min="3" max="3" width="22.5703125" style="5" customWidth="1"/>
    <col min="4" max="4" width="20.85546875" style="5" customWidth="1"/>
    <col min="5" max="5" width="31.28515625" style="5" customWidth="1"/>
    <col min="6" max="6" width="25.140625" style="5" customWidth="1"/>
    <col min="7" max="7" width="16" style="5" customWidth="1"/>
    <col min="8" max="8" width="9.42578125" style="5" customWidth="1"/>
    <col min="9" max="9" width="17.7109375" style="5" customWidth="1"/>
    <col min="10" max="10" width="28.7109375" style="5" customWidth="1"/>
    <col min="11" max="12" width="15.28515625" style="5" customWidth="1"/>
    <col min="13" max="13" width="12.28515625" style="5" customWidth="1"/>
    <col min="14" max="14" width="13.28515625" style="5" customWidth="1"/>
    <col min="15" max="15" width="15.28515625" style="5" customWidth="1"/>
    <col min="16" max="16" width="11" style="5" customWidth="1"/>
    <col min="17" max="20" width="15.28515625" style="5" customWidth="1"/>
    <col min="21" max="21" width="7.7109375" style="5" hidden="1" customWidth="1"/>
    <col min="22" max="22" width="12.42578125" style="5" hidden="1" customWidth="1"/>
    <col min="23" max="38" width="6.5703125" style="5" hidden="1" customWidth="1"/>
    <col min="39" max="39" width="15.28515625" style="5" customWidth="1"/>
    <col min="40" max="40" width="11.28515625" style="5" customWidth="1"/>
    <col min="41" max="41" width="6.28515625" style="5" customWidth="1"/>
    <col min="42" max="45" width="4.7109375" style="5" customWidth="1"/>
    <col min="46" max="46" width="6.28515625" style="5" customWidth="1"/>
    <col min="47" max="61" width="4.7109375" style="5" customWidth="1"/>
    <col min="62" max="16384" width="8.7109375" style="5"/>
  </cols>
  <sheetData>
    <row r="1" spans="1:7" ht="24" customHeight="1">
      <c r="A1" s="589" t="s">
        <v>386</v>
      </c>
      <c r="B1" s="589"/>
      <c r="C1" s="589"/>
      <c r="D1" s="589"/>
      <c r="E1" s="589"/>
      <c r="F1" s="589"/>
      <c r="G1" s="589"/>
    </row>
    <row r="2" spans="1:7" ht="22.15" customHeight="1">
      <c r="A2" s="194" t="s">
        <v>194</v>
      </c>
      <c r="B2" s="405" t="s">
        <v>387</v>
      </c>
      <c r="C2" s="329" t="s">
        <v>388</v>
      </c>
      <c r="D2" s="194" t="s">
        <v>389</v>
      </c>
      <c r="E2" s="645" t="s">
        <v>390</v>
      </c>
      <c r="F2" s="646"/>
      <c r="G2" s="420" t="s">
        <v>200</v>
      </c>
    </row>
    <row r="3" spans="1:7" ht="21.6" customHeight="1">
      <c r="A3" s="541" t="s">
        <v>391</v>
      </c>
      <c r="B3" s="532" t="s">
        <v>269</v>
      </c>
      <c r="C3" s="347">
        <v>0.8</v>
      </c>
      <c r="D3" s="424">
        <f>F64</f>
        <v>107</v>
      </c>
      <c r="E3" s="423">
        <f>G62</f>
        <v>1292.8535347908771</v>
      </c>
      <c r="F3" s="421" t="s">
        <v>392</v>
      </c>
      <c r="G3" s="422" t="s">
        <v>393</v>
      </c>
    </row>
    <row r="4" spans="1:7" ht="21" customHeight="1">
      <c r="A4" s="541" t="s">
        <v>208</v>
      </c>
      <c r="B4" s="532" t="s">
        <v>269</v>
      </c>
      <c r="C4" s="347">
        <v>0.8</v>
      </c>
      <c r="D4" s="424">
        <f>F62</f>
        <v>107</v>
      </c>
      <c r="E4" s="423">
        <f>G66</f>
        <v>1292.8535347908771</v>
      </c>
      <c r="F4" s="421" t="s">
        <v>392</v>
      </c>
      <c r="G4" s="422" t="s">
        <v>393</v>
      </c>
    </row>
    <row r="5" spans="1:7" ht="27" customHeight="1"/>
    <row r="6" spans="1:7" ht="16.149999999999999" customHeight="1">
      <c r="A6" s="644" t="s">
        <v>394</v>
      </c>
      <c r="B6" s="644"/>
      <c r="C6" s="644"/>
      <c r="D6" s="644"/>
      <c r="E6" s="644"/>
      <c r="F6" s="644"/>
      <c r="G6" s="644"/>
    </row>
    <row r="7" spans="1:7" ht="54.6" customHeight="1">
      <c r="A7" s="403" t="s">
        <v>395</v>
      </c>
      <c r="B7" s="328" t="s">
        <v>396</v>
      </c>
      <c r="C7" s="329" t="s">
        <v>397</v>
      </c>
      <c r="D7" s="329" t="s">
        <v>371</v>
      </c>
      <c r="E7" s="329" t="s">
        <v>398</v>
      </c>
      <c r="F7" s="329" t="s">
        <v>399</v>
      </c>
      <c r="G7" s="329" t="s">
        <v>400</v>
      </c>
    </row>
    <row r="8" spans="1:7">
      <c r="A8" s="312" t="str">
        <f>Zones!A3</f>
        <v>Corridor_FloorG</v>
      </c>
      <c r="B8" s="296" t="s">
        <v>269</v>
      </c>
      <c r="C8" s="330">
        <f>Zones!G3</f>
        <v>1782.21</v>
      </c>
      <c r="D8" s="331">
        <f>Zones!J3</f>
        <v>8.9110499999999995</v>
      </c>
      <c r="E8" s="418">
        <v>0</v>
      </c>
      <c r="F8" s="419">
        <f>E8*D8</f>
        <v>0</v>
      </c>
      <c r="G8" s="332">
        <f>F8/60</f>
        <v>0</v>
      </c>
    </row>
    <row r="9" spans="1:7">
      <c r="A9" s="312" t="str">
        <f>Zones!A4</f>
        <v>Corridor_FloorM</v>
      </c>
      <c r="B9" s="296" t="s">
        <v>269</v>
      </c>
      <c r="C9" s="330">
        <f>Zones!G4</f>
        <v>1512.16</v>
      </c>
      <c r="D9" s="331">
        <f>Zones!J4</f>
        <v>7.5608000000000004</v>
      </c>
      <c r="E9" s="418">
        <v>0</v>
      </c>
      <c r="F9" s="419">
        <f t="shared" ref="F9:F55" si="0">E9*D9</f>
        <v>0</v>
      </c>
      <c r="G9" s="332">
        <f t="shared" ref="G9:G55" si="1">F9/60</f>
        <v>0</v>
      </c>
    </row>
    <row r="10" spans="1:7">
      <c r="A10" s="312" t="str">
        <f>Zones!A5</f>
        <v>Corridor_FloorT</v>
      </c>
      <c r="B10" s="296" t="s">
        <v>269</v>
      </c>
      <c r="C10" s="330">
        <f>Zones!G5</f>
        <v>1512.16</v>
      </c>
      <c r="D10" s="331">
        <f>Zones!J5</f>
        <v>7.5608000000000004</v>
      </c>
      <c r="E10" s="418">
        <v>0</v>
      </c>
      <c r="F10" s="419">
        <f t="shared" si="0"/>
        <v>0</v>
      </c>
      <c r="G10" s="332">
        <f t="shared" si="1"/>
        <v>0</v>
      </c>
    </row>
    <row r="11" spans="1:7" hidden="1">
      <c r="A11" s="312" t="str">
        <f>Zones!A6</f>
        <v>Lounge_FloorG</v>
      </c>
      <c r="B11" s="296" t="s">
        <v>269</v>
      </c>
      <c r="C11" s="330">
        <f>Zones!G6</f>
        <v>351.03</v>
      </c>
      <c r="D11" s="331">
        <f>Zones!J6</f>
        <v>11.583989999999998</v>
      </c>
      <c r="E11" s="333">
        <v>0.09</v>
      </c>
      <c r="F11" s="419">
        <f>E11*D11</f>
        <v>1.0425590999999998</v>
      </c>
      <c r="G11" s="427">
        <f t="shared" si="1"/>
        <v>1.7375984999999997E-2</v>
      </c>
    </row>
    <row r="12" spans="1:7" hidden="1">
      <c r="A12" s="312" t="str">
        <f>Zones!A7</f>
        <v>Gym_FloorG</v>
      </c>
      <c r="B12" s="296" t="s">
        <v>269</v>
      </c>
      <c r="C12" s="330">
        <f>Zones!G7</f>
        <v>351.03</v>
      </c>
      <c r="D12" s="331">
        <f>Zones!J7</f>
        <v>3.5102999999999995</v>
      </c>
      <c r="E12" s="333">
        <v>0.18</v>
      </c>
      <c r="F12" s="419">
        <f t="shared" si="0"/>
        <v>0.63185399999999992</v>
      </c>
      <c r="G12" s="427">
        <f t="shared" si="1"/>
        <v>1.0530899999999999E-2</v>
      </c>
    </row>
    <row r="13" spans="1:7" hidden="1">
      <c r="A13" s="312" t="str">
        <f>Zones!A8</f>
        <v>Front_Lounge_FloorG</v>
      </c>
      <c r="B13" s="296" t="s">
        <v>269</v>
      </c>
      <c r="C13" s="330">
        <f>Zones!G8</f>
        <v>1755.3</v>
      </c>
      <c r="D13" s="331">
        <f>Zones!J8</f>
        <v>57.924899999999994</v>
      </c>
      <c r="E13" s="333">
        <v>0.09</v>
      </c>
      <c r="F13" s="419">
        <f t="shared" si="0"/>
        <v>5.2132409999999991</v>
      </c>
      <c r="G13" s="427">
        <f t="shared" si="1"/>
        <v>8.6887349999999988E-2</v>
      </c>
    </row>
    <row r="14" spans="1:7" hidden="1">
      <c r="A14" s="312" t="str">
        <f>Zones!A9</f>
        <v>Front_Office_FloorG</v>
      </c>
      <c r="B14" s="296" t="s">
        <v>269</v>
      </c>
      <c r="C14" s="330">
        <f>Zones!G9</f>
        <v>1404.14</v>
      </c>
      <c r="D14" s="331">
        <f>Zones!J9</f>
        <v>7.0207000000000006</v>
      </c>
      <c r="E14" s="333">
        <v>0.18</v>
      </c>
      <c r="F14" s="419">
        <f t="shared" si="0"/>
        <v>1.2637260000000001</v>
      </c>
      <c r="G14" s="427">
        <f t="shared" si="1"/>
        <v>2.1062100000000004E-2</v>
      </c>
    </row>
    <row r="15" spans="1:7">
      <c r="A15" s="312" t="str">
        <f>Zones!A10</f>
        <v>Front_Stair_FloorG</v>
      </c>
      <c r="B15" s="296" t="s">
        <v>269</v>
      </c>
      <c r="C15" s="330">
        <f>Zones!G10</f>
        <v>216.02</v>
      </c>
      <c r="D15" s="331">
        <f>Zones!J10</f>
        <v>0</v>
      </c>
      <c r="E15" s="418">
        <v>0</v>
      </c>
      <c r="F15" s="419">
        <f t="shared" si="0"/>
        <v>0</v>
      </c>
      <c r="G15" s="411">
        <f t="shared" si="1"/>
        <v>0</v>
      </c>
    </row>
    <row r="16" spans="1:7">
      <c r="A16" s="312" t="str">
        <f>Zones!A11</f>
        <v>Front_Stair_FloorM</v>
      </c>
      <c r="B16" s="296" t="s">
        <v>269</v>
      </c>
      <c r="C16" s="330">
        <f>Zones!G11</f>
        <v>216.02</v>
      </c>
      <c r="D16" s="331">
        <f>Zones!J11</f>
        <v>0</v>
      </c>
      <c r="E16" s="418">
        <v>0</v>
      </c>
      <c r="F16" s="419">
        <f t="shared" si="0"/>
        <v>0</v>
      </c>
      <c r="G16" s="411">
        <f t="shared" si="1"/>
        <v>0</v>
      </c>
    </row>
    <row r="17" spans="1:7">
      <c r="A17" s="312" t="str">
        <f>Zones!A12</f>
        <v>Front_Stair_FloorT</v>
      </c>
      <c r="B17" s="296" t="s">
        <v>269</v>
      </c>
      <c r="C17" s="330">
        <f>Zones!G12</f>
        <v>216.02</v>
      </c>
      <c r="D17" s="331">
        <f>Zones!J12</f>
        <v>0</v>
      </c>
      <c r="E17" s="418">
        <v>0</v>
      </c>
      <c r="F17" s="419">
        <f t="shared" si="0"/>
        <v>0</v>
      </c>
      <c r="G17" s="411">
        <f t="shared" si="1"/>
        <v>0</v>
      </c>
    </row>
    <row r="18" spans="1:7">
      <c r="A18" s="312" t="str">
        <f>Zones!A13</f>
        <v>Front_Storage_FloorG</v>
      </c>
      <c r="B18" s="296" t="s">
        <v>269</v>
      </c>
      <c r="C18" s="330">
        <f>Zones!G13</f>
        <v>135.01</v>
      </c>
      <c r="D18" s="331">
        <f>Zones!J13</f>
        <v>0.27001999999999998</v>
      </c>
      <c r="E18" s="418">
        <v>0</v>
      </c>
      <c r="F18" s="419">
        <f t="shared" si="0"/>
        <v>0</v>
      </c>
      <c r="G18" s="411">
        <f t="shared" si="1"/>
        <v>0</v>
      </c>
    </row>
    <row r="19" spans="1:7">
      <c r="A19" s="312" t="str">
        <f>Zones!A14</f>
        <v>Front_Storage_FloorM</v>
      </c>
      <c r="B19" s="296" t="s">
        <v>269</v>
      </c>
      <c r="C19" s="330">
        <f>Zones!G14</f>
        <v>135.01</v>
      </c>
      <c r="D19" s="331">
        <f>Zones!J14</f>
        <v>0.27001999999999998</v>
      </c>
      <c r="E19" s="418">
        <v>0</v>
      </c>
      <c r="F19" s="419">
        <f t="shared" si="0"/>
        <v>0</v>
      </c>
      <c r="G19" s="411">
        <f t="shared" si="1"/>
        <v>0</v>
      </c>
    </row>
    <row r="20" spans="1:7">
      <c r="A20" s="312" t="str">
        <f>Zones!A15</f>
        <v>Front_Storage_FloorT</v>
      </c>
      <c r="B20" s="296" t="s">
        <v>269</v>
      </c>
      <c r="C20" s="330">
        <f>Zones!G15</f>
        <v>135.01</v>
      </c>
      <c r="D20" s="331">
        <f>Zones!J15</f>
        <v>0.27001999999999998</v>
      </c>
      <c r="E20" s="418">
        <v>0</v>
      </c>
      <c r="F20" s="419">
        <f t="shared" si="0"/>
        <v>0</v>
      </c>
      <c r="G20" s="411">
        <f t="shared" si="1"/>
        <v>0</v>
      </c>
    </row>
    <row r="21" spans="1:7" hidden="1">
      <c r="A21" s="312" t="str">
        <f>Zones!A16</f>
        <v>GuestRoom_1_FloorG</v>
      </c>
      <c r="B21" s="296" t="s">
        <v>269</v>
      </c>
      <c r="C21" s="330">
        <f>Zones!G16</f>
        <v>351.06</v>
      </c>
      <c r="D21" s="331">
        <f>Zones!J16</f>
        <v>1.05318</v>
      </c>
      <c r="E21" s="333">
        <v>4.4800000000000004</v>
      </c>
      <c r="F21" s="419">
        <f t="shared" si="0"/>
        <v>4.7182464000000008</v>
      </c>
      <c r="G21" s="411">
        <f t="shared" si="1"/>
        <v>7.8637440000000017E-2</v>
      </c>
    </row>
    <row r="22" spans="1:7" hidden="1">
      <c r="A22" s="312" t="str">
        <f>Zones!A17</f>
        <v>GuestRoom_2_FloorG</v>
      </c>
      <c r="B22" s="296" t="s">
        <v>269</v>
      </c>
      <c r="C22" s="330">
        <f>Zones!G17</f>
        <v>351.06</v>
      </c>
      <c r="D22" s="331">
        <f>Zones!J17</f>
        <v>1.05318</v>
      </c>
      <c r="E22" s="333">
        <v>4.4800000000000004</v>
      </c>
      <c r="F22" s="419">
        <f t="shared" si="0"/>
        <v>4.7182464000000008</v>
      </c>
      <c r="G22" s="411">
        <f t="shared" si="1"/>
        <v>7.8637440000000017E-2</v>
      </c>
    </row>
    <row r="23" spans="1:7" hidden="1">
      <c r="A23" s="312" t="str">
        <f>Zones!A18</f>
        <v>GuestRoom_3_FloorG</v>
      </c>
      <c r="B23" s="296" t="s">
        <v>269</v>
      </c>
      <c r="C23" s="330">
        <f>Zones!G18</f>
        <v>351.06</v>
      </c>
      <c r="D23" s="331">
        <f>Zones!J18</f>
        <v>1.05318</v>
      </c>
      <c r="E23" s="333">
        <v>4.4800000000000004</v>
      </c>
      <c r="F23" s="419">
        <f t="shared" si="0"/>
        <v>4.7182464000000008</v>
      </c>
      <c r="G23" s="411">
        <f t="shared" si="1"/>
        <v>7.8637440000000017E-2</v>
      </c>
    </row>
    <row r="24" spans="1:7" hidden="1">
      <c r="A24" s="312" t="str">
        <f>Zones!A19</f>
        <v>GuestRoom_4_FloorG</v>
      </c>
      <c r="B24" s="296" t="s">
        <v>269</v>
      </c>
      <c r="C24" s="330">
        <f>Zones!G19</f>
        <v>351.03</v>
      </c>
      <c r="D24" s="331">
        <f>Zones!J19</f>
        <v>1.0530899999999999</v>
      </c>
      <c r="E24" s="333">
        <v>4.4800000000000004</v>
      </c>
      <c r="F24" s="419">
        <f t="shared" si="0"/>
        <v>4.7178431999999999</v>
      </c>
      <c r="G24" s="411">
        <f t="shared" si="1"/>
        <v>7.8630720000000001E-2</v>
      </c>
    </row>
    <row r="25" spans="1:7" hidden="1">
      <c r="A25" s="312" t="str">
        <f>Zones!A20</f>
        <v>GuestRoom_5_FloorG</v>
      </c>
      <c r="B25" s="296" t="s">
        <v>269</v>
      </c>
      <c r="C25" s="330">
        <f>Zones!G20</f>
        <v>351.03</v>
      </c>
      <c r="D25" s="331">
        <f>Zones!J20</f>
        <v>1.0530899999999999</v>
      </c>
      <c r="E25" s="333">
        <v>4.4800000000000004</v>
      </c>
      <c r="F25" s="419">
        <f t="shared" si="0"/>
        <v>4.7178431999999999</v>
      </c>
      <c r="G25" s="411">
        <f t="shared" si="1"/>
        <v>7.8630720000000001E-2</v>
      </c>
    </row>
    <row r="26" spans="1:7" hidden="1">
      <c r="A26" s="312" t="str">
        <f>Zones!A21</f>
        <v>GuestRoom_1_FloorM</v>
      </c>
      <c r="B26" s="296" t="s">
        <v>269</v>
      </c>
      <c r="C26" s="330">
        <f>Zones!G21</f>
        <v>351.06</v>
      </c>
      <c r="D26" s="331">
        <f>Zones!J21</f>
        <v>1.05318</v>
      </c>
      <c r="E26" s="333">
        <v>4.4800000000000004</v>
      </c>
      <c r="F26" s="419">
        <f t="shared" si="0"/>
        <v>4.7182464000000008</v>
      </c>
      <c r="G26" s="411">
        <f t="shared" si="1"/>
        <v>7.8637440000000017E-2</v>
      </c>
    </row>
    <row r="27" spans="1:7" hidden="1">
      <c r="A27" s="312" t="str">
        <f>Zones!A22</f>
        <v>GuestRoom_2_5_FloorM</v>
      </c>
      <c r="B27" s="296" t="s">
        <v>269</v>
      </c>
      <c r="C27" s="330">
        <f>Zones!G22</f>
        <v>1404.24</v>
      </c>
      <c r="D27" s="331">
        <f>Zones!J22</f>
        <v>4.21272</v>
      </c>
      <c r="E27" s="333">
        <v>4.4800000000000004</v>
      </c>
      <c r="F27" s="419">
        <f t="shared" si="0"/>
        <v>18.872985600000003</v>
      </c>
      <c r="G27" s="411">
        <f t="shared" si="1"/>
        <v>0.31454976000000007</v>
      </c>
    </row>
    <row r="28" spans="1:7" hidden="1">
      <c r="A28" s="312" t="str">
        <f>Zones!A23</f>
        <v>GuestRoom_6_8_FloorM</v>
      </c>
      <c r="B28" s="296" t="s">
        <v>269</v>
      </c>
      <c r="C28" s="330">
        <f>Zones!G23</f>
        <v>1134.2</v>
      </c>
      <c r="D28" s="331">
        <f>Zones!J23</f>
        <v>3.4026000000000005</v>
      </c>
      <c r="E28" s="333">
        <v>4.4800000000000004</v>
      </c>
      <c r="F28" s="419">
        <f t="shared" si="0"/>
        <v>15.243648000000004</v>
      </c>
      <c r="G28" s="411">
        <f t="shared" si="1"/>
        <v>0.25406080000000009</v>
      </c>
    </row>
    <row r="29" spans="1:7" hidden="1">
      <c r="A29" s="312" t="str">
        <f>Zones!A24</f>
        <v>GuestRoom_9_12_FloorM</v>
      </c>
      <c r="B29" s="296" t="s">
        <v>269</v>
      </c>
      <c r="C29" s="330">
        <f>Zones!G24</f>
        <v>1404.24</v>
      </c>
      <c r="D29" s="331">
        <f>Zones!J24</f>
        <v>4.21272</v>
      </c>
      <c r="E29" s="333">
        <v>4.4800000000000004</v>
      </c>
      <c r="F29" s="419">
        <f t="shared" si="0"/>
        <v>18.872985600000003</v>
      </c>
      <c r="G29" s="411">
        <f t="shared" si="1"/>
        <v>0.31454976000000007</v>
      </c>
    </row>
    <row r="30" spans="1:7" hidden="1">
      <c r="A30" s="312" t="str">
        <f>Zones!A25</f>
        <v>GuestRoom_13_FloorM</v>
      </c>
      <c r="B30" s="296" t="s">
        <v>269</v>
      </c>
      <c r="C30" s="330">
        <f>Zones!G25</f>
        <v>351.06</v>
      </c>
      <c r="D30" s="331">
        <f>Zones!J25</f>
        <v>1.05318</v>
      </c>
      <c r="E30" s="333">
        <v>4.4800000000000004</v>
      </c>
      <c r="F30" s="419">
        <f t="shared" si="0"/>
        <v>4.7182464000000008</v>
      </c>
      <c r="G30" s="411">
        <f t="shared" si="1"/>
        <v>7.8637440000000017E-2</v>
      </c>
    </row>
    <row r="31" spans="1:7" hidden="1">
      <c r="A31" s="312" t="str">
        <f>Zones!A26</f>
        <v>GuestRoom_14_FloorM</v>
      </c>
      <c r="B31" s="296" t="s">
        <v>269</v>
      </c>
      <c r="C31" s="330">
        <f>Zones!G26</f>
        <v>351.03</v>
      </c>
      <c r="D31" s="331">
        <f>Zones!J26</f>
        <v>1.0530899999999999</v>
      </c>
      <c r="E31" s="333">
        <v>4.4800000000000004</v>
      </c>
      <c r="F31" s="419">
        <f t="shared" si="0"/>
        <v>4.7178431999999999</v>
      </c>
      <c r="G31" s="411">
        <f t="shared" si="1"/>
        <v>7.8630720000000001E-2</v>
      </c>
    </row>
    <row r="32" spans="1:7" hidden="1">
      <c r="A32" s="312" t="str">
        <f>Zones!A27</f>
        <v>GuestRoom_15_18_FloorM</v>
      </c>
      <c r="B32" s="296" t="s">
        <v>269</v>
      </c>
      <c r="C32" s="330">
        <f>Zones!G27</f>
        <v>1404.14</v>
      </c>
      <c r="D32" s="331">
        <f>Zones!J27</f>
        <v>4.2124200000000007</v>
      </c>
      <c r="E32" s="333">
        <v>4.4800000000000004</v>
      </c>
      <c r="F32" s="419">
        <f t="shared" si="0"/>
        <v>18.871641600000004</v>
      </c>
      <c r="G32" s="411">
        <f t="shared" si="1"/>
        <v>0.31452736000000009</v>
      </c>
    </row>
    <row r="33" spans="1:7" hidden="1">
      <c r="A33" s="312" t="str">
        <f>Zones!A28</f>
        <v>GuestRoom_19_FloorM</v>
      </c>
      <c r="B33" s="296" t="s">
        <v>269</v>
      </c>
      <c r="C33" s="330">
        <f>Zones!G28</f>
        <v>351.04</v>
      </c>
      <c r="D33" s="331">
        <f>Zones!J28</f>
        <v>1.0531200000000001</v>
      </c>
      <c r="E33" s="333">
        <v>4.4800000000000004</v>
      </c>
      <c r="F33" s="419">
        <f t="shared" si="0"/>
        <v>4.7179776000000011</v>
      </c>
      <c r="G33" s="411">
        <f t="shared" si="1"/>
        <v>7.8632960000000016E-2</v>
      </c>
    </row>
    <row r="34" spans="1:7" hidden="1">
      <c r="A34" s="312" t="str">
        <f>Zones!A29</f>
        <v>GuestRoom_20_23_FloorM</v>
      </c>
      <c r="B34" s="296" t="s">
        <v>269</v>
      </c>
      <c r="C34" s="330">
        <f>Zones!G29</f>
        <v>1404.14</v>
      </c>
      <c r="D34" s="331">
        <f>Zones!J29</f>
        <v>4.2124200000000007</v>
      </c>
      <c r="E34" s="333">
        <v>4.4800000000000004</v>
      </c>
      <c r="F34" s="419">
        <f t="shared" si="0"/>
        <v>18.871641600000004</v>
      </c>
      <c r="G34" s="411">
        <f t="shared" si="1"/>
        <v>0.31452736000000009</v>
      </c>
    </row>
    <row r="35" spans="1:7" hidden="1">
      <c r="A35" s="312" t="str">
        <f>Zones!A30</f>
        <v>GuestRoom_24_FloorM</v>
      </c>
      <c r="B35" s="296" t="s">
        <v>269</v>
      </c>
      <c r="C35" s="330">
        <f>Zones!G30</f>
        <v>351.03</v>
      </c>
      <c r="D35" s="331">
        <f>Zones!J30</f>
        <v>1.0530899999999999</v>
      </c>
      <c r="E35" s="333">
        <v>4.4800000000000004</v>
      </c>
      <c r="F35" s="419">
        <f t="shared" si="0"/>
        <v>4.7178431999999999</v>
      </c>
      <c r="G35" s="411">
        <f t="shared" si="1"/>
        <v>7.8630720000000001E-2</v>
      </c>
    </row>
    <row r="36" spans="1:7" hidden="1">
      <c r="A36" s="312" t="str">
        <f>Zones!A31</f>
        <v>GuestRoom_1_FloorT</v>
      </c>
      <c r="B36" s="296" t="s">
        <v>269</v>
      </c>
      <c r="C36" s="330">
        <f>Zones!G31</f>
        <v>351.06</v>
      </c>
      <c r="D36" s="331">
        <f>Zones!J31</f>
        <v>1.05318</v>
      </c>
      <c r="E36" s="333">
        <v>4.4800000000000004</v>
      </c>
      <c r="F36" s="419">
        <f t="shared" si="0"/>
        <v>4.7182464000000008</v>
      </c>
      <c r="G36" s="411">
        <f t="shared" si="1"/>
        <v>7.8637440000000017E-2</v>
      </c>
    </row>
    <row r="37" spans="1:7" hidden="1">
      <c r="A37" s="312" t="str">
        <f>Zones!A32</f>
        <v>GuestRoom_2_5_FloorT</v>
      </c>
      <c r="B37" s="296" t="s">
        <v>269</v>
      </c>
      <c r="C37" s="330">
        <f>Zones!G32</f>
        <v>1404.24</v>
      </c>
      <c r="D37" s="331">
        <f>Zones!J32</f>
        <v>4.21272</v>
      </c>
      <c r="E37" s="333">
        <v>4.4800000000000004</v>
      </c>
      <c r="F37" s="419">
        <f t="shared" si="0"/>
        <v>18.872985600000003</v>
      </c>
      <c r="G37" s="411">
        <f t="shared" si="1"/>
        <v>0.31454976000000007</v>
      </c>
    </row>
    <row r="38" spans="1:7" hidden="1">
      <c r="A38" s="312" t="str">
        <f>Zones!A33</f>
        <v>GuestRoom_6_8_FloorT</v>
      </c>
      <c r="B38" s="296" t="s">
        <v>269</v>
      </c>
      <c r="C38" s="330">
        <f>Zones!G33</f>
        <v>1134.2</v>
      </c>
      <c r="D38" s="331">
        <f>Zones!J33</f>
        <v>3.4026000000000005</v>
      </c>
      <c r="E38" s="333">
        <v>4.4800000000000004</v>
      </c>
      <c r="F38" s="419">
        <f t="shared" si="0"/>
        <v>15.243648000000004</v>
      </c>
      <c r="G38" s="411">
        <f t="shared" si="1"/>
        <v>0.25406080000000009</v>
      </c>
    </row>
    <row r="39" spans="1:7" hidden="1">
      <c r="A39" s="312" t="str">
        <f>Zones!A34</f>
        <v>GuestRoom_9_12_FloorT</v>
      </c>
      <c r="B39" s="296" t="s">
        <v>269</v>
      </c>
      <c r="C39" s="330">
        <f>Zones!G34</f>
        <v>1404.24</v>
      </c>
      <c r="D39" s="331">
        <f>Zones!J34</f>
        <v>4.21272</v>
      </c>
      <c r="E39" s="333">
        <v>4.4800000000000004</v>
      </c>
      <c r="F39" s="419">
        <f t="shared" si="0"/>
        <v>18.872985600000003</v>
      </c>
      <c r="G39" s="411">
        <f t="shared" si="1"/>
        <v>0.31454976000000007</v>
      </c>
    </row>
    <row r="40" spans="1:7" hidden="1">
      <c r="A40" s="312" t="str">
        <f>Zones!A35</f>
        <v>GuestRoom_13_FloorT</v>
      </c>
      <c r="B40" s="296" t="s">
        <v>269</v>
      </c>
      <c r="C40" s="330">
        <f>Zones!G35</f>
        <v>351.06</v>
      </c>
      <c r="D40" s="331">
        <f>Zones!J35</f>
        <v>1.05318</v>
      </c>
      <c r="E40" s="333">
        <v>4.4800000000000004</v>
      </c>
      <c r="F40" s="419">
        <f t="shared" si="0"/>
        <v>4.7182464000000008</v>
      </c>
      <c r="G40" s="411">
        <f t="shared" si="1"/>
        <v>7.8637440000000017E-2</v>
      </c>
    </row>
    <row r="41" spans="1:7" hidden="1">
      <c r="A41" s="312" t="str">
        <f>Zones!A36</f>
        <v>GuestRoom_14_FloorT</v>
      </c>
      <c r="B41" s="296" t="s">
        <v>269</v>
      </c>
      <c r="C41" s="330">
        <f>Zones!G36</f>
        <v>351.03</v>
      </c>
      <c r="D41" s="331">
        <f>Zones!J36</f>
        <v>1.0530899999999999</v>
      </c>
      <c r="E41" s="333">
        <v>4.4800000000000004</v>
      </c>
      <c r="F41" s="419">
        <f t="shared" si="0"/>
        <v>4.7178431999999999</v>
      </c>
      <c r="G41" s="411">
        <f t="shared" si="1"/>
        <v>7.8630720000000001E-2</v>
      </c>
    </row>
    <row r="42" spans="1:7" hidden="1">
      <c r="A42" s="312" t="str">
        <f>Zones!A37</f>
        <v>GuestRoom_15_18_FloorT</v>
      </c>
      <c r="B42" s="296" t="s">
        <v>269</v>
      </c>
      <c r="C42" s="330">
        <f>Zones!G37</f>
        <v>1404.14</v>
      </c>
      <c r="D42" s="331">
        <f>Zones!J37</f>
        <v>4.2124200000000007</v>
      </c>
      <c r="E42" s="333">
        <v>4.4800000000000004</v>
      </c>
      <c r="F42" s="419">
        <f t="shared" si="0"/>
        <v>18.871641600000004</v>
      </c>
      <c r="G42" s="411">
        <f t="shared" si="1"/>
        <v>0.31452736000000009</v>
      </c>
    </row>
    <row r="43" spans="1:7" hidden="1">
      <c r="A43" s="312" t="str">
        <f>Zones!A38</f>
        <v>GuestRoom_19_FloorT</v>
      </c>
      <c r="B43" s="296" t="s">
        <v>269</v>
      </c>
      <c r="C43" s="330">
        <f>Zones!G38</f>
        <v>351.04</v>
      </c>
      <c r="D43" s="331">
        <f>Zones!J38</f>
        <v>1.0531200000000001</v>
      </c>
      <c r="E43" s="333">
        <v>4.4800000000000004</v>
      </c>
      <c r="F43" s="419">
        <f t="shared" si="0"/>
        <v>4.7179776000000011</v>
      </c>
      <c r="G43" s="411">
        <f t="shared" si="1"/>
        <v>7.8632960000000016E-2</v>
      </c>
    </row>
    <row r="44" spans="1:7" hidden="1">
      <c r="A44" s="312" t="str">
        <f>Zones!A39</f>
        <v>GuestRoom_20_23_FloorT</v>
      </c>
      <c r="B44" s="296" t="s">
        <v>269</v>
      </c>
      <c r="C44" s="330">
        <f>Zones!G39</f>
        <v>1404.14</v>
      </c>
      <c r="D44" s="331">
        <f>Zones!J39</f>
        <v>4.2124200000000007</v>
      </c>
      <c r="E44" s="333">
        <v>4.4800000000000004</v>
      </c>
      <c r="F44" s="419">
        <f t="shared" si="0"/>
        <v>18.871641600000004</v>
      </c>
      <c r="G44" s="411">
        <f t="shared" si="1"/>
        <v>0.31452736000000009</v>
      </c>
    </row>
    <row r="45" spans="1:7" hidden="1">
      <c r="A45" s="312" t="str">
        <f>Zones!A40</f>
        <v>GuestRoom_24_FloorT</v>
      </c>
      <c r="B45" s="296" t="s">
        <v>269</v>
      </c>
      <c r="C45" s="330">
        <f>Zones!G40</f>
        <v>351.03</v>
      </c>
      <c r="D45" s="331">
        <f>Zones!J40</f>
        <v>1.0530899999999999</v>
      </c>
      <c r="E45" s="333">
        <v>4.4800000000000004</v>
      </c>
      <c r="F45" s="419">
        <f t="shared" si="0"/>
        <v>4.7178431999999999</v>
      </c>
      <c r="G45" s="411">
        <f t="shared" si="1"/>
        <v>7.8630720000000001E-2</v>
      </c>
    </row>
    <row r="46" spans="1:7" hidden="1">
      <c r="A46" s="312" t="str">
        <f>Zones!A41</f>
        <v>Laundry_FloorG</v>
      </c>
      <c r="B46" s="296" t="s">
        <v>269</v>
      </c>
      <c r="C46" s="330">
        <f>Zones!G41</f>
        <v>1053.1099999999999</v>
      </c>
      <c r="D46" s="331">
        <f>Zones!J41</f>
        <v>5.2655500000000002</v>
      </c>
      <c r="E46" s="333">
        <v>0.57799999999999996</v>
      </c>
      <c r="F46" s="419">
        <f t="shared" si="0"/>
        <v>3.0434878999999997</v>
      </c>
      <c r="G46" s="411">
        <f t="shared" si="1"/>
        <v>5.0724798333333328E-2</v>
      </c>
    </row>
    <row r="47" spans="1:7">
      <c r="A47" s="312" t="str">
        <f>Zones!A42</f>
        <v>Mech_FloorG</v>
      </c>
      <c r="B47" s="296" t="s">
        <v>269</v>
      </c>
      <c r="C47" s="330">
        <f>Zones!G42</f>
        <v>351.06</v>
      </c>
      <c r="D47" s="331">
        <f>Zones!J42</f>
        <v>0</v>
      </c>
      <c r="E47" s="333">
        <v>0.18</v>
      </c>
      <c r="F47" s="419">
        <f t="shared" si="0"/>
        <v>0</v>
      </c>
      <c r="G47" s="411">
        <f t="shared" si="1"/>
        <v>0</v>
      </c>
    </row>
    <row r="48" spans="1:7" hidden="1">
      <c r="A48" s="312" t="str">
        <f>Zones!A43</f>
        <v>Conference_FloorG</v>
      </c>
      <c r="B48" s="296" t="s">
        <v>269</v>
      </c>
      <c r="C48" s="330">
        <f>Zones!G43</f>
        <v>864.15</v>
      </c>
      <c r="D48" s="331">
        <f>Zones!J43</f>
        <v>28.516949999999998</v>
      </c>
      <c r="E48" s="333">
        <v>0.09</v>
      </c>
      <c r="F48" s="419">
        <f t="shared" si="0"/>
        <v>2.5665254999999996</v>
      </c>
      <c r="G48" s="411">
        <f t="shared" si="1"/>
        <v>4.2775424999999992E-2</v>
      </c>
    </row>
    <row r="49" spans="1:10">
      <c r="A49" s="312" t="str">
        <f>Zones!A44</f>
        <v>Rear_Stair_FloorG</v>
      </c>
      <c r="B49" s="296" t="s">
        <v>269</v>
      </c>
      <c r="C49" s="330">
        <f>Zones!G44</f>
        <v>216.08</v>
      </c>
      <c r="D49" s="331">
        <f>Zones!J44</f>
        <v>1.0804</v>
      </c>
      <c r="E49" s="296">
        <v>0</v>
      </c>
      <c r="F49" s="419">
        <f t="shared" si="0"/>
        <v>0</v>
      </c>
      <c r="G49" s="411">
        <f t="shared" si="1"/>
        <v>0</v>
      </c>
    </row>
    <row r="50" spans="1:10">
      <c r="A50" s="312" t="str">
        <f>Zones!A45</f>
        <v>Rear_Stair_FloorT</v>
      </c>
      <c r="B50" s="296" t="s">
        <v>269</v>
      </c>
      <c r="C50" s="330">
        <f>Zones!G45</f>
        <v>216.08</v>
      </c>
      <c r="D50" s="331">
        <f>Zones!J45</f>
        <v>1.0804</v>
      </c>
      <c r="E50" s="296">
        <v>0</v>
      </c>
      <c r="F50" s="419">
        <f t="shared" si="0"/>
        <v>0</v>
      </c>
      <c r="G50" s="411">
        <f t="shared" si="1"/>
        <v>0</v>
      </c>
    </row>
    <row r="51" spans="1:10">
      <c r="A51" s="312" t="str">
        <f>Zones!A46</f>
        <v>Rear_Stair_FloorM</v>
      </c>
      <c r="B51" s="296" t="s">
        <v>269</v>
      </c>
      <c r="C51" s="330">
        <f>Zones!G46</f>
        <v>216.08</v>
      </c>
      <c r="D51" s="331">
        <f>Zones!J46</f>
        <v>1.0804</v>
      </c>
      <c r="E51" s="296">
        <v>0</v>
      </c>
      <c r="F51" s="419">
        <f t="shared" si="0"/>
        <v>0</v>
      </c>
      <c r="G51" s="411">
        <f t="shared" si="1"/>
        <v>0</v>
      </c>
    </row>
    <row r="52" spans="1:10">
      <c r="A52" s="312" t="str">
        <f>Zones!A47</f>
        <v>Rear_Storage_FloorG</v>
      </c>
      <c r="B52" s="296" t="s">
        <v>269</v>
      </c>
      <c r="C52" s="330">
        <f>Zones!G47</f>
        <v>216.09</v>
      </c>
      <c r="D52" s="331">
        <f>Zones!J47</f>
        <v>0.43218000000000001</v>
      </c>
      <c r="E52" s="296">
        <v>0</v>
      </c>
      <c r="F52" s="419">
        <f t="shared" si="0"/>
        <v>0</v>
      </c>
      <c r="G52" s="411">
        <f t="shared" si="1"/>
        <v>0</v>
      </c>
    </row>
    <row r="53" spans="1:10">
      <c r="A53" s="312" t="str">
        <f>Zones!A48</f>
        <v>Rear_Storage_FloorM</v>
      </c>
      <c r="B53" s="296" t="s">
        <v>269</v>
      </c>
      <c r="C53" s="330">
        <f>Zones!G48</f>
        <v>216.09</v>
      </c>
      <c r="D53" s="331">
        <f>Zones!J48</f>
        <v>0.43218000000000001</v>
      </c>
      <c r="E53" s="296">
        <v>0</v>
      </c>
      <c r="F53" s="419">
        <f t="shared" si="0"/>
        <v>0</v>
      </c>
      <c r="G53" s="411">
        <f t="shared" si="1"/>
        <v>0</v>
      </c>
    </row>
    <row r="54" spans="1:10">
      <c r="A54" s="312" t="str">
        <f>Zones!A49</f>
        <v>Rear_Storage_FloorT</v>
      </c>
      <c r="B54" s="296" t="s">
        <v>269</v>
      </c>
      <c r="C54" s="330">
        <f>Zones!G49</f>
        <v>216.09</v>
      </c>
      <c r="D54" s="331">
        <f>Zones!J49</f>
        <v>0.43218000000000001</v>
      </c>
      <c r="E54" s="296">
        <v>0</v>
      </c>
      <c r="F54" s="419">
        <f t="shared" si="0"/>
        <v>0</v>
      </c>
      <c r="G54" s="411">
        <f t="shared" si="1"/>
        <v>0</v>
      </c>
    </row>
    <row r="55" spans="1:10">
      <c r="A55" s="312" t="str">
        <f>Zones!A50</f>
        <v>Restroom_FloorG</v>
      </c>
      <c r="B55" s="296" t="s">
        <v>269</v>
      </c>
      <c r="C55" s="330">
        <f>Zones!G50</f>
        <v>351.06</v>
      </c>
      <c r="D55" s="331">
        <f>Zones!J50</f>
        <v>1.7552999999999999</v>
      </c>
      <c r="E55" s="296">
        <v>0</v>
      </c>
      <c r="F55" s="419">
        <f t="shared" si="0"/>
        <v>0</v>
      </c>
      <c r="G55" s="411">
        <f t="shared" si="1"/>
        <v>0</v>
      </c>
    </row>
    <row r="56" spans="1:10" hidden="1">
      <c r="A56" s="412" t="s">
        <v>401</v>
      </c>
      <c r="B56" s="413" t="s">
        <v>393</v>
      </c>
      <c r="C56" s="414">
        <f>SUM(C8:C55)</f>
        <v>32404.610000000011</v>
      </c>
      <c r="D56" s="414">
        <f>SUM(D8:D55)</f>
        <v>201.26093999999998</v>
      </c>
      <c r="E56" s="414"/>
      <c r="F56" s="414">
        <f>SUM(F8:F55)</f>
        <v>265.99793750000003</v>
      </c>
      <c r="G56" s="428">
        <f>SUM(G8:G55)</f>
        <v>4.4332989583333351</v>
      </c>
    </row>
    <row r="57" spans="1:10">
      <c r="A57" s="415"/>
      <c r="B57" s="415"/>
      <c r="C57" s="416"/>
      <c r="D57" s="416"/>
      <c r="E57" s="244"/>
      <c r="F57" s="417"/>
      <c r="G57" s="244"/>
    </row>
    <row r="58" spans="1:10">
      <c r="A58" s="415"/>
      <c r="B58" s="415"/>
      <c r="C58" s="416"/>
      <c r="D58" s="416"/>
      <c r="E58" s="244"/>
      <c r="F58" s="417"/>
      <c r="G58" s="244"/>
    </row>
    <row r="59" spans="1:10">
      <c r="A59" s="222"/>
      <c r="E59" s="223"/>
    </row>
    <row r="60" spans="1:10" ht="15.6" customHeight="1">
      <c r="A60" s="589" t="s">
        <v>402</v>
      </c>
      <c r="B60" s="589"/>
      <c r="C60" s="589"/>
      <c r="D60" s="589"/>
      <c r="E60" s="589"/>
      <c r="F60" s="589"/>
      <c r="G60" s="589"/>
      <c r="H60" s="589"/>
      <c r="I60" s="589"/>
      <c r="J60" s="589"/>
    </row>
    <row r="61" spans="1:10" ht="52.9">
      <c r="A61" s="334" t="s">
        <v>387</v>
      </c>
      <c r="B61" s="328" t="s">
        <v>399</v>
      </c>
      <c r="C61" s="328" t="s">
        <v>403</v>
      </c>
      <c r="D61" s="328" t="s">
        <v>404</v>
      </c>
      <c r="E61" s="328" t="s">
        <v>405</v>
      </c>
      <c r="F61" s="328" t="s">
        <v>406</v>
      </c>
      <c r="G61" s="335" t="s">
        <v>407</v>
      </c>
      <c r="H61" s="335" t="s">
        <v>408</v>
      </c>
      <c r="I61" s="554" t="s">
        <v>409</v>
      </c>
      <c r="J61" s="335" t="s">
        <v>199</v>
      </c>
    </row>
    <row r="62" spans="1:10">
      <c r="A62" s="336" t="s">
        <v>410</v>
      </c>
      <c r="B62" s="337">
        <f>SUMIFS(F8:F55,B8:B55,"Gas")</f>
        <v>265.99793750000003</v>
      </c>
      <c r="C62" s="337">
        <f>B62*(B66-B67)*8.2877*1</f>
        <v>165338.33299640624</v>
      </c>
      <c r="D62" s="337">
        <f>C62*B68</f>
        <v>99202.999797843746</v>
      </c>
      <c r="E62" s="338">
        <f>D62/C4</f>
        <v>124003.74974730468</v>
      </c>
      <c r="F62" s="339">
        <f>ROUNDUP((B62*F64)/B64,0)</f>
        <v>107</v>
      </c>
      <c r="G62" s="340">
        <f>(E62/800)+110*SQRT(F62)</f>
        <v>1292.8535347908771</v>
      </c>
      <c r="H62" s="341" t="s">
        <v>411</v>
      </c>
      <c r="I62" s="406">
        <f>G62/B73</f>
        <v>20.852476367594793</v>
      </c>
      <c r="J62" s="642" t="s">
        <v>412</v>
      </c>
    </row>
    <row r="63" spans="1:10">
      <c r="A63" s="336" t="s">
        <v>413</v>
      </c>
      <c r="B63" s="337">
        <f>SUMIFS(F8:F55,B8:B55,"Electric")</f>
        <v>0</v>
      </c>
      <c r="C63" s="337">
        <f>B63*(B66-B67)*8.2877*1</f>
        <v>0</v>
      </c>
      <c r="D63" s="337">
        <f>C63*B68</f>
        <v>0</v>
      </c>
      <c r="E63" s="338"/>
      <c r="F63" s="339">
        <f>ROUNDUP((B63*F64)/B64,0)</f>
        <v>0</v>
      </c>
      <c r="G63" s="342"/>
      <c r="H63" s="341" t="s">
        <v>414</v>
      </c>
      <c r="I63" s="407">
        <f>0.0834*G63*F63</f>
        <v>0</v>
      </c>
      <c r="J63" s="643"/>
    </row>
    <row r="64" spans="1:10">
      <c r="A64" s="343" t="s">
        <v>401</v>
      </c>
      <c r="B64" s="337">
        <f>B62+B63</f>
        <v>265.99793750000003</v>
      </c>
      <c r="C64" s="344"/>
      <c r="D64" s="344"/>
      <c r="E64" s="338"/>
      <c r="F64" s="339">
        <f>ROUNDUP(B64*1*B69,0)</f>
        <v>107</v>
      </c>
      <c r="G64" s="345"/>
      <c r="H64" s="341"/>
      <c r="I64" s="38"/>
      <c r="J64" s="643"/>
    </row>
    <row r="65" spans="1:9" ht="14.45">
      <c r="A65" s="220"/>
    </row>
    <row r="66" spans="1:9">
      <c r="A66" s="5" t="s">
        <v>415</v>
      </c>
      <c r="B66" s="545">
        <v>130</v>
      </c>
      <c r="C66" s="5" t="s">
        <v>416</v>
      </c>
      <c r="F66" s="296" t="s">
        <v>417</v>
      </c>
      <c r="G66" s="332">
        <f>(E62/800)+110*SQRT(F64)</f>
        <v>1292.8535347908771</v>
      </c>
      <c r="H66" s="346" t="s">
        <v>411</v>
      </c>
      <c r="I66" s="408">
        <f>G66/B73</f>
        <v>20.852476367594793</v>
      </c>
    </row>
    <row r="67" spans="1:9">
      <c r="A67" s="5" t="s">
        <v>418</v>
      </c>
      <c r="B67" s="545">
        <v>55</v>
      </c>
      <c r="C67" s="5" t="s">
        <v>419</v>
      </c>
    </row>
    <row r="68" spans="1:9" ht="14.45">
      <c r="A68" t="s">
        <v>420</v>
      </c>
      <c r="B68" s="545">
        <v>0.6</v>
      </c>
      <c r="C68" s="5" t="s">
        <v>419</v>
      </c>
    </row>
    <row r="69" spans="1:9">
      <c r="A69" s="5" t="s">
        <v>421</v>
      </c>
      <c r="B69" s="545">
        <v>0.4</v>
      </c>
      <c r="C69" s="5" t="s">
        <v>422</v>
      </c>
    </row>
    <row r="70" spans="1:9">
      <c r="A70" s="608" t="s">
        <v>423</v>
      </c>
      <c r="B70" s="608"/>
      <c r="C70" s="608"/>
      <c r="D70" s="608"/>
      <c r="E70" s="608"/>
      <c r="F70" s="608"/>
      <c r="G70" s="608"/>
      <c r="H70" s="608"/>
      <c r="I70" s="608"/>
    </row>
    <row r="71" spans="1:9">
      <c r="A71" s="12"/>
      <c r="B71" s="12"/>
      <c r="C71" s="12"/>
      <c r="D71" s="12"/>
      <c r="E71" s="12"/>
      <c r="F71" s="12"/>
      <c r="G71" s="12"/>
      <c r="H71" s="12"/>
      <c r="I71" s="12"/>
    </row>
    <row r="72" spans="1:9" ht="14.45">
      <c r="A72" t="s">
        <v>424</v>
      </c>
      <c r="B72" s="44">
        <v>68</v>
      </c>
    </row>
    <row r="73" spans="1:9" ht="14.45">
      <c r="A73" t="s">
        <v>425</v>
      </c>
      <c r="B73" s="44">
        <f>B66-B72</f>
        <v>62</v>
      </c>
    </row>
    <row r="74" spans="1:9" s="234" customFormat="1" ht="21" hidden="1" customHeight="1">
      <c r="A74" t="s">
        <v>426</v>
      </c>
      <c r="B74" s="44"/>
    </row>
    <row r="75" spans="1:9" ht="14.45" hidden="1">
      <c r="A75" s="220"/>
    </row>
    <row r="76" spans="1:9" ht="14.45" hidden="1">
      <c r="A76" s="221"/>
    </row>
    <row r="77" spans="1:9" ht="14.45" hidden="1">
      <c r="A77" s="220"/>
    </row>
    <row r="78" spans="1:9" ht="14.45" hidden="1">
      <c r="A78" s="219"/>
    </row>
    <row r="79" spans="1:9" ht="14.45" hidden="1">
      <c r="A79" s="220"/>
    </row>
    <row r="80" spans="1:9" ht="14.45" hidden="1">
      <c r="A80" s="219"/>
    </row>
    <row r="81" spans="1:1" ht="14.45" hidden="1">
      <c r="A81" s="219"/>
    </row>
    <row r="82" spans="1:1" ht="14.45" hidden="1">
      <c r="A82" s="221"/>
    </row>
    <row r="83" spans="1:1" ht="14.45" hidden="1">
      <c r="A83" s="221"/>
    </row>
    <row r="84" spans="1:1" ht="14.45" hidden="1">
      <c r="A84" s="221"/>
    </row>
    <row r="85" spans="1:1" ht="14.45" hidden="1">
      <c r="A85" s="221"/>
    </row>
    <row r="86" spans="1:1" ht="14.45" hidden="1">
      <c r="A86" s="221"/>
    </row>
    <row r="87" spans="1:1" ht="14.45" hidden="1">
      <c r="A87" s="221"/>
    </row>
    <row r="88" spans="1:1" ht="14.45" hidden="1">
      <c r="A88" s="219"/>
    </row>
    <row r="89" spans="1:1" ht="14.45" hidden="1">
      <c r="A89" s="220"/>
    </row>
    <row r="90" spans="1:1" ht="14.45" hidden="1">
      <c r="A90" s="219"/>
    </row>
    <row r="91" spans="1:1" ht="14.45" hidden="1">
      <c r="A91" s="219"/>
    </row>
    <row r="92" spans="1:1" ht="14.45" hidden="1">
      <c r="A92" s="221"/>
    </row>
    <row r="93" spans="1:1" ht="14.45" hidden="1">
      <c r="A93" s="221"/>
    </row>
    <row r="94" spans="1:1" ht="14.45" hidden="1">
      <c r="A94" s="219"/>
    </row>
    <row r="95" spans="1:1" ht="14.45" hidden="1">
      <c r="A95" s="220"/>
    </row>
    <row r="96" spans="1:1" ht="14.45" hidden="1">
      <c r="A96" s="219"/>
    </row>
    <row r="97" spans="1:1" ht="14.45" hidden="1">
      <c r="A97" s="219"/>
    </row>
    <row r="98" spans="1:1" ht="14.45" hidden="1">
      <c r="A98" s="221"/>
    </row>
    <row r="99" spans="1:1" ht="14.45" hidden="1">
      <c r="A99" s="221"/>
    </row>
    <row r="100" spans="1:1" ht="14.45" hidden="1">
      <c r="A100" s="221"/>
    </row>
    <row r="101" spans="1:1" ht="14.45" hidden="1">
      <c r="A101" s="221"/>
    </row>
    <row r="102" spans="1:1" ht="14.45" hidden="1">
      <c r="A102" s="221"/>
    </row>
    <row r="103" spans="1:1" ht="14.45" hidden="1">
      <c r="A103" s="221"/>
    </row>
    <row r="104" spans="1:1" ht="14.45" hidden="1">
      <c r="A104" s="221"/>
    </row>
    <row r="105" spans="1:1" ht="14.45" hidden="1">
      <c r="A105" s="221"/>
    </row>
    <row r="106" spans="1:1" ht="14.45" hidden="1">
      <c r="A106" s="219"/>
    </row>
    <row r="107" spans="1:1" ht="14.45" hidden="1">
      <c r="A107" s="220"/>
    </row>
    <row r="108" spans="1:1" ht="14.45" hidden="1">
      <c r="A108" s="219"/>
    </row>
    <row r="109" spans="1:1" ht="14.45" hidden="1">
      <c r="A109" s="219"/>
    </row>
    <row r="110" spans="1:1" ht="14.45" hidden="1">
      <c r="A110" s="221"/>
    </row>
    <row r="111" spans="1:1" ht="14.45" hidden="1">
      <c r="A111" s="221"/>
    </row>
    <row r="112" spans="1:1" ht="14.45" hidden="1">
      <c r="A112" s="221"/>
    </row>
    <row r="113" spans="1:1" ht="14.45" hidden="1">
      <c r="A113" s="221"/>
    </row>
    <row r="114" spans="1:1" ht="14.45" hidden="1">
      <c r="A114"/>
    </row>
    <row r="115" spans="1:1" ht="14.45">
      <c r="A115"/>
    </row>
    <row r="116" spans="1:1" ht="14.45">
      <c r="A116"/>
    </row>
    <row r="117" spans="1:1" ht="14.45">
      <c r="A117" s="1"/>
    </row>
    <row r="118" spans="1:1" ht="14.45">
      <c r="A118" s="219"/>
    </row>
    <row r="119" spans="1:1" ht="14.45">
      <c r="A119" s="220"/>
    </row>
    <row r="120" spans="1:1" ht="14.45">
      <c r="A120" s="219"/>
    </row>
    <row r="121" spans="1:1" ht="14.45">
      <c r="A121" s="219"/>
    </row>
  </sheetData>
  <autoFilter ref="A7:AL56" xr:uid="{1D93AA08-0AC5-4FCC-829D-381EF7CA031C}">
    <filterColumn colId="6">
      <filters>
        <filter val="-"/>
      </filters>
    </filterColumn>
  </autoFilter>
  <mergeCells count="6">
    <mergeCell ref="A1:G1"/>
    <mergeCell ref="J62:J64"/>
    <mergeCell ref="A70:I70"/>
    <mergeCell ref="A6:G6"/>
    <mergeCell ref="A60:J60"/>
    <mergeCell ref="E2:F2"/>
  </mergeCells>
  <phoneticPr fontId="8" type="noConversion"/>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G25"/>
  <sheetViews>
    <sheetView zoomScaleNormal="100" workbookViewId="0">
      <selection sqref="A1:D1"/>
    </sheetView>
  </sheetViews>
  <sheetFormatPr defaultColWidth="8.7109375" defaultRowHeight="13.15"/>
  <cols>
    <col min="1" max="1" width="30.5703125" style="5" customWidth="1"/>
    <col min="2" max="2" width="38.42578125" style="5" customWidth="1"/>
    <col min="3" max="3" width="14.5703125" style="5" customWidth="1"/>
    <col min="4" max="4" width="15" style="5" customWidth="1"/>
    <col min="5" max="5" width="32.140625" style="5" customWidth="1"/>
    <col min="6" max="6" width="11.85546875" style="5" customWidth="1"/>
    <col min="7" max="7" width="15.140625" style="5" customWidth="1"/>
    <col min="8" max="8" width="15.5703125" style="5" customWidth="1"/>
    <col min="9" max="9" width="13.28515625" style="5" customWidth="1"/>
    <col min="10" max="10" width="17.140625" style="5" customWidth="1"/>
    <col min="11" max="16384" width="8.7109375" style="5"/>
  </cols>
  <sheetData>
    <row r="1" spans="1:7" ht="25.15" customHeight="1">
      <c r="A1" s="648" t="s">
        <v>427</v>
      </c>
      <c r="B1" s="648"/>
      <c r="C1" s="648"/>
      <c r="D1" s="648"/>
    </row>
    <row r="2" spans="1:7" ht="37.15" customHeight="1">
      <c r="A2" s="542" t="s">
        <v>428</v>
      </c>
      <c r="B2" s="542" t="s">
        <v>429</v>
      </c>
      <c r="C2" s="542" t="s">
        <v>430</v>
      </c>
      <c r="D2" s="542" t="s">
        <v>199</v>
      </c>
      <c r="F2" s="8"/>
      <c r="G2" s="8"/>
    </row>
    <row r="3" spans="1:7" ht="26.45" customHeight="1">
      <c r="A3" s="321">
        <f>G16</f>
        <v>1062.0783745555559</v>
      </c>
      <c r="B3" s="321">
        <f>G17</f>
        <v>742.68322699999999</v>
      </c>
      <c r="C3" s="321">
        <f>A3+B3</f>
        <v>1804.7616015555559</v>
      </c>
      <c r="D3" s="535" t="s">
        <v>431</v>
      </c>
      <c r="F3" s="12"/>
      <c r="G3" s="12"/>
    </row>
    <row r="4" spans="1:7" ht="17.45" customHeight="1">
      <c r="A4" s="142"/>
      <c r="B4" s="142"/>
      <c r="C4" s="142"/>
    </row>
    <row r="5" spans="1:7" ht="17.45" customHeight="1">
      <c r="A5" s="142"/>
      <c r="B5" s="142"/>
      <c r="C5" s="142"/>
    </row>
    <row r="6" spans="1:7" ht="17.45" customHeight="1">
      <c r="A6" s="142"/>
      <c r="B6" s="142"/>
      <c r="C6" s="142"/>
    </row>
    <row r="8" spans="1:7" ht="21" customHeight="1">
      <c r="A8" s="569" t="s">
        <v>432</v>
      </c>
      <c r="B8" s="569"/>
      <c r="C8" s="569"/>
      <c r="D8" s="569"/>
      <c r="E8" s="569"/>
      <c r="F8" s="569"/>
      <c r="G8" s="569"/>
    </row>
    <row r="9" spans="1:7" ht="39.6">
      <c r="A9" s="385" t="s">
        <v>433</v>
      </c>
      <c r="B9" s="649" t="s">
        <v>434</v>
      </c>
      <c r="C9" s="649"/>
      <c r="D9" s="542" t="s">
        <v>408</v>
      </c>
      <c r="E9" s="542" t="s">
        <v>435</v>
      </c>
      <c r="F9" s="542" t="s">
        <v>408</v>
      </c>
      <c r="G9" s="542" t="s">
        <v>436</v>
      </c>
    </row>
    <row r="10" spans="1:7" ht="16.899999999999999" customHeight="1">
      <c r="A10" s="285" t="s">
        <v>437</v>
      </c>
      <c r="B10" s="285"/>
      <c r="C10" s="386"/>
      <c r="D10" s="535"/>
      <c r="E10" s="535">
        <v>200</v>
      </c>
      <c r="F10" s="535" t="s">
        <v>438</v>
      </c>
      <c r="G10" s="387">
        <f>$E10</f>
        <v>200</v>
      </c>
    </row>
    <row r="11" spans="1:7" ht="39.6">
      <c r="A11" s="294" t="s">
        <v>439</v>
      </c>
      <c r="B11" s="294" t="s">
        <v>440</v>
      </c>
      <c r="C11" s="388">
        <f>B23/360*400</f>
        <v>36005.122222222235</v>
      </c>
      <c r="D11" s="535" t="s">
        <v>441</v>
      </c>
      <c r="E11" s="535">
        <v>1.9E-2</v>
      </c>
      <c r="F11" s="535" t="s">
        <v>442</v>
      </c>
      <c r="G11" s="387">
        <f>$E11*C11</f>
        <v>684.09732222222249</v>
      </c>
    </row>
    <row r="12" spans="1:7" ht="26.45">
      <c r="A12" s="285" t="s">
        <v>443</v>
      </c>
      <c r="B12" s="294" t="s">
        <v>444</v>
      </c>
      <c r="C12" s="386">
        <f>2</f>
        <v>2</v>
      </c>
      <c r="D12" s="535" t="s">
        <v>445</v>
      </c>
      <c r="E12" s="535">
        <v>15</v>
      </c>
      <c r="F12" s="535" t="s">
        <v>446</v>
      </c>
      <c r="G12" s="387">
        <f>E12*2</f>
        <v>30</v>
      </c>
    </row>
    <row r="13" spans="1:7" ht="26.45">
      <c r="A13" s="285" t="s">
        <v>447</v>
      </c>
      <c r="B13" s="294" t="s">
        <v>448</v>
      </c>
      <c r="C13" s="389">
        <f>B23*0.1</f>
        <v>3240.4610000000011</v>
      </c>
      <c r="D13" s="535" t="s">
        <v>441</v>
      </c>
      <c r="E13" s="535">
        <v>7.0000000000000001E-3</v>
      </c>
      <c r="F13" s="535" t="s">
        <v>442</v>
      </c>
      <c r="G13" s="390">
        <f>E13*C13</f>
        <v>22.683227000000009</v>
      </c>
    </row>
    <row r="14" spans="1:7" ht="92.45">
      <c r="A14" s="285" t="s">
        <v>449</v>
      </c>
      <c r="B14" s="294" t="s">
        <v>450</v>
      </c>
      <c r="C14" s="389">
        <f>B22*0.5*30</f>
        <v>7200</v>
      </c>
      <c r="D14" s="535" t="s">
        <v>441</v>
      </c>
      <c r="E14" s="535">
        <v>0.1</v>
      </c>
      <c r="F14" s="535" t="s">
        <v>442</v>
      </c>
      <c r="G14" s="390">
        <f>E14*C14</f>
        <v>720</v>
      </c>
    </row>
    <row r="15" spans="1:7">
      <c r="A15" s="285" t="s">
        <v>451</v>
      </c>
      <c r="B15" s="285"/>
      <c r="C15" s="389">
        <f>(B23/B24)*0.1</f>
        <v>1080.153666666667</v>
      </c>
      <c r="D15" s="535" t="s">
        <v>441</v>
      </c>
      <c r="E15" s="535">
        <v>0.13700000000000001</v>
      </c>
      <c r="F15" s="535" t="s">
        <v>442</v>
      </c>
      <c r="G15" s="390">
        <f>E15*C15</f>
        <v>147.98105233333339</v>
      </c>
    </row>
    <row r="16" spans="1:7">
      <c r="A16" s="647" t="s">
        <v>452</v>
      </c>
      <c r="B16" s="647"/>
      <c r="C16" s="647"/>
      <c r="D16" s="647"/>
      <c r="E16" s="647"/>
      <c r="F16" s="647"/>
      <c r="G16" s="391">
        <f>G11+G10+G15+G12</f>
        <v>1062.0783745555559</v>
      </c>
    </row>
    <row r="17" spans="1:7">
      <c r="A17" s="647" t="s">
        <v>453</v>
      </c>
      <c r="B17" s="647"/>
      <c r="C17" s="647"/>
      <c r="D17" s="647"/>
      <c r="E17" s="647"/>
      <c r="F17" s="647"/>
      <c r="G17" s="391">
        <f>G13+G14</f>
        <v>742.68322699999999</v>
      </c>
    </row>
    <row r="18" spans="1:7">
      <c r="A18" s="647" t="s">
        <v>401</v>
      </c>
      <c r="B18" s="647"/>
      <c r="C18" s="647"/>
      <c r="D18" s="647"/>
      <c r="E18" s="647"/>
      <c r="F18" s="647"/>
      <c r="G18" s="391">
        <f>G16+G17</f>
        <v>1804.7616015555559</v>
      </c>
    </row>
    <row r="19" spans="1:7" ht="14.45">
      <c r="A19" s="250"/>
      <c r="B19" s="250"/>
      <c r="C19" s="250"/>
      <c r="D19" s="250"/>
      <c r="E19" s="250"/>
      <c r="F19" s="250"/>
      <c r="G19" s="351"/>
    </row>
    <row r="20" spans="1:7" ht="14.45">
      <c r="A20" s="5" t="s">
        <v>454</v>
      </c>
      <c r="C20" s="547"/>
      <c r="D20" s="352"/>
      <c r="F20" s="353"/>
    </row>
    <row r="21" spans="1:7" ht="14.45">
      <c r="C21" s="547"/>
      <c r="D21" s="352"/>
      <c r="F21" s="353"/>
    </row>
    <row r="22" spans="1:7" ht="14.45">
      <c r="A22" s="5" t="s">
        <v>455</v>
      </c>
      <c r="B22" s="545">
        <f>(180+60)*2</f>
        <v>480</v>
      </c>
      <c r="C22" s="547"/>
      <c r="D22" s="352"/>
      <c r="F22" s="353"/>
    </row>
    <row r="23" spans="1:7" ht="14.45">
      <c r="A23" s="5" t="s">
        <v>456</v>
      </c>
      <c r="B23" s="95">
        <f>Zones!G51</f>
        <v>32404.610000000011</v>
      </c>
      <c r="D23" s="352"/>
      <c r="F23" s="353"/>
    </row>
    <row r="24" spans="1:7" ht="14.45">
      <c r="A24" s="5" t="s">
        <v>457</v>
      </c>
      <c r="B24" s="545">
        <v>3</v>
      </c>
      <c r="D24" s="352"/>
      <c r="F24" s="353"/>
    </row>
    <row r="25" spans="1:7" ht="14.45">
      <c r="B25" s="2"/>
      <c r="D25" s="352"/>
      <c r="F25" s="353"/>
    </row>
  </sheetData>
  <mergeCells count="6">
    <mergeCell ref="A18:F18"/>
    <mergeCell ref="A1:D1"/>
    <mergeCell ref="A8:G8"/>
    <mergeCell ref="B9:C9"/>
    <mergeCell ref="A16:F16"/>
    <mergeCell ref="A17:F1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H61"/>
  <sheetViews>
    <sheetView zoomScaleNormal="100" workbookViewId="0">
      <selection sqref="A1:G1"/>
    </sheetView>
  </sheetViews>
  <sheetFormatPr defaultColWidth="8.7109375" defaultRowHeight="13.15"/>
  <cols>
    <col min="1" max="1" width="48.5703125" style="5" bestFit="1" customWidth="1"/>
    <col min="2" max="2" width="20.28515625" style="5" customWidth="1"/>
    <col min="3" max="3" width="23.28515625" style="5" customWidth="1"/>
    <col min="4" max="4" width="24.28515625" style="5" customWidth="1"/>
    <col min="5" max="5" width="21" style="5" customWidth="1"/>
    <col min="6" max="6" width="24.28515625" style="5" customWidth="1"/>
    <col min="7" max="7" width="24.7109375" style="5" customWidth="1"/>
    <col min="8" max="8" width="40.85546875" style="5" customWidth="1"/>
    <col min="9" max="9" width="9.7109375" style="5" customWidth="1"/>
    <col min="10" max="10" width="9.42578125" style="5" customWidth="1"/>
    <col min="11" max="11" width="12.7109375" style="5" customWidth="1"/>
    <col min="12" max="12" width="14.7109375" style="5" customWidth="1"/>
    <col min="13" max="13" width="20.7109375" style="5" customWidth="1"/>
    <col min="14" max="14" width="19.7109375" style="5" customWidth="1"/>
    <col min="15" max="20" width="8.7109375" style="5"/>
    <col min="21" max="21" width="13.7109375" style="5" bestFit="1" customWidth="1"/>
    <col min="22" max="16384" width="8.7109375" style="5"/>
  </cols>
  <sheetData>
    <row r="1" spans="1:8" ht="25.9" customHeight="1">
      <c r="A1" s="652" t="s">
        <v>458</v>
      </c>
      <c r="B1" s="652"/>
      <c r="C1" s="652"/>
      <c r="D1" s="652"/>
      <c r="E1" s="652"/>
      <c r="F1" s="652"/>
      <c r="G1" s="652"/>
    </row>
    <row r="2" spans="1:8" ht="25.9" customHeight="1">
      <c r="A2" s="653" t="s">
        <v>85</v>
      </c>
      <c r="B2" s="654" t="s">
        <v>459</v>
      </c>
      <c r="C2" s="654"/>
      <c r="D2" s="654"/>
      <c r="E2" s="654" t="s">
        <v>243</v>
      </c>
      <c r="F2" s="654"/>
      <c r="G2" s="654"/>
      <c r="H2" s="594"/>
    </row>
    <row r="3" spans="1:8" ht="31.15" customHeight="1">
      <c r="A3" s="653"/>
      <c r="B3" s="544" t="s">
        <v>460</v>
      </c>
      <c r="C3" s="544" t="s">
        <v>461</v>
      </c>
      <c r="D3" s="544" t="s">
        <v>199</v>
      </c>
      <c r="E3" s="544" t="s">
        <v>462</v>
      </c>
      <c r="F3" s="544" t="s">
        <v>461</v>
      </c>
      <c r="G3" s="544" t="s">
        <v>199</v>
      </c>
      <c r="H3" s="594"/>
    </row>
    <row r="4" spans="1:8" ht="20.65" customHeight="1">
      <c r="A4" s="320" t="str">
        <f>Zones!B3</f>
        <v>Corridor Area</v>
      </c>
      <c r="B4" s="541">
        <v>0.4</v>
      </c>
      <c r="C4" s="296"/>
      <c r="D4" s="650" t="s">
        <v>463</v>
      </c>
      <c r="E4" s="295">
        <v>0.6</v>
      </c>
      <c r="F4" s="296"/>
      <c r="G4" s="650" t="s">
        <v>464</v>
      </c>
    </row>
    <row r="5" spans="1:8" ht="19.899999999999999" customHeight="1">
      <c r="A5" s="320" t="str">
        <f>Zones!B6</f>
        <v>Lounge, Breakroom, or Waiting Area</v>
      </c>
      <c r="B5" s="541">
        <v>0.55000000000000004</v>
      </c>
      <c r="C5" s="296"/>
      <c r="D5" s="650"/>
      <c r="E5" s="295">
        <v>0.85</v>
      </c>
      <c r="F5" s="296"/>
      <c r="G5" s="650"/>
    </row>
    <row r="6" spans="1:8" ht="19.899999999999999" customHeight="1">
      <c r="A6" s="285" t="str">
        <f>Zones!B7</f>
        <v>Exercise/Fitness Center and Gymnasium Areas</v>
      </c>
      <c r="B6" s="541">
        <v>0.5</v>
      </c>
      <c r="C6" s="296"/>
      <c r="D6" s="650"/>
      <c r="E6" s="348">
        <v>0.5</v>
      </c>
      <c r="F6" s="296"/>
      <c r="G6" s="650"/>
    </row>
    <row r="7" spans="1:8" ht="19.149999999999999" customHeight="1">
      <c r="A7" s="320" t="str">
        <f>Zones!B9</f>
        <v>Office Area (&gt;250 square feet)</v>
      </c>
      <c r="B7" s="541">
        <v>0.6</v>
      </c>
      <c r="C7" s="296"/>
      <c r="D7" s="650"/>
      <c r="E7" s="541">
        <v>0.7</v>
      </c>
      <c r="F7" s="296"/>
      <c r="G7" s="650"/>
    </row>
    <row r="8" spans="1:8" ht="19.899999999999999" customHeight="1">
      <c r="A8" s="320" t="str">
        <f>Zones!B10</f>
        <v>Stairwell</v>
      </c>
      <c r="B8" s="541">
        <v>0.6</v>
      </c>
      <c r="C8" s="296"/>
      <c r="D8" s="650"/>
      <c r="E8" s="541">
        <v>0.5</v>
      </c>
      <c r="F8" s="296"/>
      <c r="G8" s="650"/>
    </row>
    <row r="9" spans="1:8" ht="19.899999999999999" customHeight="1">
      <c r="A9" s="320" t="str">
        <f>Zones!B13</f>
        <v>Storage (General)</v>
      </c>
      <c r="B9" s="541">
        <v>0.4</v>
      </c>
      <c r="C9" s="296"/>
      <c r="D9" s="650"/>
      <c r="E9" s="295">
        <v>0.4</v>
      </c>
      <c r="F9" s="296"/>
      <c r="G9" s="650"/>
    </row>
    <row r="10" spans="1:8" ht="19.149999999999999" customHeight="1">
      <c r="A10" s="409" t="str">
        <f>Zones!B16</f>
        <v>Hotel/Motel Guest Room</v>
      </c>
      <c r="B10" s="349">
        <v>0.41</v>
      </c>
      <c r="C10" s="296"/>
      <c r="D10" s="650"/>
      <c r="E10" s="350">
        <v>1.27</v>
      </c>
      <c r="F10" s="296"/>
      <c r="G10" s="650"/>
    </row>
    <row r="11" spans="1:8" ht="19.899999999999999" customHeight="1">
      <c r="A11" s="320" t="str">
        <f>Zones!B41</f>
        <v xml:space="preserve">Laundry Area </v>
      </c>
      <c r="B11" s="541">
        <v>0.45</v>
      </c>
      <c r="C11" s="296"/>
      <c r="D11" s="650"/>
      <c r="E11" s="541">
        <v>0.45</v>
      </c>
      <c r="F11" s="296"/>
      <c r="G11" s="650"/>
    </row>
    <row r="12" spans="1:8" ht="19.899999999999999" customHeight="1">
      <c r="A12" s="320" t="str">
        <f>Zones!B42</f>
        <v>Electrical, Mechanical, Telephone Rooms</v>
      </c>
      <c r="B12" s="541">
        <v>0.4</v>
      </c>
      <c r="C12" s="296"/>
      <c r="D12" s="650"/>
      <c r="E12" s="295">
        <v>0.4</v>
      </c>
      <c r="F12" s="296"/>
      <c r="G12" s="650"/>
    </row>
    <row r="13" spans="1:8" ht="19.899999999999999" customHeight="1">
      <c r="A13" s="320" t="str">
        <f>Zones!B43</f>
        <v>Convention, Conference, Multipurpose and Meeting Area</v>
      </c>
      <c r="B13" s="541">
        <v>0.75</v>
      </c>
      <c r="C13" s="296"/>
      <c r="D13" s="650"/>
      <c r="E13" s="295">
        <v>0.85</v>
      </c>
      <c r="F13" s="296"/>
      <c r="G13" s="650"/>
    </row>
    <row r="14" spans="1:8" ht="19.899999999999999" customHeight="1">
      <c r="A14" s="320" t="str">
        <f>Zones!B50</f>
        <v>Restrooms</v>
      </c>
      <c r="B14" s="541">
        <v>0.65</v>
      </c>
      <c r="C14" s="296"/>
      <c r="D14" s="650"/>
      <c r="E14" s="295">
        <v>0.65</v>
      </c>
      <c r="F14" s="296"/>
      <c r="G14" s="650"/>
    </row>
    <row r="15" spans="1:8" ht="15" customHeight="1">
      <c r="A15" s="247"/>
      <c r="B15" s="527"/>
      <c r="D15" s="248"/>
      <c r="E15" s="249"/>
      <c r="G15" s="8"/>
    </row>
    <row r="16" spans="1:8" ht="73.900000000000006" customHeight="1">
      <c r="A16" s="651" t="s">
        <v>465</v>
      </c>
      <c r="B16" s="651"/>
      <c r="C16" s="651"/>
      <c r="D16" s="651"/>
      <c r="E16" s="651"/>
      <c r="F16" s="651"/>
      <c r="G16" s="651"/>
    </row>
    <row r="17" spans="1:7" ht="13.15" customHeight="1">
      <c r="A17" s="543"/>
      <c r="B17" s="543"/>
      <c r="C17" s="543"/>
      <c r="D17" s="543"/>
      <c r="E17" s="543"/>
      <c r="F17" s="543"/>
      <c r="G17" s="543"/>
    </row>
    <row r="18" spans="1:7" ht="13.15" customHeight="1">
      <c r="A18" s="543"/>
      <c r="B18" s="543"/>
      <c r="C18" s="543"/>
      <c r="D18" s="543"/>
      <c r="E18" s="543"/>
      <c r="F18" s="543"/>
      <c r="G18" s="543"/>
    </row>
    <row r="19" spans="1:7" ht="13.15" customHeight="1">
      <c r="A19" s="543"/>
      <c r="B19" s="543"/>
      <c r="C19" s="543"/>
      <c r="D19" s="543"/>
      <c r="E19" s="543"/>
      <c r="F19" s="543"/>
      <c r="G19" s="543"/>
    </row>
    <row r="20" spans="1:7" ht="13.15" customHeight="1">
      <c r="A20" s="543"/>
      <c r="B20" s="543"/>
      <c r="C20" s="543"/>
      <c r="D20" s="543"/>
      <c r="E20" s="543"/>
      <c r="F20" s="543"/>
      <c r="G20" s="543"/>
    </row>
    <row r="21" spans="1:7" ht="13.15" customHeight="1">
      <c r="A21" s="543"/>
      <c r="B21" s="543"/>
      <c r="C21" s="543"/>
      <c r="D21" s="543"/>
      <c r="E21" s="543"/>
      <c r="F21" s="543"/>
      <c r="G21" s="543"/>
    </row>
    <row r="22" spans="1:7" s="234" customFormat="1" ht="21" hidden="1" customHeight="1">
      <c r="A22" s="234" t="s">
        <v>193</v>
      </c>
    </row>
    <row r="23" spans="1:7" hidden="1"/>
    <row r="24" spans="1:7" hidden="1"/>
    <row r="25" spans="1:7" hidden="1"/>
    <row r="26" spans="1:7" hidden="1"/>
    <row r="27" spans="1:7" hidden="1"/>
    <row r="28" spans="1:7" hidden="1"/>
    <row r="29" spans="1:7" hidden="1"/>
    <row r="30" spans="1:7" hidden="1"/>
    <row r="31" spans="1:7" hidden="1"/>
    <row r="32" spans="1:7"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sheetData>
  <mergeCells count="8">
    <mergeCell ref="G4:G14"/>
    <mergeCell ref="A16:G16"/>
    <mergeCell ref="H2:H3"/>
    <mergeCell ref="A1:G1"/>
    <mergeCell ref="D4:D14"/>
    <mergeCell ref="A2:A3"/>
    <mergeCell ref="B2:D2"/>
    <mergeCell ref="E2:G2"/>
  </mergeCells>
  <phoneticPr fontId="8"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9"/>
  <dimension ref="A1:M212"/>
  <sheetViews>
    <sheetView zoomScale="85" zoomScaleNormal="85" workbookViewId="0">
      <selection sqref="A1:F1"/>
    </sheetView>
  </sheetViews>
  <sheetFormatPr defaultColWidth="8.7109375" defaultRowHeight="13.15"/>
  <cols>
    <col min="1" max="1" width="49.28515625" style="5" bestFit="1" customWidth="1"/>
    <col min="2" max="2" width="24" style="5" bestFit="1" customWidth="1"/>
    <col min="3" max="3" width="21.85546875" style="5" customWidth="1"/>
    <col min="4" max="4" width="27.7109375" style="5" customWidth="1"/>
    <col min="5" max="5" width="23.7109375" style="5" customWidth="1"/>
    <col min="6" max="6" width="47.7109375" style="5" customWidth="1"/>
    <col min="7" max="8" width="19.28515625" style="5" customWidth="1"/>
    <col min="9" max="9" width="19.42578125" style="5" customWidth="1"/>
    <col min="10" max="10" width="10.5703125" style="5" bestFit="1" customWidth="1"/>
    <col min="11" max="11" width="16.28515625" style="5" customWidth="1"/>
    <col min="12" max="12" width="10.7109375" style="5" bestFit="1" customWidth="1"/>
    <col min="13" max="13" width="10.5703125" style="5" bestFit="1" customWidth="1"/>
    <col min="14" max="16384" width="8.7109375" style="5"/>
  </cols>
  <sheetData>
    <row r="1" spans="1:9" ht="23.45" customHeight="1">
      <c r="A1" s="655" t="s">
        <v>466</v>
      </c>
      <c r="B1" s="656"/>
      <c r="C1" s="656"/>
      <c r="D1" s="656"/>
      <c r="E1" s="656"/>
      <c r="F1" s="656"/>
    </row>
    <row r="2" spans="1:9" ht="34.9" customHeight="1">
      <c r="A2" s="286" t="s">
        <v>85</v>
      </c>
      <c r="B2" s="410" t="s">
        <v>467</v>
      </c>
      <c r="C2" s="410" t="s">
        <v>468</v>
      </c>
      <c r="D2" s="410" t="s">
        <v>469</v>
      </c>
      <c r="E2" s="286" t="s">
        <v>199</v>
      </c>
      <c r="F2" s="286" t="s">
        <v>200</v>
      </c>
    </row>
    <row r="3" spans="1:9" ht="18" customHeight="1">
      <c r="A3" s="312" t="str">
        <f>Zones!B3</f>
        <v>Corridor Area</v>
      </c>
      <c r="B3" s="535">
        <v>0</v>
      </c>
      <c r="C3" s="535"/>
      <c r="D3" s="535"/>
      <c r="E3" s="641" t="s">
        <v>470</v>
      </c>
      <c r="F3" s="285"/>
    </row>
    <row r="4" spans="1:9" ht="18" customHeight="1">
      <c r="A4" s="312" t="str">
        <f>Zones!B6</f>
        <v>Lounge, Breakroom, or Waiting Area</v>
      </c>
      <c r="B4" s="535">
        <v>1</v>
      </c>
      <c r="C4" s="535"/>
      <c r="D4" s="535"/>
      <c r="E4" s="641"/>
      <c r="F4" s="285"/>
      <c r="G4" s="150"/>
    </row>
    <row r="5" spans="1:9" ht="18" customHeight="1">
      <c r="A5" s="313" t="str">
        <f>Zones!B7</f>
        <v>Exercise/Fitness Center and Gymnasium Areas</v>
      </c>
      <c r="B5" s="535">
        <v>0.5</v>
      </c>
      <c r="C5" s="535"/>
      <c r="D5" s="535"/>
      <c r="E5" s="641"/>
      <c r="F5" s="285"/>
      <c r="G5" s="150"/>
    </row>
    <row r="6" spans="1:9" ht="27" customHeight="1">
      <c r="A6" s="312" t="str">
        <f>Zones!B9</f>
        <v>Office Area (&gt;250 square feet)</v>
      </c>
      <c r="B6" s="535">
        <v>0.7</v>
      </c>
      <c r="C6" s="535"/>
      <c r="D6" s="535"/>
      <c r="E6" s="541" t="s">
        <v>471</v>
      </c>
      <c r="F6" s="354"/>
      <c r="G6" s="150"/>
    </row>
    <row r="7" spans="1:9" ht="18" customHeight="1">
      <c r="A7" s="312" t="str">
        <f>Zones!B10</f>
        <v>Stairwell</v>
      </c>
      <c r="B7" s="535">
        <v>0</v>
      </c>
      <c r="C7" s="535"/>
      <c r="D7" s="535"/>
      <c r="E7" s="641" t="s">
        <v>470</v>
      </c>
      <c r="F7" s="355"/>
      <c r="G7" s="150"/>
    </row>
    <row r="8" spans="1:9" ht="18" customHeight="1">
      <c r="A8" s="312" t="str">
        <f>Zones!B13</f>
        <v>Storage (General)</v>
      </c>
      <c r="B8" s="535">
        <v>0.2</v>
      </c>
      <c r="C8" s="535"/>
      <c r="D8" s="535"/>
      <c r="E8" s="641"/>
      <c r="F8" s="355"/>
      <c r="G8" s="150"/>
    </row>
    <row r="9" spans="1:9" ht="30.6" customHeight="1">
      <c r="A9" s="313" t="str">
        <f>Zones!B16</f>
        <v>Hotel/Motel Guest Room</v>
      </c>
      <c r="B9" s="535">
        <v>0.5</v>
      </c>
      <c r="C9" s="535"/>
      <c r="D9" s="535"/>
      <c r="E9" s="541" t="s">
        <v>471</v>
      </c>
      <c r="F9" s="285"/>
      <c r="G9" s="150"/>
    </row>
    <row r="10" spans="1:9" ht="25.9" customHeight="1">
      <c r="A10" s="312" t="str">
        <f>Zones!B41</f>
        <v xml:space="preserve">Laundry Area </v>
      </c>
      <c r="B10" s="535">
        <v>3</v>
      </c>
      <c r="C10" s="535">
        <v>0.75</v>
      </c>
      <c r="D10" s="535"/>
      <c r="E10" s="641" t="s">
        <v>470</v>
      </c>
      <c r="F10" s="294" t="s">
        <v>472</v>
      </c>
      <c r="G10" s="25"/>
    </row>
    <row r="11" spans="1:9" ht="18" customHeight="1">
      <c r="A11" s="312" t="str">
        <f>Zones!B42</f>
        <v>Electrical, Mechanical, Telephone Rooms</v>
      </c>
      <c r="B11" s="535">
        <v>3</v>
      </c>
      <c r="C11" s="535"/>
      <c r="D11" s="535"/>
      <c r="E11" s="641"/>
      <c r="F11" s="285"/>
      <c r="G11" s="25"/>
    </row>
    <row r="12" spans="1:9" ht="18" customHeight="1">
      <c r="A12" s="312" t="str">
        <f>Zones!B43</f>
        <v>Convention, Conference, Multipurpose and Meeting Area</v>
      </c>
      <c r="B12" s="535">
        <v>1</v>
      </c>
      <c r="C12" s="535"/>
      <c r="D12" s="535"/>
      <c r="E12" s="641"/>
      <c r="F12" s="285"/>
      <c r="G12" s="25"/>
    </row>
    <row r="13" spans="1:9" ht="19.899999999999999" customHeight="1">
      <c r="A13" s="312" t="str">
        <f>Zones!B50</f>
        <v>Restrooms</v>
      </c>
      <c r="B13" s="535">
        <v>0</v>
      </c>
      <c r="C13" s="535"/>
      <c r="D13" s="535"/>
      <c r="E13" s="641"/>
      <c r="F13" s="296"/>
    </row>
    <row r="14" spans="1:9" ht="19.899999999999999" customHeight="1">
      <c r="A14" s="215"/>
      <c r="B14" s="7"/>
      <c r="C14" s="527"/>
      <c r="D14" s="7"/>
    </row>
    <row r="15" spans="1:9" ht="19.899999999999999" customHeight="1">
      <c r="A15" s="659" t="s">
        <v>473</v>
      </c>
      <c r="B15" s="659"/>
      <c r="C15" s="659"/>
      <c r="D15" s="659"/>
      <c r="E15" s="659"/>
      <c r="F15" s="659"/>
      <c r="G15" s="659"/>
      <c r="H15" s="659"/>
      <c r="I15" s="659"/>
    </row>
    <row r="16" spans="1:9" ht="27.6" customHeight="1">
      <c r="A16" s="286" t="s">
        <v>194</v>
      </c>
      <c r="B16" s="286" t="s">
        <v>474</v>
      </c>
      <c r="C16" s="328" t="s">
        <v>475</v>
      </c>
      <c r="D16" s="328" t="s">
        <v>476</v>
      </c>
      <c r="E16" s="328" t="s">
        <v>477</v>
      </c>
      <c r="F16" s="328" t="s">
        <v>478</v>
      </c>
      <c r="G16" s="328" t="s">
        <v>479</v>
      </c>
      <c r="H16" s="328" t="s">
        <v>480</v>
      </c>
      <c r="I16" s="328" t="s">
        <v>200</v>
      </c>
    </row>
    <row r="17" spans="1:9" ht="75" customHeight="1">
      <c r="A17" s="312" t="s">
        <v>243</v>
      </c>
      <c r="B17" s="381">
        <f>ROUND((32400*0.7/50000)+ROUND(3/2,0),0)</f>
        <v>2</v>
      </c>
      <c r="C17" s="541" t="s">
        <v>481</v>
      </c>
      <c r="D17" s="541" t="s">
        <v>481</v>
      </c>
      <c r="E17" s="541" t="s">
        <v>481</v>
      </c>
      <c r="F17" s="541" t="s">
        <v>481</v>
      </c>
      <c r="G17" s="541" t="s">
        <v>481</v>
      </c>
      <c r="H17" s="541">
        <v>16000</v>
      </c>
      <c r="I17" s="541" t="s">
        <v>482</v>
      </c>
    </row>
    <row r="18" spans="1:9" ht="85.9" customHeight="1">
      <c r="A18" s="312" t="s">
        <v>208</v>
      </c>
      <c r="B18" s="381">
        <f>ROUND((32400*0.7/50000)+ROUND(3/2,0),0)</f>
        <v>2</v>
      </c>
      <c r="C18" s="382" t="s">
        <v>483</v>
      </c>
      <c r="D18" s="383" t="s">
        <v>484</v>
      </c>
      <c r="E18" s="384" t="s">
        <v>485</v>
      </c>
      <c r="F18" s="383" t="s">
        <v>486</v>
      </c>
      <c r="G18" s="541" t="s">
        <v>481</v>
      </c>
      <c r="H18" s="541">
        <v>9000</v>
      </c>
      <c r="I18" s="541" t="s">
        <v>487</v>
      </c>
    </row>
    <row r="19" spans="1:9">
      <c r="A19" s="215"/>
    </row>
    <row r="21" spans="1:9" s="30" customFormat="1" hidden="1">
      <c r="A21" s="30" t="s">
        <v>193</v>
      </c>
      <c r="D21" s="31"/>
      <c r="E21" s="32"/>
      <c r="F21" s="33"/>
    </row>
    <row r="22" spans="1:9" s="6" customFormat="1" ht="14.65" hidden="1" customHeight="1">
      <c r="C22" s="658" t="s">
        <v>488</v>
      </c>
      <c r="D22" s="658"/>
      <c r="E22" s="658"/>
      <c r="F22" s="658"/>
    </row>
    <row r="23" spans="1:9" ht="27" hidden="1" customHeight="1">
      <c r="C23" s="151" t="s">
        <v>195</v>
      </c>
      <c r="D23" s="151" t="s">
        <v>489</v>
      </c>
      <c r="E23" s="151" t="s">
        <v>490</v>
      </c>
      <c r="F23" s="154" t="s">
        <v>491</v>
      </c>
    </row>
    <row r="24" spans="1:9" hidden="1">
      <c r="C24" s="23" t="s">
        <v>492</v>
      </c>
      <c r="D24" s="22">
        <v>913.68642025429153</v>
      </c>
      <c r="E24" s="559">
        <v>1.5</v>
      </c>
      <c r="F24" s="153">
        <f>E24*D24/SUM($D$24:$D$33)</f>
        <v>0.2491872055238977</v>
      </c>
    </row>
    <row r="25" spans="1:9" hidden="1">
      <c r="C25" s="23" t="s">
        <v>493</v>
      </c>
      <c r="D25" s="22">
        <v>909.75658618868067</v>
      </c>
      <c r="E25" s="559">
        <v>1.5</v>
      </c>
      <c r="F25" s="153">
        <f t="shared" ref="F25:F33" si="0">E25*D25/SUM($D$24:$D$33)</f>
        <v>0.24811543259691293</v>
      </c>
    </row>
    <row r="26" spans="1:9" hidden="1">
      <c r="C26" s="23" t="s">
        <v>494</v>
      </c>
      <c r="D26" s="22">
        <v>909.75658618868067</v>
      </c>
      <c r="E26" s="559">
        <v>1.5</v>
      </c>
      <c r="F26" s="153">
        <f t="shared" si="0"/>
        <v>0.24811543259691293</v>
      </c>
    </row>
    <row r="27" spans="1:9" hidden="1">
      <c r="C27" s="152" t="s">
        <v>495</v>
      </c>
      <c r="D27" s="22">
        <v>456.84321012714531</v>
      </c>
      <c r="E27" s="559">
        <v>1</v>
      </c>
      <c r="F27" s="153">
        <f t="shared" si="0"/>
        <v>8.3062401841299149E-2</v>
      </c>
    </row>
    <row r="28" spans="1:9" hidden="1">
      <c r="C28" s="152" t="s">
        <v>496</v>
      </c>
      <c r="D28" s="22">
        <v>456.84321012714531</v>
      </c>
      <c r="E28" s="559">
        <v>0.5</v>
      </c>
      <c r="F28" s="153">
        <f t="shared" si="0"/>
        <v>4.1531200920649575E-2</v>
      </c>
    </row>
    <row r="29" spans="1:9" hidden="1">
      <c r="C29" s="152" t="s">
        <v>497</v>
      </c>
      <c r="D29" s="22">
        <v>763.37881036224758</v>
      </c>
      <c r="E29" s="559">
        <v>0.2</v>
      </c>
      <c r="F29" s="153">
        <f t="shared" si="0"/>
        <v>2.7759229467718093E-2</v>
      </c>
    </row>
    <row r="30" spans="1:9" ht="15" hidden="1" customHeight="1">
      <c r="C30" s="23" t="s">
        <v>498</v>
      </c>
      <c r="D30" s="22">
        <v>118.61264384114607</v>
      </c>
      <c r="E30" s="559">
        <v>3</v>
      </c>
      <c r="F30" s="153">
        <f t="shared" si="0"/>
        <v>6.4697805731534219E-2</v>
      </c>
    </row>
    <row r="31" spans="1:9" hidden="1">
      <c r="C31" s="23" t="s">
        <v>499</v>
      </c>
      <c r="D31" s="22">
        <v>237.22528768229213</v>
      </c>
      <c r="E31" s="559">
        <v>0</v>
      </c>
      <c r="F31" s="140">
        <f t="shared" si="0"/>
        <v>0</v>
      </c>
    </row>
    <row r="32" spans="1:9" hidden="1">
      <c r="C32" s="23" t="s">
        <v>500</v>
      </c>
      <c r="D32" s="22">
        <v>118.61264384114607</v>
      </c>
      <c r="E32" s="559">
        <v>1</v>
      </c>
      <c r="F32" s="153">
        <f t="shared" si="0"/>
        <v>2.1565935243844741E-2</v>
      </c>
    </row>
    <row r="33" spans="1:12" hidden="1">
      <c r="C33" s="23" t="s">
        <v>501</v>
      </c>
      <c r="D33" s="145">
        <v>615.28460138722585</v>
      </c>
      <c r="E33" s="559">
        <v>0</v>
      </c>
      <c r="F33" s="140">
        <f t="shared" si="0"/>
        <v>0</v>
      </c>
    </row>
    <row r="34" spans="1:12" hidden="1">
      <c r="F34" s="9">
        <f>SUM(F24:F33)</f>
        <v>0.98403464392276929</v>
      </c>
    </row>
    <row r="35" spans="1:12" hidden="1"/>
    <row r="36" spans="1:12" hidden="1"/>
    <row r="37" spans="1:12" ht="21.6" hidden="1" customHeight="1">
      <c r="B37" s="657" t="s">
        <v>502</v>
      </c>
      <c r="C37" s="657"/>
      <c r="D37" s="657"/>
      <c r="E37" s="657"/>
      <c r="F37" s="657"/>
      <c r="G37" s="657"/>
      <c r="H37" s="657"/>
      <c r="I37" s="657"/>
      <c r="J37" s="657"/>
    </row>
    <row r="38" spans="1:12" ht="21" hidden="1" customHeight="1">
      <c r="B38" s="60" t="s">
        <v>408</v>
      </c>
      <c r="C38" s="64" t="s">
        <v>503</v>
      </c>
      <c r="D38" s="64" t="s">
        <v>504</v>
      </c>
      <c r="E38" s="64" t="s">
        <v>505</v>
      </c>
      <c r="F38" s="64" t="s">
        <v>506</v>
      </c>
      <c r="G38" s="661" t="s">
        <v>200</v>
      </c>
      <c r="H38" s="662"/>
      <c r="I38" s="662"/>
      <c r="J38" s="662"/>
    </row>
    <row r="39" spans="1:12" ht="27" hidden="1" customHeight="1">
      <c r="B39" s="538" t="s">
        <v>507</v>
      </c>
      <c r="C39" s="65">
        <v>16.1458656</v>
      </c>
      <c r="D39" s="66">
        <v>16.1458656</v>
      </c>
      <c r="E39" s="67">
        <v>6.78</v>
      </c>
      <c r="F39" s="146"/>
      <c r="G39" s="663" t="s">
        <v>508</v>
      </c>
      <c r="H39" s="663"/>
      <c r="I39" s="663"/>
      <c r="J39" s="663"/>
    </row>
    <row r="40" spans="1:12" hidden="1">
      <c r="B40" s="538" t="s">
        <v>509</v>
      </c>
      <c r="C40" s="68">
        <f>B83*249+C83*52+D83*(364-249-52)</f>
        <v>2835.7000000000003</v>
      </c>
      <c r="D40" s="68">
        <f>K83*249+L83*52+M83*(364-249-52)</f>
        <v>2835.7000000000003</v>
      </c>
      <c r="E40" s="68">
        <f>F83*249+G83*52+I83*(364-249-52)</f>
        <v>3837.8149797799215</v>
      </c>
      <c r="F40" s="147"/>
      <c r="G40" s="664"/>
      <c r="H40" s="664"/>
      <c r="I40" s="664"/>
      <c r="J40" s="664"/>
      <c r="K40" s="5">
        <f>D39*D40</f>
        <v>45784.831081920005</v>
      </c>
      <c r="L40" s="5">
        <f>E39*E40</f>
        <v>26020.385562907868</v>
      </c>
    </row>
    <row r="41" spans="1:12" hidden="1">
      <c r="B41" s="527"/>
      <c r="C41" s="25"/>
      <c r="D41" s="25"/>
      <c r="E41" s="25"/>
    </row>
    <row r="42" spans="1:12" hidden="1">
      <c r="B42" s="527"/>
      <c r="C42" s="7"/>
      <c r="D42" s="69"/>
      <c r="F42" s="70"/>
      <c r="G42" s="70"/>
      <c r="H42" s="70"/>
    </row>
    <row r="43" spans="1:12" hidden="1">
      <c r="A43" s="7"/>
      <c r="C43" s="70"/>
      <c r="D43" s="70"/>
    </row>
    <row r="44" spans="1:12" hidden="1">
      <c r="A44" s="7"/>
      <c r="C44" s="70"/>
      <c r="D44" s="70"/>
    </row>
    <row r="45" spans="1:12" hidden="1"/>
    <row r="46" spans="1:12" hidden="1"/>
    <row r="47" spans="1:12" hidden="1"/>
    <row r="48" spans="1:12" hidden="1"/>
    <row r="49" spans="1:13" hidden="1"/>
    <row r="50" spans="1:13" hidden="1"/>
    <row r="51" spans="1:13" hidden="1"/>
    <row r="52" spans="1:13" hidden="1"/>
    <row r="53" spans="1:13" hidden="1"/>
    <row r="54" spans="1:13" hidden="1"/>
    <row r="55" spans="1:13" hidden="1"/>
    <row r="56" spans="1:13" hidden="1"/>
    <row r="57" spans="1:13" hidden="1">
      <c r="B57" s="660"/>
      <c r="C57" s="660"/>
      <c r="D57" s="547"/>
      <c r="F57" s="660" t="s">
        <v>510</v>
      </c>
      <c r="G57" s="660"/>
      <c r="H57" s="660"/>
      <c r="I57" s="660"/>
      <c r="K57" s="660" t="s">
        <v>511</v>
      </c>
      <c r="L57" s="660"/>
      <c r="M57" s="660"/>
    </row>
    <row r="58" spans="1:13" hidden="1">
      <c r="B58" s="5" t="s">
        <v>512</v>
      </c>
      <c r="C58" s="5" t="s">
        <v>513</v>
      </c>
      <c r="D58" s="5" t="s">
        <v>514</v>
      </c>
      <c r="F58" s="143" t="s">
        <v>515</v>
      </c>
      <c r="G58" s="5" t="s">
        <v>516</v>
      </c>
      <c r="I58" s="5" t="s">
        <v>517</v>
      </c>
      <c r="K58" s="5" t="s">
        <v>518</v>
      </c>
      <c r="L58" s="5" t="s">
        <v>519</v>
      </c>
      <c r="M58" s="5" t="s">
        <v>520</v>
      </c>
    </row>
    <row r="59" spans="1:13" hidden="1">
      <c r="A59" s="5">
        <v>1</v>
      </c>
      <c r="B59" s="5">
        <v>0.05</v>
      </c>
      <c r="C59" s="5">
        <v>0.05</v>
      </c>
      <c r="D59" s="5">
        <v>0.05</v>
      </c>
      <c r="F59" s="9">
        <v>0.40947755650000001</v>
      </c>
      <c r="G59" s="9">
        <v>0.1637910226</v>
      </c>
      <c r="H59" s="9"/>
      <c r="I59" s="9">
        <v>0.1637910226</v>
      </c>
      <c r="K59" s="5">
        <v>0.05</v>
      </c>
      <c r="L59" s="5">
        <v>0.05</v>
      </c>
      <c r="M59" s="5">
        <v>0.05</v>
      </c>
    </row>
    <row r="60" spans="1:13" hidden="1">
      <c r="A60" s="5">
        <f>A59+1</f>
        <v>2</v>
      </c>
      <c r="B60" s="5">
        <v>0.05</v>
      </c>
      <c r="C60" s="5">
        <v>0.05</v>
      </c>
      <c r="D60" s="5">
        <v>0.05</v>
      </c>
      <c r="F60" s="9">
        <v>0.40947755650000001</v>
      </c>
      <c r="G60" s="9">
        <v>0.1637910226</v>
      </c>
      <c r="H60" s="9"/>
      <c r="I60" s="9">
        <v>0.1637910226</v>
      </c>
      <c r="K60" s="5">
        <v>0.05</v>
      </c>
      <c r="L60" s="5">
        <v>0.05</v>
      </c>
      <c r="M60" s="5">
        <v>0.05</v>
      </c>
    </row>
    <row r="61" spans="1:13" hidden="1">
      <c r="A61" s="5">
        <f t="shared" ref="A61:A82" si="1">A60+1</f>
        <v>3</v>
      </c>
      <c r="B61" s="5">
        <v>0.05</v>
      </c>
      <c r="C61" s="5">
        <v>0.05</v>
      </c>
      <c r="D61" s="5">
        <v>0.05</v>
      </c>
      <c r="F61" s="9">
        <v>0.40947755650000001</v>
      </c>
      <c r="G61" s="9">
        <v>0.1637910226</v>
      </c>
      <c r="H61" s="9"/>
      <c r="I61" s="9">
        <v>0.1637910226</v>
      </c>
      <c r="K61" s="5">
        <v>0.05</v>
      </c>
      <c r="L61" s="5">
        <v>0.05</v>
      </c>
      <c r="M61" s="5">
        <v>0.05</v>
      </c>
    </row>
    <row r="62" spans="1:13" hidden="1">
      <c r="A62" s="5">
        <f t="shared" si="1"/>
        <v>4</v>
      </c>
      <c r="B62" s="5">
        <v>0.05</v>
      </c>
      <c r="C62" s="5">
        <v>0.05</v>
      </c>
      <c r="D62" s="5">
        <v>0.05</v>
      </c>
      <c r="F62" s="9">
        <v>0.40947755650000001</v>
      </c>
      <c r="G62" s="9">
        <v>0.1637910226</v>
      </c>
      <c r="H62" s="9"/>
      <c r="I62" s="9">
        <v>0.1637910226</v>
      </c>
      <c r="K62" s="5">
        <v>0.05</v>
      </c>
      <c r="L62" s="5">
        <v>0.05</v>
      </c>
      <c r="M62" s="5">
        <v>0.05</v>
      </c>
    </row>
    <row r="63" spans="1:13" hidden="1">
      <c r="A63" s="5">
        <f t="shared" si="1"/>
        <v>5</v>
      </c>
      <c r="B63" s="5">
        <v>0.05</v>
      </c>
      <c r="C63" s="5">
        <v>0.05</v>
      </c>
      <c r="D63" s="5">
        <v>0.05</v>
      </c>
      <c r="F63" s="9">
        <v>0.40947755650000001</v>
      </c>
      <c r="G63" s="9">
        <v>0.1637910226</v>
      </c>
      <c r="H63" s="9"/>
      <c r="I63" s="9">
        <v>0.1637910226</v>
      </c>
      <c r="K63" s="5">
        <v>0.05</v>
      </c>
      <c r="L63" s="5">
        <v>0.05</v>
      </c>
      <c r="M63" s="5">
        <v>0.05</v>
      </c>
    </row>
    <row r="64" spans="1:13" hidden="1">
      <c r="A64" s="5">
        <f t="shared" si="1"/>
        <v>6</v>
      </c>
      <c r="B64" s="5">
        <v>0.1</v>
      </c>
      <c r="C64" s="5">
        <v>0.05</v>
      </c>
      <c r="D64" s="5">
        <v>0.05</v>
      </c>
      <c r="F64" s="9">
        <v>0.40947755650000001</v>
      </c>
      <c r="G64" s="9">
        <v>0.1637910226</v>
      </c>
      <c r="H64" s="9"/>
      <c r="I64" s="9">
        <v>0.1637910226</v>
      </c>
      <c r="K64" s="5">
        <v>0.1</v>
      </c>
      <c r="L64" s="5">
        <v>0.05</v>
      </c>
      <c r="M64" s="5">
        <v>0.05</v>
      </c>
    </row>
    <row r="65" spans="1:13" hidden="1">
      <c r="A65" s="5">
        <f t="shared" si="1"/>
        <v>7</v>
      </c>
      <c r="B65" s="5">
        <v>0.1</v>
      </c>
      <c r="C65" s="5">
        <v>0.1</v>
      </c>
      <c r="D65" s="5">
        <v>0.05</v>
      </c>
      <c r="F65" s="9">
        <v>0.47975263350000003</v>
      </c>
      <c r="G65" s="9">
        <v>0.1637910226</v>
      </c>
      <c r="H65" s="9"/>
      <c r="I65" s="9">
        <v>0.1637910226</v>
      </c>
      <c r="K65" s="5">
        <v>0.1</v>
      </c>
      <c r="L65" s="5">
        <v>0.1</v>
      </c>
      <c r="M65" s="5">
        <v>0.05</v>
      </c>
    </row>
    <row r="66" spans="1:13" hidden="1">
      <c r="A66" s="5">
        <f t="shared" si="1"/>
        <v>8</v>
      </c>
      <c r="B66" s="5">
        <v>0.3</v>
      </c>
      <c r="C66" s="5">
        <v>0.1</v>
      </c>
      <c r="D66" s="5">
        <v>0.05</v>
      </c>
      <c r="F66" s="9">
        <v>0.47975263350000003</v>
      </c>
      <c r="G66" s="9">
        <v>0.1637910226</v>
      </c>
      <c r="H66" s="9"/>
      <c r="I66" s="9">
        <v>0.1637910226</v>
      </c>
      <c r="K66" s="5">
        <v>0.3</v>
      </c>
      <c r="L66" s="5">
        <v>0.1</v>
      </c>
      <c r="M66" s="5">
        <v>0.05</v>
      </c>
    </row>
    <row r="67" spans="1:13" hidden="1">
      <c r="A67" s="5">
        <f t="shared" si="1"/>
        <v>9</v>
      </c>
      <c r="B67" s="5">
        <v>0.9</v>
      </c>
      <c r="C67" s="5">
        <v>0.3</v>
      </c>
      <c r="D67" s="5">
        <v>0.05</v>
      </c>
      <c r="F67" s="9">
        <v>0.95950526700000005</v>
      </c>
      <c r="G67" s="9">
        <v>0.1637910226</v>
      </c>
      <c r="H67" s="9"/>
      <c r="I67" s="9">
        <v>0.1637910226</v>
      </c>
      <c r="K67" s="5">
        <v>0.9</v>
      </c>
      <c r="L67" s="5">
        <v>0.3</v>
      </c>
      <c r="M67" s="5">
        <v>0.05</v>
      </c>
    </row>
    <row r="68" spans="1:13" hidden="1">
      <c r="A68" s="5">
        <f t="shared" si="1"/>
        <v>10</v>
      </c>
      <c r="B68" s="5">
        <v>0.9</v>
      </c>
      <c r="C68" s="5">
        <v>0.3</v>
      </c>
      <c r="D68" s="5">
        <v>0.05</v>
      </c>
      <c r="F68" s="9">
        <v>0.95950526700000005</v>
      </c>
      <c r="G68" s="9">
        <v>0.1637910226</v>
      </c>
      <c r="H68" s="9"/>
      <c r="I68" s="9">
        <v>0.1637910226</v>
      </c>
      <c r="K68" s="5">
        <v>0.9</v>
      </c>
      <c r="L68" s="5">
        <v>0.3</v>
      </c>
      <c r="M68" s="5">
        <v>0.05</v>
      </c>
    </row>
    <row r="69" spans="1:13" hidden="1">
      <c r="A69" s="5">
        <f t="shared" si="1"/>
        <v>11</v>
      </c>
      <c r="B69" s="5">
        <v>0.9</v>
      </c>
      <c r="C69" s="5">
        <v>0.3</v>
      </c>
      <c r="D69" s="5">
        <v>0.05</v>
      </c>
      <c r="F69" s="9">
        <v>0.95950526700000005</v>
      </c>
      <c r="G69" s="9">
        <v>0.1637910226</v>
      </c>
      <c r="H69" s="9"/>
      <c r="I69" s="9">
        <v>0.1637910226</v>
      </c>
      <c r="K69" s="5">
        <v>0.9</v>
      </c>
      <c r="L69" s="5">
        <v>0.3</v>
      </c>
      <c r="M69" s="5">
        <v>0.05</v>
      </c>
    </row>
    <row r="70" spans="1:13" hidden="1">
      <c r="A70" s="5">
        <f t="shared" si="1"/>
        <v>12</v>
      </c>
      <c r="B70" s="5">
        <v>0.9</v>
      </c>
      <c r="C70" s="5">
        <v>0.3</v>
      </c>
      <c r="D70" s="5">
        <v>0.05</v>
      </c>
      <c r="F70" s="9">
        <v>0.95950526700000005</v>
      </c>
      <c r="G70" s="9">
        <v>0.1637910226</v>
      </c>
      <c r="H70" s="9"/>
      <c r="I70" s="9">
        <v>0.1637910226</v>
      </c>
      <c r="K70" s="5">
        <v>0.9</v>
      </c>
      <c r="L70" s="5">
        <v>0.3</v>
      </c>
      <c r="M70" s="5">
        <v>0.05</v>
      </c>
    </row>
    <row r="71" spans="1:13" hidden="1">
      <c r="A71" s="5">
        <f t="shared" si="1"/>
        <v>13</v>
      </c>
      <c r="B71" s="5">
        <v>0.9</v>
      </c>
      <c r="C71" s="5">
        <v>0.15</v>
      </c>
      <c r="D71" s="5">
        <v>0.05</v>
      </c>
      <c r="F71" s="9">
        <v>0.90193495097999998</v>
      </c>
      <c r="G71" s="9">
        <v>0.1637910226</v>
      </c>
      <c r="H71" s="9"/>
      <c r="I71" s="9">
        <v>0.1637910226</v>
      </c>
      <c r="K71" s="5">
        <v>0.9</v>
      </c>
      <c r="L71" s="5">
        <v>0.15</v>
      </c>
      <c r="M71" s="5">
        <v>0.05</v>
      </c>
    </row>
    <row r="72" spans="1:13" hidden="1">
      <c r="A72" s="5">
        <f t="shared" si="1"/>
        <v>14</v>
      </c>
      <c r="B72" s="5">
        <v>0.9</v>
      </c>
      <c r="C72" s="5">
        <v>0.15</v>
      </c>
      <c r="D72" s="5">
        <v>0.05</v>
      </c>
      <c r="F72" s="9">
        <v>0.95950526700000005</v>
      </c>
      <c r="G72" s="9">
        <v>0.1637910226</v>
      </c>
      <c r="H72" s="9"/>
      <c r="I72" s="9">
        <v>0.1637910226</v>
      </c>
      <c r="K72" s="5">
        <v>0.9</v>
      </c>
      <c r="L72" s="5">
        <v>0.15</v>
      </c>
      <c r="M72" s="5">
        <v>0.05</v>
      </c>
    </row>
    <row r="73" spans="1:13" hidden="1">
      <c r="A73" s="5">
        <f t="shared" si="1"/>
        <v>15</v>
      </c>
      <c r="B73" s="5">
        <v>0.9</v>
      </c>
      <c r="C73" s="5">
        <v>0.15</v>
      </c>
      <c r="D73" s="5">
        <v>0.05</v>
      </c>
      <c r="F73" s="9">
        <v>0.95950526700000005</v>
      </c>
      <c r="G73" s="9">
        <v>0.1637910226</v>
      </c>
      <c r="H73" s="9"/>
      <c r="I73" s="9">
        <v>0.1637910226</v>
      </c>
      <c r="K73" s="5">
        <v>0.9</v>
      </c>
      <c r="L73" s="5">
        <v>0.15</v>
      </c>
      <c r="M73" s="5">
        <v>0.05</v>
      </c>
    </row>
    <row r="74" spans="1:13" hidden="1">
      <c r="A74" s="5">
        <f t="shared" si="1"/>
        <v>16</v>
      </c>
      <c r="B74" s="5">
        <v>0.9</v>
      </c>
      <c r="C74" s="5">
        <v>0.15</v>
      </c>
      <c r="D74" s="5">
        <v>0.05</v>
      </c>
      <c r="F74" s="9">
        <v>0.95950526700000005</v>
      </c>
      <c r="G74" s="9">
        <v>0.1637910226</v>
      </c>
      <c r="H74" s="9"/>
      <c r="I74" s="9">
        <v>0.1637910226</v>
      </c>
      <c r="K74" s="5">
        <v>0.9</v>
      </c>
      <c r="L74" s="5">
        <v>0.15</v>
      </c>
      <c r="M74" s="5">
        <v>0.05</v>
      </c>
    </row>
    <row r="75" spans="1:13" hidden="1">
      <c r="A75" s="5">
        <f t="shared" si="1"/>
        <v>17</v>
      </c>
      <c r="B75" s="5">
        <v>0.9</v>
      </c>
      <c r="C75" s="5">
        <v>0.15</v>
      </c>
      <c r="D75" s="5">
        <v>0.05</v>
      </c>
      <c r="F75" s="9">
        <v>0.95950526700000005</v>
      </c>
      <c r="G75" s="9">
        <v>0.1637910226</v>
      </c>
      <c r="H75" s="9"/>
      <c r="I75" s="9">
        <v>0.1637910226</v>
      </c>
      <c r="K75" s="5">
        <v>0.9</v>
      </c>
      <c r="L75" s="5">
        <v>0.15</v>
      </c>
      <c r="M75" s="5">
        <v>0.05</v>
      </c>
    </row>
    <row r="76" spans="1:13" hidden="1">
      <c r="A76" s="5">
        <f t="shared" si="1"/>
        <v>18</v>
      </c>
      <c r="B76" s="5">
        <v>0.5</v>
      </c>
      <c r="C76" s="5">
        <v>0.05</v>
      </c>
      <c r="D76" s="5">
        <v>0.05</v>
      </c>
      <c r="F76" s="9">
        <v>0.47975263350000003</v>
      </c>
      <c r="G76" s="9">
        <v>0.1637910226</v>
      </c>
      <c r="H76" s="9"/>
      <c r="I76" s="9">
        <v>0.1637910226</v>
      </c>
      <c r="K76" s="5">
        <v>0.5</v>
      </c>
      <c r="L76" s="5">
        <v>0.05</v>
      </c>
      <c r="M76" s="5">
        <v>0.05</v>
      </c>
    </row>
    <row r="77" spans="1:13" hidden="1">
      <c r="A77" s="5">
        <f t="shared" si="1"/>
        <v>19</v>
      </c>
      <c r="B77" s="5">
        <v>0.3</v>
      </c>
      <c r="C77" s="5">
        <v>0.05</v>
      </c>
      <c r="D77" s="5">
        <v>0.05</v>
      </c>
      <c r="F77" s="9">
        <v>0.19190105339999999</v>
      </c>
      <c r="G77" s="9">
        <v>0.1637910226</v>
      </c>
      <c r="H77" s="9"/>
      <c r="I77" s="9">
        <v>0.1637910226</v>
      </c>
      <c r="K77" s="5">
        <v>0.3</v>
      </c>
      <c r="L77" s="5">
        <v>0.05</v>
      </c>
      <c r="M77" s="5">
        <v>0.05</v>
      </c>
    </row>
    <row r="78" spans="1:13" hidden="1">
      <c r="A78" s="5">
        <f t="shared" si="1"/>
        <v>20</v>
      </c>
      <c r="B78" s="5">
        <v>0.3</v>
      </c>
      <c r="C78" s="5">
        <v>0.05</v>
      </c>
      <c r="D78" s="5">
        <v>0.05</v>
      </c>
      <c r="F78" s="9">
        <v>0.19190105339999999</v>
      </c>
      <c r="G78" s="9">
        <v>0.1637910226</v>
      </c>
      <c r="H78" s="9"/>
      <c r="I78" s="9">
        <v>0.1637910226</v>
      </c>
      <c r="K78" s="5">
        <v>0.3</v>
      </c>
      <c r="L78" s="5">
        <v>0.05</v>
      </c>
      <c r="M78" s="5">
        <v>0.05</v>
      </c>
    </row>
    <row r="79" spans="1:13" hidden="1">
      <c r="A79" s="5">
        <f>A78+1</f>
        <v>21</v>
      </c>
      <c r="B79" s="5">
        <v>0.2</v>
      </c>
      <c r="C79" s="5">
        <v>0.05</v>
      </c>
      <c r="D79" s="5">
        <v>0.05</v>
      </c>
      <c r="F79" s="9">
        <v>0.19190105339999999</v>
      </c>
      <c r="G79" s="9">
        <v>0.1637910226</v>
      </c>
      <c r="H79" s="9"/>
      <c r="I79" s="9">
        <v>0.1637910226</v>
      </c>
      <c r="K79" s="5">
        <v>0.2</v>
      </c>
      <c r="L79" s="5">
        <v>0.05</v>
      </c>
      <c r="M79" s="5">
        <v>0.05</v>
      </c>
    </row>
    <row r="80" spans="1:13" hidden="1">
      <c r="A80" s="5">
        <f t="shared" si="1"/>
        <v>22</v>
      </c>
      <c r="B80" s="5">
        <v>0.2</v>
      </c>
      <c r="C80" s="5">
        <v>0.05</v>
      </c>
      <c r="D80" s="5">
        <v>0.05</v>
      </c>
      <c r="F80" s="9">
        <v>0.19190105339999999</v>
      </c>
      <c r="G80" s="9">
        <v>0.1637910226</v>
      </c>
      <c r="H80" s="9"/>
      <c r="I80" s="9">
        <v>0.1637910226</v>
      </c>
      <c r="K80" s="5">
        <v>0.2</v>
      </c>
      <c r="L80" s="5">
        <v>0.05</v>
      </c>
      <c r="M80" s="5">
        <v>0.05</v>
      </c>
    </row>
    <row r="81" spans="1:13" hidden="1">
      <c r="A81" s="5">
        <f t="shared" si="1"/>
        <v>23</v>
      </c>
      <c r="B81" s="5">
        <v>0.1</v>
      </c>
      <c r="C81" s="5">
        <v>0.05</v>
      </c>
      <c r="D81" s="5">
        <v>0.05</v>
      </c>
      <c r="F81" s="9">
        <v>0.19190105339999999</v>
      </c>
      <c r="G81" s="9">
        <v>0.1637910226</v>
      </c>
      <c r="H81" s="9"/>
      <c r="I81" s="9">
        <v>0.1637910226</v>
      </c>
      <c r="K81" s="5">
        <v>0.1</v>
      </c>
      <c r="L81" s="5">
        <v>0.05</v>
      </c>
      <c r="M81" s="5">
        <v>0.05</v>
      </c>
    </row>
    <row r="82" spans="1:13" hidden="1">
      <c r="A82" s="5">
        <f t="shared" si="1"/>
        <v>24</v>
      </c>
      <c r="B82" s="5">
        <v>0.05</v>
      </c>
      <c r="C82" s="5">
        <v>0.05</v>
      </c>
      <c r="D82" s="5">
        <v>0.05</v>
      </c>
      <c r="F82" s="9">
        <v>0.1637910226</v>
      </c>
      <c r="G82" s="9">
        <v>0.1637910226</v>
      </c>
      <c r="H82" s="9"/>
      <c r="I82" s="9">
        <v>0.1637910226</v>
      </c>
      <c r="K82" s="5">
        <v>0.05</v>
      </c>
      <c r="L82" s="5">
        <v>0.05</v>
      </c>
      <c r="M82" s="5">
        <v>0.05</v>
      </c>
    </row>
    <row r="83" spans="1:13" hidden="1">
      <c r="B83" s="5">
        <f>SUM(B59:B82)</f>
        <v>10.500000000000002</v>
      </c>
      <c r="C83" s="5">
        <f>SUM(C59:C82)</f>
        <v>2.7999999999999985</v>
      </c>
      <c r="D83" s="5">
        <f>SUM(D59:D82)</f>
        <v>1.2000000000000004</v>
      </c>
      <c r="F83" s="10">
        <f>SUM(F59:F82)</f>
        <v>13.597396616080006</v>
      </c>
      <c r="G83" s="10">
        <f>SUM(G59:G82)</f>
        <v>3.9309845423999983</v>
      </c>
      <c r="H83" s="10"/>
      <c r="I83" s="10">
        <f>SUM(I59:I82)</f>
        <v>3.9309845423999983</v>
      </c>
      <c r="K83" s="5">
        <f>SUM(K59:K82)</f>
        <v>10.500000000000002</v>
      </c>
      <c r="L83" s="5">
        <f>SUM(L59:L82)</f>
        <v>2.7999999999999985</v>
      </c>
      <c r="M83" s="5">
        <f>SUM(M59:M82)</f>
        <v>1.2000000000000004</v>
      </c>
    </row>
    <row r="84" spans="1:13" hidden="1">
      <c r="M84" s="10">
        <f>SUM(K83:M83)</f>
        <v>14.500000000000002</v>
      </c>
    </row>
    <row r="85" spans="1:13" hidden="1"/>
    <row r="86" spans="1:13" s="41" customFormat="1" hidden="1">
      <c r="A86" s="40" t="s">
        <v>521</v>
      </c>
    </row>
    <row r="87" spans="1:13" hidden="1"/>
    <row r="88" spans="1:13" hidden="1">
      <c r="A88" s="5" t="s">
        <v>522</v>
      </c>
    </row>
    <row r="89" spans="1:13" hidden="1">
      <c r="B89" s="5" t="s">
        <v>523</v>
      </c>
    </row>
    <row r="90" spans="1:13" hidden="1">
      <c r="B90" s="5" t="s">
        <v>524</v>
      </c>
    </row>
    <row r="91" spans="1:13" hidden="1">
      <c r="B91" s="5" t="s">
        <v>525</v>
      </c>
    </row>
    <row r="92" spans="1:13" hidden="1">
      <c r="B92" s="5" t="s">
        <v>526</v>
      </c>
    </row>
    <row r="93" spans="1:13" hidden="1">
      <c r="B93" s="5" t="s">
        <v>527</v>
      </c>
    </row>
    <row r="94" spans="1:13" hidden="1">
      <c r="B94" s="5" t="s">
        <v>528</v>
      </c>
    </row>
    <row r="95" spans="1:13" hidden="1">
      <c r="B95" s="5" t="s">
        <v>529</v>
      </c>
    </row>
    <row r="96" spans="1:13" hidden="1">
      <c r="B96" s="5" t="s">
        <v>530</v>
      </c>
    </row>
    <row r="97" spans="2:2" hidden="1">
      <c r="B97" s="5" t="s">
        <v>531</v>
      </c>
    </row>
    <row r="98" spans="2:2" hidden="1">
      <c r="B98" s="5" t="s">
        <v>532</v>
      </c>
    </row>
    <row r="99" spans="2:2" hidden="1">
      <c r="B99" s="5" t="s">
        <v>533</v>
      </c>
    </row>
    <row r="100" spans="2:2" hidden="1">
      <c r="B100" s="5" t="s">
        <v>534</v>
      </c>
    </row>
    <row r="101" spans="2:2" hidden="1">
      <c r="B101" s="5" t="s">
        <v>535</v>
      </c>
    </row>
    <row r="102" spans="2:2" hidden="1">
      <c r="B102" s="5" t="s">
        <v>536</v>
      </c>
    </row>
    <row r="103" spans="2:2" hidden="1">
      <c r="B103" s="5" t="s">
        <v>537</v>
      </c>
    </row>
    <row r="104" spans="2:2" hidden="1">
      <c r="B104" s="5" t="s">
        <v>538</v>
      </c>
    </row>
    <row r="105" spans="2:2" hidden="1">
      <c r="B105" s="5" t="s">
        <v>539</v>
      </c>
    </row>
    <row r="106" spans="2:2" hidden="1">
      <c r="B106" s="5" t="s">
        <v>540</v>
      </c>
    </row>
    <row r="107" spans="2:2" hidden="1">
      <c r="B107" s="5" t="s">
        <v>541</v>
      </c>
    </row>
    <row r="108" spans="2:2" hidden="1">
      <c r="B108" s="5" t="s">
        <v>542</v>
      </c>
    </row>
    <row r="109" spans="2:2" hidden="1">
      <c r="B109" s="5" t="s">
        <v>543</v>
      </c>
    </row>
    <row r="110" spans="2:2" hidden="1">
      <c r="B110" s="5" t="s">
        <v>544</v>
      </c>
    </row>
    <row r="111" spans="2:2" hidden="1">
      <c r="B111" s="5" t="s">
        <v>539</v>
      </c>
    </row>
    <row r="112" spans="2:2" hidden="1">
      <c r="B112" s="5" t="s">
        <v>545</v>
      </c>
    </row>
    <row r="113" spans="1:2" hidden="1">
      <c r="B113" s="5" t="s">
        <v>546</v>
      </c>
    </row>
    <row r="114" spans="1:2" hidden="1"/>
    <row r="115" spans="1:2" hidden="1"/>
    <row r="116" spans="1:2" hidden="1"/>
    <row r="117" spans="1:2" hidden="1"/>
    <row r="118" spans="1:2" s="41" customFormat="1" hidden="1">
      <c r="A118" s="40" t="s">
        <v>510</v>
      </c>
    </row>
    <row r="119" spans="1:2" hidden="1"/>
    <row r="120" spans="1:2" hidden="1"/>
    <row r="121" spans="1:2" hidden="1">
      <c r="A121" s="8"/>
    </row>
    <row r="122" spans="1:2" hidden="1">
      <c r="A122" s="8"/>
    </row>
    <row r="123" spans="1:2" hidden="1">
      <c r="A123" s="8" t="s">
        <v>522</v>
      </c>
    </row>
    <row r="124" spans="1:2" hidden="1">
      <c r="A124" s="8" t="s">
        <v>547</v>
      </c>
    </row>
    <row r="125" spans="1:2" hidden="1">
      <c r="A125" s="8" t="s">
        <v>548</v>
      </c>
    </row>
    <row r="126" spans="1:2" hidden="1">
      <c r="A126" s="8" t="s">
        <v>549</v>
      </c>
    </row>
    <row r="127" spans="1:2" hidden="1">
      <c r="A127" s="8" t="s">
        <v>550</v>
      </c>
    </row>
    <row r="128" spans="1:2" hidden="1">
      <c r="A128" s="8" t="s">
        <v>551</v>
      </c>
    </row>
    <row r="129" spans="1:1" hidden="1">
      <c r="A129" s="8" t="s">
        <v>552</v>
      </c>
    </row>
    <row r="130" spans="1:1" hidden="1">
      <c r="A130" s="8" t="s">
        <v>553</v>
      </c>
    </row>
    <row r="131" spans="1:1" hidden="1">
      <c r="A131" s="8" t="s">
        <v>554</v>
      </c>
    </row>
    <row r="132" spans="1:1" hidden="1">
      <c r="A132" s="8" t="s">
        <v>555</v>
      </c>
    </row>
    <row r="133" spans="1:1" hidden="1">
      <c r="A133" s="8" t="s">
        <v>556</v>
      </c>
    </row>
    <row r="134" spans="1:1" hidden="1">
      <c r="A134" s="8" t="s">
        <v>557</v>
      </c>
    </row>
    <row r="135" spans="1:1" hidden="1">
      <c r="A135" s="8" t="s">
        <v>558</v>
      </c>
    </row>
    <row r="136" spans="1:1" hidden="1">
      <c r="A136" s="8" t="s">
        <v>559</v>
      </c>
    </row>
    <row r="137" spans="1:1" hidden="1">
      <c r="A137" s="8" t="s">
        <v>560</v>
      </c>
    </row>
    <row r="138" spans="1:1" hidden="1">
      <c r="A138" s="8" t="s">
        <v>561</v>
      </c>
    </row>
    <row r="139" spans="1:1" hidden="1">
      <c r="A139" s="8" t="s">
        <v>562</v>
      </c>
    </row>
    <row r="140" spans="1:1" hidden="1">
      <c r="A140" s="8" t="s">
        <v>563</v>
      </c>
    </row>
    <row r="141" spans="1:1" hidden="1">
      <c r="A141" s="8" t="s">
        <v>564</v>
      </c>
    </row>
    <row r="142" spans="1:1" hidden="1">
      <c r="A142" s="8" t="s">
        <v>565</v>
      </c>
    </row>
    <row r="143" spans="1:1" hidden="1">
      <c r="A143" s="8" t="s">
        <v>566</v>
      </c>
    </row>
    <row r="144" spans="1:1" hidden="1">
      <c r="A144" s="8" t="s">
        <v>567</v>
      </c>
    </row>
    <row r="145" spans="1:6" hidden="1">
      <c r="A145" s="8" t="s">
        <v>568</v>
      </c>
    </row>
    <row r="146" spans="1:6" hidden="1">
      <c r="A146" s="8" t="s">
        <v>569</v>
      </c>
    </row>
    <row r="147" spans="1:6" hidden="1">
      <c r="A147" s="8" t="s">
        <v>570</v>
      </c>
    </row>
    <row r="148" spans="1:6" hidden="1"/>
    <row r="149" spans="1:6" hidden="1"/>
    <row r="150" spans="1:6" hidden="1"/>
    <row r="151" spans="1:6" s="41" customFormat="1" hidden="1">
      <c r="A151" s="40" t="s">
        <v>571</v>
      </c>
    </row>
    <row r="152" spans="1:6" hidden="1"/>
    <row r="153" spans="1:6" hidden="1">
      <c r="A153" s="5" t="s">
        <v>572</v>
      </c>
      <c r="C153" s="5" t="s">
        <v>572</v>
      </c>
      <c r="F153" s="5" t="s">
        <v>572</v>
      </c>
    </row>
    <row r="154" spans="1:6" hidden="1">
      <c r="A154" s="5" t="s">
        <v>573</v>
      </c>
      <c r="C154" s="5" t="s">
        <v>574</v>
      </c>
      <c r="F154" s="5" t="s">
        <v>575</v>
      </c>
    </row>
    <row r="155" spans="1:6" hidden="1">
      <c r="A155" s="5" t="s">
        <v>576</v>
      </c>
      <c r="C155" s="5" t="s">
        <v>576</v>
      </c>
      <c r="F155" s="5" t="s">
        <v>576</v>
      </c>
    </row>
    <row r="156" spans="1:6" hidden="1">
      <c r="A156" s="5" t="s">
        <v>577</v>
      </c>
      <c r="C156" s="5" t="s">
        <v>577</v>
      </c>
      <c r="F156" s="5" t="s">
        <v>577</v>
      </c>
    </row>
    <row r="157" spans="1:6" hidden="1">
      <c r="A157" s="5" t="s">
        <v>578</v>
      </c>
      <c r="C157" s="5" t="s">
        <v>578</v>
      </c>
      <c r="F157" s="5" t="s">
        <v>578</v>
      </c>
    </row>
    <row r="158" spans="1:6" hidden="1">
      <c r="A158" s="5" t="s">
        <v>579</v>
      </c>
      <c r="C158" s="5" t="s">
        <v>579</v>
      </c>
      <c r="F158" s="5" t="s">
        <v>579</v>
      </c>
    </row>
    <row r="159" spans="1:6" hidden="1">
      <c r="A159" s="5" t="s">
        <v>580</v>
      </c>
      <c r="C159" s="5" t="s">
        <v>580</v>
      </c>
      <c r="F159" s="5" t="s">
        <v>580</v>
      </c>
    </row>
    <row r="160" spans="1:6" hidden="1">
      <c r="A160" s="5" t="s">
        <v>579</v>
      </c>
      <c r="C160" s="5" t="s">
        <v>579</v>
      </c>
      <c r="F160" s="5" t="s">
        <v>579</v>
      </c>
    </row>
    <row r="161" spans="1:6" hidden="1">
      <c r="A161" s="5" t="s">
        <v>581</v>
      </c>
      <c r="C161" s="5" t="s">
        <v>581</v>
      </c>
      <c r="F161" s="5" t="s">
        <v>581</v>
      </c>
    </row>
    <row r="162" spans="1:6" hidden="1">
      <c r="A162" s="5" t="s">
        <v>579</v>
      </c>
      <c r="C162" s="5" t="s">
        <v>579</v>
      </c>
      <c r="F162" s="5" t="s">
        <v>579</v>
      </c>
    </row>
    <row r="163" spans="1:6" hidden="1">
      <c r="A163" s="5" t="s">
        <v>582</v>
      </c>
      <c r="C163" s="5" t="s">
        <v>582</v>
      </c>
      <c r="F163" s="5" t="s">
        <v>582</v>
      </c>
    </row>
    <row r="164" spans="1:6" hidden="1">
      <c r="A164" s="5" t="s">
        <v>579</v>
      </c>
      <c r="C164" s="5" t="s">
        <v>579</v>
      </c>
      <c r="F164" s="5" t="s">
        <v>579</v>
      </c>
    </row>
    <row r="165" spans="1:6" hidden="1">
      <c r="A165" s="5" t="s">
        <v>583</v>
      </c>
      <c r="C165" s="5" t="s">
        <v>583</v>
      </c>
      <c r="F165" s="5" t="s">
        <v>583</v>
      </c>
    </row>
    <row r="166" spans="1:6" hidden="1">
      <c r="A166" s="5" t="s">
        <v>579</v>
      </c>
      <c r="C166" s="5" t="s">
        <v>579</v>
      </c>
      <c r="F166" s="5" t="s">
        <v>579</v>
      </c>
    </row>
    <row r="167" spans="1:6" hidden="1">
      <c r="A167" s="5" t="s">
        <v>584</v>
      </c>
      <c r="C167" s="5" t="s">
        <v>584</v>
      </c>
      <c r="F167" s="5" t="s">
        <v>584</v>
      </c>
    </row>
    <row r="168" spans="1:6" hidden="1">
      <c r="A168" s="5" t="s">
        <v>585</v>
      </c>
      <c r="C168" s="5" t="s">
        <v>579</v>
      </c>
      <c r="F168" s="5" t="s">
        <v>579</v>
      </c>
    </row>
    <row r="169" spans="1:6" hidden="1">
      <c r="A169" s="5" t="s">
        <v>586</v>
      </c>
      <c r="C169" s="5" t="s">
        <v>586</v>
      </c>
      <c r="F169" s="5" t="s">
        <v>586</v>
      </c>
    </row>
    <row r="170" spans="1:6" hidden="1">
      <c r="A170" s="5" t="s">
        <v>585</v>
      </c>
      <c r="C170" s="5" t="s">
        <v>585</v>
      </c>
      <c r="F170" s="5" t="s">
        <v>579</v>
      </c>
    </row>
    <row r="171" spans="1:6" hidden="1">
      <c r="A171" s="5" t="s">
        <v>587</v>
      </c>
      <c r="C171" s="5" t="s">
        <v>587</v>
      </c>
      <c r="F171" s="5" t="s">
        <v>587</v>
      </c>
    </row>
    <row r="172" spans="1:6" hidden="1">
      <c r="A172" s="5" t="s">
        <v>588</v>
      </c>
      <c r="C172" s="5" t="s">
        <v>585</v>
      </c>
      <c r="F172" s="5" t="s">
        <v>579</v>
      </c>
    </row>
    <row r="173" spans="1:6" hidden="1">
      <c r="A173" s="5" t="s">
        <v>589</v>
      </c>
      <c r="C173" s="5" t="s">
        <v>589</v>
      </c>
      <c r="F173" s="5" t="s">
        <v>589</v>
      </c>
    </row>
    <row r="174" spans="1:6" hidden="1">
      <c r="A174" s="5" t="s">
        <v>590</v>
      </c>
      <c r="C174" s="5" t="s">
        <v>588</v>
      </c>
      <c r="F174" s="5" t="s">
        <v>579</v>
      </c>
    </row>
    <row r="175" spans="1:6" hidden="1">
      <c r="A175" s="5" t="s">
        <v>591</v>
      </c>
      <c r="C175" s="5" t="s">
        <v>591</v>
      </c>
      <c r="F175" s="5" t="s">
        <v>591</v>
      </c>
    </row>
    <row r="176" spans="1:6" hidden="1">
      <c r="A176" s="5" t="s">
        <v>590</v>
      </c>
      <c r="C176" s="5" t="s">
        <v>588</v>
      </c>
      <c r="F176" s="5" t="s">
        <v>579</v>
      </c>
    </row>
    <row r="177" spans="1:6" hidden="1">
      <c r="A177" s="5" t="s">
        <v>592</v>
      </c>
      <c r="C177" s="5" t="s">
        <v>592</v>
      </c>
      <c r="F177" s="5" t="s">
        <v>592</v>
      </c>
    </row>
    <row r="178" spans="1:6" hidden="1">
      <c r="A178" s="5" t="s">
        <v>590</v>
      </c>
      <c r="C178" s="5" t="s">
        <v>588</v>
      </c>
      <c r="F178" s="5" t="s">
        <v>579</v>
      </c>
    </row>
    <row r="179" spans="1:6" hidden="1">
      <c r="A179" s="5" t="s">
        <v>593</v>
      </c>
      <c r="C179" s="5" t="s">
        <v>593</v>
      </c>
      <c r="F179" s="5" t="s">
        <v>593</v>
      </c>
    </row>
    <row r="180" spans="1:6" hidden="1">
      <c r="A180" s="5" t="s">
        <v>590</v>
      </c>
      <c r="C180" s="5" t="s">
        <v>588</v>
      </c>
      <c r="F180" s="5" t="s">
        <v>579</v>
      </c>
    </row>
    <row r="181" spans="1:6" hidden="1">
      <c r="A181" s="5" t="s">
        <v>594</v>
      </c>
      <c r="C181" s="5" t="s">
        <v>594</v>
      </c>
      <c r="F181" s="5" t="s">
        <v>594</v>
      </c>
    </row>
    <row r="182" spans="1:6" hidden="1">
      <c r="A182" s="5" t="s">
        <v>590</v>
      </c>
      <c r="C182" s="5" t="s">
        <v>595</v>
      </c>
      <c r="F182" s="5" t="s">
        <v>579</v>
      </c>
    </row>
    <row r="183" spans="1:6" hidden="1">
      <c r="A183" s="5" t="s">
        <v>596</v>
      </c>
      <c r="C183" s="5" t="s">
        <v>596</v>
      </c>
      <c r="F183" s="5" t="s">
        <v>596</v>
      </c>
    </row>
    <row r="184" spans="1:6" hidden="1">
      <c r="A184" s="5" t="s">
        <v>590</v>
      </c>
      <c r="C184" s="5" t="s">
        <v>595</v>
      </c>
      <c r="F184" s="5" t="s">
        <v>579</v>
      </c>
    </row>
    <row r="185" spans="1:6" hidden="1">
      <c r="A185" s="5" t="s">
        <v>597</v>
      </c>
      <c r="C185" s="5" t="s">
        <v>597</v>
      </c>
      <c r="F185" s="5" t="s">
        <v>597</v>
      </c>
    </row>
    <row r="186" spans="1:6" hidden="1">
      <c r="A186" s="5" t="s">
        <v>590</v>
      </c>
      <c r="C186" s="5" t="s">
        <v>595</v>
      </c>
      <c r="F186" s="5" t="s">
        <v>579</v>
      </c>
    </row>
    <row r="187" spans="1:6" hidden="1">
      <c r="A187" s="5" t="s">
        <v>598</v>
      </c>
      <c r="C187" s="5" t="s">
        <v>598</v>
      </c>
      <c r="F187" s="5" t="s">
        <v>598</v>
      </c>
    </row>
    <row r="188" spans="1:6" hidden="1">
      <c r="A188" s="5" t="s">
        <v>590</v>
      </c>
      <c r="C188" s="5" t="s">
        <v>595</v>
      </c>
      <c r="F188" s="5" t="s">
        <v>579</v>
      </c>
    </row>
    <row r="189" spans="1:6" hidden="1">
      <c r="A189" s="5" t="s">
        <v>599</v>
      </c>
      <c r="C189" s="5" t="s">
        <v>599</v>
      </c>
      <c r="F189" s="5" t="s">
        <v>599</v>
      </c>
    </row>
    <row r="190" spans="1:6" hidden="1">
      <c r="A190" s="5" t="s">
        <v>590</v>
      </c>
      <c r="C190" s="5" t="s">
        <v>595</v>
      </c>
      <c r="F190" s="5" t="s">
        <v>579</v>
      </c>
    </row>
    <row r="191" spans="1:6" hidden="1">
      <c r="A191" s="5" t="s">
        <v>600</v>
      </c>
      <c r="C191" s="5" t="s">
        <v>600</v>
      </c>
      <c r="F191" s="5" t="s">
        <v>600</v>
      </c>
    </row>
    <row r="192" spans="1:6" hidden="1">
      <c r="A192" s="5" t="s">
        <v>601</v>
      </c>
      <c r="C192" s="5" t="s">
        <v>579</v>
      </c>
      <c r="F192" s="5" t="s">
        <v>579</v>
      </c>
    </row>
    <row r="193" spans="1:6" hidden="1">
      <c r="A193" s="5" t="s">
        <v>602</v>
      </c>
      <c r="C193" s="5" t="s">
        <v>602</v>
      </c>
      <c r="F193" s="5" t="s">
        <v>602</v>
      </c>
    </row>
    <row r="194" spans="1:6" hidden="1">
      <c r="A194" s="5" t="s">
        <v>588</v>
      </c>
      <c r="C194" s="5" t="s">
        <v>579</v>
      </c>
      <c r="F194" s="5" t="s">
        <v>579</v>
      </c>
    </row>
    <row r="195" spans="1:6" hidden="1">
      <c r="A195" s="5" t="s">
        <v>603</v>
      </c>
      <c r="C195" s="5" t="s">
        <v>603</v>
      </c>
      <c r="F195" s="5" t="s">
        <v>603</v>
      </c>
    </row>
    <row r="196" spans="1:6" hidden="1">
      <c r="A196" s="5" t="s">
        <v>588</v>
      </c>
      <c r="C196" s="5" t="s">
        <v>579</v>
      </c>
      <c r="F196" s="5" t="s">
        <v>579</v>
      </c>
    </row>
    <row r="197" spans="1:6" hidden="1">
      <c r="A197" s="5" t="s">
        <v>604</v>
      </c>
      <c r="C197" s="5" t="s">
        <v>604</v>
      </c>
      <c r="F197" s="5" t="s">
        <v>604</v>
      </c>
    </row>
    <row r="198" spans="1:6" hidden="1">
      <c r="A198" s="5" t="s">
        <v>605</v>
      </c>
      <c r="C198" s="5" t="s">
        <v>579</v>
      </c>
      <c r="F198" s="5" t="s">
        <v>579</v>
      </c>
    </row>
    <row r="199" spans="1:6" hidden="1">
      <c r="A199" s="5" t="s">
        <v>606</v>
      </c>
      <c r="C199" s="5" t="s">
        <v>606</v>
      </c>
      <c r="F199" s="5" t="s">
        <v>606</v>
      </c>
    </row>
    <row r="200" spans="1:6" hidden="1">
      <c r="A200" s="5" t="s">
        <v>605</v>
      </c>
      <c r="C200" s="5" t="s">
        <v>579</v>
      </c>
      <c r="F200" s="5" t="s">
        <v>579</v>
      </c>
    </row>
    <row r="201" spans="1:6" hidden="1">
      <c r="A201" s="5" t="s">
        <v>607</v>
      </c>
      <c r="C201" s="5" t="s">
        <v>607</v>
      </c>
      <c r="F201" s="5" t="s">
        <v>607</v>
      </c>
    </row>
    <row r="202" spans="1:6" hidden="1">
      <c r="A202" s="5" t="s">
        <v>585</v>
      </c>
      <c r="C202" s="5" t="s">
        <v>579</v>
      </c>
      <c r="F202" s="5" t="s">
        <v>579</v>
      </c>
    </row>
    <row r="203" spans="1:6" hidden="1">
      <c r="A203" s="5" t="s">
        <v>608</v>
      </c>
      <c r="C203" s="5" t="s">
        <v>608</v>
      </c>
      <c r="F203" s="5" t="s">
        <v>608</v>
      </c>
    </row>
    <row r="204" spans="1:6" hidden="1">
      <c r="A204" s="5" t="s">
        <v>609</v>
      </c>
      <c r="C204" s="5" t="s">
        <v>609</v>
      </c>
      <c r="F204" s="5" t="s">
        <v>609</v>
      </c>
    </row>
    <row r="205" spans="1:6">
      <c r="A205" s="665" t="s">
        <v>610</v>
      </c>
      <c r="B205" s="665"/>
      <c r="C205" s="665"/>
      <c r="D205" s="665"/>
      <c r="E205" s="665"/>
    </row>
    <row r="206" spans="1:6">
      <c r="A206" s="570" t="s">
        <v>611</v>
      </c>
      <c r="B206" s="570"/>
      <c r="C206" s="570"/>
      <c r="D206" s="570"/>
      <c r="E206" s="570"/>
    </row>
    <row r="207" spans="1:6">
      <c r="A207" s="570" t="s">
        <v>612</v>
      </c>
      <c r="B207" s="570"/>
      <c r="C207" s="570"/>
      <c r="D207" s="570"/>
      <c r="E207" s="570"/>
    </row>
    <row r="208" spans="1:6">
      <c r="A208" s="568" t="s">
        <v>613</v>
      </c>
      <c r="B208" s="568"/>
      <c r="C208" s="568"/>
      <c r="D208" s="568"/>
      <c r="E208" s="568"/>
    </row>
    <row r="209" spans="1:5">
      <c r="A209" s="568" t="s">
        <v>614</v>
      </c>
      <c r="B209" s="568"/>
      <c r="C209" s="7">
        <f>ROUND((34200*0.7/50000)+ROUND(3/2,0),0)</f>
        <v>2</v>
      </c>
      <c r="D209" s="570" t="s">
        <v>615</v>
      </c>
      <c r="E209" s="570"/>
    </row>
    <row r="210" spans="1:5">
      <c r="A210" s="568" t="s">
        <v>616</v>
      </c>
      <c r="B210" s="568"/>
      <c r="C210" s="7">
        <f>2*C211</f>
        <v>20</v>
      </c>
      <c r="D210" s="570" t="s">
        <v>617</v>
      </c>
      <c r="E210" s="570"/>
    </row>
    <row r="211" spans="1:5">
      <c r="A211" s="568" t="s">
        <v>618</v>
      </c>
      <c r="B211" s="568"/>
      <c r="C211" s="7">
        <v>10</v>
      </c>
      <c r="D211" s="570"/>
      <c r="E211" s="570"/>
    </row>
    <row r="212" spans="1:5">
      <c r="A212" s="666" t="s">
        <v>619</v>
      </c>
      <c r="B212" s="666"/>
      <c r="C212" s="666"/>
      <c r="D212" s="666"/>
      <c r="E212" s="666"/>
    </row>
  </sheetData>
  <mergeCells count="24">
    <mergeCell ref="A210:B210"/>
    <mergeCell ref="D210:E210"/>
    <mergeCell ref="A211:B211"/>
    <mergeCell ref="D211:E211"/>
    <mergeCell ref="A212:E212"/>
    <mergeCell ref="A205:E205"/>
    <mergeCell ref="A206:E206"/>
    <mergeCell ref="A207:E207"/>
    <mergeCell ref="A208:E208"/>
    <mergeCell ref="A209:B209"/>
    <mergeCell ref="D209:E209"/>
    <mergeCell ref="K57:M57"/>
    <mergeCell ref="B57:C57"/>
    <mergeCell ref="F57:I57"/>
    <mergeCell ref="G38:J38"/>
    <mergeCell ref="G39:J39"/>
    <mergeCell ref="G40:J40"/>
    <mergeCell ref="A1:F1"/>
    <mergeCell ref="B37:J37"/>
    <mergeCell ref="C22:F22"/>
    <mergeCell ref="A15:I15"/>
    <mergeCell ref="E3:E5"/>
    <mergeCell ref="E7:E8"/>
    <mergeCell ref="E10:E1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sheetPr codeName="Sheet11"/>
  <dimension ref="A1:AN140"/>
  <sheetViews>
    <sheetView zoomScale="85" zoomScaleNormal="85" workbookViewId="0">
      <pane xSplit="5" ySplit="3" topLeftCell="F4" activePane="bottomRight" state="frozen"/>
      <selection pane="bottomRight"/>
      <selection pane="bottomLeft" activeCell="A4" sqref="A4"/>
      <selection pane="topRight" activeCell="F1" sqref="F1"/>
    </sheetView>
  </sheetViews>
  <sheetFormatPr defaultColWidth="9.28515625" defaultRowHeight="11.45"/>
  <cols>
    <col min="1" max="1" width="18" style="71" customWidth="1"/>
    <col min="2" max="3" width="18.28515625" style="71" customWidth="1"/>
    <col min="4" max="4" width="19.7109375" style="71" customWidth="1"/>
    <col min="5" max="5" width="12.42578125" style="71" customWidth="1"/>
    <col min="6" max="6" width="6" style="71" customWidth="1"/>
    <col min="7" max="30" width="5.7109375" style="71" customWidth="1"/>
    <col min="31" max="16384" width="9.28515625" style="71"/>
  </cols>
  <sheetData>
    <row r="1" spans="1:39" ht="24" customHeight="1">
      <c r="A1" s="732" t="s">
        <v>620</v>
      </c>
      <c r="B1" s="732"/>
      <c r="C1" s="732"/>
      <c r="D1" s="732"/>
      <c r="E1" s="732"/>
      <c r="F1" s="732"/>
      <c r="G1" s="732"/>
      <c r="H1" s="732"/>
      <c r="I1" s="732"/>
      <c r="J1" s="732"/>
      <c r="K1" s="732"/>
      <c r="L1" s="732"/>
      <c r="M1" s="732"/>
      <c r="N1" s="732"/>
      <c r="O1" s="732"/>
      <c r="P1" s="732"/>
      <c r="Q1" s="732"/>
      <c r="R1" s="732"/>
      <c r="S1" s="732"/>
      <c r="T1" s="732"/>
      <c r="U1" s="732"/>
      <c r="V1" s="732"/>
      <c r="W1" s="732"/>
      <c r="X1" s="732"/>
      <c r="Y1" s="732"/>
      <c r="Z1" s="732"/>
      <c r="AA1" s="732"/>
      <c r="AB1" s="732"/>
      <c r="AC1" s="733"/>
      <c r="AD1" s="78"/>
      <c r="AE1" s="78"/>
      <c r="AF1" s="78"/>
      <c r="AG1" s="78"/>
      <c r="AH1" s="78"/>
      <c r="AI1" s="79"/>
      <c r="AJ1" s="79"/>
      <c r="AK1" s="79"/>
    </row>
    <row r="2" spans="1:39" ht="24" customHeight="1">
      <c r="A2" s="730" t="s">
        <v>621</v>
      </c>
      <c r="B2" s="730" t="s">
        <v>87</v>
      </c>
      <c r="C2" s="730" t="s">
        <v>622</v>
      </c>
      <c r="D2" s="730" t="s">
        <v>199</v>
      </c>
      <c r="E2" s="730" t="s">
        <v>623</v>
      </c>
      <c r="F2" s="729" t="s">
        <v>624</v>
      </c>
      <c r="G2" s="729"/>
      <c r="H2" s="729"/>
      <c r="I2" s="729"/>
      <c r="J2" s="729"/>
      <c r="K2" s="729"/>
      <c r="L2" s="729"/>
      <c r="M2" s="729"/>
      <c r="N2" s="729"/>
      <c r="O2" s="729"/>
      <c r="P2" s="729"/>
      <c r="Q2" s="729"/>
      <c r="R2" s="729"/>
      <c r="S2" s="729"/>
      <c r="T2" s="729"/>
      <c r="U2" s="729"/>
      <c r="V2" s="729"/>
      <c r="W2" s="729"/>
      <c r="X2" s="729"/>
      <c r="Y2" s="729"/>
      <c r="Z2" s="729"/>
      <c r="AA2" s="729"/>
      <c r="AB2" s="729"/>
      <c r="AC2" s="729"/>
      <c r="AD2" s="78"/>
      <c r="AE2" s="78"/>
      <c r="AF2" s="78"/>
      <c r="AG2" s="78"/>
      <c r="AH2" s="78"/>
      <c r="AI2" s="79"/>
      <c r="AJ2" s="79"/>
      <c r="AK2" s="79"/>
    </row>
    <row r="3" spans="1:39" ht="25.15" customHeight="1" thickBot="1">
      <c r="A3" s="731"/>
      <c r="B3" s="731"/>
      <c r="C3" s="731"/>
      <c r="D3" s="731"/>
      <c r="E3" s="731"/>
      <c r="F3" s="552">
        <v>1</v>
      </c>
      <c r="G3" s="552">
        <v>2</v>
      </c>
      <c r="H3" s="552">
        <v>3</v>
      </c>
      <c r="I3" s="552">
        <v>4</v>
      </c>
      <c r="J3" s="552">
        <v>5</v>
      </c>
      <c r="K3" s="552">
        <v>6</v>
      </c>
      <c r="L3" s="552">
        <v>7</v>
      </c>
      <c r="M3" s="552">
        <v>8</v>
      </c>
      <c r="N3" s="552">
        <v>9</v>
      </c>
      <c r="O3" s="552">
        <v>10</v>
      </c>
      <c r="P3" s="552">
        <v>11</v>
      </c>
      <c r="Q3" s="552">
        <v>12</v>
      </c>
      <c r="R3" s="552">
        <v>13</v>
      </c>
      <c r="S3" s="552">
        <v>14</v>
      </c>
      <c r="T3" s="552">
        <v>15</v>
      </c>
      <c r="U3" s="552">
        <v>16</v>
      </c>
      <c r="V3" s="552">
        <v>17</v>
      </c>
      <c r="W3" s="552">
        <v>18</v>
      </c>
      <c r="X3" s="552">
        <v>19</v>
      </c>
      <c r="Y3" s="552">
        <v>20</v>
      </c>
      <c r="Z3" s="552">
        <v>21</v>
      </c>
      <c r="AA3" s="552">
        <v>22</v>
      </c>
      <c r="AB3" s="552">
        <v>23</v>
      </c>
      <c r="AC3" s="552">
        <v>24</v>
      </c>
      <c r="AD3" s="79"/>
      <c r="AE3" s="79"/>
      <c r="AF3" s="79"/>
      <c r="AG3" s="79"/>
      <c r="AH3" s="79"/>
      <c r="AI3" s="79"/>
      <c r="AJ3" s="79"/>
      <c r="AK3" s="79"/>
    </row>
    <row r="4" spans="1:39" ht="25.15" customHeight="1">
      <c r="A4" s="723" t="s">
        <v>625</v>
      </c>
      <c r="B4" s="726" t="s">
        <v>108</v>
      </c>
      <c r="C4" s="746" t="s">
        <v>626</v>
      </c>
      <c r="D4" s="707" t="s">
        <v>627</v>
      </c>
      <c r="E4" s="458" t="s">
        <v>359</v>
      </c>
      <c r="F4" s="459">
        <v>0</v>
      </c>
      <c r="G4" s="459">
        <v>0</v>
      </c>
      <c r="H4" s="459">
        <v>0</v>
      </c>
      <c r="I4" s="459">
        <v>0</v>
      </c>
      <c r="J4" s="459">
        <v>0</v>
      </c>
      <c r="K4" s="459">
        <v>0</v>
      </c>
      <c r="L4" s="459">
        <v>0</v>
      </c>
      <c r="M4" s="459">
        <v>0</v>
      </c>
      <c r="N4" s="459">
        <v>0.2</v>
      </c>
      <c r="O4" s="459">
        <v>0.2</v>
      </c>
      <c r="P4" s="459">
        <v>0.2</v>
      </c>
      <c r="Q4" s="459">
        <v>0.8</v>
      </c>
      <c r="R4" s="459">
        <v>0.8</v>
      </c>
      <c r="S4" s="459">
        <v>0.8</v>
      </c>
      <c r="T4" s="459">
        <v>0.8</v>
      </c>
      <c r="U4" s="459">
        <v>0.8</v>
      </c>
      <c r="V4" s="459">
        <v>0.8</v>
      </c>
      <c r="W4" s="459">
        <v>0.8</v>
      </c>
      <c r="X4" s="459">
        <v>0.2</v>
      </c>
      <c r="Y4" s="459">
        <v>0.2</v>
      </c>
      <c r="Z4" s="459">
        <v>0.2</v>
      </c>
      <c r="AA4" s="459">
        <v>0.2</v>
      </c>
      <c r="AB4" s="459">
        <v>0.1</v>
      </c>
      <c r="AC4" s="460">
        <v>0</v>
      </c>
      <c r="AD4" s="79"/>
      <c r="AE4" s="79"/>
      <c r="AF4" s="79"/>
      <c r="AG4" s="79"/>
      <c r="AH4" s="79"/>
      <c r="AI4" s="79"/>
      <c r="AJ4" s="79"/>
      <c r="AK4" s="79"/>
    </row>
    <row r="5" spans="1:39" ht="33" customHeight="1">
      <c r="A5" s="724"/>
      <c r="B5" s="727"/>
      <c r="C5" s="742"/>
      <c r="D5" s="684"/>
      <c r="E5" s="359" t="s">
        <v>360</v>
      </c>
      <c r="F5" s="358">
        <v>0</v>
      </c>
      <c r="G5" s="358">
        <v>0</v>
      </c>
      <c r="H5" s="358">
        <v>0</v>
      </c>
      <c r="I5" s="358">
        <v>0</v>
      </c>
      <c r="J5" s="358">
        <v>0</v>
      </c>
      <c r="K5" s="358">
        <v>0</v>
      </c>
      <c r="L5" s="358">
        <v>0</v>
      </c>
      <c r="M5" s="358">
        <v>0</v>
      </c>
      <c r="N5" s="358">
        <v>0.2</v>
      </c>
      <c r="O5" s="358">
        <v>0.2</v>
      </c>
      <c r="P5" s="358">
        <v>0.2</v>
      </c>
      <c r="Q5" s="358">
        <v>0.6</v>
      </c>
      <c r="R5" s="358">
        <v>0.6</v>
      </c>
      <c r="S5" s="358">
        <v>0.6</v>
      </c>
      <c r="T5" s="358">
        <v>0.6</v>
      </c>
      <c r="U5" s="358">
        <v>0.6</v>
      </c>
      <c r="V5" s="358">
        <v>0.6</v>
      </c>
      <c r="W5" s="358">
        <v>0.6</v>
      </c>
      <c r="X5" s="358">
        <v>0.6</v>
      </c>
      <c r="Y5" s="358">
        <v>0.6</v>
      </c>
      <c r="Z5" s="358">
        <v>0.6</v>
      </c>
      <c r="AA5" s="358">
        <v>0.8</v>
      </c>
      <c r="AB5" s="358">
        <v>0.1</v>
      </c>
      <c r="AC5" s="461">
        <v>0</v>
      </c>
      <c r="AD5" s="79"/>
      <c r="AE5" s="79"/>
      <c r="AF5" s="79"/>
      <c r="AG5" s="79"/>
      <c r="AH5" s="79"/>
      <c r="AI5" s="79"/>
      <c r="AJ5" s="79"/>
      <c r="AK5" s="79"/>
    </row>
    <row r="6" spans="1:39" ht="33" customHeight="1" thickBot="1">
      <c r="A6" s="748"/>
      <c r="B6" s="758"/>
      <c r="C6" s="745"/>
      <c r="D6" s="708"/>
      <c r="E6" s="462" t="s">
        <v>361</v>
      </c>
      <c r="F6" s="463">
        <v>0</v>
      </c>
      <c r="G6" s="463">
        <v>0</v>
      </c>
      <c r="H6" s="463">
        <v>0</v>
      </c>
      <c r="I6" s="463">
        <v>0</v>
      </c>
      <c r="J6" s="463">
        <v>0</v>
      </c>
      <c r="K6" s="463">
        <v>0</v>
      </c>
      <c r="L6" s="463">
        <v>0</v>
      </c>
      <c r="M6" s="463">
        <v>0</v>
      </c>
      <c r="N6" s="463">
        <v>0.1</v>
      </c>
      <c r="O6" s="463">
        <v>0.1</v>
      </c>
      <c r="P6" s="463">
        <v>0.1</v>
      </c>
      <c r="Q6" s="463">
        <v>0.1</v>
      </c>
      <c r="R6" s="463">
        <v>0.1</v>
      </c>
      <c r="S6" s="463">
        <v>0.7</v>
      </c>
      <c r="T6" s="463">
        <v>0.7</v>
      </c>
      <c r="U6" s="463">
        <v>0.7</v>
      </c>
      <c r="V6" s="463">
        <v>0.7</v>
      </c>
      <c r="W6" s="463">
        <v>0.7</v>
      </c>
      <c r="X6" s="463">
        <v>0.7</v>
      </c>
      <c r="Y6" s="463">
        <v>0.7</v>
      </c>
      <c r="Z6" s="463">
        <v>0.7</v>
      </c>
      <c r="AA6" s="463">
        <v>0.7</v>
      </c>
      <c r="AB6" s="463">
        <v>0.2</v>
      </c>
      <c r="AC6" s="464">
        <v>0</v>
      </c>
      <c r="AD6" s="79"/>
      <c r="AE6" s="79"/>
      <c r="AF6" s="79"/>
      <c r="AG6" s="79"/>
      <c r="AH6" s="79"/>
      <c r="AI6" s="79"/>
      <c r="AJ6" s="79"/>
      <c r="AK6" s="79"/>
    </row>
    <row r="7" spans="1:39" ht="38.65" customHeight="1">
      <c r="A7" s="755" t="s">
        <v>628</v>
      </c>
      <c r="B7" s="747" t="s">
        <v>108</v>
      </c>
      <c r="C7" s="747" t="s">
        <v>629</v>
      </c>
      <c r="D7" s="739" t="s">
        <v>627</v>
      </c>
      <c r="E7" s="372" t="s">
        <v>359</v>
      </c>
      <c r="F7" s="360">
        <v>0.05</v>
      </c>
      <c r="G7" s="360">
        <v>0.05</v>
      </c>
      <c r="H7" s="360">
        <v>0.05</v>
      </c>
      <c r="I7" s="360">
        <v>0.05</v>
      </c>
      <c r="J7" s="360">
        <v>0.05</v>
      </c>
      <c r="K7" s="360">
        <v>0.05</v>
      </c>
      <c r="L7" s="360">
        <v>0.35</v>
      </c>
      <c r="M7" s="360">
        <v>0.35</v>
      </c>
      <c r="N7" s="360">
        <v>0.35</v>
      </c>
      <c r="O7" s="360">
        <v>0.65</v>
      </c>
      <c r="P7" s="360">
        <v>0.65</v>
      </c>
      <c r="Q7" s="360">
        <v>0.65</v>
      </c>
      <c r="R7" s="360">
        <v>0.65</v>
      </c>
      <c r="S7" s="360">
        <v>0.65</v>
      </c>
      <c r="T7" s="360">
        <v>0.65</v>
      </c>
      <c r="U7" s="360">
        <v>0.65</v>
      </c>
      <c r="V7" s="360">
        <v>0.65</v>
      </c>
      <c r="W7" s="360">
        <v>0.65</v>
      </c>
      <c r="X7" s="360">
        <v>0.65</v>
      </c>
      <c r="Y7" s="360">
        <v>0.65</v>
      </c>
      <c r="Z7" s="360">
        <v>0.65</v>
      </c>
      <c r="AA7" s="360">
        <v>0.65</v>
      </c>
      <c r="AB7" s="360">
        <v>0.25</v>
      </c>
      <c r="AC7" s="368">
        <v>0.05</v>
      </c>
      <c r="AD7" s="79"/>
      <c r="AE7" s="79"/>
      <c r="AF7" s="79"/>
      <c r="AG7" s="79"/>
      <c r="AH7" s="79"/>
      <c r="AI7" s="79"/>
      <c r="AJ7" s="79"/>
      <c r="AK7" s="79"/>
      <c r="AM7" s="149"/>
    </row>
    <row r="8" spans="1:39" ht="38.65" customHeight="1">
      <c r="A8" s="724"/>
      <c r="B8" s="742"/>
      <c r="C8" s="742"/>
      <c r="D8" s="684"/>
      <c r="E8" s="359" t="s">
        <v>360</v>
      </c>
      <c r="F8" s="358">
        <v>0.05</v>
      </c>
      <c r="G8" s="358">
        <v>0.05</v>
      </c>
      <c r="H8" s="358">
        <v>0.05</v>
      </c>
      <c r="I8" s="358">
        <v>0.05</v>
      </c>
      <c r="J8" s="358">
        <v>0.05</v>
      </c>
      <c r="K8" s="358">
        <v>0.05</v>
      </c>
      <c r="L8" s="358">
        <v>0.05</v>
      </c>
      <c r="M8" s="358">
        <v>0.3</v>
      </c>
      <c r="N8" s="358">
        <v>0.3</v>
      </c>
      <c r="O8" s="358">
        <v>0.4</v>
      </c>
      <c r="P8" s="358">
        <v>0.4</v>
      </c>
      <c r="Q8" s="358">
        <v>0.4</v>
      </c>
      <c r="R8" s="358">
        <v>0.4</v>
      </c>
      <c r="S8" s="358">
        <v>0.4</v>
      </c>
      <c r="T8" s="358">
        <v>0.4</v>
      </c>
      <c r="U8" s="358">
        <v>0.4</v>
      </c>
      <c r="V8" s="358">
        <v>0.4</v>
      </c>
      <c r="W8" s="358">
        <v>0.4</v>
      </c>
      <c r="X8" s="358">
        <v>0.4</v>
      </c>
      <c r="Y8" s="358">
        <v>0.4</v>
      </c>
      <c r="Z8" s="358">
        <v>0.4</v>
      </c>
      <c r="AA8" s="358">
        <v>0.4</v>
      </c>
      <c r="AB8" s="358">
        <v>0.4</v>
      </c>
      <c r="AC8" s="363">
        <v>0.05</v>
      </c>
      <c r="AD8" s="79"/>
      <c r="AE8" s="79"/>
      <c r="AF8" s="79"/>
      <c r="AG8" s="79"/>
      <c r="AH8" s="79"/>
      <c r="AI8" s="79"/>
      <c r="AJ8" s="79"/>
      <c r="AK8" s="79"/>
      <c r="AM8" s="149"/>
    </row>
    <row r="9" spans="1:39" ht="38.65" customHeight="1" thickBot="1">
      <c r="A9" s="756"/>
      <c r="B9" s="744"/>
      <c r="C9" s="744"/>
      <c r="D9" s="685"/>
      <c r="E9" s="371" t="s">
        <v>361</v>
      </c>
      <c r="F9" s="364">
        <v>0.05</v>
      </c>
      <c r="G9" s="364">
        <v>0.05</v>
      </c>
      <c r="H9" s="364">
        <v>0.05</v>
      </c>
      <c r="I9" s="364">
        <v>0.05</v>
      </c>
      <c r="J9" s="364">
        <v>0.05</v>
      </c>
      <c r="K9" s="364">
        <v>0.05</v>
      </c>
      <c r="L9" s="364">
        <v>0.05</v>
      </c>
      <c r="M9" s="364">
        <v>0.3</v>
      </c>
      <c r="N9" s="364">
        <v>0.3</v>
      </c>
      <c r="O9" s="364">
        <v>0.3</v>
      </c>
      <c r="P9" s="364">
        <v>0.3</v>
      </c>
      <c r="Q9" s="364">
        <v>0.3</v>
      </c>
      <c r="R9" s="364">
        <v>0.55000000000000004</v>
      </c>
      <c r="S9" s="364">
        <v>0.55000000000000004</v>
      </c>
      <c r="T9" s="364">
        <v>0.55000000000000004</v>
      </c>
      <c r="U9" s="364">
        <v>0.55000000000000004</v>
      </c>
      <c r="V9" s="364">
        <v>0.55000000000000004</v>
      </c>
      <c r="W9" s="364">
        <v>0.55000000000000004</v>
      </c>
      <c r="X9" s="364">
        <v>0.55000000000000004</v>
      </c>
      <c r="Y9" s="364">
        <v>0.55000000000000004</v>
      </c>
      <c r="Z9" s="364">
        <v>0.55000000000000004</v>
      </c>
      <c r="AA9" s="364">
        <v>0.55000000000000004</v>
      </c>
      <c r="AB9" s="364">
        <v>0.05</v>
      </c>
      <c r="AC9" s="365">
        <v>0.05</v>
      </c>
      <c r="AD9" s="79"/>
      <c r="AE9" s="79"/>
      <c r="AF9" s="79"/>
      <c r="AG9" s="79"/>
      <c r="AH9" s="79"/>
      <c r="AI9" s="79"/>
      <c r="AJ9" s="79"/>
      <c r="AK9" s="79"/>
      <c r="AM9" s="149"/>
    </row>
    <row r="10" spans="1:39" ht="36" customHeight="1">
      <c r="A10" s="757" t="s">
        <v>630</v>
      </c>
      <c r="B10" s="741" t="s">
        <v>108</v>
      </c>
      <c r="C10" s="676" t="s">
        <v>631</v>
      </c>
      <c r="D10" s="739" t="s">
        <v>627</v>
      </c>
      <c r="E10" s="369" t="s">
        <v>359</v>
      </c>
      <c r="F10" s="361">
        <v>0.05</v>
      </c>
      <c r="G10" s="361">
        <v>0.05</v>
      </c>
      <c r="H10" s="361">
        <v>0.05</v>
      </c>
      <c r="I10" s="361">
        <v>0.05</v>
      </c>
      <c r="J10" s="361">
        <v>0.05</v>
      </c>
      <c r="K10" s="361">
        <v>0.05</v>
      </c>
      <c r="L10" s="361">
        <v>0.4</v>
      </c>
      <c r="M10" s="361">
        <v>0.4</v>
      </c>
      <c r="N10" s="361">
        <v>0.4</v>
      </c>
      <c r="O10" s="361">
        <v>0.75</v>
      </c>
      <c r="P10" s="361">
        <v>0.75</v>
      </c>
      <c r="Q10" s="361">
        <v>0.75</v>
      </c>
      <c r="R10" s="361">
        <v>0.75</v>
      </c>
      <c r="S10" s="361">
        <v>0.75</v>
      </c>
      <c r="T10" s="361">
        <v>0.75</v>
      </c>
      <c r="U10" s="361">
        <v>0.75</v>
      </c>
      <c r="V10" s="361">
        <v>0.75</v>
      </c>
      <c r="W10" s="361">
        <v>0.75</v>
      </c>
      <c r="X10" s="361">
        <v>0.75</v>
      </c>
      <c r="Y10" s="361">
        <v>0.75</v>
      </c>
      <c r="Z10" s="361">
        <v>0.75</v>
      </c>
      <c r="AA10" s="361">
        <v>0.75</v>
      </c>
      <c r="AB10" s="361">
        <v>0.25</v>
      </c>
      <c r="AC10" s="362">
        <v>0.05</v>
      </c>
      <c r="AD10" s="80"/>
      <c r="AE10" s="79"/>
      <c r="AF10" s="79"/>
      <c r="AG10" s="79"/>
      <c r="AH10" s="79"/>
      <c r="AI10" s="79"/>
      <c r="AJ10" s="79"/>
      <c r="AK10" s="79"/>
      <c r="AM10" s="149"/>
    </row>
    <row r="11" spans="1:39" ht="36" customHeight="1">
      <c r="A11" s="724"/>
      <c r="B11" s="742"/>
      <c r="C11" s="681"/>
      <c r="D11" s="684"/>
      <c r="E11" s="359" t="s">
        <v>360</v>
      </c>
      <c r="F11" s="358">
        <v>0.05</v>
      </c>
      <c r="G11" s="358">
        <v>0.05</v>
      </c>
      <c r="H11" s="358">
        <v>0.05</v>
      </c>
      <c r="I11" s="358">
        <v>0.05</v>
      </c>
      <c r="J11" s="358">
        <v>0.05</v>
      </c>
      <c r="K11" s="358">
        <v>0.05</v>
      </c>
      <c r="L11" s="358">
        <v>0.05</v>
      </c>
      <c r="M11" s="358">
        <v>0.3</v>
      </c>
      <c r="N11" s="358">
        <v>0.3</v>
      </c>
      <c r="O11" s="358">
        <v>0.5</v>
      </c>
      <c r="P11" s="358">
        <v>0.5</v>
      </c>
      <c r="Q11" s="358">
        <v>0.5</v>
      </c>
      <c r="R11" s="358">
        <v>0.5</v>
      </c>
      <c r="S11" s="358">
        <v>0.5</v>
      </c>
      <c r="T11" s="358">
        <v>0.5</v>
      </c>
      <c r="U11" s="358">
        <v>0.5</v>
      </c>
      <c r="V11" s="358">
        <v>0.5</v>
      </c>
      <c r="W11" s="358">
        <v>0.5</v>
      </c>
      <c r="X11" s="358">
        <v>0.5</v>
      </c>
      <c r="Y11" s="358">
        <v>0.5</v>
      </c>
      <c r="Z11" s="358">
        <v>0.5</v>
      </c>
      <c r="AA11" s="358">
        <v>0.5</v>
      </c>
      <c r="AB11" s="358">
        <v>0.5</v>
      </c>
      <c r="AC11" s="363">
        <v>0.05</v>
      </c>
      <c r="AD11" s="80"/>
      <c r="AE11" s="79"/>
      <c r="AF11" s="79"/>
      <c r="AG11" s="79"/>
      <c r="AH11" s="79"/>
      <c r="AI11" s="79"/>
      <c r="AJ11" s="79"/>
      <c r="AK11" s="79"/>
      <c r="AM11" s="149"/>
    </row>
    <row r="12" spans="1:39" ht="36" customHeight="1" thickBot="1">
      <c r="A12" s="756"/>
      <c r="B12" s="744"/>
      <c r="C12" s="682"/>
      <c r="D12" s="685"/>
      <c r="E12" s="371" t="s">
        <v>361</v>
      </c>
      <c r="F12" s="364">
        <v>0.05</v>
      </c>
      <c r="G12" s="364">
        <v>0.05</v>
      </c>
      <c r="H12" s="364">
        <v>0.05</v>
      </c>
      <c r="I12" s="364">
        <v>0.05</v>
      </c>
      <c r="J12" s="364">
        <v>0.05</v>
      </c>
      <c r="K12" s="364">
        <v>0.05</v>
      </c>
      <c r="L12" s="364">
        <v>0.05</v>
      </c>
      <c r="M12" s="364">
        <v>0.3</v>
      </c>
      <c r="N12" s="364">
        <v>0.3</v>
      </c>
      <c r="O12" s="364">
        <v>0.3</v>
      </c>
      <c r="P12" s="364">
        <v>0.3</v>
      </c>
      <c r="Q12" s="364">
        <v>0.3</v>
      </c>
      <c r="R12" s="364">
        <v>0.65</v>
      </c>
      <c r="S12" s="364">
        <v>0.65</v>
      </c>
      <c r="T12" s="364">
        <v>0.65</v>
      </c>
      <c r="U12" s="364">
        <v>0.65</v>
      </c>
      <c r="V12" s="364">
        <v>0.65</v>
      </c>
      <c r="W12" s="364">
        <v>0.65</v>
      </c>
      <c r="X12" s="364">
        <v>0.65</v>
      </c>
      <c r="Y12" s="364">
        <v>0.65</v>
      </c>
      <c r="Z12" s="364">
        <v>0.65</v>
      </c>
      <c r="AA12" s="364">
        <v>0.65</v>
      </c>
      <c r="AB12" s="364">
        <v>0.05</v>
      </c>
      <c r="AC12" s="365">
        <v>0.05</v>
      </c>
      <c r="AD12" s="80"/>
      <c r="AE12" s="79"/>
      <c r="AF12" s="79"/>
      <c r="AG12" s="79"/>
      <c r="AH12" s="79"/>
      <c r="AI12" s="79"/>
      <c r="AJ12" s="79"/>
      <c r="AK12" s="79"/>
      <c r="AM12" s="149"/>
    </row>
    <row r="13" spans="1:39" ht="36" customHeight="1">
      <c r="A13" s="757" t="s">
        <v>630</v>
      </c>
      <c r="B13" s="741" t="s">
        <v>108</v>
      </c>
      <c r="C13" s="680" t="s">
        <v>632</v>
      </c>
      <c r="D13" s="739" t="s">
        <v>627</v>
      </c>
      <c r="E13" s="372" t="s">
        <v>359</v>
      </c>
      <c r="F13" s="360">
        <v>0</v>
      </c>
      <c r="G13" s="360">
        <v>0</v>
      </c>
      <c r="H13" s="360">
        <v>0</v>
      </c>
      <c r="I13" s="360">
        <v>0</v>
      </c>
      <c r="J13" s="360">
        <v>0</v>
      </c>
      <c r="K13" s="360">
        <v>0</v>
      </c>
      <c r="L13" s="360">
        <v>0</v>
      </c>
      <c r="M13" s="360">
        <v>1</v>
      </c>
      <c r="N13" s="360">
        <v>1</v>
      </c>
      <c r="O13" s="360">
        <v>1</v>
      </c>
      <c r="P13" s="360">
        <v>1</v>
      </c>
      <c r="Q13" s="360">
        <v>1</v>
      </c>
      <c r="R13" s="360">
        <v>1</v>
      </c>
      <c r="S13" s="360">
        <v>1</v>
      </c>
      <c r="T13" s="360">
        <v>1</v>
      </c>
      <c r="U13" s="360">
        <v>1</v>
      </c>
      <c r="V13" s="360">
        <v>1</v>
      </c>
      <c r="W13" s="360">
        <v>1</v>
      </c>
      <c r="X13" s="360">
        <v>1</v>
      </c>
      <c r="Y13" s="360">
        <v>1</v>
      </c>
      <c r="Z13" s="360">
        <v>1</v>
      </c>
      <c r="AA13" s="360">
        <v>1</v>
      </c>
      <c r="AB13" s="360">
        <v>1</v>
      </c>
      <c r="AC13" s="368">
        <v>0</v>
      </c>
      <c r="AD13" s="80"/>
      <c r="AE13" s="79"/>
      <c r="AF13" s="79"/>
      <c r="AG13" s="79"/>
      <c r="AH13" s="79"/>
      <c r="AI13" s="79"/>
      <c r="AJ13" s="79"/>
      <c r="AK13" s="79"/>
    </row>
    <row r="14" spans="1:39" ht="33" customHeight="1">
      <c r="A14" s="724"/>
      <c r="B14" s="742"/>
      <c r="C14" s="681"/>
      <c r="D14" s="684"/>
      <c r="E14" s="359" t="s">
        <v>360</v>
      </c>
      <c r="F14" s="358">
        <v>0</v>
      </c>
      <c r="G14" s="358">
        <v>0</v>
      </c>
      <c r="H14" s="358">
        <v>0</v>
      </c>
      <c r="I14" s="358">
        <v>0</v>
      </c>
      <c r="J14" s="358">
        <v>0</v>
      </c>
      <c r="K14" s="358">
        <v>0</v>
      </c>
      <c r="L14" s="358">
        <v>0</v>
      </c>
      <c r="M14" s="358">
        <v>1</v>
      </c>
      <c r="N14" s="358">
        <v>1</v>
      </c>
      <c r="O14" s="358">
        <v>1</v>
      </c>
      <c r="P14" s="358">
        <v>1</v>
      </c>
      <c r="Q14" s="358">
        <v>1</v>
      </c>
      <c r="R14" s="358">
        <v>1</v>
      </c>
      <c r="S14" s="358">
        <v>1</v>
      </c>
      <c r="T14" s="358">
        <v>1</v>
      </c>
      <c r="U14" s="358">
        <v>1</v>
      </c>
      <c r="V14" s="358">
        <v>1</v>
      </c>
      <c r="W14" s="358">
        <v>1</v>
      </c>
      <c r="X14" s="358">
        <v>1</v>
      </c>
      <c r="Y14" s="358">
        <v>1</v>
      </c>
      <c r="Z14" s="358">
        <v>1</v>
      </c>
      <c r="AA14" s="358">
        <v>1</v>
      </c>
      <c r="AB14" s="358">
        <v>1</v>
      </c>
      <c r="AC14" s="363">
        <v>0</v>
      </c>
      <c r="AD14" s="79"/>
      <c r="AE14" s="79"/>
      <c r="AF14" s="79"/>
      <c r="AG14" s="79"/>
      <c r="AH14" s="79"/>
      <c r="AI14" s="79"/>
      <c r="AJ14" s="79"/>
      <c r="AK14" s="79"/>
    </row>
    <row r="15" spans="1:39" ht="33" customHeight="1" thickBot="1">
      <c r="A15" s="756"/>
      <c r="B15" s="744"/>
      <c r="C15" s="717"/>
      <c r="D15" s="685"/>
      <c r="E15" s="370" t="s">
        <v>361</v>
      </c>
      <c r="F15" s="366">
        <v>0</v>
      </c>
      <c r="G15" s="366">
        <v>0</v>
      </c>
      <c r="H15" s="366">
        <v>0</v>
      </c>
      <c r="I15" s="366">
        <v>0</v>
      </c>
      <c r="J15" s="366">
        <v>0</v>
      </c>
      <c r="K15" s="366">
        <v>0</v>
      </c>
      <c r="L15" s="366">
        <v>0</v>
      </c>
      <c r="M15" s="366">
        <v>1</v>
      </c>
      <c r="N15" s="366">
        <v>1</v>
      </c>
      <c r="O15" s="366">
        <v>1</v>
      </c>
      <c r="P15" s="366">
        <v>1</v>
      </c>
      <c r="Q15" s="366">
        <v>1</v>
      </c>
      <c r="R15" s="366">
        <v>1</v>
      </c>
      <c r="S15" s="366">
        <v>1</v>
      </c>
      <c r="T15" s="366">
        <v>1</v>
      </c>
      <c r="U15" s="366">
        <v>1</v>
      </c>
      <c r="V15" s="366">
        <v>1</v>
      </c>
      <c r="W15" s="366">
        <v>1</v>
      </c>
      <c r="X15" s="366">
        <v>1</v>
      </c>
      <c r="Y15" s="366">
        <v>1</v>
      </c>
      <c r="Z15" s="366">
        <v>1</v>
      </c>
      <c r="AA15" s="366">
        <v>1</v>
      </c>
      <c r="AB15" s="366">
        <v>1</v>
      </c>
      <c r="AC15" s="367">
        <v>0</v>
      </c>
      <c r="AD15" s="79"/>
      <c r="AE15" s="79"/>
      <c r="AF15" s="79"/>
      <c r="AG15" s="79"/>
      <c r="AH15" s="79"/>
      <c r="AI15" s="79"/>
      <c r="AJ15" s="79"/>
      <c r="AK15" s="79"/>
    </row>
    <row r="16" spans="1:39" ht="38.65" customHeight="1">
      <c r="A16" s="757" t="s">
        <v>630</v>
      </c>
      <c r="B16" s="741" t="s">
        <v>108</v>
      </c>
      <c r="C16" s="676" t="s">
        <v>633</v>
      </c>
      <c r="D16" s="739" t="s">
        <v>627</v>
      </c>
      <c r="E16" s="369" t="s">
        <v>359</v>
      </c>
      <c r="F16" s="361">
        <v>0</v>
      </c>
      <c r="G16" s="361">
        <v>0</v>
      </c>
      <c r="H16" s="361">
        <v>0</v>
      </c>
      <c r="I16" s="361">
        <v>0</v>
      </c>
      <c r="J16" s="361">
        <v>0</v>
      </c>
      <c r="K16" s="361">
        <v>0</v>
      </c>
      <c r="L16" s="361">
        <v>0</v>
      </c>
      <c r="M16" s="361">
        <v>0</v>
      </c>
      <c r="N16" s="361">
        <v>0</v>
      </c>
      <c r="O16" s="361">
        <v>0.05</v>
      </c>
      <c r="P16" s="361">
        <v>0.05</v>
      </c>
      <c r="Q16" s="361">
        <v>0.35</v>
      </c>
      <c r="R16" s="361">
        <v>0.05</v>
      </c>
      <c r="S16" s="361">
        <v>0.05</v>
      </c>
      <c r="T16" s="361">
        <v>0.05</v>
      </c>
      <c r="U16" s="361">
        <v>0.05</v>
      </c>
      <c r="V16" s="361">
        <v>0.05</v>
      </c>
      <c r="W16" s="361">
        <v>0</v>
      </c>
      <c r="X16" s="361">
        <v>0</v>
      </c>
      <c r="Y16" s="361">
        <v>0</v>
      </c>
      <c r="Z16" s="361">
        <v>0</v>
      </c>
      <c r="AA16" s="361">
        <v>0</v>
      </c>
      <c r="AB16" s="361">
        <v>0</v>
      </c>
      <c r="AC16" s="362">
        <v>0</v>
      </c>
      <c r="AD16" s="79"/>
      <c r="AE16" s="79"/>
      <c r="AF16" s="79"/>
      <c r="AG16" s="79"/>
      <c r="AH16" s="79"/>
      <c r="AI16" s="79"/>
      <c r="AJ16" s="79"/>
      <c r="AK16" s="79"/>
    </row>
    <row r="17" spans="1:37" ht="33" customHeight="1">
      <c r="A17" s="724"/>
      <c r="B17" s="742"/>
      <c r="C17" s="681"/>
      <c r="D17" s="684"/>
      <c r="E17" s="359" t="s">
        <v>360</v>
      </c>
      <c r="F17" s="358">
        <v>0</v>
      </c>
      <c r="G17" s="358">
        <v>0</v>
      </c>
      <c r="H17" s="358">
        <v>0</v>
      </c>
      <c r="I17" s="358">
        <v>0</v>
      </c>
      <c r="J17" s="358">
        <v>0</v>
      </c>
      <c r="K17" s="358">
        <v>0</v>
      </c>
      <c r="L17" s="358">
        <v>0</v>
      </c>
      <c r="M17" s="358">
        <v>0</v>
      </c>
      <c r="N17" s="358">
        <v>0</v>
      </c>
      <c r="O17" s="358">
        <v>0.05</v>
      </c>
      <c r="P17" s="358">
        <v>0.05</v>
      </c>
      <c r="Q17" s="358">
        <v>0.2</v>
      </c>
      <c r="R17" s="358">
        <v>0</v>
      </c>
      <c r="S17" s="358">
        <v>0</v>
      </c>
      <c r="T17" s="358">
        <v>0</v>
      </c>
      <c r="U17" s="358">
        <v>0</v>
      </c>
      <c r="V17" s="358">
        <v>0</v>
      </c>
      <c r="W17" s="358">
        <v>0</v>
      </c>
      <c r="X17" s="358">
        <v>0</v>
      </c>
      <c r="Y17" s="358">
        <v>0.65</v>
      </c>
      <c r="Z17" s="358">
        <v>0.3</v>
      </c>
      <c r="AA17" s="358">
        <v>0</v>
      </c>
      <c r="AB17" s="358">
        <v>0</v>
      </c>
      <c r="AC17" s="363">
        <v>0</v>
      </c>
      <c r="AD17" s="79"/>
      <c r="AE17" s="79"/>
      <c r="AF17" s="79"/>
      <c r="AG17" s="79"/>
      <c r="AH17" s="79"/>
      <c r="AI17" s="79"/>
      <c r="AJ17" s="79"/>
      <c r="AK17" s="79"/>
    </row>
    <row r="18" spans="1:37" ht="33" customHeight="1" thickBot="1">
      <c r="A18" s="756"/>
      <c r="B18" s="744"/>
      <c r="C18" s="682"/>
      <c r="D18" s="685"/>
      <c r="E18" s="371" t="s">
        <v>361</v>
      </c>
      <c r="F18" s="364">
        <v>0</v>
      </c>
      <c r="G18" s="364">
        <v>0</v>
      </c>
      <c r="H18" s="364">
        <v>0</v>
      </c>
      <c r="I18" s="364">
        <v>0</v>
      </c>
      <c r="J18" s="364">
        <v>0</v>
      </c>
      <c r="K18" s="364">
        <v>0</v>
      </c>
      <c r="L18" s="364">
        <v>0</v>
      </c>
      <c r="M18" s="364">
        <v>0</v>
      </c>
      <c r="N18" s="364">
        <v>0</v>
      </c>
      <c r="O18" s="364">
        <v>0.05</v>
      </c>
      <c r="P18" s="364">
        <v>0.05</v>
      </c>
      <c r="Q18" s="364">
        <v>0.1</v>
      </c>
      <c r="R18" s="364">
        <v>0</v>
      </c>
      <c r="S18" s="364">
        <v>0</v>
      </c>
      <c r="T18" s="364">
        <v>0</v>
      </c>
      <c r="U18" s="364">
        <v>0</v>
      </c>
      <c r="V18" s="364">
        <v>0</v>
      </c>
      <c r="W18" s="364">
        <v>0</v>
      </c>
      <c r="X18" s="364">
        <v>0</v>
      </c>
      <c r="Y18" s="364">
        <v>0.65</v>
      </c>
      <c r="Z18" s="364">
        <v>0.3</v>
      </c>
      <c r="AA18" s="364">
        <v>0</v>
      </c>
      <c r="AB18" s="364">
        <v>0</v>
      </c>
      <c r="AC18" s="365">
        <v>0</v>
      </c>
      <c r="AD18" s="79"/>
      <c r="AE18" s="79"/>
      <c r="AF18" s="79"/>
      <c r="AG18" s="79"/>
      <c r="AH18" s="79"/>
      <c r="AI18" s="79"/>
      <c r="AJ18" s="79"/>
      <c r="AK18" s="79"/>
    </row>
    <row r="19" spans="1:37" ht="33" customHeight="1">
      <c r="A19" s="757" t="s">
        <v>630</v>
      </c>
      <c r="B19" s="741" t="s">
        <v>108</v>
      </c>
      <c r="C19" s="676" t="s">
        <v>326</v>
      </c>
      <c r="D19" s="739" t="s">
        <v>627</v>
      </c>
      <c r="E19" s="369" t="s">
        <v>359</v>
      </c>
      <c r="F19" s="361">
        <v>1</v>
      </c>
      <c r="G19" s="361">
        <v>1</v>
      </c>
      <c r="H19" s="361">
        <v>1</v>
      </c>
      <c r="I19" s="361">
        <v>1</v>
      </c>
      <c r="J19" s="361">
        <v>1</v>
      </c>
      <c r="K19" s="361">
        <v>1</v>
      </c>
      <c r="L19" s="361">
        <v>1</v>
      </c>
      <c r="M19" s="361">
        <v>0.25</v>
      </c>
      <c r="N19" s="361">
        <v>0.25</v>
      </c>
      <c r="O19" s="361">
        <v>0.25</v>
      </c>
      <c r="P19" s="361">
        <v>0.25</v>
      </c>
      <c r="Q19" s="361">
        <v>0.25</v>
      </c>
      <c r="R19" s="361">
        <v>0.25</v>
      </c>
      <c r="S19" s="361">
        <v>0.25</v>
      </c>
      <c r="T19" s="361">
        <v>0.25</v>
      </c>
      <c r="U19" s="361">
        <v>0.25</v>
      </c>
      <c r="V19" s="361">
        <v>0.25</v>
      </c>
      <c r="W19" s="361">
        <v>0.25</v>
      </c>
      <c r="X19" s="361">
        <v>0.25</v>
      </c>
      <c r="Y19" s="361">
        <v>0.25</v>
      </c>
      <c r="Z19" s="361">
        <v>0.25</v>
      </c>
      <c r="AA19" s="361">
        <v>0.25</v>
      </c>
      <c r="AB19" s="361">
        <v>0.25</v>
      </c>
      <c r="AC19" s="362">
        <v>1</v>
      </c>
      <c r="AD19" s="79"/>
      <c r="AE19" s="79"/>
      <c r="AF19" s="79"/>
      <c r="AG19" s="79"/>
      <c r="AH19" s="79"/>
      <c r="AI19" s="79"/>
      <c r="AJ19" s="79"/>
      <c r="AK19" s="79"/>
    </row>
    <row r="20" spans="1:37" ht="28.9" customHeight="1">
      <c r="A20" s="724"/>
      <c r="B20" s="742"/>
      <c r="C20" s="681"/>
      <c r="D20" s="684"/>
      <c r="E20" s="359" t="s">
        <v>360</v>
      </c>
      <c r="F20" s="358">
        <v>1</v>
      </c>
      <c r="G20" s="358">
        <v>1</v>
      </c>
      <c r="H20" s="358">
        <v>1</v>
      </c>
      <c r="I20" s="358">
        <v>1</v>
      </c>
      <c r="J20" s="358">
        <v>1</v>
      </c>
      <c r="K20" s="358">
        <v>1</v>
      </c>
      <c r="L20" s="358">
        <v>1</v>
      </c>
      <c r="M20" s="358">
        <v>0.25</v>
      </c>
      <c r="N20" s="358">
        <v>0.25</v>
      </c>
      <c r="O20" s="358">
        <v>0.25</v>
      </c>
      <c r="P20" s="358">
        <v>0.25</v>
      </c>
      <c r="Q20" s="358">
        <v>0.25</v>
      </c>
      <c r="R20" s="358">
        <v>0.25</v>
      </c>
      <c r="S20" s="358">
        <v>0.25</v>
      </c>
      <c r="T20" s="358">
        <v>0.25</v>
      </c>
      <c r="U20" s="358">
        <v>0.25</v>
      </c>
      <c r="V20" s="358">
        <v>0.25</v>
      </c>
      <c r="W20" s="358">
        <v>0.25</v>
      </c>
      <c r="X20" s="358">
        <v>0.25</v>
      </c>
      <c r="Y20" s="358">
        <v>0.25</v>
      </c>
      <c r="Z20" s="358">
        <v>0.25</v>
      </c>
      <c r="AA20" s="358">
        <v>0.25</v>
      </c>
      <c r="AB20" s="358">
        <v>0.25</v>
      </c>
      <c r="AC20" s="363">
        <v>1</v>
      </c>
    </row>
    <row r="21" spans="1:37" ht="35.450000000000003" customHeight="1" thickBot="1">
      <c r="A21" s="756"/>
      <c r="B21" s="744"/>
      <c r="C21" s="682"/>
      <c r="D21" s="685"/>
      <c r="E21" s="371" t="s">
        <v>361</v>
      </c>
      <c r="F21" s="364">
        <v>1</v>
      </c>
      <c r="G21" s="364">
        <v>1</v>
      </c>
      <c r="H21" s="364">
        <v>1</v>
      </c>
      <c r="I21" s="364">
        <v>1</v>
      </c>
      <c r="J21" s="364">
        <v>1</v>
      </c>
      <c r="K21" s="364">
        <v>1</v>
      </c>
      <c r="L21" s="364">
        <v>1</v>
      </c>
      <c r="M21" s="364">
        <v>0.25</v>
      </c>
      <c r="N21" s="364">
        <v>0.25</v>
      </c>
      <c r="O21" s="364">
        <v>0.25</v>
      </c>
      <c r="P21" s="364">
        <v>0.25</v>
      </c>
      <c r="Q21" s="364">
        <v>0.25</v>
      </c>
      <c r="R21" s="364">
        <v>0.25</v>
      </c>
      <c r="S21" s="364">
        <v>0.25</v>
      </c>
      <c r="T21" s="364">
        <v>0.25</v>
      </c>
      <c r="U21" s="364">
        <v>0.25</v>
      </c>
      <c r="V21" s="364">
        <v>0.25</v>
      </c>
      <c r="W21" s="364">
        <v>0.25</v>
      </c>
      <c r="X21" s="364">
        <v>0.25</v>
      </c>
      <c r="Y21" s="364">
        <v>0.25</v>
      </c>
      <c r="Z21" s="364">
        <v>0.25</v>
      </c>
      <c r="AA21" s="364">
        <v>0.25</v>
      </c>
      <c r="AB21" s="364">
        <v>0.25</v>
      </c>
      <c r="AC21" s="365">
        <v>1</v>
      </c>
    </row>
    <row r="22" spans="1:37" ht="25.9" customHeight="1">
      <c r="A22" s="757" t="s">
        <v>634</v>
      </c>
      <c r="B22" s="741" t="s">
        <v>108</v>
      </c>
      <c r="C22" s="680" t="s">
        <v>635</v>
      </c>
      <c r="D22" s="739" t="s">
        <v>627</v>
      </c>
      <c r="E22" s="372" t="s">
        <v>359</v>
      </c>
      <c r="F22" s="360">
        <v>0</v>
      </c>
      <c r="G22" s="360">
        <v>0</v>
      </c>
      <c r="H22" s="360">
        <v>0</v>
      </c>
      <c r="I22" s="360">
        <v>0</v>
      </c>
      <c r="J22" s="360">
        <v>0</v>
      </c>
      <c r="K22" s="360">
        <v>0</v>
      </c>
      <c r="L22" s="360">
        <v>0</v>
      </c>
      <c r="M22" s="360">
        <v>0</v>
      </c>
      <c r="N22" s="360">
        <v>0.3</v>
      </c>
      <c r="O22" s="360">
        <v>0.3</v>
      </c>
      <c r="P22" s="360">
        <v>0.2</v>
      </c>
      <c r="Q22" s="360">
        <v>0.9</v>
      </c>
      <c r="R22" s="360">
        <v>0.9</v>
      </c>
      <c r="S22" s="360">
        <v>0.9</v>
      </c>
      <c r="T22" s="360">
        <v>0.2</v>
      </c>
      <c r="U22" s="360">
        <v>0.2</v>
      </c>
      <c r="V22" s="360">
        <v>0.2</v>
      </c>
      <c r="W22" s="360">
        <v>0.5</v>
      </c>
      <c r="X22" s="360">
        <v>0.5</v>
      </c>
      <c r="Y22" s="360">
        <v>0.1</v>
      </c>
      <c r="Z22" s="360">
        <v>0.1</v>
      </c>
      <c r="AA22" s="360">
        <v>0.1</v>
      </c>
      <c r="AB22" s="360">
        <v>0</v>
      </c>
      <c r="AC22" s="368">
        <v>0</v>
      </c>
    </row>
    <row r="23" spans="1:37" ht="29.45" customHeight="1">
      <c r="A23" s="724"/>
      <c r="B23" s="742"/>
      <c r="C23" s="681"/>
      <c r="D23" s="684"/>
      <c r="E23" s="359" t="s">
        <v>360</v>
      </c>
      <c r="F23" s="358">
        <v>0</v>
      </c>
      <c r="G23" s="358">
        <v>0</v>
      </c>
      <c r="H23" s="358">
        <v>0</v>
      </c>
      <c r="I23" s="358">
        <v>0</v>
      </c>
      <c r="J23" s="358">
        <v>0</v>
      </c>
      <c r="K23" s="358">
        <v>0</v>
      </c>
      <c r="L23" s="358">
        <v>0</v>
      </c>
      <c r="M23" s="358">
        <v>0</v>
      </c>
      <c r="N23" s="358">
        <v>0.3</v>
      </c>
      <c r="O23" s="358">
        <v>0.3</v>
      </c>
      <c r="P23" s="358">
        <v>0.2</v>
      </c>
      <c r="Q23" s="358">
        <v>0.7</v>
      </c>
      <c r="R23" s="358">
        <v>0.7</v>
      </c>
      <c r="S23" s="358">
        <v>0.7</v>
      </c>
      <c r="T23" s="358">
        <v>0.2</v>
      </c>
      <c r="U23" s="358">
        <v>0.2</v>
      </c>
      <c r="V23" s="358">
        <v>0.2</v>
      </c>
      <c r="W23" s="358">
        <v>0.4</v>
      </c>
      <c r="X23" s="358">
        <v>0.4</v>
      </c>
      <c r="Y23" s="358">
        <v>0.1</v>
      </c>
      <c r="Z23" s="358">
        <v>0.1</v>
      </c>
      <c r="AA23" s="358">
        <v>0.1</v>
      </c>
      <c r="AB23" s="358">
        <v>0</v>
      </c>
      <c r="AC23" s="363">
        <v>0</v>
      </c>
    </row>
    <row r="24" spans="1:37" ht="33.6" customHeight="1" thickBot="1">
      <c r="A24" s="756"/>
      <c r="B24" s="744"/>
      <c r="C24" s="682"/>
      <c r="D24" s="685"/>
      <c r="E24" s="370" t="s">
        <v>361</v>
      </c>
      <c r="F24" s="366">
        <v>0</v>
      </c>
      <c r="G24" s="366">
        <v>0</v>
      </c>
      <c r="H24" s="366">
        <v>0</v>
      </c>
      <c r="I24" s="366">
        <v>0</v>
      </c>
      <c r="J24" s="366">
        <v>0</v>
      </c>
      <c r="K24" s="366">
        <v>0</v>
      </c>
      <c r="L24" s="366">
        <v>0</v>
      </c>
      <c r="M24" s="366">
        <v>0</v>
      </c>
      <c r="N24" s="366">
        <v>0.2</v>
      </c>
      <c r="O24" s="366">
        <v>0.2</v>
      </c>
      <c r="P24" s="366">
        <v>0.1</v>
      </c>
      <c r="Q24" s="366">
        <v>0.1</v>
      </c>
      <c r="R24" s="366">
        <v>0.3</v>
      </c>
      <c r="S24" s="366">
        <v>0.8</v>
      </c>
      <c r="T24" s="366">
        <v>0.2</v>
      </c>
      <c r="U24" s="366">
        <v>0.2</v>
      </c>
      <c r="V24" s="366">
        <v>0.2</v>
      </c>
      <c r="W24" s="366">
        <v>0.5</v>
      </c>
      <c r="X24" s="366">
        <v>0.5</v>
      </c>
      <c r="Y24" s="366">
        <v>0.1</v>
      </c>
      <c r="Z24" s="366">
        <v>0.1</v>
      </c>
      <c r="AA24" s="366">
        <v>0.1</v>
      </c>
      <c r="AB24" s="366">
        <v>0</v>
      </c>
      <c r="AC24" s="367">
        <v>0</v>
      </c>
    </row>
    <row r="25" spans="1:37" ht="33.6" customHeight="1">
      <c r="A25" s="757" t="s">
        <v>630</v>
      </c>
      <c r="B25" s="741" t="s">
        <v>108</v>
      </c>
      <c r="C25" s="741" t="s">
        <v>636</v>
      </c>
      <c r="D25" s="683" t="s">
        <v>637</v>
      </c>
      <c r="E25" s="451" t="s">
        <v>359</v>
      </c>
      <c r="F25" s="431">
        <f>IF((F13=1),Thermostat!$B$3,Thermostat!$B$4)</f>
        <v>60</v>
      </c>
      <c r="G25" s="431">
        <f>IF((G13=1),Thermostat!$B$3,Thermostat!$B$4)</f>
        <v>60</v>
      </c>
      <c r="H25" s="431">
        <f>IF((H13=1),Thermostat!$B$3,Thermostat!$B$4)</f>
        <v>60</v>
      </c>
      <c r="I25" s="431">
        <f>IF((I13=1),Thermostat!$B$3,Thermostat!$B$4)</f>
        <v>60</v>
      </c>
      <c r="J25" s="431">
        <f>IF((J13=1),Thermostat!$B$3,Thermostat!$B$4)</f>
        <v>60</v>
      </c>
      <c r="K25" s="431">
        <f>IF((K13=1),Thermostat!$B$3,Thermostat!$B$4)</f>
        <v>60</v>
      </c>
      <c r="L25" s="431">
        <f>IF((L13=1),Thermostat!$B$3,Thermostat!$B$4)</f>
        <v>60</v>
      </c>
      <c r="M25" s="431">
        <f>IF((M13=1),Thermostat!$B$3,Thermostat!$B$4)</f>
        <v>70</v>
      </c>
      <c r="N25" s="431">
        <f>IF((N13=1),Thermostat!$B$3,Thermostat!$B$4)</f>
        <v>70</v>
      </c>
      <c r="O25" s="431">
        <f>IF((O13=1),Thermostat!$B$3,Thermostat!$B$4)</f>
        <v>70</v>
      </c>
      <c r="P25" s="431">
        <f>IF((P13=1),Thermostat!$B$3,Thermostat!$B$4)</f>
        <v>70</v>
      </c>
      <c r="Q25" s="431">
        <f>IF((Q13=1),Thermostat!$B$3,Thermostat!$B$4)</f>
        <v>70</v>
      </c>
      <c r="R25" s="431">
        <f>IF((R13=1),Thermostat!$B$3,Thermostat!$B$4)</f>
        <v>70</v>
      </c>
      <c r="S25" s="431">
        <f>IF((S13=1),Thermostat!$B$3,Thermostat!$B$4)</f>
        <v>70</v>
      </c>
      <c r="T25" s="431">
        <f>IF((T13=1),Thermostat!$B$3,Thermostat!$B$4)</f>
        <v>70</v>
      </c>
      <c r="U25" s="431">
        <f>IF((U13=1),Thermostat!$B$3,Thermostat!$B$4)</f>
        <v>70</v>
      </c>
      <c r="V25" s="431">
        <f>IF((V13=1),Thermostat!$B$3,Thermostat!$B$4)</f>
        <v>70</v>
      </c>
      <c r="W25" s="431">
        <f>IF((W13=1),Thermostat!$B$3,Thermostat!$B$4)</f>
        <v>70</v>
      </c>
      <c r="X25" s="431">
        <f>IF((X13=1),Thermostat!$B$3,Thermostat!$B$4)</f>
        <v>70</v>
      </c>
      <c r="Y25" s="431">
        <f>IF((Y13=1),Thermostat!$B$3,Thermostat!$B$4)</f>
        <v>70</v>
      </c>
      <c r="Z25" s="431">
        <f>IF((Z13=1),Thermostat!$B$3,Thermostat!$B$4)</f>
        <v>70</v>
      </c>
      <c r="AA25" s="431">
        <f>IF((AA13=1),Thermostat!$B$3,Thermostat!$B$4)</f>
        <v>70</v>
      </c>
      <c r="AB25" s="431">
        <f>IF((AB13=1),Thermostat!$B$3,Thermostat!$B$4)</f>
        <v>70</v>
      </c>
      <c r="AC25" s="432">
        <f>IF((AC13=1),Thermostat!$B$3,Thermostat!$B$4)</f>
        <v>60</v>
      </c>
    </row>
    <row r="26" spans="1:37" ht="33.6" customHeight="1">
      <c r="A26" s="724"/>
      <c r="B26" s="742"/>
      <c r="C26" s="742"/>
      <c r="D26" s="684"/>
      <c r="E26" s="452" t="s">
        <v>360</v>
      </c>
      <c r="F26" s="430">
        <f>IF((F14=1),Thermostat!$B$3,Thermostat!$B$4)</f>
        <v>60</v>
      </c>
      <c r="G26" s="430">
        <f>IF((G14=1),Thermostat!$B$3,Thermostat!$B$4)</f>
        <v>60</v>
      </c>
      <c r="H26" s="430">
        <f>IF((H14=1),Thermostat!$B$3,Thermostat!$B$4)</f>
        <v>60</v>
      </c>
      <c r="I26" s="430">
        <f>IF((I14=1),Thermostat!$B$3,Thermostat!$B$4)</f>
        <v>60</v>
      </c>
      <c r="J26" s="430">
        <f>IF((J14=1),Thermostat!$B$3,Thermostat!$B$4)</f>
        <v>60</v>
      </c>
      <c r="K26" s="430">
        <f>IF((K14=1),Thermostat!$B$3,Thermostat!$B$4)</f>
        <v>60</v>
      </c>
      <c r="L26" s="430">
        <f>IF((L14=1),Thermostat!$B$3,Thermostat!$B$4)</f>
        <v>60</v>
      </c>
      <c r="M26" s="430">
        <f>IF((M14=1),Thermostat!$B$3,Thermostat!$B$4)</f>
        <v>70</v>
      </c>
      <c r="N26" s="430">
        <f>IF((N14=1),Thermostat!$B$3,Thermostat!$B$4)</f>
        <v>70</v>
      </c>
      <c r="O26" s="430">
        <f>IF((O14=1),Thermostat!$B$3,Thermostat!$B$4)</f>
        <v>70</v>
      </c>
      <c r="P26" s="430">
        <f>IF((P14=1),Thermostat!$B$3,Thermostat!$B$4)</f>
        <v>70</v>
      </c>
      <c r="Q26" s="430">
        <f>IF((Q14=1),Thermostat!$B$3,Thermostat!$B$4)</f>
        <v>70</v>
      </c>
      <c r="R26" s="430">
        <f>IF((R14=1),Thermostat!$B$3,Thermostat!$B$4)</f>
        <v>70</v>
      </c>
      <c r="S26" s="430">
        <f>IF((S14=1),Thermostat!$B$3,Thermostat!$B$4)</f>
        <v>70</v>
      </c>
      <c r="T26" s="430">
        <f>IF((T14=1),Thermostat!$B$3,Thermostat!$B$4)</f>
        <v>70</v>
      </c>
      <c r="U26" s="430">
        <f>IF((U14=1),Thermostat!$B$3,Thermostat!$B$4)</f>
        <v>70</v>
      </c>
      <c r="V26" s="430">
        <f>IF((V14=1),Thermostat!$B$3,Thermostat!$B$4)</f>
        <v>70</v>
      </c>
      <c r="W26" s="430">
        <f>IF((W14=1),Thermostat!$B$3,Thermostat!$B$4)</f>
        <v>70</v>
      </c>
      <c r="X26" s="430">
        <f>IF((X14=1),Thermostat!$B$3,Thermostat!$B$4)</f>
        <v>70</v>
      </c>
      <c r="Y26" s="430">
        <f>IF((Y14=1),Thermostat!$B$3,Thermostat!$B$4)</f>
        <v>70</v>
      </c>
      <c r="Z26" s="430">
        <f>IF((Z14=1),Thermostat!$B$3,Thermostat!$B$4)</f>
        <v>70</v>
      </c>
      <c r="AA26" s="430">
        <f>IF((AA14=1),Thermostat!$B$3,Thermostat!$B$4)</f>
        <v>70</v>
      </c>
      <c r="AB26" s="430">
        <f>IF((AB14=1),Thermostat!$B$3,Thermostat!$B$4)</f>
        <v>70</v>
      </c>
      <c r="AC26" s="433">
        <f>IF((AC14=1),Thermostat!$B$3,Thermostat!$B$4)</f>
        <v>60</v>
      </c>
    </row>
    <row r="27" spans="1:37" ht="33.6" customHeight="1" thickBot="1">
      <c r="A27" s="756"/>
      <c r="B27" s="744"/>
      <c r="C27" s="743"/>
      <c r="D27" s="718"/>
      <c r="E27" s="453" t="s">
        <v>361</v>
      </c>
      <c r="F27" s="434">
        <f>IF((F15=1),Thermostat!$B$3,Thermostat!$B$4)</f>
        <v>60</v>
      </c>
      <c r="G27" s="434">
        <f>IF((G15=1),Thermostat!$B$3,Thermostat!$B$4)</f>
        <v>60</v>
      </c>
      <c r="H27" s="434">
        <f>IF((H15=1),Thermostat!$B$3,Thermostat!$B$4)</f>
        <v>60</v>
      </c>
      <c r="I27" s="434">
        <f>IF((I15=1),Thermostat!$B$3,Thermostat!$B$4)</f>
        <v>60</v>
      </c>
      <c r="J27" s="434">
        <f>IF((J15=1),Thermostat!$B$3,Thermostat!$B$4)</f>
        <v>60</v>
      </c>
      <c r="K27" s="434">
        <f>IF((K15=1),Thermostat!$B$3,Thermostat!$B$4)</f>
        <v>60</v>
      </c>
      <c r="L27" s="434">
        <f>IF((L15=1),Thermostat!$B$3,Thermostat!$B$4)</f>
        <v>60</v>
      </c>
      <c r="M27" s="434">
        <f>IF((M15=1),Thermostat!$B$3,Thermostat!$B$4)</f>
        <v>70</v>
      </c>
      <c r="N27" s="434">
        <f>IF((N15=1),Thermostat!$B$3,Thermostat!$B$4)</f>
        <v>70</v>
      </c>
      <c r="O27" s="434">
        <f>IF((O15=1),Thermostat!$B$3,Thermostat!$B$4)</f>
        <v>70</v>
      </c>
      <c r="P27" s="434">
        <f>IF((P15=1),Thermostat!$B$3,Thermostat!$B$4)</f>
        <v>70</v>
      </c>
      <c r="Q27" s="434">
        <f>IF((Q15=1),Thermostat!$B$3,Thermostat!$B$4)</f>
        <v>70</v>
      </c>
      <c r="R27" s="434">
        <f>IF((R15=1),Thermostat!$B$3,Thermostat!$B$4)</f>
        <v>70</v>
      </c>
      <c r="S27" s="434">
        <f>IF((S15=1),Thermostat!$B$3,Thermostat!$B$4)</f>
        <v>70</v>
      </c>
      <c r="T27" s="434">
        <f>IF((T15=1),Thermostat!$B$3,Thermostat!$B$4)</f>
        <v>70</v>
      </c>
      <c r="U27" s="434">
        <f>IF((U15=1),Thermostat!$B$3,Thermostat!$B$4)</f>
        <v>70</v>
      </c>
      <c r="V27" s="434">
        <f>IF((V15=1),Thermostat!$B$3,Thermostat!$B$4)</f>
        <v>70</v>
      </c>
      <c r="W27" s="434">
        <f>IF((W15=1),Thermostat!$B$3,Thermostat!$B$4)</f>
        <v>70</v>
      </c>
      <c r="X27" s="434">
        <f>IF((X15=1),Thermostat!$B$3,Thermostat!$B$4)</f>
        <v>70</v>
      </c>
      <c r="Y27" s="434">
        <f>IF((Y15=1),Thermostat!$B$3,Thermostat!$B$4)</f>
        <v>70</v>
      </c>
      <c r="Z27" s="434">
        <f>IF((Z15=1),Thermostat!$B$3,Thermostat!$B$4)</f>
        <v>70</v>
      </c>
      <c r="AA27" s="434">
        <f>IF((AA15=1),Thermostat!$B$3,Thermostat!$B$4)</f>
        <v>70</v>
      </c>
      <c r="AB27" s="434">
        <f>IF((AB15=1),Thermostat!$B$3,Thermostat!$B$4)</f>
        <v>70</v>
      </c>
      <c r="AC27" s="435">
        <f>IF((AC15=1),Thermostat!$B$3,Thermostat!$B$4)</f>
        <v>60</v>
      </c>
    </row>
    <row r="28" spans="1:37" ht="33.6" customHeight="1">
      <c r="A28" s="723" t="s">
        <v>630</v>
      </c>
      <c r="B28" s="741" t="s">
        <v>108</v>
      </c>
      <c r="C28" s="746" t="s">
        <v>638</v>
      </c>
      <c r="D28" s="707" t="s">
        <v>637</v>
      </c>
      <c r="E28" s="454" t="s">
        <v>359</v>
      </c>
      <c r="F28" s="436">
        <f>IF((F13=1),Thermostat!$B$5,Thermostat!$B$6)</f>
        <v>85</v>
      </c>
      <c r="G28" s="436">
        <f>IF((G13=1),Thermostat!$B$5,Thermostat!$B$6)</f>
        <v>85</v>
      </c>
      <c r="H28" s="436">
        <f>IF((H13=1),Thermostat!$B$5,Thermostat!$B$6)</f>
        <v>85</v>
      </c>
      <c r="I28" s="436">
        <f>IF((I13=1),Thermostat!$B$5,Thermostat!$B$6)</f>
        <v>85</v>
      </c>
      <c r="J28" s="436">
        <f>IF((J13=1),Thermostat!$B$5,Thermostat!$B$6)</f>
        <v>85</v>
      </c>
      <c r="K28" s="436">
        <f>IF((K13=1),Thermostat!$B$5,Thermostat!$B$6)</f>
        <v>85</v>
      </c>
      <c r="L28" s="436">
        <f>IF((L13=1),Thermostat!$B$5,Thermostat!$B$6)</f>
        <v>85</v>
      </c>
      <c r="M28" s="436">
        <f>IF((M13=1),Thermostat!$B$5,Thermostat!$B$6)</f>
        <v>75</v>
      </c>
      <c r="N28" s="436">
        <f>IF((N13=1),Thermostat!$B$5,Thermostat!$B$6)</f>
        <v>75</v>
      </c>
      <c r="O28" s="436">
        <f>IF((O13=1),Thermostat!$B$5,Thermostat!$B$6)</f>
        <v>75</v>
      </c>
      <c r="P28" s="436">
        <f>IF((P13=1),Thermostat!$B$5,Thermostat!$B$6)</f>
        <v>75</v>
      </c>
      <c r="Q28" s="436">
        <f>IF((Q13=1),Thermostat!$B$5,Thermostat!$B$6)</f>
        <v>75</v>
      </c>
      <c r="R28" s="436">
        <f>IF((R13=1),Thermostat!$B$5,Thermostat!$B$6)</f>
        <v>75</v>
      </c>
      <c r="S28" s="436">
        <f>IF((S13=1),Thermostat!$B$5,Thermostat!$B$6)</f>
        <v>75</v>
      </c>
      <c r="T28" s="436">
        <f>IF((T13=1),Thermostat!$B$5,Thermostat!$B$6)</f>
        <v>75</v>
      </c>
      <c r="U28" s="436">
        <f>IF((U13=1),Thermostat!$B$5,Thermostat!$B$6)</f>
        <v>75</v>
      </c>
      <c r="V28" s="436">
        <f>IF((V13=1),Thermostat!$B$5,Thermostat!$B$6)</f>
        <v>75</v>
      </c>
      <c r="W28" s="436">
        <f>IF((W13=1),Thermostat!$B$5,Thermostat!$B$6)</f>
        <v>75</v>
      </c>
      <c r="X28" s="436">
        <f>IF((X13=1),Thermostat!$B$5,Thermostat!$B$6)</f>
        <v>75</v>
      </c>
      <c r="Y28" s="436">
        <f>IF((Y13=1),Thermostat!$B$5,Thermostat!$B$6)</f>
        <v>75</v>
      </c>
      <c r="Z28" s="436">
        <f>IF((Z13=1),Thermostat!$B$5,Thermostat!$B$6)</f>
        <v>75</v>
      </c>
      <c r="AA28" s="436">
        <f>IF((AA13=1),Thermostat!$B$5,Thermostat!$B$6)</f>
        <v>75</v>
      </c>
      <c r="AB28" s="436">
        <f>IF((AB13=1),Thermostat!$B$5,Thermostat!$B$6)</f>
        <v>75</v>
      </c>
      <c r="AC28" s="437">
        <f>IF((AC13=1),Thermostat!$B$5,Thermostat!$B$6)</f>
        <v>85</v>
      </c>
    </row>
    <row r="29" spans="1:37" ht="33.6" customHeight="1">
      <c r="A29" s="724"/>
      <c r="B29" s="742"/>
      <c r="C29" s="742"/>
      <c r="D29" s="684"/>
      <c r="E29" s="449" t="s">
        <v>360</v>
      </c>
      <c r="F29" s="430">
        <f>IF((F14=1),Thermostat!$B$5,Thermostat!$B$6)</f>
        <v>85</v>
      </c>
      <c r="G29" s="430">
        <f>IF((G14=1),Thermostat!$B$5,Thermostat!$B$6)</f>
        <v>85</v>
      </c>
      <c r="H29" s="430">
        <f>IF((H14=1),Thermostat!$B$5,Thermostat!$B$6)</f>
        <v>85</v>
      </c>
      <c r="I29" s="430">
        <f>IF((I14=1),Thermostat!$B$5,Thermostat!$B$6)</f>
        <v>85</v>
      </c>
      <c r="J29" s="430">
        <f>IF((J14=1),Thermostat!$B$5,Thermostat!$B$6)</f>
        <v>85</v>
      </c>
      <c r="K29" s="430">
        <f>IF((K14=1),Thermostat!$B$5,Thermostat!$B$6)</f>
        <v>85</v>
      </c>
      <c r="L29" s="430">
        <f>IF((L14=1),Thermostat!$B$5,Thermostat!$B$6)</f>
        <v>85</v>
      </c>
      <c r="M29" s="430">
        <f>IF((M14=1),Thermostat!$B$5,Thermostat!$B$6)</f>
        <v>75</v>
      </c>
      <c r="N29" s="430">
        <f>IF((N14=1),Thermostat!$B$5,Thermostat!$B$6)</f>
        <v>75</v>
      </c>
      <c r="O29" s="430">
        <f>IF((O14=1),Thermostat!$B$5,Thermostat!$B$6)</f>
        <v>75</v>
      </c>
      <c r="P29" s="430">
        <f>IF((P14=1),Thermostat!$B$5,Thermostat!$B$6)</f>
        <v>75</v>
      </c>
      <c r="Q29" s="430">
        <f>IF((Q14=1),Thermostat!$B$5,Thermostat!$B$6)</f>
        <v>75</v>
      </c>
      <c r="R29" s="430">
        <f>IF((R14=1),Thermostat!$B$5,Thermostat!$B$6)</f>
        <v>75</v>
      </c>
      <c r="S29" s="430">
        <f>IF((S14=1),Thermostat!$B$5,Thermostat!$B$6)</f>
        <v>75</v>
      </c>
      <c r="T29" s="430">
        <f>IF((T14=1),Thermostat!$B$5,Thermostat!$B$6)</f>
        <v>75</v>
      </c>
      <c r="U29" s="430">
        <f>IF((U14=1),Thermostat!$B$5,Thermostat!$B$6)</f>
        <v>75</v>
      </c>
      <c r="V29" s="430">
        <f>IF((V14=1),Thermostat!$B$5,Thermostat!$B$6)</f>
        <v>75</v>
      </c>
      <c r="W29" s="430">
        <f>IF((W14=1),Thermostat!$B$5,Thermostat!$B$6)</f>
        <v>75</v>
      </c>
      <c r="X29" s="430">
        <f>IF((X14=1),Thermostat!$B$5,Thermostat!$B$6)</f>
        <v>75</v>
      </c>
      <c r="Y29" s="430">
        <f>IF((Y14=1),Thermostat!$B$5,Thermostat!$B$6)</f>
        <v>75</v>
      </c>
      <c r="Z29" s="430">
        <f>IF((Z14=1),Thermostat!$B$5,Thermostat!$B$6)</f>
        <v>75</v>
      </c>
      <c r="AA29" s="430">
        <f>IF((AA14=1),Thermostat!$B$5,Thermostat!$B$6)</f>
        <v>75</v>
      </c>
      <c r="AB29" s="430">
        <f>IF((AB14=1),Thermostat!$B$5,Thermostat!$B$6)</f>
        <v>75</v>
      </c>
      <c r="AC29" s="433">
        <f>IF((AC14=1),Thermostat!$B$5,Thermostat!$B$6)</f>
        <v>85</v>
      </c>
    </row>
    <row r="30" spans="1:37" ht="33.6" customHeight="1" thickBot="1">
      <c r="A30" s="748"/>
      <c r="B30" s="745"/>
      <c r="C30" s="745"/>
      <c r="D30" s="708"/>
      <c r="E30" s="455" t="s">
        <v>361</v>
      </c>
      <c r="F30" s="434">
        <f>IF((F15=1),Thermostat!$B$5,Thermostat!$B$6)</f>
        <v>85</v>
      </c>
      <c r="G30" s="434">
        <f>IF((G15=1),Thermostat!$B$5,Thermostat!$B$6)</f>
        <v>85</v>
      </c>
      <c r="H30" s="434">
        <f>IF((H15=1),Thermostat!$B$5,Thermostat!$B$6)</f>
        <v>85</v>
      </c>
      <c r="I30" s="434">
        <f>IF((I15=1),Thermostat!$B$5,Thermostat!$B$6)</f>
        <v>85</v>
      </c>
      <c r="J30" s="434">
        <f>IF((J15=1),Thermostat!$B$5,Thermostat!$B$6)</f>
        <v>85</v>
      </c>
      <c r="K30" s="434">
        <f>IF((K15=1),Thermostat!$B$5,Thermostat!$B$6)</f>
        <v>85</v>
      </c>
      <c r="L30" s="434">
        <f>IF((L15=1),Thermostat!$B$5,Thermostat!$B$6)</f>
        <v>85</v>
      </c>
      <c r="M30" s="434">
        <f>IF((M15=1),Thermostat!$B$5,Thermostat!$B$6)</f>
        <v>75</v>
      </c>
      <c r="N30" s="434">
        <f>IF((N15=1),Thermostat!$B$5,Thermostat!$B$6)</f>
        <v>75</v>
      </c>
      <c r="O30" s="434">
        <f>IF((O15=1),Thermostat!$B$5,Thermostat!$B$6)</f>
        <v>75</v>
      </c>
      <c r="P30" s="434">
        <f>IF((P15=1),Thermostat!$B$5,Thermostat!$B$6)</f>
        <v>75</v>
      </c>
      <c r="Q30" s="434">
        <f>IF((Q15=1),Thermostat!$B$5,Thermostat!$B$6)</f>
        <v>75</v>
      </c>
      <c r="R30" s="434">
        <f>IF((R15=1),Thermostat!$B$5,Thermostat!$B$6)</f>
        <v>75</v>
      </c>
      <c r="S30" s="434">
        <f>IF((S15=1),Thermostat!$B$5,Thermostat!$B$6)</f>
        <v>75</v>
      </c>
      <c r="T30" s="434">
        <f>IF((T15=1),Thermostat!$B$5,Thermostat!$B$6)</f>
        <v>75</v>
      </c>
      <c r="U30" s="434">
        <f>IF((U15=1),Thermostat!$B$5,Thermostat!$B$6)</f>
        <v>75</v>
      </c>
      <c r="V30" s="434">
        <f>IF((V15=1),Thermostat!$B$5,Thermostat!$B$6)</f>
        <v>75</v>
      </c>
      <c r="W30" s="434">
        <f>IF((W15=1),Thermostat!$B$5,Thermostat!$B$6)</f>
        <v>75</v>
      </c>
      <c r="X30" s="434">
        <f>IF((X15=1),Thermostat!$B$5,Thermostat!$B$6)</f>
        <v>75</v>
      </c>
      <c r="Y30" s="434">
        <f>IF((Y15=1),Thermostat!$B$5,Thermostat!$B$6)</f>
        <v>75</v>
      </c>
      <c r="Z30" s="434">
        <f>IF((Z15=1),Thermostat!$B$5,Thermostat!$B$6)</f>
        <v>75</v>
      </c>
      <c r="AA30" s="434">
        <f>IF((AA15=1),Thermostat!$B$5,Thermostat!$B$6)</f>
        <v>75</v>
      </c>
      <c r="AB30" s="434">
        <f>IF((AB15=1),Thermostat!$B$5,Thermostat!$B$6)</f>
        <v>75</v>
      </c>
      <c r="AC30" s="435">
        <f>IF((AC15=1),Thermostat!$B$5,Thermostat!$B$6)</f>
        <v>85</v>
      </c>
    </row>
    <row r="31" spans="1:37" ht="24.6" customHeight="1" thickBot="1">
      <c r="A31" s="721" t="s">
        <v>98</v>
      </c>
      <c r="B31" s="721"/>
      <c r="C31" s="721"/>
      <c r="D31" s="721"/>
      <c r="E31" s="753"/>
      <c r="F31" s="753"/>
      <c r="G31" s="753"/>
      <c r="H31" s="753"/>
      <c r="I31" s="753"/>
      <c r="J31" s="753"/>
      <c r="K31" s="753"/>
      <c r="L31" s="753"/>
      <c r="M31" s="753"/>
      <c r="N31" s="753"/>
      <c r="O31" s="753"/>
      <c r="P31" s="753"/>
      <c r="Q31" s="753"/>
      <c r="R31" s="753"/>
      <c r="S31" s="753"/>
      <c r="T31" s="753"/>
      <c r="U31" s="753"/>
      <c r="V31" s="753"/>
      <c r="W31" s="753"/>
      <c r="X31" s="753"/>
      <c r="Y31" s="753"/>
      <c r="Z31" s="753"/>
      <c r="AA31" s="753"/>
      <c r="AB31" s="753"/>
      <c r="AC31" s="754"/>
    </row>
    <row r="32" spans="1:37" ht="34.15" customHeight="1">
      <c r="A32" s="749" t="s">
        <v>639</v>
      </c>
      <c r="B32" s="700" t="s">
        <v>98</v>
      </c>
      <c r="C32" s="740" t="s">
        <v>626</v>
      </c>
      <c r="D32" s="697" t="s">
        <v>640</v>
      </c>
      <c r="E32" s="369" t="s">
        <v>359</v>
      </c>
      <c r="F32" s="361">
        <v>0.1</v>
      </c>
      <c r="G32" s="361">
        <v>0.1</v>
      </c>
      <c r="H32" s="361">
        <v>0.1</v>
      </c>
      <c r="I32" s="361">
        <v>0.1</v>
      </c>
      <c r="J32" s="361">
        <v>0.1</v>
      </c>
      <c r="K32" s="361">
        <v>0.3</v>
      </c>
      <c r="L32" s="361">
        <v>0.45</v>
      </c>
      <c r="M32" s="361">
        <v>0.45</v>
      </c>
      <c r="N32" s="361">
        <v>0.45</v>
      </c>
      <c r="O32" s="361">
        <v>0.45</v>
      </c>
      <c r="P32" s="361">
        <v>0.3</v>
      </c>
      <c r="Q32" s="361">
        <v>0.3</v>
      </c>
      <c r="R32" s="361">
        <v>0.3</v>
      </c>
      <c r="S32" s="361">
        <v>0.3</v>
      </c>
      <c r="T32" s="361">
        <v>0.3</v>
      </c>
      <c r="U32" s="361">
        <v>0.3</v>
      </c>
      <c r="V32" s="361">
        <v>0.3</v>
      </c>
      <c r="W32" s="361">
        <v>0.3</v>
      </c>
      <c r="X32" s="361">
        <v>0.6</v>
      </c>
      <c r="Y32" s="361">
        <v>0.8</v>
      </c>
      <c r="Z32" s="361">
        <v>0.9</v>
      </c>
      <c r="AA32" s="361">
        <v>0.8</v>
      </c>
      <c r="AB32" s="361">
        <v>0.6</v>
      </c>
      <c r="AC32" s="362">
        <v>0.3</v>
      </c>
    </row>
    <row r="33" spans="1:29" ht="34.15" customHeight="1">
      <c r="A33" s="750"/>
      <c r="B33" s="701"/>
      <c r="C33" s="735"/>
      <c r="D33" s="698"/>
      <c r="E33" s="359" t="s">
        <v>360</v>
      </c>
      <c r="F33" s="358">
        <v>0.1</v>
      </c>
      <c r="G33" s="358">
        <v>0.1</v>
      </c>
      <c r="H33" s="358">
        <v>0.1</v>
      </c>
      <c r="I33" s="358">
        <v>0.1</v>
      </c>
      <c r="J33" s="358">
        <v>0.1</v>
      </c>
      <c r="K33" s="358">
        <v>0.3</v>
      </c>
      <c r="L33" s="358">
        <v>0.45</v>
      </c>
      <c r="M33" s="358">
        <v>0.45</v>
      </c>
      <c r="N33" s="358">
        <v>0.45</v>
      </c>
      <c r="O33" s="358">
        <v>0.45</v>
      </c>
      <c r="P33" s="358">
        <v>0.3</v>
      </c>
      <c r="Q33" s="358">
        <v>0.3</v>
      </c>
      <c r="R33" s="358">
        <v>0.3</v>
      </c>
      <c r="S33" s="358">
        <v>0.3</v>
      </c>
      <c r="T33" s="358">
        <v>0.3</v>
      </c>
      <c r="U33" s="358">
        <v>0.3</v>
      </c>
      <c r="V33" s="358">
        <v>0.3</v>
      </c>
      <c r="W33" s="358">
        <v>0.3</v>
      </c>
      <c r="X33" s="358">
        <v>0.6</v>
      </c>
      <c r="Y33" s="358">
        <v>0.8</v>
      </c>
      <c r="Z33" s="358">
        <v>0.9</v>
      </c>
      <c r="AA33" s="358">
        <v>0.8</v>
      </c>
      <c r="AB33" s="358">
        <v>0.6</v>
      </c>
      <c r="AC33" s="363">
        <v>0.3</v>
      </c>
    </row>
    <row r="34" spans="1:29" ht="34.15" customHeight="1" thickBot="1">
      <c r="A34" s="751"/>
      <c r="B34" s="771"/>
      <c r="C34" s="738"/>
      <c r="D34" s="699"/>
      <c r="E34" s="370" t="s">
        <v>361</v>
      </c>
      <c r="F34" s="366">
        <v>0.1</v>
      </c>
      <c r="G34" s="366">
        <v>0.1</v>
      </c>
      <c r="H34" s="366">
        <v>0.1</v>
      </c>
      <c r="I34" s="366">
        <v>0.1</v>
      </c>
      <c r="J34" s="366">
        <v>0.1</v>
      </c>
      <c r="K34" s="366">
        <v>0.3</v>
      </c>
      <c r="L34" s="366">
        <v>0.45</v>
      </c>
      <c r="M34" s="366">
        <v>0.45</v>
      </c>
      <c r="N34" s="366">
        <v>0.45</v>
      </c>
      <c r="O34" s="366">
        <v>0.45</v>
      </c>
      <c r="P34" s="366">
        <v>0.3</v>
      </c>
      <c r="Q34" s="366">
        <v>0.3</v>
      </c>
      <c r="R34" s="366">
        <v>0.3</v>
      </c>
      <c r="S34" s="366">
        <v>0.3</v>
      </c>
      <c r="T34" s="366">
        <v>0.3</v>
      </c>
      <c r="U34" s="366">
        <v>0.3</v>
      </c>
      <c r="V34" s="366">
        <v>0.3</v>
      </c>
      <c r="W34" s="366">
        <v>0.3</v>
      </c>
      <c r="X34" s="366">
        <v>0.6</v>
      </c>
      <c r="Y34" s="366">
        <v>0.8</v>
      </c>
      <c r="Z34" s="366">
        <v>0.9</v>
      </c>
      <c r="AA34" s="366">
        <v>0.8</v>
      </c>
      <c r="AB34" s="366">
        <v>0.6</v>
      </c>
      <c r="AC34" s="367">
        <v>0.3</v>
      </c>
    </row>
    <row r="35" spans="1:29" ht="34.15" customHeight="1">
      <c r="A35" s="752" t="s">
        <v>639</v>
      </c>
      <c r="B35" s="770" t="s">
        <v>98</v>
      </c>
      <c r="C35" s="737" t="s">
        <v>629</v>
      </c>
      <c r="D35" s="697" t="s">
        <v>640</v>
      </c>
      <c r="E35" s="369" t="s">
        <v>359</v>
      </c>
      <c r="F35" s="361">
        <v>1</v>
      </c>
      <c r="G35" s="361">
        <v>1</v>
      </c>
      <c r="H35" s="361">
        <v>1</v>
      </c>
      <c r="I35" s="361">
        <v>1</v>
      </c>
      <c r="J35" s="361">
        <v>1</v>
      </c>
      <c r="K35" s="361">
        <v>1</v>
      </c>
      <c r="L35" s="361">
        <v>1</v>
      </c>
      <c r="M35" s="361">
        <v>1</v>
      </c>
      <c r="N35" s="361">
        <v>1</v>
      </c>
      <c r="O35" s="361">
        <v>1</v>
      </c>
      <c r="P35" s="361">
        <v>1</v>
      </c>
      <c r="Q35" s="361">
        <v>1</v>
      </c>
      <c r="R35" s="361">
        <v>1</v>
      </c>
      <c r="S35" s="361">
        <v>1</v>
      </c>
      <c r="T35" s="361">
        <v>1</v>
      </c>
      <c r="U35" s="361">
        <v>1</v>
      </c>
      <c r="V35" s="361">
        <v>1</v>
      </c>
      <c r="W35" s="361">
        <v>1</v>
      </c>
      <c r="X35" s="361">
        <v>1</v>
      </c>
      <c r="Y35" s="361">
        <v>1</v>
      </c>
      <c r="Z35" s="361">
        <v>1</v>
      </c>
      <c r="AA35" s="361">
        <v>1</v>
      </c>
      <c r="AB35" s="361">
        <v>1</v>
      </c>
      <c r="AC35" s="362">
        <v>1</v>
      </c>
    </row>
    <row r="36" spans="1:29" ht="34.15" customHeight="1">
      <c r="A36" s="750"/>
      <c r="B36" s="701"/>
      <c r="C36" s="735"/>
      <c r="D36" s="698"/>
      <c r="E36" s="359" t="s">
        <v>360</v>
      </c>
      <c r="F36" s="358">
        <v>1</v>
      </c>
      <c r="G36" s="358">
        <v>1</v>
      </c>
      <c r="H36" s="358">
        <v>1</v>
      </c>
      <c r="I36" s="358">
        <v>1</v>
      </c>
      <c r="J36" s="358">
        <v>1</v>
      </c>
      <c r="K36" s="358">
        <v>1</v>
      </c>
      <c r="L36" s="358">
        <v>1</v>
      </c>
      <c r="M36" s="358">
        <v>1</v>
      </c>
      <c r="N36" s="358">
        <v>1</v>
      </c>
      <c r="O36" s="358">
        <v>1</v>
      </c>
      <c r="P36" s="358">
        <v>1</v>
      </c>
      <c r="Q36" s="358">
        <v>1</v>
      </c>
      <c r="R36" s="358">
        <v>1</v>
      </c>
      <c r="S36" s="358">
        <v>1</v>
      </c>
      <c r="T36" s="358">
        <v>1</v>
      </c>
      <c r="U36" s="358">
        <v>1</v>
      </c>
      <c r="V36" s="358">
        <v>1</v>
      </c>
      <c r="W36" s="358">
        <v>1</v>
      </c>
      <c r="X36" s="358">
        <v>1</v>
      </c>
      <c r="Y36" s="358">
        <v>1</v>
      </c>
      <c r="Z36" s="358">
        <v>1</v>
      </c>
      <c r="AA36" s="358">
        <v>1</v>
      </c>
      <c r="AB36" s="358">
        <v>1</v>
      </c>
      <c r="AC36" s="363">
        <v>1</v>
      </c>
    </row>
    <row r="37" spans="1:29" ht="34.15" customHeight="1" thickBot="1">
      <c r="A37" s="751"/>
      <c r="B37" s="771"/>
      <c r="C37" s="738"/>
      <c r="D37" s="699"/>
      <c r="E37" s="370" t="s">
        <v>361</v>
      </c>
      <c r="F37" s="366">
        <v>1</v>
      </c>
      <c r="G37" s="366">
        <v>1</v>
      </c>
      <c r="H37" s="366">
        <v>1</v>
      </c>
      <c r="I37" s="366">
        <v>1</v>
      </c>
      <c r="J37" s="366">
        <v>1</v>
      </c>
      <c r="K37" s="366">
        <v>1</v>
      </c>
      <c r="L37" s="366">
        <v>1</v>
      </c>
      <c r="M37" s="366">
        <v>1</v>
      </c>
      <c r="N37" s="366">
        <v>1</v>
      </c>
      <c r="O37" s="366">
        <v>1</v>
      </c>
      <c r="P37" s="366">
        <v>1</v>
      </c>
      <c r="Q37" s="366">
        <v>1</v>
      </c>
      <c r="R37" s="366">
        <v>1</v>
      </c>
      <c r="S37" s="366">
        <v>1</v>
      </c>
      <c r="T37" s="366">
        <v>1</v>
      </c>
      <c r="U37" s="366">
        <v>1</v>
      </c>
      <c r="V37" s="366">
        <v>1</v>
      </c>
      <c r="W37" s="366">
        <v>1</v>
      </c>
      <c r="X37" s="366">
        <v>1</v>
      </c>
      <c r="Y37" s="366">
        <v>1</v>
      </c>
      <c r="Z37" s="366">
        <v>1</v>
      </c>
      <c r="AA37" s="366">
        <v>1</v>
      </c>
      <c r="AB37" s="366">
        <v>1</v>
      </c>
      <c r="AC37" s="367">
        <v>1</v>
      </c>
    </row>
    <row r="38" spans="1:29" ht="34.15" customHeight="1">
      <c r="A38" s="752" t="s">
        <v>639</v>
      </c>
      <c r="B38" s="770" t="s">
        <v>98</v>
      </c>
      <c r="C38" s="737" t="s">
        <v>631</v>
      </c>
      <c r="D38" s="697" t="s">
        <v>640</v>
      </c>
      <c r="E38" s="369" t="s">
        <v>359</v>
      </c>
      <c r="F38" s="361">
        <v>0.1</v>
      </c>
      <c r="G38" s="361">
        <v>0.1</v>
      </c>
      <c r="H38" s="361">
        <v>0.1</v>
      </c>
      <c r="I38" s="361">
        <v>0.1</v>
      </c>
      <c r="J38" s="361">
        <v>0.1</v>
      </c>
      <c r="K38" s="361">
        <v>0.3</v>
      </c>
      <c r="L38" s="361">
        <v>0.45</v>
      </c>
      <c r="M38" s="361">
        <v>0.45</v>
      </c>
      <c r="N38" s="361">
        <v>0.45</v>
      </c>
      <c r="O38" s="361">
        <v>0.45</v>
      </c>
      <c r="P38" s="361">
        <v>0.3</v>
      </c>
      <c r="Q38" s="361">
        <v>0.3</v>
      </c>
      <c r="R38" s="361">
        <v>0.3</v>
      </c>
      <c r="S38" s="361">
        <v>0.3</v>
      </c>
      <c r="T38" s="361">
        <v>0.3</v>
      </c>
      <c r="U38" s="361">
        <v>0.3</v>
      </c>
      <c r="V38" s="361">
        <v>0.3</v>
      </c>
      <c r="W38" s="361">
        <v>0.3</v>
      </c>
      <c r="X38" s="361">
        <v>0.6</v>
      </c>
      <c r="Y38" s="361">
        <v>0.8</v>
      </c>
      <c r="Z38" s="361">
        <v>0.9</v>
      </c>
      <c r="AA38" s="361">
        <v>0.8</v>
      </c>
      <c r="AB38" s="361">
        <v>0.6</v>
      </c>
      <c r="AC38" s="362">
        <v>0.3</v>
      </c>
    </row>
    <row r="39" spans="1:29" ht="34.15" customHeight="1">
      <c r="A39" s="750"/>
      <c r="B39" s="701"/>
      <c r="C39" s="735"/>
      <c r="D39" s="698"/>
      <c r="E39" s="359" t="s">
        <v>360</v>
      </c>
      <c r="F39" s="358">
        <v>0.1</v>
      </c>
      <c r="G39" s="358">
        <v>0.1</v>
      </c>
      <c r="H39" s="358">
        <v>0.1</v>
      </c>
      <c r="I39" s="358">
        <v>0.1</v>
      </c>
      <c r="J39" s="358">
        <v>0.1</v>
      </c>
      <c r="K39" s="358">
        <v>0.3</v>
      </c>
      <c r="L39" s="358">
        <v>0.45</v>
      </c>
      <c r="M39" s="358">
        <v>0.45</v>
      </c>
      <c r="N39" s="358">
        <v>0.45</v>
      </c>
      <c r="O39" s="358">
        <v>0.45</v>
      </c>
      <c r="P39" s="358">
        <v>0.3</v>
      </c>
      <c r="Q39" s="358">
        <v>0.3</v>
      </c>
      <c r="R39" s="358">
        <v>0.3</v>
      </c>
      <c r="S39" s="358">
        <v>0.3</v>
      </c>
      <c r="T39" s="358">
        <v>0.3</v>
      </c>
      <c r="U39" s="358">
        <v>0.3</v>
      </c>
      <c r="V39" s="358">
        <v>0.3</v>
      </c>
      <c r="W39" s="358">
        <v>0.3</v>
      </c>
      <c r="X39" s="358">
        <v>0.6</v>
      </c>
      <c r="Y39" s="358">
        <v>0.8</v>
      </c>
      <c r="Z39" s="358">
        <v>0.9</v>
      </c>
      <c r="AA39" s="358">
        <v>0.8</v>
      </c>
      <c r="AB39" s="358">
        <v>0.6</v>
      </c>
      <c r="AC39" s="363">
        <v>0.3</v>
      </c>
    </row>
    <row r="40" spans="1:29" ht="34.15" customHeight="1" thickBot="1">
      <c r="A40" s="751"/>
      <c r="B40" s="771"/>
      <c r="C40" s="736"/>
      <c r="D40" s="699"/>
      <c r="E40" s="371" t="s">
        <v>361</v>
      </c>
      <c r="F40" s="364">
        <v>0.1</v>
      </c>
      <c r="G40" s="364">
        <v>0.1</v>
      </c>
      <c r="H40" s="364">
        <v>0.1</v>
      </c>
      <c r="I40" s="364">
        <v>0.1</v>
      </c>
      <c r="J40" s="364">
        <v>0.1</v>
      </c>
      <c r="K40" s="364">
        <v>0.3</v>
      </c>
      <c r="L40" s="364">
        <v>0.45</v>
      </c>
      <c r="M40" s="364">
        <v>0.45</v>
      </c>
      <c r="N40" s="364">
        <v>0.45</v>
      </c>
      <c r="O40" s="364">
        <v>0.45</v>
      </c>
      <c r="P40" s="364">
        <v>0.3</v>
      </c>
      <c r="Q40" s="364">
        <v>0.3</v>
      </c>
      <c r="R40" s="364">
        <v>0.3</v>
      </c>
      <c r="S40" s="364">
        <v>0.3</v>
      </c>
      <c r="T40" s="364">
        <v>0.3</v>
      </c>
      <c r="U40" s="364">
        <v>0.3</v>
      </c>
      <c r="V40" s="364">
        <v>0.3</v>
      </c>
      <c r="W40" s="364">
        <v>0.3</v>
      </c>
      <c r="X40" s="364">
        <v>0.6</v>
      </c>
      <c r="Y40" s="364">
        <v>0.8</v>
      </c>
      <c r="Z40" s="364">
        <v>0.9</v>
      </c>
      <c r="AA40" s="364">
        <v>0.8</v>
      </c>
      <c r="AB40" s="364">
        <v>0.6</v>
      </c>
      <c r="AC40" s="365">
        <v>0.3</v>
      </c>
    </row>
    <row r="41" spans="1:29" ht="34.15" customHeight="1">
      <c r="A41" s="752" t="s">
        <v>639</v>
      </c>
      <c r="B41" s="770" t="s">
        <v>98</v>
      </c>
      <c r="C41" s="734" t="s">
        <v>632</v>
      </c>
      <c r="D41" s="697" t="s">
        <v>640</v>
      </c>
      <c r="E41" s="372" t="s">
        <v>359</v>
      </c>
      <c r="F41" s="360">
        <v>1</v>
      </c>
      <c r="G41" s="360">
        <v>1</v>
      </c>
      <c r="H41" s="360">
        <v>1</v>
      </c>
      <c r="I41" s="360">
        <v>1</v>
      </c>
      <c r="J41" s="360">
        <v>1</v>
      </c>
      <c r="K41" s="360">
        <v>1</v>
      </c>
      <c r="L41" s="360">
        <v>1</v>
      </c>
      <c r="M41" s="360">
        <v>1</v>
      </c>
      <c r="N41" s="360">
        <v>1</v>
      </c>
      <c r="O41" s="360">
        <v>1</v>
      </c>
      <c r="P41" s="360">
        <v>1</v>
      </c>
      <c r="Q41" s="360">
        <v>1</v>
      </c>
      <c r="R41" s="360">
        <v>1</v>
      </c>
      <c r="S41" s="360">
        <v>1</v>
      </c>
      <c r="T41" s="360">
        <v>1</v>
      </c>
      <c r="U41" s="360">
        <v>1</v>
      </c>
      <c r="V41" s="360">
        <v>1</v>
      </c>
      <c r="W41" s="360">
        <v>1</v>
      </c>
      <c r="X41" s="360">
        <v>1</v>
      </c>
      <c r="Y41" s="360">
        <v>1</v>
      </c>
      <c r="Z41" s="360">
        <v>1</v>
      </c>
      <c r="AA41" s="360">
        <v>1</v>
      </c>
      <c r="AB41" s="360">
        <v>1</v>
      </c>
      <c r="AC41" s="368">
        <v>1</v>
      </c>
    </row>
    <row r="42" spans="1:29" ht="34.15" customHeight="1">
      <c r="A42" s="750"/>
      <c r="B42" s="701"/>
      <c r="C42" s="735"/>
      <c r="D42" s="698"/>
      <c r="E42" s="359" t="s">
        <v>360</v>
      </c>
      <c r="F42" s="358">
        <v>1</v>
      </c>
      <c r="G42" s="358">
        <v>1</v>
      </c>
      <c r="H42" s="358">
        <v>1</v>
      </c>
      <c r="I42" s="358">
        <v>1</v>
      </c>
      <c r="J42" s="358">
        <v>1</v>
      </c>
      <c r="K42" s="358">
        <v>1</v>
      </c>
      <c r="L42" s="358">
        <v>1</v>
      </c>
      <c r="M42" s="358">
        <v>1</v>
      </c>
      <c r="N42" s="358">
        <v>1</v>
      </c>
      <c r="O42" s="358">
        <v>1</v>
      </c>
      <c r="P42" s="358">
        <v>1</v>
      </c>
      <c r="Q42" s="358">
        <v>1</v>
      </c>
      <c r="R42" s="358">
        <v>1</v>
      </c>
      <c r="S42" s="358">
        <v>1</v>
      </c>
      <c r="T42" s="358">
        <v>1</v>
      </c>
      <c r="U42" s="358">
        <v>1</v>
      </c>
      <c r="V42" s="358">
        <v>1</v>
      </c>
      <c r="W42" s="358">
        <v>1</v>
      </c>
      <c r="X42" s="358">
        <v>1</v>
      </c>
      <c r="Y42" s="358">
        <v>1</v>
      </c>
      <c r="Z42" s="358">
        <v>1</v>
      </c>
      <c r="AA42" s="358">
        <v>1</v>
      </c>
      <c r="AB42" s="358">
        <v>1</v>
      </c>
      <c r="AC42" s="363">
        <v>1</v>
      </c>
    </row>
    <row r="43" spans="1:29" ht="34.15" customHeight="1" thickBot="1">
      <c r="A43" s="751"/>
      <c r="B43" s="771"/>
      <c r="C43" s="736"/>
      <c r="D43" s="699"/>
      <c r="E43" s="371" t="s">
        <v>361</v>
      </c>
      <c r="F43" s="364">
        <v>1</v>
      </c>
      <c r="G43" s="364">
        <v>1</v>
      </c>
      <c r="H43" s="364">
        <v>1</v>
      </c>
      <c r="I43" s="364">
        <v>1</v>
      </c>
      <c r="J43" s="364">
        <v>1</v>
      </c>
      <c r="K43" s="364">
        <v>1</v>
      </c>
      <c r="L43" s="364">
        <v>1</v>
      </c>
      <c r="M43" s="364">
        <v>1</v>
      </c>
      <c r="N43" s="364">
        <v>1</v>
      </c>
      <c r="O43" s="364">
        <v>1</v>
      </c>
      <c r="P43" s="364">
        <v>1</v>
      </c>
      <c r="Q43" s="364">
        <v>1</v>
      </c>
      <c r="R43" s="364">
        <v>1</v>
      </c>
      <c r="S43" s="364">
        <v>1</v>
      </c>
      <c r="T43" s="364">
        <v>1</v>
      </c>
      <c r="U43" s="364">
        <v>1</v>
      </c>
      <c r="V43" s="364">
        <v>1</v>
      </c>
      <c r="W43" s="364">
        <v>1</v>
      </c>
      <c r="X43" s="364">
        <v>1</v>
      </c>
      <c r="Y43" s="364">
        <v>1</v>
      </c>
      <c r="Z43" s="364">
        <v>1</v>
      </c>
      <c r="AA43" s="364">
        <v>1</v>
      </c>
      <c r="AB43" s="364">
        <v>1</v>
      </c>
      <c r="AC43" s="365">
        <v>1</v>
      </c>
    </row>
    <row r="44" spans="1:29" ht="34.15" customHeight="1">
      <c r="A44" s="752" t="s">
        <v>639</v>
      </c>
      <c r="B44" s="770" t="s">
        <v>98</v>
      </c>
      <c r="C44" s="734" t="s">
        <v>633</v>
      </c>
      <c r="D44" s="697" t="s">
        <v>640</v>
      </c>
      <c r="E44" s="372" t="s">
        <v>359</v>
      </c>
      <c r="F44" s="360">
        <v>0</v>
      </c>
      <c r="G44" s="360">
        <v>0</v>
      </c>
      <c r="H44" s="360">
        <v>0</v>
      </c>
      <c r="I44" s="360">
        <v>0.05</v>
      </c>
      <c r="J44" s="360">
        <v>0.05</v>
      </c>
      <c r="K44" s="360">
        <v>0.05</v>
      </c>
      <c r="L44" s="360">
        <v>0.8</v>
      </c>
      <c r="M44" s="360">
        <v>0.7</v>
      </c>
      <c r="N44" s="360">
        <v>0.5</v>
      </c>
      <c r="O44" s="360">
        <v>0.4</v>
      </c>
      <c r="P44" s="360">
        <v>0.25</v>
      </c>
      <c r="Q44" s="360">
        <v>0.25</v>
      </c>
      <c r="R44" s="360">
        <v>0.25</v>
      </c>
      <c r="S44" s="360">
        <v>0.25</v>
      </c>
      <c r="T44" s="360">
        <v>0.5</v>
      </c>
      <c r="U44" s="360">
        <v>0.6</v>
      </c>
      <c r="V44" s="360">
        <v>0.7</v>
      </c>
      <c r="W44" s="360">
        <v>0.7</v>
      </c>
      <c r="X44" s="360">
        <v>0.4</v>
      </c>
      <c r="Y44" s="360">
        <v>0.25</v>
      </c>
      <c r="Z44" s="360">
        <v>0.2</v>
      </c>
      <c r="AA44" s="360">
        <v>0.2</v>
      </c>
      <c r="AB44" s="360">
        <v>0.05</v>
      </c>
      <c r="AC44" s="368">
        <v>0.05</v>
      </c>
    </row>
    <row r="45" spans="1:29" ht="34.15" customHeight="1">
      <c r="A45" s="750"/>
      <c r="B45" s="701"/>
      <c r="C45" s="735"/>
      <c r="D45" s="698"/>
      <c r="E45" s="359" t="s">
        <v>360</v>
      </c>
      <c r="F45" s="358">
        <v>0</v>
      </c>
      <c r="G45" s="358">
        <v>0</v>
      </c>
      <c r="H45" s="358">
        <v>0</v>
      </c>
      <c r="I45" s="358">
        <v>0.05</v>
      </c>
      <c r="J45" s="358">
        <v>0.05</v>
      </c>
      <c r="K45" s="358">
        <v>0.05</v>
      </c>
      <c r="L45" s="358">
        <v>0.8</v>
      </c>
      <c r="M45" s="358">
        <v>0.7</v>
      </c>
      <c r="N45" s="358">
        <v>0.5</v>
      </c>
      <c r="O45" s="358">
        <v>0.4</v>
      </c>
      <c r="P45" s="358">
        <v>0.25</v>
      </c>
      <c r="Q45" s="358">
        <v>0.25</v>
      </c>
      <c r="R45" s="358">
        <v>0.25</v>
      </c>
      <c r="S45" s="358">
        <v>0.25</v>
      </c>
      <c r="T45" s="358">
        <v>0.5</v>
      </c>
      <c r="U45" s="358">
        <v>0.6</v>
      </c>
      <c r="V45" s="358">
        <v>0.7</v>
      </c>
      <c r="W45" s="358">
        <v>0.7</v>
      </c>
      <c r="X45" s="358">
        <v>0.4</v>
      </c>
      <c r="Y45" s="358">
        <v>0.25</v>
      </c>
      <c r="Z45" s="358">
        <v>0.2</v>
      </c>
      <c r="AA45" s="358">
        <v>0.2</v>
      </c>
      <c r="AB45" s="358">
        <v>0.05</v>
      </c>
      <c r="AC45" s="363">
        <v>0.05</v>
      </c>
    </row>
    <row r="46" spans="1:29" ht="34.15" customHeight="1" thickBot="1">
      <c r="A46" s="751"/>
      <c r="B46" s="771"/>
      <c r="C46" s="736"/>
      <c r="D46" s="699"/>
      <c r="E46" s="371" t="s">
        <v>361</v>
      </c>
      <c r="F46" s="364">
        <v>0</v>
      </c>
      <c r="G46" s="364">
        <v>0</v>
      </c>
      <c r="H46" s="364">
        <v>0</v>
      </c>
      <c r="I46" s="364">
        <v>0.05</v>
      </c>
      <c r="J46" s="364">
        <v>0.05</v>
      </c>
      <c r="K46" s="364">
        <v>0.05</v>
      </c>
      <c r="L46" s="364">
        <v>0.8</v>
      </c>
      <c r="M46" s="364">
        <v>0.7</v>
      </c>
      <c r="N46" s="364">
        <v>0.5</v>
      </c>
      <c r="O46" s="364">
        <v>0.4</v>
      </c>
      <c r="P46" s="364">
        <v>0.25</v>
      </c>
      <c r="Q46" s="364">
        <v>0.25</v>
      </c>
      <c r="R46" s="364">
        <v>0.25</v>
      </c>
      <c r="S46" s="364">
        <v>0.25</v>
      </c>
      <c r="T46" s="364">
        <v>0.5</v>
      </c>
      <c r="U46" s="364">
        <v>0.6</v>
      </c>
      <c r="V46" s="364">
        <v>0.7</v>
      </c>
      <c r="W46" s="364">
        <v>0.7</v>
      </c>
      <c r="X46" s="364">
        <v>0.4</v>
      </c>
      <c r="Y46" s="364">
        <v>0.25</v>
      </c>
      <c r="Z46" s="364">
        <v>0.2</v>
      </c>
      <c r="AA46" s="364">
        <v>0.2</v>
      </c>
      <c r="AB46" s="364">
        <v>0.05</v>
      </c>
      <c r="AC46" s="365">
        <v>0.05</v>
      </c>
    </row>
    <row r="47" spans="1:29" ht="34.15" customHeight="1">
      <c r="A47" s="752" t="s">
        <v>639</v>
      </c>
      <c r="B47" s="770" t="s">
        <v>98</v>
      </c>
      <c r="C47" s="737" t="s">
        <v>326</v>
      </c>
      <c r="D47" s="697" t="s">
        <v>640</v>
      </c>
      <c r="E47" s="369" t="s">
        <v>359</v>
      </c>
      <c r="F47" s="361">
        <v>0.25</v>
      </c>
      <c r="G47" s="361">
        <v>0.25</v>
      </c>
      <c r="H47" s="361">
        <v>0.25</v>
      </c>
      <c r="I47" s="361">
        <v>0.25</v>
      </c>
      <c r="J47" s="361">
        <v>0.25</v>
      </c>
      <c r="K47" s="361">
        <v>0.25</v>
      </c>
      <c r="L47" s="361">
        <v>0.25</v>
      </c>
      <c r="M47" s="361">
        <v>0.25</v>
      </c>
      <c r="N47" s="361">
        <v>0.25</v>
      </c>
      <c r="O47" s="361">
        <v>0.25</v>
      </c>
      <c r="P47" s="361">
        <v>0.25</v>
      </c>
      <c r="Q47" s="361">
        <v>0.25</v>
      </c>
      <c r="R47" s="361">
        <v>0.25</v>
      </c>
      <c r="S47" s="361">
        <v>0.25</v>
      </c>
      <c r="T47" s="361">
        <v>0.25</v>
      </c>
      <c r="U47" s="361">
        <v>0.25</v>
      </c>
      <c r="V47" s="361">
        <v>0.25</v>
      </c>
      <c r="W47" s="361">
        <v>0.25</v>
      </c>
      <c r="X47" s="361">
        <v>0.25</v>
      </c>
      <c r="Y47" s="361">
        <v>0.25</v>
      </c>
      <c r="Z47" s="361">
        <v>0.25</v>
      </c>
      <c r="AA47" s="361">
        <v>0.25</v>
      </c>
      <c r="AB47" s="361">
        <v>0.25</v>
      </c>
      <c r="AC47" s="362">
        <v>0.25</v>
      </c>
    </row>
    <row r="48" spans="1:29" ht="34.15" customHeight="1">
      <c r="A48" s="750"/>
      <c r="B48" s="701"/>
      <c r="C48" s="735"/>
      <c r="D48" s="698"/>
      <c r="E48" s="359" t="s">
        <v>360</v>
      </c>
      <c r="F48" s="358">
        <v>0.25</v>
      </c>
      <c r="G48" s="358">
        <v>0.25</v>
      </c>
      <c r="H48" s="358">
        <v>0.25</v>
      </c>
      <c r="I48" s="358">
        <v>0.25</v>
      </c>
      <c r="J48" s="358">
        <v>0.25</v>
      </c>
      <c r="K48" s="358">
        <v>0.25</v>
      </c>
      <c r="L48" s="358">
        <v>0.25</v>
      </c>
      <c r="M48" s="358">
        <v>0.25</v>
      </c>
      <c r="N48" s="358">
        <v>0.25</v>
      </c>
      <c r="O48" s="358">
        <v>0.25</v>
      </c>
      <c r="P48" s="358">
        <v>0.25</v>
      </c>
      <c r="Q48" s="358">
        <v>0.25</v>
      </c>
      <c r="R48" s="358">
        <v>0.25</v>
      </c>
      <c r="S48" s="358">
        <v>0.25</v>
      </c>
      <c r="T48" s="358">
        <v>0.25</v>
      </c>
      <c r="U48" s="358">
        <v>0.25</v>
      </c>
      <c r="V48" s="358">
        <v>0.25</v>
      </c>
      <c r="W48" s="358">
        <v>0.25</v>
      </c>
      <c r="X48" s="358">
        <v>0.25</v>
      </c>
      <c r="Y48" s="358">
        <v>0.25</v>
      </c>
      <c r="Z48" s="358">
        <v>0.25</v>
      </c>
      <c r="AA48" s="358">
        <v>0.25</v>
      </c>
      <c r="AB48" s="358">
        <v>0.25</v>
      </c>
      <c r="AC48" s="363">
        <v>0.25</v>
      </c>
    </row>
    <row r="49" spans="1:29" ht="34.15" customHeight="1" thickBot="1">
      <c r="A49" s="751"/>
      <c r="B49" s="702"/>
      <c r="C49" s="738"/>
      <c r="D49" s="704"/>
      <c r="E49" s="370" t="s">
        <v>361</v>
      </c>
      <c r="F49" s="366">
        <v>0.25</v>
      </c>
      <c r="G49" s="366">
        <v>0.25</v>
      </c>
      <c r="H49" s="366">
        <v>0.25</v>
      </c>
      <c r="I49" s="366">
        <v>0.25</v>
      </c>
      <c r="J49" s="366">
        <v>0.25</v>
      </c>
      <c r="K49" s="366">
        <v>0.25</v>
      </c>
      <c r="L49" s="366">
        <v>0.25</v>
      </c>
      <c r="M49" s="366">
        <v>0.25</v>
      </c>
      <c r="N49" s="366">
        <v>0.25</v>
      </c>
      <c r="O49" s="366">
        <v>0.25</v>
      </c>
      <c r="P49" s="366">
        <v>0.25</v>
      </c>
      <c r="Q49" s="366">
        <v>0.25</v>
      </c>
      <c r="R49" s="366">
        <v>0.25</v>
      </c>
      <c r="S49" s="366">
        <v>0.25</v>
      </c>
      <c r="T49" s="366">
        <v>0.25</v>
      </c>
      <c r="U49" s="366">
        <v>0.25</v>
      </c>
      <c r="V49" s="366">
        <v>0.25</v>
      </c>
      <c r="W49" s="366">
        <v>0.25</v>
      </c>
      <c r="X49" s="366">
        <v>0.25</v>
      </c>
      <c r="Y49" s="366">
        <v>0.25</v>
      </c>
      <c r="Z49" s="366">
        <v>0.25</v>
      </c>
      <c r="AA49" s="366">
        <v>0.25</v>
      </c>
      <c r="AB49" s="366">
        <v>0.25</v>
      </c>
      <c r="AC49" s="367">
        <v>0.25</v>
      </c>
    </row>
    <row r="50" spans="1:29" ht="34.15" customHeight="1">
      <c r="A50" s="749" t="s">
        <v>639</v>
      </c>
      <c r="B50" s="700" t="s">
        <v>98</v>
      </c>
      <c r="C50" s="700" t="s">
        <v>636</v>
      </c>
      <c r="D50" s="703" t="s">
        <v>637</v>
      </c>
      <c r="E50" s="493" t="s">
        <v>359</v>
      </c>
      <c r="F50" s="548">
        <f>IF((F41=1),Thermostat!$B$7,Thermostat!$B$8)</f>
        <v>68</v>
      </c>
      <c r="G50" s="548">
        <f>IF((G41=1),Thermostat!$B$7,Thermostat!$B$8)</f>
        <v>68</v>
      </c>
      <c r="H50" s="548">
        <f>IF((H41=1),Thermostat!$B$7,Thermostat!$B$8)</f>
        <v>68</v>
      </c>
      <c r="I50" s="548">
        <f>IF((I41=1),Thermostat!$B$7,Thermostat!$B$8)</f>
        <v>68</v>
      </c>
      <c r="J50" s="548">
        <f>IF((J41=1),Thermostat!$B$7,Thermostat!$B$8)</f>
        <v>68</v>
      </c>
      <c r="K50" s="548">
        <f>IF((K41=1),Thermostat!$B$7,Thermostat!$B$8)</f>
        <v>68</v>
      </c>
      <c r="L50" s="548">
        <f>IF((L41=1),Thermostat!$B$7,Thermostat!$B$8)</f>
        <v>68</v>
      </c>
      <c r="M50" s="548">
        <f>IF((M41=1),Thermostat!$B$7,Thermostat!$B$8)</f>
        <v>68</v>
      </c>
      <c r="N50" s="548">
        <f>IF((N41=1),Thermostat!$B$7,Thermostat!$B$8)</f>
        <v>68</v>
      </c>
      <c r="O50" s="548">
        <f>IF((O41=1),Thermostat!$B$7,Thermostat!$B$8)</f>
        <v>68</v>
      </c>
      <c r="P50" s="548">
        <f>IF((P41=1),Thermostat!$B$7,Thermostat!$B$8)</f>
        <v>68</v>
      </c>
      <c r="Q50" s="548">
        <f>IF((Q41=1),Thermostat!$B$7,Thermostat!$B$8)</f>
        <v>68</v>
      </c>
      <c r="R50" s="548">
        <f>IF((R41=1),Thermostat!$B$7,Thermostat!$B$8)</f>
        <v>68</v>
      </c>
      <c r="S50" s="548">
        <f>IF((S41=1),Thermostat!$B$7,Thermostat!$B$8)</f>
        <v>68</v>
      </c>
      <c r="T50" s="548">
        <f>IF((T41=1),Thermostat!$B$7,Thermostat!$B$8)</f>
        <v>68</v>
      </c>
      <c r="U50" s="548">
        <f>IF((U41=1),Thermostat!$B$7,Thermostat!$B$8)</f>
        <v>68</v>
      </c>
      <c r="V50" s="548">
        <f>IF((V41=1),Thermostat!$B$7,Thermostat!$B$8)</f>
        <v>68</v>
      </c>
      <c r="W50" s="548">
        <f>IF((W41=1),Thermostat!$B$7,Thermostat!$B$8)</f>
        <v>68</v>
      </c>
      <c r="X50" s="548">
        <f>IF((X41=1),Thermostat!$B$7,Thermostat!$B$8)</f>
        <v>68</v>
      </c>
      <c r="Y50" s="548">
        <f>IF((Y41=1),Thermostat!$B$7,Thermostat!$B$8)</f>
        <v>68</v>
      </c>
      <c r="Z50" s="548">
        <f>IF((Z41=1),Thermostat!$B$7,Thermostat!$B$8)</f>
        <v>68</v>
      </c>
      <c r="AA50" s="548">
        <f>IF((AA41=1),Thermostat!$B$7,Thermostat!$B$8)</f>
        <v>68</v>
      </c>
      <c r="AB50" s="548">
        <f>IF((AB41=1),Thermostat!$B$7,Thermostat!$B$8)</f>
        <v>68</v>
      </c>
      <c r="AC50" s="494">
        <f>IF((AC41=1),Thermostat!$B$7,Thermostat!$B$8)</f>
        <v>68</v>
      </c>
    </row>
    <row r="51" spans="1:29" ht="34.15" customHeight="1">
      <c r="A51" s="750"/>
      <c r="B51" s="701"/>
      <c r="C51" s="701"/>
      <c r="D51" s="698"/>
      <c r="E51" s="449" t="s">
        <v>360</v>
      </c>
      <c r="F51" s="549">
        <f>IF((F42=1),Thermostat!$B$7,Thermostat!$B$8)</f>
        <v>68</v>
      </c>
      <c r="G51" s="549">
        <f>IF((G42=1),Thermostat!$B$7,Thermostat!$B$8)</f>
        <v>68</v>
      </c>
      <c r="H51" s="549">
        <f>IF((H42=1),Thermostat!$B$7,Thermostat!$B$8)</f>
        <v>68</v>
      </c>
      <c r="I51" s="549">
        <f>IF((I42=1),Thermostat!$B$7,Thermostat!$B$8)</f>
        <v>68</v>
      </c>
      <c r="J51" s="549">
        <f>IF((J42=1),Thermostat!$B$7,Thermostat!$B$8)</f>
        <v>68</v>
      </c>
      <c r="K51" s="549">
        <f>IF((K42=1),Thermostat!$B$7,Thermostat!$B$8)</f>
        <v>68</v>
      </c>
      <c r="L51" s="549">
        <f>IF((L42=1),Thermostat!$B$7,Thermostat!$B$8)</f>
        <v>68</v>
      </c>
      <c r="M51" s="549">
        <f>IF((M42=1),Thermostat!$B$7,Thermostat!$B$8)</f>
        <v>68</v>
      </c>
      <c r="N51" s="549">
        <f>IF((N42=1),Thermostat!$B$7,Thermostat!$B$8)</f>
        <v>68</v>
      </c>
      <c r="O51" s="549">
        <f>IF((O42=1),Thermostat!$B$7,Thermostat!$B$8)</f>
        <v>68</v>
      </c>
      <c r="P51" s="549">
        <f>IF((P42=1),Thermostat!$B$7,Thermostat!$B$8)</f>
        <v>68</v>
      </c>
      <c r="Q51" s="549">
        <f>IF((Q42=1),Thermostat!$B$7,Thermostat!$B$8)</f>
        <v>68</v>
      </c>
      <c r="R51" s="549">
        <f>IF((R42=1),Thermostat!$B$7,Thermostat!$B$8)</f>
        <v>68</v>
      </c>
      <c r="S51" s="549">
        <f>IF((S42=1),Thermostat!$B$7,Thermostat!$B$8)</f>
        <v>68</v>
      </c>
      <c r="T51" s="549">
        <f>IF((T42=1),Thermostat!$B$7,Thermostat!$B$8)</f>
        <v>68</v>
      </c>
      <c r="U51" s="549">
        <f>IF((U42=1),Thermostat!$B$7,Thermostat!$B$8)</f>
        <v>68</v>
      </c>
      <c r="V51" s="549">
        <f>IF((V42=1),Thermostat!$B$7,Thermostat!$B$8)</f>
        <v>68</v>
      </c>
      <c r="W51" s="549">
        <f>IF((W42=1),Thermostat!$B$7,Thermostat!$B$8)</f>
        <v>68</v>
      </c>
      <c r="X51" s="549">
        <f>IF((X42=1),Thermostat!$B$7,Thermostat!$B$8)</f>
        <v>68</v>
      </c>
      <c r="Y51" s="549">
        <f>IF((Y42=1),Thermostat!$B$7,Thermostat!$B$8)</f>
        <v>68</v>
      </c>
      <c r="Z51" s="549">
        <f>IF((Z42=1),Thermostat!$B$7,Thermostat!$B$8)</f>
        <v>68</v>
      </c>
      <c r="AA51" s="549">
        <f>IF((AA42=1),Thermostat!$B$7,Thermostat!$B$8)</f>
        <v>68</v>
      </c>
      <c r="AB51" s="549">
        <f>IF((AB42=1),Thermostat!$B$7,Thermostat!$B$8)</f>
        <v>68</v>
      </c>
      <c r="AC51" s="495">
        <f>IF((AC42=1),Thermostat!$B$7,Thermostat!$B$8)</f>
        <v>68</v>
      </c>
    </row>
    <row r="52" spans="1:29" ht="34.15" customHeight="1" thickBot="1">
      <c r="A52" s="751"/>
      <c r="B52" s="702"/>
      <c r="C52" s="702"/>
      <c r="D52" s="704"/>
      <c r="E52" s="450" t="s">
        <v>361</v>
      </c>
      <c r="F52" s="550">
        <f>IF((F43=1),Thermostat!$B$7,Thermostat!$B$8)</f>
        <v>68</v>
      </c>
      <c r="G52" s="550">
        <f>IF((G43=1),Thermostat!$B$7,Thermostat!$B$8)</f>
        <v>68</v>
      </c>
      <c r="H52" s="550">
        <f>IF((H43=1),Thermostat!$B$7,Thermostat!$B$8)</f>
        <v>68</v>
      </c>
      <c r="I52" s="550">
        <f>IF((I43=1),Thermostat!$B$7,Thermostat!$B$8)</f>
        <v>68</v>
      </c>
      <c r="J52" s="550">
        <f>IF((J43=1),Thermostat!$B$7,Thermostat!$B$8)</f>
        <v>68</v>
      </c>
      <c r="K52" s="550">
        <f>IF((K43=1),Thermostat!$B$7,Thermostat!$B$8)</f>
        <v>68</v>
      </c>
      <c r="L52" s="550">
        <f>IF((L43=1),Thermostat!$B$7,Thermostat!$B$8)</f>
        <v>68</v>
      </c>
      <c r="M52" s="550">
        <f>IF((M43=1),Thermostat!$B$7,Thermostat!$B$8)</f>
        <v>68</v>
      </c>
      <c r="N52" s="550">
        <f>IF((N43=1),Thermostat!$B$7,Thermostat!$B$8)</f>
        <v>68</v>
      </c>
      <c r="O52" s="550">
        <f>IF((O43=1),Thermostat!$B$7,Thermostat!$B$8)</f>
        <v>68</v>
      </c>
      <c r="P52" s="550">
        <f>IF((P43=1),Thermostat!$B$7,Thermostat!$B$8)</f>
        <v>68</v>
      </c>
      <c r="Q52" s="550">
        <f>IF((Q43=1),Thermostat!$B$7,Thermostat!$B$8)</f>
        <v>68</v>
      </c>
      <c r="R52" s="550">
        <f>IF((R43=1),Thermostat!$B$7,Thermostat!$B$8)</f>
        <v>68</v>
      </c>
      <c r="S52" s="550">
        <f>IF((S43=1),Thermostat!$B$7,Thermostat!$B$8)</f>
        <v>68</v>
      </c>
      <c r="T52" s="550">
        <f>IF((T43=1),Thermostat!$B$7,Thermostat!$B$8)</f>
        <v>68</v>
      </c>
      <c r="U52" s="550">
        <f>IF((U43=1),Thermostat!$B$7,Thermostat!$B$8)</f>
        <v>68</v>
      </c>
      <c r="V52" s="550">
        <f>IF((V43=1),Thermostat!$B$7,Thermostat!$B$8)</f>
        <v>68</v>
      </c>
      <c r="W52" s="550">
        <f>IF((W43=1),Thermostat!$B$7,Thermostat!$B$8)</f>
        <v>68</v>
      </c>
      <c r="X52" s="550">
        <f>IF((X43=1),Thermostat!$B$7,Thermostat!$B$8)</f>
        <v>68</v>
      </c>
      <c r="Y52" s="550">
        <f>IF((Y43=1),Thermostat!$B$7,Thermostat!$B$8)</f>
        <v>68</v>
      </c>
      <c r="Z52" s="550">
        <f>IF((Z43=1),Thermostat!$B$7,Thermostat!$B$8)</f>
        <v>68</v>
      </c>
      <c r="AA52" s="550">
        <f>IF((AA43=1),Thermostat!$B$7,Thermostat!$B$8)</f>
        <v>68</v>
      </c>
      <c r="AB52" s="550">
        <f>IF((AB43=1),Thermostat!$B$7,Thermostat!$B$8)</f>
        <v>68</v>
      </c>
      <c r="AC52" s="496">
        <f>IF((AC43=1),Thermostat!$B$7,Thermostat!$B$8)</f>
        <v>68</v>
      </c>
    </row>
    <row r="53" spans="1:29" ht="34.15" customHeight="1">
      <c r="A53" s="749" t="s">
        <v>639</v>
      </c>
      <c r="B53" s="700" t="s">
        <v>98</v>
      </c>
      <c r="C53" s="700" t="s">
        <v>638</v>
      </c>
      <c r="D53" s="703" t="s">
        <v>637</v>
      </c>
      <c r="E53" s="446" t="s">
        <v>359</v>
      </c>
      <c r="F53" s="553">
        <f>IF((F41=1),Thermostat!$B$9,Thermostat!$B$10)</f>
        <v>78</v>
      </c>
      <c r="G53" s="553">
        <f>IF((G41=1),Thermostat!$B$9,Thermostat!$B$10)</f>
        <v>78</v>
      </c>
      <c r="H53" s="553">
        <f>IF((H41=1),Thermostat!$B$9,Thermostat!$B$10)</f>
        <v>78</v>
      </c>
      <c r="I53" s="553">
        <f>IF((I41=1),Thermostat!$B$9,Thermostat!$B$10)</f>
        <v>78</v>
      </c>
      <c r="J53" s="553">
        <f>IF((J41=1),Thermostat!$B$9,Thermostat!$B$10)</f>
        <v>78</v>
      </c>
      <c r="K53" s="553">
        <f>IF((K41=1),Thermostat!$B$9,Thermostat!$B$10)</f>
        <v>78</v>
      </c>
      <c r="L53" s="553">
        <f>IF((L41=1),Thermostat!$B$9,Thermostat!$B$10)</f>
        <v>78</v>
      </c>
      <c r="M53" s="553">
        <f>IF((M41=1),Thermostat!$B$9,Thermostat!$B$10)</f>
        <v>78</v>
      </c>
      <c r="N53" s="553">
        <f>IF((N41=1),Thermostat!$B$9,Thermostat!$B$10)</f>
        <v>78</v>
      </c>
      <c r="O53" s="553">
        <f>IF((O41=1),Thermostat!$B$9,Thermostat!$B$10)</f>
        <v>78</v>
      </c>
      <c r="P53" s="553">
        <f>IF((P41=1),Thermostat!$B$9,Thermostat!$B$10)</f>
        <v>78</v>
      </c>
      <c r="Q53" s="553">
        <f>IF((Q41=1),Thermostat!$B$9,Thermostat!$B$10)</f>
        <v>78</v>
      </c>
      <c r="R53" s="553">
        <f>IF((R41=1),Thermostat!$B$9,Thermostat!$B$10)</f>
        <v>78</v>
      </c>
      <c r="S53" s="553">
        <f>IF((S41=1),Thermostat!$B$9,Thermostat!$B$10)</f>
        <v>78</v>
      </c>
      <c r="T53" s="553">
        <f>IF((T41=1),Thermostat!$B$9,Thermostat!$B$10)</f>
        <v>78</v>
      </c>
      <c r="U53" s="553">
        <f>IF((U41=1),Thermostat!$B$9,Thermostat!$B$10)</f>
        <v>78</v>
      </c>
      <c r="V53" s="553">
        <f>IF((V41=1),Thermostat!$B$9,Thermostat!$B$10)</f>
        <v>78</v>
      </c>
      <c r="W53" s="553">
        <f>IF((W41=1),Thermostat!$B$9,Thermostat!$B$10)</f>
        <v>78</v>
      </c>
      <c r="X53" s="553">
        <f>IF((X41=1),Thermostat!$B$9,Thermostat!$B$10)</f>
        <v>78</v>
      </c>
      <c r="Y53" s="553">
        <f>IF((Y41=1),Thermostat!$B$9,Thermostat!$B$10)</f>
        <v>78</v>
      </c>
      <c r="Z53" s="553">
        <f>IF((Z41=1),Thermostat!$B$9,Thermostat!$B$10)</f>
        <v>78</v>
      </c>
      <c r="AA53" s="553">
        <f>IF((AA41=1),Thermostat!$B$9,Thermostat!$B$10)</f>
        <v>78</v>
      </c>
      <c r="AB53" s="553">
        <f>IF((AB41=1),Thermostat!$B$9,Thermostat!$B$10)</f>
        <v>78</v>
      </c>
      <c r="AC53" s="497">
        <f>IF((AC41=1),Thermostat!$B$9,Thermostat!$B$10)</f>
        <v>78</v>
      </c>
    </row>
    <row r="54" spans="1:29" ht="34.15" customHeight="1">
      <c r="A54" s="750"/>
      <c r="B54" s="701"/>
      <c r="C54" s="701"/>
      <c r="D54" s="698"/>
      <c r="E54" s="447" t="s">
        <v>360</v>
      </c>
      <c r="F54" s="549">
        <f>IF((F42=1),Thermostat!$B$9,Thermostat!$B$10)</f>
        <v>78</v>
      </c>
      <c r="G54" s="549">
        <f>IF((G42=1),Thermostat!$B$9,Thermostat!$B$10)</f>
        <v>78</v>
      </c>
      <c r="H54" s="549">
        <f>IF((H42=1),Thermostat!$B$9,Thermostat!$B$10)</f>
        <v>78</v>
      </c>
      <c r="I54" s="549">
        <f>IF((I42=1),Thermostat!$B$9,Thermostat!$B$10)</f>
        <v>78</v>
      </c>
      <c r="J54" s="549">
        <f>IF((J42=1),Thermostat!$B$9,Thermostat!$B$10)</f>
        <v>78</v>
      </c>
      <c r="K54" s="549">
        <f>IF((K42=1),Thermostat!$B$9,Thermostat!$B$10)</f>
        <v>78</v>
      </c>
      <c r="L54" s="549">
        <f>IF((L42=1),Thermostat!$B$9,Thermostat!$B$10)</f>
        <v>78</v>
      </c>
      <c r="M54" s="549">
        <f>IF((M42=1),Thermostat!$B$9,Thermostat!$B$10)</f>
        <v>78</v>
      </c>
      <c r="N54" s="549">
        <f>IF((N42=1),Thermostat!$B$9,Thermostat!$B$10)</f>
        <v>78</v>
      </c>
      <c r="O54" s="549">
        <f>IF((O42=1),Thermostat!$B$9,Thermostat!$B$10)</f>
        <v>78</v>
      </c>
      <c r="P54" s="549">
        <f>IF((P42=1),Thermostat!$B$9,Thermostat!$B$10)</f>
        <v>78</v>
      </c>
      <c r="Q54" s="549">
        <f>IF((Q42=1),Thermostat!$B$9,Thermostat!$B$10)</f>
        <v>78</v>
      </c>
      <c r="R54" s="549">
        <f>IF((R42=1),Thermostat!$B$9,Thermostat!$B$10)</f>
        <v>78</v>
      </c>
      <c r="S54" s="549">
        <f>IF((S42=1),Thermostat!$B$9,Thermostat!$B$10)</f>
        <v>78</v>
      </c>
      <c r="T54" s="549">
        <f>IF((T42=1),Thermostat!$B$9,Thermostat!$B$10)</f>
        <v>78</v>
      </c>
      <c r="U54" s="549">
        <f>IF((U42=1),Thermostat!$B$9,Thermostat!$B$10)</f>
        <v>78</v>
      </c>
      <c r="V54" s="549">
        <f>IF((V42=1),Thermostat!$B$9,Thermostat!$B$10)</f>
        <v>78</v>
      </c>
      <c r="W54" s="549">
        <f>IF((W42=1),Thermostat!$B$9,Thermostat!$B$10)</f>
        <v>78</v>
      </c>
      <c r="X54" s="549">
        <f>IF((X42=1),Thermostat!$B$9,Thermostat!$B$10)</f>
        <v>78</v>
      </c>
      <c r="Y54" s="549">
        <f>IF((Y42=1),Thermostat!$B$9,Thermostat!$B$10)</f>
        <v>78</v>
      </c>
      <c r="Z54" s="549">
        <f>IF((Z42=1),Thermostat!$B$9,Thermostat!$B$10)</f>
        <v>78</v>
      </c>
      <c r="AA54" s="549">
        <f>IF((AA42=1),Thermostat!$B$9,Thermostat!$B$10)</f>
        <v>78</v>
      </c>
      <c r="AB54" s="549">
        <f>IF((AB42=1),Thermostat!$B$9,Thermostat!$B$10)</f>
        <v>78</v>
      </c>
      <c r="AC54" s="495">
        <f>IF((AC42=1),Thermostat!$B$9,Thermostat!$B$10)</f>
        <v>78</v>
      </c>
    </row>
    <row r="55" spans="1:29" ht="34.15" customHeight="1" thickBot="1">
      <c r="A55" s="759"/>
      <c r="B55" s="709"/>
      <c r="C55" s="709"/>
      <c r="D55" s="710"/>
      <c r="E55" s="485" t="s">
        <v>361</v>
      </c>
      <c r="F55" s="551">
        <f>IF((F43=1),Thermostat!$B$9,Thermostat!$B$10)</f>
        <v>78</v>
      </c>
      <c r="G55" s="551">
        <f>IF((G43=1),Thermostat!$B$9,Thermostat!$B$10)</f>
        <v>78</v>
      </c>
      <c r="H55" s="551">
        <f>IF((H43=1),Thermostat!$B$9,Thermostat!$B$10)</f>
        <v>78</v>
      </c>
      <c r="I55" s="551">
        <f>IF((I43=1),Thermostat!$B$9,Thermostat!$B$10)</f>
        <v>78</v>
      </c>
      <c r="J55" s="551">
        <f>IF((J43=1),Thermostat!$B$9,Thermostat!$B$10)</f>
        <v>78</v>
      </c>
      <c r="K55" s="551">
        <f>IF((K43=1),Thermostat!$B$9,Thermostat!$B$10)</f>
        <v>78</v>
      </c>
      <c r="L55" s="551">
        <f>IF((L43=1),Thermostat!$B$9,Thermostat!$B$10)</f>
        <v>78</v>
      </c>
      <c r="M55" s="551">
        <f>IF((M43=1),Thermostat!$B$9,Thermostat!$B$10)</f>
        <v>78</v>
      </c>
      <c r="N55" s="551">
        <f>IF((N43=1),Thermostat!$B$9,Thermostat!$B$10)</f>
        <v>78</v>
      </c>
      <c r="O55" s="551">
        <f>IF((O43=1),Thermostat!$B$9,Thermostat!$B$10)</f>
        <v>78</v>
      </c>
      <c r="P55" s="551">
        <f>IF((P43=1),Thermostat!$B$9,Thermostat!$B$10)</f>
        <v>78</v>
      </c>
      <c r="Q55" s="551">
        <f>IF((Q43=1),Thermostat!$B$9,Thermostat!$B$10)</f>
        <v>78</v>
      </c>
      <c r="R55" s="551">
        <f>IF((R43=1),Thermostat!$B$9,Thermostat!$B$10)</f>
        <v>78</v>
      </c>
      <c r="S55" s="551">
        <f>IF((S43=1),Thermostat!$B$9,Thermostat!$B$10)</f>
        <v>78</v>
      </c>
      <c r="T55" s="551">
        <f>IF((T43=1),Thermostat!$B$9,Thermostat!$B$10)</f>
        <v>78</v>
      </c>
      <c r="U55" s="551">
        <f>IF((U43=1),Thermostat!$B$9,Thermostat!$B$10)</f>
        <v>78</v>
      </c>
      <c r="V55" s="551">
        <f>IF((V43=1),Thermostat!$B$9,Thermostat!$B$10)</f>
        <v>78</v>
      </c>
      <c r="W55" s="551">
        <f>IF((W43=1),Thermostat!$B$9,Thermostat!$B$10)</f>
        <v>78</v>
      </c>
      <c r="X55" s="551">
        <f>IF((X43=1),Thermostat!$B$9,Thermostat!$B$10)</f>
        <v>78</v>
      </c>
      <c r="Y55" s="551">
        <f>IF((Y43=1),Thermostat!$B$9,Thermostat!$B$10)</f>
        <v>78</v>
      </c>
      <c r="Z55" s="551">
        <f>IF((Z43=1),Thermostat!$B$9,Thermostat!$B$10)</f>
        <v>78</v>
      </c>
      <c r="AA55" s="551">
        <f>IF((AA43=1),Thermostat!$B$9,Thermostat!$B$10)</f>
        <v>78</v>
      </c>
      <c r="AB55" s="551">
        <f>IF((AB43=1),Thermostat!$B$9,Thermostat!$B$10)</f>
        <v>78</v>
      </c>
      <c r="AC55" s="498">
        <f>IF((AC43=1),Thermostat!$B$9,Thermostat!$B$10)</f>
        <v>78</v>
      </c>
    </row>
    <row r="56" spans="1:29" ht="25.15" customHeight="1" thickBot="1">
      <c r="A56" s="721" t="s">
        <v>124</v>
      </c>
      <c r="B56" s="721"/>
      <c r="C56" s="721" t="s">
        <v>641</v>
      </c>
      <c r="D56" s="721"/>
      <c r="E56" s="753"/>
      <c r="F56" s="753"/>
      <c r="G56" s="753"/>
      <c r="H56" s="753"/>
      <c r="I56" s="753"/>
      <c r="J56" s="753"/>
      <c r="K56" s="753"/>
      <c r="L56" s="753"/>
      <c r="M56" s="753"/>
      <c r="N56" s="753"/>
      <c r="O56" s="753"/>
      <c r="P56" s="753"/>
      <c r="Q56" s="753"/>
      <c r="R56" s="753"/>
      <c r="S56" s="753"/>
      <c r="T56" s="753"/>
      <c r="U56" s="753"/>
      <c r="V56" s="753"/>
      <c r="W56" s="753"/>
      <c r="X56" s="753"/>
      <c r="Y56" s="753"/>
      <c r="Z56" s="753"/>
      <c r="AA56" s="753"/>
      <c r="AB56" s="753"/>
      <c r="AC56" s="754"/>
    </row>
    <row r="57" spans="1:29" ht="34.15" customHeight="1">
      <c r="A57" s="723" t="s">
        <v>202</v>
      </c>
      <c r="B57" s="746" t="s">
        <v>124</v>
      </c>
      <c r="C57" s="705" t="s">
        <v>626</v>
      </c>
      <c r="D57" s="707" t="s">
        <v>642</v>
      </c>
      <c r="E57" s="369" t="s">
        <v>359</v>
      </c>
      <c r="F57" s="361">
        <v>0.9</v>
      </c>
      <c r="G57" s="361">
        <v>0.9</v>
      </c>
      <c r="H57" s="361">
        <v>0.9</v>
      </c>
      <c r="I57" s="361">
        <v>0.9</v>
      </c>
      <c r="J57" s="361">
        <v>0.9</v>
      </c>
      <c r="K57" s="361">
        <v>0.9</v>
      </c>
      <c r="L57" s="361">
        <v>0.7</v>
      </c>
      <c r="M57" s="361">
        <v>0.4</v>
      </c>
      <c r="N57" s="361">
        <v>0.4</v>
      </c>
      <c r="O57" s="361">
        <v>0.2</v>
      </c>
      <c r="P57" s="361">
        <v>0.2</v>
      </c>
      <c r="Q57" s="361">
        <v>0.2</v>
      </c>
      <c r="R57" s="361">
        <v>0.2</v>
      </c>
      <c r="S57" s="361">
        <v>0.2</v>
      </c>
      <c r="T57" s="361">
        <v>0.2</v>
      </c>
      <c r="U57" s="361">
        <v>0.3</v>
      </c>
      <c r="V57" s="361">
        <v>0.5</v>
      </c>
      <c r="W57" s="361">
        <v>0.5</v>
      </c>
      <c r="X57" s="361">
        <v>0.5</v>
      </c>
      <c r="Y57" s="361">
        <v>0.7</v>
      </c>
      <c r="Z57" s="361">
        <v>0.7</v>
      </c>
      <c r="AA57" s="361">
        <v>0.8</v>
      </c>
      <c r="AB57" s="361">
        <v>0.9</v>
      </c>
      <c r="AC57" s="362">
        <v>0.9</v>
      </c>
    </row>
    <row r="58" spans="1:29" ht="34.15" customHeight="1">
      <c r="A58" s="724"/>
      <c r="B58" s="742"/>
      <c r="C58" s="681"/>
      <c r="D58" s="684"/>
      <c r="E58" s="359" t="s">
        <v>360</v>
      </c>
      <c r="F58" s="358">
        <v>0.9</v>
      </c>
      <c r="G58" s="358">
        <v>0.9</v>
      </c>
      <c r="H58" s="358">
        <v>0.9</v>
      </c>
      <c r="I58" s="358">
        <v>0.9</v>
      </c>
      <c r="J58" s="358">
        <v>0.9</v>
      </c>
      <c r="K58" s="358">
        <v>0.9</v>
      </c>
      <c r="L58" s="358">
        <v>0.7</v>
      </c>
      <c r="M58" s="358">
        <v>0.4</v>
      </c>
      <c r="N58" s="358">
        <v>0.4</v>
      </c>
      <c r="O58" s="358">
        <v>0.2</v>
      </c>
      <c r="P58" s="358">
        <v>0.2</v>
      </c>
      <c r="Q58" s="358">
        <v>0.2</v>
      </c>
      <c r="R58" s="358">
        <v>0.2</v>
      </c>
      <c r="S58" s="358">
        <v>0.2</v>
      </c>
      <c r="T58" s="358">
        <v>0.2</v>
      </c>
      <c r="U58" s="358">
        <v>0.3</v>
      </c>
      <c r="V58" s="358">
        <v>0.5</v>
      </c>
      <c r="W58" s="358">
        <v>0.5</v>
      </c>
      <c r="X58" s="358">
        <v>0.5</v>
      </c>
      <c r="Y58" s="358">
        <v>0.7</v>
      </c>
      <c r="Z58" s="358">
        <v>0.7</v>
      </c>
      <c r="AA58" s="358">
        <v>0.8</v>
      </c>
      <c r="AB58" s="358">
        <v>0.9</v>
      </c>
      <c r="AC58" s="363">
        <v>0.9</v>
      </c>
    </row>
    <row r="59" spans="1:29" ht="34.15" customHeight="1" thickBot="1">
      <c r="A59" s="725"/>
      <c r="B59" s="744"/>
      <c r="C59" s="717"/>
      <c r="D59" s="718"/>
      <c r="E59" s="370" t="s">
        <v>361</v>
      </c>
      <c r="F59" s="366">
        <v>0.9</v>
      </c>
      <c r="G59" s="366">
        <v>0.9</v>
      </c>
      <c r="H59" s="366">
        <v>0.9</v>
      </c>
      <c r="I59" s="366">
        <v>0.9</v>
      </c>
      <c r="J59" s="366">
        <v>0.9</v>
      </c>
      <c r="K59" s="366">
        <v>0.9</v>
      </c>
      <c r="L59" s="366">
        <v>0.7</v>
      </c>
      <c r="M59" s="366">
        <v>0.4</v>
      </c>
      <c r="N59" s="366">
        <v>0.4</v>
      </c>
      <c r="O59" s="366">
        <v>0.2</v>
      </c>
      <c r="P59" s="366">
        <v>0.2</v>
      </c>
      <c r="Q59" s="366">
        <v>0.2</v>
      </c>
      <c r="R59" s="366">
        <v>0.2</v>
      </c>
      <c r="S59" s="366">
        <v>0.2</v>
      </c>
      <c r="T59" s="366">
        <v>0.2</v>
      </c>
      <c r="U59" s="366">
        <v>0.3</v>
      </c>
      <c r="V59" s="366">
        <v>0.5</v>
      </c>
      <c r="W59" s="366">
        <v>0.5</v>
      </c>
      <c r="X59" s="366">
        <v>0.5</v>
      </c>
      <c r="Y59" s="366">
        <v>0.7</v>
      </c>
      <c r="Z59" s="366">
        <v>0.7</v>
      </c>
      <c r="AA59" s="366">
        <v>0.8</v>
      </c>
      <c r="AB59" s="366">
        <v>0.9</v>
      </c>
      <c r="AC59" s="367">
        <v>0.9</v>
      </c>
    </row>
    <row r="60" spans="1:29" ht="34.15" customHeight="1">
      <c r="A60" s="757" t="str">
        <f>A57</f>
        <v>Guest Rooms</v>
      </c>
      <c r="B60" s="741" t="s">
        <v>124</v>
      </c>
      <c r="C60" s="676" t="s">
        <v>629</v>
      </c>
      <c r="D60" s="707" t="s">
        <v>642</v>
      </c>
      <c r="E60" s="369" t="s">
        <v>359</v>
      </c>
      <c r="F60" s="361">
        <v>0.1</v>
      </c>
      <c r="G60" s="361">
        <v>0.1</v>
      </c>
      <c r="H60" s="361">
        <v>0.1</v>
      </c>
      <c r="I60" s="361">
        <v>0.1</v>
      </c>
      <c r="J60" s="361">
        <v>0.1</v>
      </c>
      <c r="K60" s="361">
        <v>0.3</v>
      </c>
      <c r="L60" s="361">
        <v>0.45</v>
      </c>
      <c r="M60" s="361">
        <v>0.45</v>
      </c>
      <c r="N60" s="361">
        <v>0.45</v>
      </c>
      <c r="O60" s="361">
        <v>0.45</v>
      </c>
      <c r="P60" s="361">
        <v>0.3</v>
      </c>
      <c r="Q60" s="361">
        <v>0.3</v>
      </c>
      <c r="R60" s="361">
        <v>0.3</v>
      </c>
      <c r="S60" s="361">
        <v>0.3</v>
      </c>
      <c r="T60" s="361">
        <v>0.3</v>
      </c>
      <c r="U60" s="361">
        <v>0.3</v>
      </c>
      <c r="V60" s="361">
        <v>0.3</v>
      </c>
      <c r="W60" s="361">
        <v>0.3</v>
      </c>
      <c r="X60" s="361">
        <v>0.6</v>
      </c>
      <c r="Y60" s="361">
        <v>0.8</v>
      </c>
      <c r="Z60" s="361">
        <v>0.9</v>
      </c>
      <c r="AA60" s="361">
        <v>0.8</v>
      </c>
      <c r="AB60" s="361">
        <v>0.6</v>
      </c>
      <c r="AC60" s="362">
        <v>0.3</v>
      </c>
    </row>
    <row r="61" spans="1:29" ht="34.15" customHeight="1">
      <c r="A61" s="724"/>
      <c r="B61" s="742"/>
      <c r="C61" s="681"/>
      <c r="D61" s="684"/>
      <c r="E61" s="359" t="s">
        <v>360</v>
      </c>
      <c r="F61" s="358">
        <v>0.1</v>
      </c>
      <c r="G61" s="358">
        <v>0.1</v>
      </c>
      <c r="H61" s="358">
        <v>0.1</v>
      </c>
      <c r="I61" s="358">
        <v>0.1</v>
      </c>
      <c r="J61" s="358">
        <v>0.1</v>
      </c>
      <c r="K61" s="358">
        <v>0.3</v>
      </c>
      <c r="L61" s="358">
        <v>0.45</v>
      </c>
      <c r="M61" s="358">
        <v>0.45</v>
      </c>
      <c r="N61" s="358">
        <v>0.45</v>
      </c>
      <c r="O61" s="358">
        <v>0.45</v>
      </c>
      <c r="P61" s="358">
        <v>0.3</v>
      </c>
      <c r="Q61" s="358">
        <v>0.3</v>
      </c>
      <c r="R61" s="358">
        <v>0.3</v>
      </c>
      <c r="S61" s="358">
        <v>0.3</v>
      </c>
      <c r="T61" s="358">
        <v>0.3</v>
      </c>
      <c r="U61" s="358">
        <v>0.3</v>
      </c>
      <c r="V61" s="358">
        <v>0.3</v>
      </c>
      <c r="W61" s="358">
        <v>0.3</v>
      </c>
      <c r="X61" s="358">
        <v>0.6</v>
      </c>
      <c r="Y61" s="358">
        <v>0.8</v>
      </c>
      <c r="Z61" s="358">
        <v>0.9</v>
      </c>
      <c r="AA61" s="358">
        <v>0.8</v>
      </c>
      <c r="AB61" s="358">
        <v>0.6</v>
      </c>
      <c r="AC61" s="363">
        <v>0.3</v>
      </c>
    </row>
    <row r="62" spans="1:29" ht="34.15" customHeight="1" thickBot="1">
      <c r="A62" s="725"/>
      <c r="B62" s="744"/>
      <c r="C62" s="717"/>
      <c r="D62" s="718"/>
      <c r="E62" s="370" t="s">
        <v>361</v>
      </c>
      <c r="F62" s="366">
        <v>0.1</v>
      </c>
      <c r="G62" s="366">
        <v>0.1</v>
      </c>
      <c r="H62" s="366">
        <v>0.1</v>
      </c>
      <c r="I62" s="366">
        <v>0.1</v>
      </c>
      <c r="J62" s="366">
        <v>0.1</v>
      </c>
      <c r="K62" s="366">
        <v>0.3</v>
      </c>
      <c r="L62" s="366">
        <v>0.45</v>
      </c>
      <c r="M62" s="366">
        <v>0.45</v>
      </c>
      <c r="N62" s="366">
        <v>0.45</v>
      </c>
      <c r="O62" s="366">
        <v>0.45</v>
      </c>
      <c r="P62" s="366">
        <v>0.3</v>
      </c>
      <c r="Q62" s="366">
        <v>0.3</v>
      </c>
      <c r="R62" s="366">
        <v>0.3</v>
      </c>
      <c r="S62" s="366">
        <v>0.3</v>
      </c>
      <c r="T62" s="366">
        <v>0.3</v>
      </c>
      <c r="U62" s="366">
        <v>0.3</v>
      </c>
      <c r="V62" s="366">
        <v>0.3</v>
      </c>
      <c r="W62" s="366">
        <v>0.3</v>
      </c>
      <c r="X62" s="366">
        <v>0.6</v>
      </c>
      <c r="Y62" s="366">
        <v>0.8</v>
      </c>
      <c r="Z62" s="366">
        <v>0.9</v>
      </c>
      <c r="AA62" s="366">
        <v>0.8</v>
      </c>
      <c r="AB62" s="366">
        <v>0.6</v>
      </c>
      <c r="AC62" s="367">
        <v>0.3</v>
      </c>
    </row>
    <row r="63" spans="1:29" ht="34.15" customHeight="1">
      <c r="A63" s="757" t="str">
        <f>A57</f>
        <v>Guest Rooms</v>
      </c>
      <c r="B63" s="741" t="s">
        <v>124</v>
      </c>
      <c r="C63" s="676" t="s">
        <v>643</v>
      </c>
      <c r="D63" s="767" t="s">
        <v>471</v>
      </c>
      <c r="E63" s="369" t="s">
        <v>359</v>
      </c>
      <c r="F63" s="361">
        <v>0.1</v>
      </c>
      <c r="G63" s="361">
        <v>0.1</v>
      </c>
      <c r="H63" s="361">
        <v>0.1</v>
      </c>
      <c r="I63" s="361">
        <v>0.1</v>
      </c>
      <c r="J63" s="361">
        <v>0.1</v>
      </c>
      <c r="K63" s="361">
        <v>0.3</v>
      </c>
      <c r="L63" s="361">
        <v>0.45</v>
      </c>
      <c r="M63" s="361">
        <v>0.45</v>
      </c>
      <c r="N63" s="361">
        <v>0.45</v>
      </c>
      <c r="O63" s="361">
        <v>0.45</v>
      </c>
      <c r="P63" s="361">
        <v>0.2</v>
      </c>
      <c r="Q63" s="361">
        <v>0.2</v>
      </c>
      <c r="R63" s="361">
        <v>0.2</v>
      </c>
      <c r="S63" s="361">
        <v>0.2</v>
      </c>
      <c r="T63" s="361">
        <v>0.2</v>
      </c>
      <c r="U63" s="361">
        <v>0.2</v>
      </c>
      <c r="V63" s="361">
        <v>0.2</v>
      </c>
      <c r="W63" s="361">
        <v>0.2</v>
      </c>
      <c r="X63" s="361">
        <v>0.4</v>
      </c>
      <c r="Y63" s="361">
        <v>0.5</v>
      </c>
      <c r="Z63" s="361">
        <v>0.6</v>
      </c>
      <c r="AA63" s="361">
        <v>0.5</v>
      </c>
      <c r="AB63" s="361">
        <v>0.4</v>
      </c>
      <c r="AC63" s="362">
        <v>0.25</v>
      </c>
    </row>
    <row r="64" spans="1:29" ht="34.15" customHeight="1">
      <c r="A64" s="724"/>
      <c r="B64" s="742"/>
      <c r="C64" s="681"/>
      <c r="D64" s="768"/>
      <c r="E64" s="359" t="s">
        <v>360</v>
      </c>
      <c r="F64" s="358">
        <f>F63</f>
        <v>0.1</v>
      </c>
      <c r="G64" s="358">
        <f t="shared" ref="G64:AC64" si="0">G63</f>
        <v>0.1</v>
      </c>
      <c r="H64" s="358">
        <f t="shared" si="0"/>
        <v>0.1</v>
      </c>
      <c r="I64" s="358">
        <f t="shared" si="0"/>
        <v>0.1</v>
      </c>
      <c r="J64" s="358">
        <f t="shared" si="0"/>
        <v>0.1</v>
      </c>
      <c r="K64" s="358">
        <f t="shared" si="0"/>
        <v>0.3</v>
      </c>
      <c r="L64" s="358">
        <f t="shared" si="0"/>
        <v>0.45</v>
      </c>
      <c r="M64" s="358">
        <f t="shared" si="0"/>
        <v>0.45</v>
      </c>
      <c r="N64" s="358">
        <f t="shared" si="0"/>
        <v>0.45</v>
      </c>
      <c r="O64" s="358">
        <f t="shared" si="0"/>
        <v>0.45</v>
      </c>
      <c r="P64" s="358">
        <f t="shared" si="0"/>
        <v>0.2</v>
      </c>
      <c r="Q64" s="358">
        <f t="shared" si="0"/>
        <v>0.2</v>
      </c>
      <c r="R64" s="358">
        <f t="shared" si="0"/>
        <v>0.2</v>
      </c>
      <c r="S64" s="358">
        <f t="shared" si="0"/>
        <v>0.2</v>
      </c>
      <c r="T64" s="358">
        <f t="shared" si="0"/>
        <v>0.2</v>
      </c>
      <c r="U64" s="358">
        <f t="shared" si="0"/>
        <v>0.2</v>
      </c>
      <c r="V64" s="358">
        <f t="shared" si="0"/>
        <v>0.2</v>
      </c>
      <c r="W64" s="358">
        <f t="shared" si="0"/>
        <v>0.2</v>
      </c>
      <c r="X64" s="358">
        <f t="shared" si="0"/>
        <v>0.4</v>
      </c>
      <c r="Y64" s="358">
        <f t="shared" si="0"/>
        <v>0.5</v>
      </c>
      <c r="Z64" s="358">
        <f t="shared" si="0"/>
        <v>0.6</v>
      </c>
      <c r="AA64" s="358">
        <f t="shared" si="0"/>
        <v>0.5</v>
      </c>
      <c r="AB64" s="358">
        <f t="shared" si="0"/>
        <v>0.4</v>
      </c>
      <c r="AC64" s="363">
        <f t="shared" si="0"/>
        <v>0.25</v>
      </c>
    </row>
    <row r="65" spans="1:29" ht="34.15" customHeight="1" thickBot="1">
      <c r="A65" s="756"/>
      <c r="B65" s="744"/>
      <c r="C65" s="682"/>
      <c r="D65" s="769"/>
      <c r="E65" s="371" t="s">
        <v>361</v>
      </c>
      <c r="F65" s="364">
        <f>F63</f>
        <v>0.1</v>
      </c>
      <c r="G65" s="364">
        <f t="shared" ref="G65:AC65" si="1">G63</f>
        <v>0.1</v>
      </c>
      <c r="H65" s="364">
        <f t="shared" si="1"/>
        <v>0.1</v>
      </c>
      <c r="I65" s="364">
        <f t="shared" si="1"/>
        <v>0.1</v>
      </c>
      <c r="J65" s="364">
        <f t="shared" si="1"/>
        <v>0.1</v>
      </c>
      <c r="K65" s="364">
        <f t="shared" si="1"/>
        <v>0.3</v>
      </c>
      <c r="L65" s="364">
        <f t="shared" si="1"/>
        <v>0.45</v>
      </c>
      <c r="M65" s="364">
        <f t="shared" si="1"/>
        <v>0.45</v>
      </c>
      <c r="N65" s="364">
        <f t="shared" si="1"/>
        <v>0.45</v>
      </c>
      <c r="O65" s="364">
        <f t="shared" si="1"/>
        <v>0.45</v>
      </c>
      <c r="P65" s="364">
        <f t="shared" si="1"/>
        <v>0.2</v>
      </c>
      <c r="Q65" s="364">
        <f t="shared" si="1"/>
        <v>0.2</v>
      </c>
      <c r="R65" s="364">
        <f t="shared" si="1"/>
        <v>0.2</v>
      </c>
      <c r="S65" s="364">
        <f t="shared" si="1"/>
        <v>0.2</v>
      </c>
      <c r="T65" s="364">
        <f t="shared" si="1"/>
        <v>0.2</v>
      </c>
      <c r="U65" s="364">
        <f t="shared" si="1"/>
        <v>0.2</v>
      </c>
      <c r="V65" s="364">
        <f t="shared" si="1"/>
        <v>0.2</v>
      </c>
      <c r="W65" s="364">
        <f t="shared" si="1"/>
        <v>0.2</v>
      </c>
      <c r="X65" s="364">
        <f t="shared" si="1"/>
        <v>0.4</v>
      </c>
      <c r="Y65" s="364">
        <f t="shared" si="1"/>
        <v>0.5</v>
      </c>
      <c r="Z65" s="364">
        <f t="shared" si="1"/>
        <v>0.6</v>
      </c>
      <c r="AA65" s="364">
        <f t="shared" si="1"/>
        <v>0.5</v>
      </c>
      <c r="AB65" s="364">
        <f t="shared" si="1"/>
        <v>0.4</v>
      </c>
      <c r="AC65" s="365">
        <f t="shared" si="1"/>
        <v>0.25</v>
      </c>
    </row>
    <row r="66" spans="1:29" ht="23.45" customHeight="1">
      <c r="A66" s="755" t="str">
        <f>A57</f>
        <v>Guest Rooms</v>
      </c>
      <c r="B66" s="741" t="s">
        <v>124</v>
      </c>
      <c r="C66" s="680" t="s">
        <v>632</v>
      </c>
      <c r="D66" s="707" t="s">
        <v>642</v>
      </c>
      <c r="E66" s="372" t="s">
        <v>359</v>
      </c>
      <c r="F66" s="360">
        <v>1</v>
      </c>
      <c r="G66" s="360">
        <v>1</v>
      </c>
      <c r="H66" s="360">
        <v>1</v>
      </c>
      <c r="I66" s="360">
        <v>1</v>
      </c>
      <c r="J66" s="360">
        <v>1</v>
      </c>
      <c r="K66" s="360">
        <v>1</v>
      </c>
      <c r="L66" s="360">
        <v>1</v>
      </c>
      <c r="M66" s="360">
        <v>1</v>
      </c>
      <c r="N66" s="360">
        <v>1</v>
      </c>
      <c r="O66" s="360">
        <v>1</v>
      </c>
      <c r="P66" s="360">
        <v>1</v>
      </c>
      <c r="Q66" s="360">
        <v>1</v>
      </c>
      <c r="R66" s="360">
        <v>1</v>
      </c>
      <c r="S66" s="360">
        <v>1</v>
      </c>
      <c r="T66" s="360">
        <v>1</v>
      </c>
      <c r="U66" s="360">
        <v>1</v>
      </c>
      <c r="V66" s="360">
        <v>1</v>
      </c>
      <c r="W66" s="360">
        <v>1</v>
      </c>
      <c r="X66" s="360">
        <v>1</v>
      </c>
      <c r="Y66" s="360">
        <v>1</v>
      </c>
      <c r="Z66" s="360">
        <v>1</v>
      </c>
      <c r="AA66" s="360">
        <v>1</v>
      </c>
      <c r="AB66" s="360">
        <v>1</v>
      </c>
      <c r="AC66" s="368">
        <v>1</v>
      </c>
    </row>
    <row r="67" spans="1:29" ht="34.15" customHeight="1">
      <c r="A67" s="724"/>
      <c r="B67" s="742"/>
      <c r="C67" s="681"/>
      <c r="D67" s="684"/>
      <c r="E67" s="359" t="s">
        <v>360</v>
      </c>
      <c r="F67" s="358">
        <v>1</v>
      </c>
      <c r="G67" s="358">
        <v>1</v>
      </c>
      <c r="H67" s="358">
        <v>1</v>
      </c>
      <c r="I67" s="358">
        <v>1</v>
      </c>
      <c r="J67" s="358">
        <v>1</v>
      </c>
      <c r="K67" s="358">
        <v>1</v>
      </c>
      <c r="L67" s="358">
        <v>1</v>
      </c>
      <c r="M67" s="358">
        <v>1</v>
      </c>
      <c r="N67" s="358">
        <v>1</v>
      </c>
      <c r="O67" s="358">
        <v>1</v>
      </c>
      <c r="P67" s="358">
        <v>1</v>
      </c>
      <c r="Q67" s="358">
        <v>1</v>
      </c>
      <c r="R67" s="358">
        <v>1</v>
      </c>
      <c r="S67" s="358">
        <v>1</v>
      </c>
      <c r="T67" s="358">
        <v>1</v>
      </c>
      <c r="U67" s="358">
        <v>1</v>
      </c>
      <c r="V67" s="358">
        <v>1</v>
      </c>
      <c r="W67" s="358">
        <v>1</v>
      </c>
      <c r="X67" s="358">
        <v>1</v>
      </c>
      <c r="Y67" s="358">
        <v>1</v>
      </c>
      <c r="Z67" s="358">
        <v>1</v>
      </c>
      <c r="AA67" s="358">
        <v>1</v>
      </c>
      <c r="AB67" s="358">
        <v>1</v>
      </c>
      <c r="AC67" s="363">
        <v>1</v>
      </c>
    </row>
    <row r="68" spans="1:29" ht="34.15" customHeight="1" thickBot="1">
      <c r="A68" s="756"/>
      <c r="B68" s="744"/>
      <c r="C68" s="682"/>
      <c r="D68" s="718"/>
      <c r="E68" s="371" t="s">
        <v>361</v>
      </c>
      <c r="F68" s="364">
        <v>1</v>
      </c>
      <c r="G68" s="364">
        <v>1</v>
      </c>
      <c r="H68" s="364">
        <v>1</v>
      </c>
      <c r="I68" s="364">
        <v>1</v>
      </c>
      <c r="J68" s="364">
        <v>1</v>
      </c>
      <c r="K68" s="364">
        <v>1</v>
      </c>
      <c r="L68" s="364">
        <v>1</v>
      </c>
      <c r="M68" s="364">
        <v>1</v>
      </c>
      <c r="N68" s="364">
        <v>1</v>
      </c>
      <c r="O68" s="364">
        <v>1</v>
      </c>
      <c r="P68" s="364">
        <v>1</v>
      </c>
      <c r="Q68" s="364">
        <v>1</v>
      </c>
      <c r="R68" s="364">
        <v>1</v>
      </c>
      <c r="S68" s="364">
        <v>1</v>
      </c>
      <c r="T68" s="364">
        <v>1</v>
      </c>
      <c r="U68" s="364">
        <v>1</v>
      </c>
      <c r="V68" s="364">
        <v>1</v>
      </c>
      <c r="W68" s="364">
        <v>1</v>
      </c>
      <c r="X68" s="364">
        <v>1</v>
      </c>
      <c r="Y68" s="364">
        <v>1</v>
      </c>
      <c r="Z68" s="364">
        <v>1</v>
      </c>
      <c r="AA68" s="364">
        <v>1</v>
      </c>
      <c r="AB68" s="364">
        <v>1</v>
      </c>
      <c r="AC68" s="365">
        <v>1</v>
      </c>
    </row>
    <row r="69" spans="1:29" ht="34.15" customHeight="1">
      <c r="A69" s="757" t="str">
        <f>A57</f>
        <v>Guest Rooms</v>
      </c>
      <c r="B69" s="741" t="s">
        <v>124</v>
      </c>
      <c r="C69" s="680" t="s">
        <v>633</v>
      </c>
      <c r="D69" s="707" t="s">
        <v>642</v>
      </c>
      <c r="E69" s="372" t="s">
        <v>359</v>
      </c>
      <c r="F69" s="360">
        <v>0.13100000000000001</v>
      </c>
      <c r="G69" s="360">
        <v>7.4999999999999997E-2</v>
      </c>
      <c r="H69" s="360">
        <v>8.4000000000000005E-2</v>
      </c>
      <c r="I69" s="360">
        <v>0.10299999999999999</v>
      </c>
      <c r="J69" s="360">
        <v>0.187</v>
      </c>
      <c r="K69" s="360">
        <v>0.41099999999999998</v>
      </c>
      <c r="L69" s="360">
        <v>0.83199999999999996</v>
      </c>
      <c r="M69" s="360">
        <v>1</v>
      </c>
      <c r="N69" s="360">
        <v>0.83199999999999996</v>
      </c>
      <c r="O69" s="360">
        <v>0.61699999999999999</v>
      </c>
      <c r="P69" s="360">
        <v>0.48599999999999999</v>
      </c>
      <c r="Q69" s="360">
        <v>0.35499999999999998</v>
      </c>
      <c r="R69" s="360">
        <v>0.33600000000000002</v>
      </c>
      <c r="S69" s="360">
        <v>0.308</v>
      </c>
      <c r="T69" s="360">
        <v>0.29899999999999999</v>
      </c>
      <c r="U69" s="360">
        <v>0.24299999999999999</v>
      </c>
      <c r="V69" s="360">
        <v>0.39300000000000002</v>
      </c>
      <c r="W69" s="360">
        <v>0.44900000000000001</v>
      </c>
      <c r="X69" s="360">
        <v>0.48599999999999999</v>
      </c>
      <c r="Y69" s="360">
        <v>0.439</v>
      </c>
      <c r="Z69" s="360">
        <v>0.39300000000000002</v>
      </c>
      <c r="AA69" s="360">
        <v>0.36399999999999999</v>
      </c>
      <c r="AB69" s="360">
        <v>0.33600000000000002</v>
      </c>
      <c r="AC69" s="368">
        <v>0.20599999999999999</v>
      </c>
    </row>
    <row r="70" spans="1:29" ht="34.15" customHeight="1">
      <c r="A70" s="724"/>
      <c r="B70" s="742"/>
      <c r="C70" s="681"/>
      <c r="D70" s="684"/>
      <c r="E70" s="359" t="s">
        <v>360</v>
      </c>
      <c r="F70" s="358">
        <v>0.217</v>
      </c>
      <c r="G70" s="358">
        <v>0.12</v>
      </c>
      <c r="H70" s="358">
        <v>0.108</v>
      </c>
      <c r="I70" s="358">
        <v>9.6000000000000002E-2</v>
      </c>
      <c r="J70" s="358">
        <v>0.18099999999999999</v>
      </c>
      <c r="K70" s="358">
        <v>0.27700000000000002</v>
      </c>
      <c r="L70" s="358">
        <v>0.313</v>
      </c>
      <c r="M70" s="358">
        <v>0.56599999999999995</v>
      </c>
      <c r="N70" s="358">
        <v>0.92800000000000005</v>
      </c>
      <c r="O70" s="358">
        <v>1</v>
      </c>
      <c r="P70" s="358">
        <v>0.89200000000000002</v>
      </c>
      <c r="Q70" s="358">
        <v>0.73499999999999999</v>
      </c>
      <c r="R70" s="358">
        <v>0.61399999999999999</v>
      </c>
      <c r="S70" s="358">
        <v>0.51800000000000002</v>
      </c>
      <c r="T70" s="358">
        <v>0.47</v>
      </c>
      <c r="U70" s="358">
        <v>0.47</v>
      </c>
      <c r="V70" s="358">
        <v>0.627</v>
      </c>
      <c r="W70" s="358">
        <v>0.69899999999999995</v>
      </c>
      <c r="X70" s="358">
        <v>0.67500000000000004</v>
      </c>
      <c r="Y70" s="358">
        <v>0.627</v>
      </c>
      <c r="Z70" s="358">
        <v>0.56599999999999995</v>
      </c>
      <c r="AA70" s="358">
        <v>0.53</v>
      </c>
      <c r="AB70" s="358">
        <v>0.48199999999999998</v>
      </c>
      <c r="AC70" s="363">
        <v>0.33700000000000002</v>
      </c>
    </row>
    <row r="71" spans="1:29" ht="34.15" customHeight="1" thickBot="1">
      <c r="A71" s="756"/>
      <c r="B71" s="744"/>
      <c r="C71" s="682"/>
      <c r="D71" s="718"/>
      <c r="E71" s="371" t="s">
        <v>361</v>
      </c>
      <c r="F71" s="364">
        <v>0.217</v>
      </c>
      <c r="G71" s="364">
        <v>0.12</v>
      </c>
      <c r="H71" s="364">
        <v>0.108</v>
      </c>
      <c r="I71" s="364">
        <v>9.6000000000000002E-2</v>
      </c>
      <c r="J71" s="364">
        <v>0.18099999999999999</v>
      </c>
      <c r="K71" s="364">
        <v>0.27700000000000002</v>
      </c>
      <c r="L71" s="364">
        <v>0.313</v>
      </c>
      <c r="M71" s="364">
        <v>0.56599999999999995</v>
      </c>
      <c r="N71" s="364">
        <v>0.92800000000000005</v>
      </c>
      <c r="O71" s="364">
        <v>1</v>
      </c>
      <c r="P71" s="364">
        <v>0.89200000000000002</v>
      </c>
      <c r="Q71" s="364">
        <v>0.73499999999999999</v>
      </c>
      <c r="R71" s="364">
        <v>0.61399999999999999</v>
      </c>
      <c r="S71" s="364">
        <v>0.51800000000000002</v>
      </c>
      <c r="T71" s="364">
        <v>0.47</v>
      </c>
      <c r="U71" s="364">
        <v>0.47</v>
      </c>
      <c r="V71" s="364">
        <v>0.627</v>
      </c>
      <c r="W71" s="364">
        <v>0.69899999999999995</v>
      </c>
      <c r="X71" s="364">
        <v>0.67500000000000004</v>
      </c>
      <c r="Y71" s="364">
        <v>0.627</v>
      </c>
      <c r="Z71" s="364">
        <v>0.56599999999999995</v>
      </c>
      <c r="AA71" s="364">
        <v>0.53</v>
      </c>
      <c r="AB71" s="364">
        <v>0.48199999999999998</v>
      </c>
      <c r="AC71" s="365">
        <v>0.33700000000000002</v>
      </c>
    </row>
    <row r="72" spans="1:29" ht="34.15" customHeight="1">
      <c r="A72" s="757" t="str">
        <f>A57</f>
        <v>Guest Rooms</v>
      </c>
      <c r="B72" s="741" t="s">
        <v>124</v>
      </c>
      <c r="C72" s="676" t="s">
        <v>326</v>
      </c>
      <c r="D72" s="707" t="s">
        <v>642</v>
      </c>
      <c r="E72" s="369" t="s">
        <v>359</v>
      </c>
      <c r="F72" s="361">
        <v>1</v>
      </c>
      <c r="G72" s="361">
        <v>1</v>
      </c>
      <c r="H72" s="361">
        <v>1</v>
      </c>
      <c r="I72" s="361">
        <v>1</v>
      </c>
      <c r="J72" s="361">
        <v>1</v>
      </c>
      <c r="K72" s="361">
        <v>1</v>
      </c>
      <c r="L72" s="361">
        <v>1</v>
      </c>
      <c r="M72" s="361">
        <v>1</v>
      </c>
      <c r="N72" s="361">
        <v>1</v>
      </c>
      <c r="O72" s="361">
        <v>1</v>
      </c>
      <c r="P72" s="361">
        <v>1</v>
      </c>
      <c r="Q72" s="361">
        <v>1</v>
      </c>
      <c r="R72" s="361">
        <v>1</v>
      </c>
      <c r="S72" s="361">
        <v>1</v>
      </c>
      <c r="T72" s="361">
        <v>1</v>
      </c>
      <c r="U72" s="361">
        <v>1</v>
      </c>
      <c r="V72" s="361">
        <v>1</v>
      </c>
      <c r="W72" s="361">
        <v>1</v>
      </c>
      <c r="X72" s="361">
        <v>1</v>
      </c>
      <c r="Y72" s="361">
        <v>1</v>
      </c>
      <c r="Z72" s="361">
        <v>1</v>
      </c>
      <c r="AA72" s="361">
        <v>1</v>
      </c>
      <c r="AB72" s="361">
        <v>1</v>
      </c>
      <c r="AC72" s="362">
        <v>1</v>
      </c>
    </row>
    <row r="73" spans="1:29" ht="34.15" customHeight="1">
      <c r="A73" s="724"/>
      <c r="B73" s="742"/>
      <c r="C73" s="681"/>
      <c r="D73" s="684"/>
      <c r="E73" s="359" t="s">
        <v>360</v>
      </c>
      <c r="F73" s="358">
        <v>1</v>
      </c>
      <c r="G73" s="358">
        <v>1</v>
      </c>
      <c r="H73" s="358">
        <v>1</v>
      </c>
      <c r="I73" s="358">
        <v>1</v>
      </c>
      <c r="J73" s="358">
        <v>1</v>
      </c>
      <c r="K73" s="358">
        <v>1</v>
      </c>
      <c r="L73" s="358">
        <v>1</v>
      </c>
      <c r="M73" s="358">
        <v>1</v>
      </c>
      <c r="N73" s="358">
        <v>1</v>
      </c>
      <c r="O73" s="358">
        <v>1</v>
      </c>
      <c r="P73" s="358">
        <v>1</v>
      </c>
      <c r="Q73" s="358">
        <v>1</v>
      </c>
      <c r="R73" s="358">
        <v>1</v>
      </c>
      <c r="S73" s="358">
        <v>1</v>
      </c>
      <c r="T73" s="358">
        <v>1</v>
      </c>
      <c r="U73" s="358">
        <v>1</v>
      </c>
      <c r="V73" s="358">
        <v>1</v>
      </c>
      <c r="W73" s="358">
        <v>1</v>
      </c>
      <c r="X73" s="358">
        <v>1</v>
      </c>
      <c r="Y73" s="358">
        <v>1</v>
      </c>
      <c r="Z73" s="358">
        <v>1</v>
      </c>
      <c r="AA73" s="358">
        <v>1</v>
      </c>
      <c r="AB73" s="358">
        <v>1</v>
      </c>
      <c r="AC73" s="363">
        <v>1</v>
      </c>
    </row>
    <row r="74" spans="1:29" ht="34.15" customHeight="1" thickBot="1">
      <c r="A74" s="725"/>
      <c r="B74" s="743"/>
      <c r="C74" s="717"/>
      <c r="D74" s="718"/>
      <c r="E74" s="370" t="s">
        <v>361</v>
      </c>
      <c r="F74" s="366">
        <v>1</v>
      </c>
      <c r="G74" s="366">
        <v>1</v>
      </c>
      <c r="H74" s="366">
        <v>1</v>
      </c>
      <c r="I74" s="366">
        <v>1</v>
      </c>
      <c r="J74" s="366">
        <v>1</v>
      </c>
      <c r="K74" s="366">
        <v>1</v>
      </c>
      <c r="L74" s="366">
        <v>1</v>
      </c>
      <c r="M74" s="366">
        <v>1</v>
      </c>
      <c r="N74" s="366">
        <v>1</v>
      </c>
      <c r="O74" s="366">
        <v>1</v>
      </c>
      <c r="P74" s="366">
        <v>1</v>
      </c>
      <c r="Q74" s="366">
        <v>1</v>
      </c>
      <c r="R74" s="366">
        <v>1</v>
      </c>
      <c r="S74" s="366">
        <v>1</v>
      </c>
      <c r="T74" s="366">
        <v>1</v>
      </c>
      <c r="U74" s="366">
        <v>1</v>
      </c>
      <c r="V74" s="366">
        <v>1</v>
      </c>
      <c r="W74" s="366">
        <v>1</v>
      </c>
      <c r="X74" s="366">
        <v>1</v>
      </c>
      <c r="Y74" s="366">
        <v>1</v>
      </c>
      <c r="Z74" s="366">
        <v>1</v>
      </c>
      <c r="AA74" s="366">
        <v>1</v>
      </c>
      <c r="AB74" s="366">
        <v>1</v>
      </c>
      <c r="AC74" s="367">
        <v>1</v>
      </c>
    </row>
    <row r="75" spans="1:29" ht="34.15" customHeight="1">
      <c r="A75" s="760" t="str">
        <f>A57</f>
        <v>Guest Rooms</v>
      </c>
      <c r="B75" s="746" t="s">
        <v>124</v>
      </c>
      <c r="C75" s="711" t="s">
        <v>636</v>
      </c>
      <c r="D75" s="714" t="s">
        <v>637</v>
      </c>
      <c r="E75" s="484" t="s">
        <v>359</v>
      </c>
      <c r="F75" s="486">
        <f>IF((F66=1),Thermostat!$B$11,Thermostat!$B$12)</f>
        <v>70</v>
      </c>
      <c r="G75" s="486">
        <f>IF((G66=1),Thermostat!$B$11,Thermostat!$B$12)</f>
        <v>70</v>
      </c>
      <c r="H75" s="486">
        <f>IF((H66=1),Thermostat!$B$11,Thermostat!$B$12)</f>
        <v>70</v>
      </c>
      <c r="I75" s="486">
        <f>IF((I66=1),Thermostat!$B$11,Thermostat!$B$12)</f>
        <v>70</v>
      </c>
      <c r="J75" s="486">
        <f>IF((J66=1),Thermostat!$B$11,Thermostat!$B$12)</f>
        <v>70</v>
      </c>
      <c r="K75" s="486">
        <f>IF((K66=1),Thermostat!$B$11,Thermostat!$B$12)</f>
        <v>70</v>
      </c>
      <c r="L75" s="486">
        <f>IF((L66=1),Thermostat!$B$11,Thermostat!$B$12)</f>
        <v>70</v>
      </c>
      <c r="M75" s="486">
        <f>IF((M66=1),Thermostat!$B$11,Thermostat!$B$12)</f>
        <v>70</v>
      </c>
      <c r="N75" s="486">
        <f>IF((N66=1),Thermostat!$B$11,Thermostat!$B$12)</f>
        <v>70</v>
      </c>
      <c r="O75" s="486">
        <f>IF((O66=1),Thermostat!$B$11,Thermostat!$B$12)</f>
        <v>70</v>
      </c>
      <c r="P75" s="486">
        <f>IF((P66=1),Thermostat!$B$11,Thermostat!$B$12)</f>
        <v>70</v>
      </c>
      <c r="Q75" s="486">
        <f>IF((Q66=1),Thermostat!$B$11,Thermostat!$B$12)</f>
        <v>70</v>
      </c>
      <c r="R75" s="486">
        <f>IF((R66=1),Thermostat!$B$11,Thermostat!$B$12)</f>
        <v>70</v>
      </c>
      <c r="S75" s="486">
        <f>IF((S66=1),Thermostat!$B$11,Thermostat!$B$12)</f>
        <v>70</v>
      </c>
      <c r="T75" s="486">
        <f>IF((T66=1),Thermostat!$B$11,Thermostat!$B$12)</f>
        <v>70</v>
      </c>
      <c r="U75" s="486">
        <f>IF((U66=1),Thermostat!$B$11,Thermostat!$B$12)</f>
        <v>70</v>
      </c>
      <c r="V75" s="486">
        <f>IF((V66=1),Thermostat!$B$11,Thermostat!$B$12)</f>
        <v>70</v>
      </c>
      <c r="W75" s="486">
        <f>IF((W66=1),Thermostat!$B$11,Thermostat!$B$12)</f>
        <v>70</v>
      </c>
      <c r="X75" s="486">
        <f>IF((X66=1),Thermostat!$B$11,Thermostat!$B$12)</f>
        <v>70</v>
      </c>
      <c r="Y75" s="486">
        <f>IF((Y66=1),Thermostat!$B$11,Thermostat!$B$12)</f>
        <v>70</v>
      </c>
      <c r="Z75" s="486">
        <f>IF((Z66=1),Thermostat!$B$11,Thermostat!$B$12)</f>
        <v>70</v>
      </c>
      <c r="AA75" s="486">
        <f>IF((AA66=1),Thermostat!$B$11,Thermostat!$B$12)</f>
        <v>70</v>
      </c>
      <c r="AB75" s="486">
        <f>IF((AB66=1),Thermostat!$B$11,Thermostat!$B$12)</f>
        <v>70</v>
      </c>
      <c r="AC75" s="487">
        <f>IF((AC66=1),Thermostat!$B$11,Thermostat!$B$12)</f>
        <v>70</v>
      </c>
    </row>
    <row r="76" spans="1:29" ht="34.15" customHeight="1">
      <c r="A76" s="761"/>
      <c r="B76" s="742"/>
      <c r="C76" s="712"/>
      <c r="D76" s="715"/>
      <c r="E76" s="447" t="s">
        <v>360</v>
      </c>
      <c r="F76" s="440">
        <f>IF((F67=1),Thermostat!$B$11,Thermostat!$B$12)</f>
        <v>70</v>
      </c>
      <c r="G76" s="440">
        <f>IF((G67=1),Thermostat!$B$11,Thermostat!$B$12)</f>
        <v>70</v>
      </c>
      <c r="H76" s="440">
        <f>IF((H67=1),Thermostat!$B$11,Thermostat!$B$12)</f>
        <v>70</v>
      </c>
      <c r="I76" s="440">
        <f>IF((I67=1),Thermostat!$B$11,Thermostat!$B$12)</f>
        <v>70</v>
      </c>
      <c r="J76" s="440">
        <f>IF((J67=1),Thermostat!$B$11,Thermostat!$B$12)</f>
        <v>70</v>
      </c>
      <c r="K76" s="440">
        <f>IF((K67=1),Thermostat!$B$11,Thermostat!$B$12)</f>
        <v>70</v>
      </c>
      <c r="L76" s="440">
        <f>IF((L67=1),Thermostat!$B$11,Thermostat!$B$12)</f>
        <v>70</v>
      </c>
      <c r="M76" s="440">
        <f>IF((M67=1),Thermostat!$B$11,Thermostat!$B$12)</f>
        <v>70</v>
      </c>
      <c r="N76" s="440">
        <f>IF((N67=1),Thermostat!$B$11,Thermostat!$B$12)</f>
        <v>70</v>
      </c>
      <c r="O76" s="440">
        <f>IF((O67=1),Thermostat!$B$11,Thermostat!$B$12)</f>
        <v>70</v>
      </c>
      <c r="P76" s="440">
        <f>IF((P67=1),Thermostat!$B$11,Thermostat!$B$12)</f>
        <v>70</v>
      </c>
      <c r="Q76" s="440">
        <f>IF((Q67=1),Thermostat!$B$11,Thermostat!$B$12)</f>
        <v>70</v>
      </c>
      <c r="R76" s="440">
        <f>IF((R67=1),Thermostat!$B$11,Thermostat!$B$12)</f>
        <v>70</v>
      </c>
      <c r="S76" s="440">
        <f>IF((S67=1),Thermostat!$B$11,Thermostat!$B$12)</f>
        <v>70</v>
      </c>
      <c r="T76" s="440">
        <f>IF((T67=1),Thermostat!$B$11,Thermostat!$B$12)</f>
        <v>70</v>
      </c>
      <c r="U76" s="440">
        <f>IF((U67=1),Thermostat!$B$11,Thermostat!$B$12)</f>
        <v>70</v>
      </c>
      <c r="V76" s="440">
        <f>IF((V67=1),Thermostat!$B$11,Thermostat!$B$12)</f>
        <v>70</v>
      </c>
      <c r="W76" s="440">
        <f>IF((W67=1),Thermostat!$B$11,Thermostat!$B$12)</f>
        <v>70</v>
      </c>
      <c r="X76" s="440">
        <f>IF((X67=1),Thermostat!$B$11,Thermostat!$B$12)</f>
        <v>70</v>
      </c>
      <c r="Y76" s="440">
        <f>IF((Y67=1),Thermostat!$B$11,Thermostat!$B$12)</f>
        <v>70</v>
      </c>
      <c r="Z76" s="440">
        <f>IF((Z67=1),Thermostat!$B$11,Thermostat!$B$12)</f>
        <v>70</v>
      </c>
      <c r="AA76" s="440">
        <f>IF((AA67=1),Thermostat!$B$11,Thermostat!$B$12)</f>
        <v>70</v>
      </c>
      <c r="AB76" s="440">
        <f>IF((AB67=1),Thermostat!$B$11,Thermostat!$B$12)</f>
        <v>70</v>
      </c>
      <c r="AC76" s="488">
        <f>IF((AC67=1),Thermostat!$B$11,Thermostat!$B$12)</f>
        <v>70</v>
      </c>
    </row>
    <row r="77" spans="1:29" ht="34.15" customHeight="1" thickBot="1">
      <c r="A77" s="762"/>
      <c r="B77" s="744"/>
      <c r="C77" s="713"/>
      <c r="D77" s="716"/>
      <c r="E77" s="448" t="s">
        <v>361</v>
      </c>
      <c r="F77" s="441">
        <f>IF((F68=1),Thermostat!$B$11,Thermostat!$B$12)</f>
        <v>70</v>
      </c>
      <c r="G77" s="441">
        <f>IF((G68=1),Thermostat!$B$11,Thermostat!$B$12)</f>
        <v>70</v>
      </c>
      <c r="H77" s="441">
        <f>IF((H68=1),Thermostat!$B$11,Thermostat!$B$12)</f>
        <v>70</v>
      </c>
      <c r="I77" s="441">
        <f>IF((I68=1),Thermostat!$B$11,Thermostat!$B$12)</f>
        <v>70</v>
      </c>
      <c r="J77" s="441">
        <f>IF((J68=1),Thermostat!$B$11,Thermostat!$B$12)</f>
        <v>70</v>
      </c>
      <c r="K77" s="441">
        <f>IF((K68=1),Thermostat!$B$11,Thermostat!$B$12)</f>
        <v>70</v>
      </c>
      <c r="L77" s="441">
        <f>IF((L68=1),Thermostat!$B$11,Thermostat!$B$12)</f>
        <v>70</v>
      </c>
      <c r="M77" s="441">
        <f>IF((M68=1),Thermostat!$B$11,Thermostat!$B$12)</f>
        <v>70</v>
      </c>
      <c r="N77" s="441">
        <f>IF((N68=1),Thermostat!$B$11,Thermostat!$B$12)</f>
        <v>70</v>
      </c>
      <c r="O77" s="441">
        <f>IF((O68=1),Thermostat!$B$11,Thermostat!$B$12)</f>
        <v>70</v>
      </c>
      <c r="P77" s="441">
        <f>IF((P68=1),Thermostat!$B$11,Thermostat!$B$12)</f>
        <v>70</v>
      </c>
      <c r="Q77" s="441">
        <f>IF((Q68=1),Thermostat!$B$11,Thermostat!$B$12)</f>
        <v>70</v>
      </c>
      <c r="R77" s="441">
        <f>IF((R68=1),Thermostat!$B$11,Thermostat!$B$12)</f>
        <v>70</v>
      </c>
      <c r="S77" s="441">
        <f>IF((S68=1),Thermostat!$B$11,Thermostat!$B$12)</f>
        <v>70</v>
      </c>
      <c r="T77" s="441">
        <f>IF((T68=1),Thermostat!$B$11,Thermostat!$B$12)</f>
        <v>70</v>
      </c>
      <c r="U77" s="441">
        <f>IF((U68=1),Thermostat!$B$11,Thermostat!$B$12)</f>
        <v>70</v>
      </c>
      <c r="V77" s="441">
        <f>IF((V68=1),Thermostat!$B$11,Thermostat!$B$12)</f>
        <v>70</v>
      </c>
      <c r="W77" s="441">
        <f>IF((W68=1),Thermostat!$B$11,Thermostat!$B$12)</f>
        <v>70</v>
      </c>
      <c r="X77" s="441">
        <f>IF((X68=1),Thermostat!$B$11,Thermostat!$B$12)</f>
        <v>70</v>
      </c>
      <c r="Y77" s="441">
        <f>IF((Y68=1),Thermostat!$B$11,Thermostat!$B$12)</f>
        <v>70</v>
      </c>
      <c r="Z77" s="441">
        <f>IF((Z68=1),Thermostat!$B$11,Thermostat!$B$12)</f>
        <v>70</v>
      </c>
      <c r="AA77" s="441">
        <f>IF((AA68=1),Thermostat!$B$11,Thermostat!$B$12)</f>
        <v>70</v>
      </c>
      <c r="AB77" s="441">
        <f>IF((AB68=1),Thermostat!$B$11,Thermostat!$B$12)</f>
        <v>70</v>
      </c>
      <c r="AC77" s="492">
        <f>IF((AC68=1),Thermostat!$B$11,Thermostat!$B$12)</f>
        <v>70</v>
      </c>
    </row>
    <row r="78" spans="1:29" ht="34.15" customHeight="1">
      <c r="A78" s="760" t="str">
        <f>A57</f>
        <v>Guest Rooms</v>
      </c>
      <c r="B78" s="741" t="s">
        <v>124</v>
      </c>
      <c r="C78" s="711" t="s">
        <v>638</v>
      </c>
      <c r="D78" s="714" t="s">
        <v>637</v>
      </c>
      <c r="E78" s="446" t="s">
        <v>359</v>
      </c>
      <c r="F78" s="456">
        <f>IF((F66=1),Thermostat!$B$13,Thermostat!$B$14)</f>
        <v>72</v>
      </c>
      <c r="G78" s="456">
        <f>IF((G66=1),Thermostat!$B$13,Thermostat!$B$14)</f>
        <v>72</v>
      </c>
      <c r="H78" s="456">
        <f>IF((H66=1),Thermostat!$B$13,Thermostat!$B$14)</f>
        <v>72</v>
      </c>
      <c r="I78" s="456">
        <f>IF((I66=1),Thermostat!$B$13,Thermostat!$B$14)</f>
        <v>72</v>
      </c>
      <c r="J78" s="456">
        <f>IF((J66=1),Thermostat!$B$13,Thermostat!$B$14)</f>
        <v>72</v>
      </c>
      <c r="K78" s="456">
        <f>IF((K66=1),Thermostat!$B$13,Thermostat!$B$14)</f>
        <v>72</v>
      </c>
      <c r="L78" s="456">
        <f>IF((L66=1),Thermostat!$B$13,Thermostat!$B$14)</f>
        <v>72</v>
      </c>
      <c r="M78" s="456">
        <f>IF((M66=1),Thermostat!$B$13,Thermostat!$B$14)</f>
        <v>72</v>
      </c>
      <c r="N78" s="456">
        <f>IF((N66=1),Thermostat!$B$13,Thermostat!$B$14)</f>
        <v>72</v>
      </c>
      <c r="O78" s="456">
        <f>IF((O66=1),Thermostat!$B$13,Thermostat!$B$14)</f>
        <v>72</v>
      </c>
      <c r="P78" s="456">
        <f>IF((P66=1),Thermostat!$B$13,Thermostat!$B$14)</f>
        <v>72</v>
      </c>
      <c r="Q78" s="456">
        <f>IF((Q66=1),Thermostat!$B$13,Thermostat!$B$14)</f>
        <v>72</v>
      </c>
      <c r="R78" s="456">
        <f>IF((R66=1),Thermostat!$B$13,Thermostat!$B$14)</f>
        <v>72</v>
      </c>
      <c r="S78" s="456">
        <f>IF((S66=1),Thermostat!$B$13,Thermostat!$B$14)</f>
        <v>72</v>
      </c>
      <c r="T78" s="456">
        <f>IF((T66=1),Thermostat!$B$13,Thermostat!$B$14)</f>
        <v>72</v>
      </c>
      <c r="U78" s="456">
        <f>IF((U66=1),Thermostat!$B$13,Thermostat!$B$14)</f>
        <v>72</v>
      </c>
      <c r="V78" s="456">
        <f>IF((V66=1),Thermostat!$B$13,Thermostat!$B$14)</f>
        <v>72</v>
      </c>
      <c r="W78" s="456">
        <f>IF((W66=1),Thermostat!$B$13,Thermostat!$B$14)</f>
        <v>72</v>
      </c>
      <c r="X78" s="456">
        <f>IF((X66=1),Thermostat!$B$13,Thermostat!$B$14)</f>
        <v>72</v>
      </c>
      <c r="Y78" s="456">
        <f>IF((Y66=1),Thermostat!$B$13,Thermostat!$B$14)</f>
        <v>72</v>
      </c>
      <c r="Z78" s="456">
        <f>IF((Z66=1),Thermostat!$B$13,Thermostat!$B$14)</f>
        <v>72</v>
      </c>
      <c r="AA78" s="456">
        <f>IF((AA66=1),Thermostat!$B$13,Thermostat!$B$14)</f>
        <v>72</v>
      </c>
      <c r="AB78" s="456">
        <f>IF((AB66=1),Thermostat!$B$13,Thermostat!$B$14)</f>
        <v>72</v>
      </c>
      <c r="AC78" s="491">
        <f>IF((AC66=1),Thermostat!$B$13,Thermostat!$B$14)</f>
        <v>72</v>
      </c>
    </row>
    <row r="79" spans="1:29" ht="34.15" customHeight="1">
      <c r="A79" s="761"/>
      <c r="B79" s="742"/>
      <c r="C79" s="712"/>
      <c r="D79" s="715"/>
      <c r="E79" s="447" t="s">
        <v>360</v>
      </c>
      <c r="F79" s="440">
        <f>IF((F67=1),Thermostat!$B$13,Thermostat!$B$14)</f>
        <v>72</v>
      </c>
      <c r="G79" s="440">
        <f>IF((G67=1),Thermostat!$B$13,Thermostat!$B$14)</f>
        <v>72</v>
      </c>
      <c r="H79" s="440">
        <f>IF((H67=1),Thermostat!$B$13,Thermostat!$B$14)</f>
        <v>72</v>
      </c>
      <c r="I79" s="440">
        <f>IF((I67=1),Thermostat!$B$13,Thermostat!$B$14)</f>
        <v>72</v>
      </c>
      <c r="J79" s="440">
        <f>IF((J67=1),Thermostat!$B$13,Thermostat!$B$14)</f>
        <v>72</v>
      </c>
      <c r="K79" s="440">
        <f>IF((K67=1),Thermostat!$B$13,Thermostat!$B$14)</f>
        <v>72</v>
      </c>
      <c r="L79" s="440">
        <f>IF((L67=1),Thermostat!$B$13,Thermostat!$B$14)</f>
        <v>72</v>
      </c>
      <c r="M79" s="440">
        <f>IF((M67=1),Thermostat!$B$13,Thermostat!$B$14)</f>
        <v>72</v>
      </c>
      <c r="N79" s="440">
        <f>IF((N67=1),Thermostat!$B$13,Thermostat!$B$14)</f>
        <v>72</v>
      </c>
      <c r="O79" s="440">
        <f>IF((O67=1),Thermostat!$B$13,Thermostat!$B$14)</f>
        <v>72</v>
      </c>
      <c r="P79" s="440">
        <f>IF((P67=1),Thermostat!$B$13,Thermostat!$B$14)</f>
        <v>72</v>
      </c>
      <c r="Q79" s="440">
        <f>IF((Q67=1),Thermostat!$B$13,Thermostat!$B$14)</f>
        <v>72</v>
      </c>
      <c r="R79" s="440">
        <f>IF((R67=1),Thermostat!$B$13,Thermostat!$B$14)</f>
        <v>72</v>
      </c>
      <c r="S79" s="440">
        <f>IF((S67=1),Thermostat!$B$13,Thermostat!$B$14)</f>
        <v>72</v>
      </c>
      <c r="T79" s="440">
        <f>IF((T67=1),Thermostat!$B$13,Thermostat!$B$14)</f>
        <v>72</v>
      </c>
      <c r="U79" s="440">
        <f>IF((U67=1),Thermostat!$B$13,Thermostat!$B$14)</f>
        <v>72</v>
      </c>
      <c r="V79" s="440">
        <f>IF((V67=1),Thermostat!$B$13,Thermostat!$B$14)</f>
        <v>72</v>
      </c>
      <c r="W79" s="440">
        <f>IF((W67=1),Thermostat!$B$13,Thermostat!$B$14)</f>
        <v>72</v>
      </c>
      <c r="X79" s="440">
        <f>IF((X67=1),Thermostat!$B$13,Thermostat!$B$14)</f>
        <v>72</v>
      </c>
      <c r="Y79" s="440">
        <f>IF((Y67=1),Thermostat!$B$13,Thermostat!$B$14)</f>
        <v>72</v>
      </c>
      <c r="Z79" s="440">
        <f>IF((Z67=1),Thermostat!$B$13,Thermostat!$B$14)</f>
        <v>72</v>
      </c>
      <c r="AA79" s="440">
        <f>IF((AA67=1),Thermostat!$B$13,Thermostat!$B$14)</f>
        <v>72</v>
      </c>
      <c r="AB79" s="440">
        <f>IF((AB67=1),Thermostat!$B$13,Thermostat!$B$14)</f>
        <v>72</v>
      </c>
      <c r="AC79" s="488">
        <f>IF((AC67=1),Thermostat!$B$13,Thermostat!$B$14)</f>
        <v>72</v>
      </c>
    </row>
    <row r="80" spans="1:29" ht="34.15" customHeight="1" thickBot="1">
      <c r="A80" s="763"/>
      <c r="B80" s="745"/>
      <c r="C80" s="719"/>
      <c r="D80" s="720"/>
      <c r="E80" s="485" t="s">
        <v>361</v>
      </c>
      <c r="F80" s="489">
        <f>IF((F68=1),Thermostat!$B$13,Thermostat!$B$14)</f>
        <v>72</v>
      </c>
      <c r="G80" s="489">
        <f>IF((G68=1),Thermostat!$B$13,Thermostat!$B$14)</f>
        <v>72</v>
      </c>
      <c r="H80" s="489">
        <f>IF((H68=1),Thermostat!$B$13,Thermostat!$B$14)</f>
        <v>72</v>
      </c>
      <c r="I80" s="489">
        <f>IF((I68=1),Thermostat!$B$13,Thermostat!$B$14)</f>
        <v>72</v>
      </c>
      <c r="J80" s="489">
        <f>IF((J68=1),Thermostat!$B$13,Thermostat!$B$14)</f>
        <v>72</v>
      </c>
      <c r="K80" s="489">
        <f>IF((K68=1),Thermostat!$B$13,Thermostat!$B$14)</f>
        <v>72</v>
      </c>
      <c r="L80" s="489">
        <f>IF((L68=1),Thermostat!$B$13,Thermostat!$B$14)</f>
        <v>72</v>
      </c>
      <c r="M80" s="489">
        <f>IF((M68=1),Thermostat!$B$13,Thermostat!$B$14)</f>
        <v>72</v>
      </c>
      <c r="N80" s="489">
        <f>IF((N68=1),Thermostat!$B$13,Thermostat!$B$14)</f>
        <v>72</v>
      </c>
      <c r="O80" s="489">
        <f>IF((O68=1),Thermostat!$B$13,Thermostat!$B$14)</f>
        <v>72</v>
      </c>
      <c r="P80" s="489">
        <f>IF((P68=1),Thermostat!$B$13,Thermostat!$B$14)</f>
        <v>72</v>
      </c>
      <c r="Q80" s="489">
        <f>IF((Q68=1),Thermostat!$B$13,Thermostat!$B$14)</f>
        <v>72</v>
      </c>
      <c r="R80" s="489">
        <f>IF((R68=1),Thermostat!$B$13,Thermostat!$B$14)</f>
        <v>72</v>
      </c>
      <c r="S80" s="489">
        <f>IF((S68=1),Thermostat!$B$13,Thermostat!$B$14)</f>
        <v>72</v>
      </c>
      <c r="T80" s="489">
        <f>IF((T68=1),Thermostat!$B$13,Thermostat!$B$14)</f>
        <v>72</v>
      </c>
      <c r="U80" s="489">
        <f>IF((U68=1),Thermostat!$B$13,Thermostat!$B$14)</f>
        <v>72</v>
      </c>
      <c r="V80" s="489">
        <f>IF((V68=1),Thermostat!$B$13,Thermostat!$B$14)</f>
        <v>72</v>
      </c>
      <c r="W80" s="489">
        <f>IF((W68=1),Thermostat!$B$13,Thermostat!$B$14)</f>
        <v>72</v>
      </c>
      <c r="X80" s="489">
        <f>IF((X68=1),Thermostat!$B$13,Thermostat!$B$14)</f>
        <v>72</v>
      </c>
      <c r="Y80" s="489">
        <f>IF((Y68=1),Thermostat!$B$13,Thermostat!$B$14)</f>
        <v>72</v>
      </c>
      <c r="Z80" s="489">
        <f>IF((Z68=1),Thermostat!$B$13,Thermostat!$B$14)</f>
        <v>72</v>
      </c>
      <c r="AA80" s="489">
        <f>IF((AA68=1),Thermostat!$B$13,Thermostat!$B$14)</f>
        <v>72</v>
      </c>
      <c r="AB80" s="489">
        <f>IF((AB68=1),Thermostat!$B$13,Thermostat!$B$14)</f>
        <v>72</v>
      </c>
      <c r="AC80" s="490">
        <f>IF((AC68=1),Thermostat!$B$13,Thermostat!$B$14)</f>
        <v>72</v>
      </c>
    </row>
    <row r="81" spans="1:29" ht="20.45" customHeight="1" thickBot="1">
      <c r="A81" s="721" t="s">
        <v>112</v>
      </c>
      <c r="B81" s="721"/>
      <c r="C81" s="721" t="s">
        <v>644</v>
      </c>
      <c r="D81" s="721"/>
      <c r="E81" s="721"/>
      <c r="F81" s="721"/>
      <c r="G81" s="721"/>
      <c r="H81" s="721"/>
      <c r="I81" s="721"/>
      <c r="J81" s="721"/>
      <c r="K81" s="721"/>
      <c r="L81" s="721"/>
      <c r="M81" s="721"/>
      <c r="N81" s="721"/>
      <c r="O81" s="721"/>
      <c r="P81" s="721"/>
      <c r="Q81" s="721"/>
      <c r="R81" s="721"/>
      <c r="S81" s="721"/>
      <c r="T81" s="721"/>
      <c r="U81" s="721"/>
      <c r="V81" s="721"/>
      <c r="W81" s="721"/>
      <c r="X81" s="721"/>
      <c r="Y81" s="721"/>
      <c r="Z81" s="721"/>
      <c r="AA81" s="721"/>
      <c r="AB81" s="721"/>
      <c r="AC81" s="722"/>
    </row>
    <row r="82" spans="1:29" ht="34.15" customHeight="1">
      <c r="A82" s="723" t="s">
        <v>112</v>
      </c>
      <c r="B82" s="726" t="s">
        <v>112</v>
      </c>
      <c r="C82" s="705" t="s">
        <v>626</v>
      </c>
      <c r="D82" s="707" t="s">
        <v>645</v>
      </c>
      <c r="E82" s="451" t="s">
        <v>359</v>
      </c>
      <c r="F82" s="465">
        <v>0</v>
      </c>
      <c r="G82" s="465">
        <v>0</v>
      </c>
      <c r="H82" s="465">
        <v>0</v>
      </c>
      <c r="I82" s="465">
        <v>0</v>
      </c>
      <c r="J82" s="465">
        <v>0</v>
      </c>
      <c r="K82" s="465">
        <v>0</v>
      </c>
      <c r="L82" s="465">
        <v>0.1</v>
      </c>
      <c r="M82" s="465">
        <v>0.2</v>
      </c>
      <c r="N82" s="465">
        <v>0.95</v>
      </c>
      <c r="O82" s="465">
        <v>0.95</v>
      </c>
      <c r="P82" s="465">
        <v>0.95</v>
      </c>
      <c r="Q82" s="465">
        <v>0.95</v>
      </c>
      <c r="R82" s="465">
        <v>0.5</v>
      </c>
      <c r="S82" s="465">
        <v>0.95</v>
      </c>
      <c r="T82" s="465">
        <v>0.95</v>
      </c>
      <c r="U82" s="465">
        <v>0.95</v>
      </c>
      <c r="V82" s="465">
        <v>0.95</v>
      </c>
      <c r="W82" s="465">
        <v>0.3</v>
      </c>
      <c r="X82" s="465">
        <v>0.1</v>
      </c>
      <c r="Y82" s="465">
        <v>0.1</v>
      </c>
      <c r="Z82" s="465">
        <v>0.1</v>
      </c>
      <c r="AA82" s="465">
        <v>0.1</v>
      </c>
      <c r="AB82" s="465">
        <v>0.05</v>
      </c>
      <c r="AC82" s="466">
        <v>0.05</v>
      </c>
    </row>
    <row r="83" spans="1:29" ht="34.15" customHeight="1">
      <c r="A83" s="724"/>
      <c r="B83" s="727"/>
      <c r="C83" s="681"/>
      <c r="D83" s="684"/>
      <c r="E83" s="452" t="s">
        <v>360</v>
      </c>
      <c r="F83" s="467">
        <v>0</v>
      </c>
      <c r="G83" s="467">
        <v>0</v>
      </c>
      <c r="H83" s="467">
        <v>0</v>
      </c>
      <c r="I83" s="467">
        <v>0</v>
      </c>
      <c r="J83" s="467">
        <v>0</v>
      </c>
      <c r="K83" s="467">
        <v>0</v>
      </c>
      <c r="L83" s="482">
        <v>0.05</v>
      </c>
      <c r="M83" s="482">
        <v>0.05</v>
      </c>
      <c r="N83" s="482">
        <v>0.05</v>
      </c>
      <c r="O83" s="482">
        <v>0.05</v>
      </c>
      <c r="P83" s="482">
        <v>0.05</v>
      </c>
      <c r="Q83" s="482">
        <v>0.05</v>
      </c>
      <c r="R83" s="482">
        <v>0.05</v>
      </c>
      <c r="S83" s="482">
        <v>0.05</v>
      </c>
      <c r="T83" s="482">
        <v>0.05</v>
      </c>
      <c r="U83" s="482">
        <v>0.05</v>
      </c>
      <c r="V83" s="482">
        <v>0.05</v>
      </c>
      <c r="W83" s="482">
        <v>0.05</v>
      </c>
      <c r="X83" s="483">
        <v>0</v>
      </c>
      <c r="Y83" s="467">
        <v>0</v>
      </c>
      <c r="Z83" s="467">
        <v>0</v>
      </c>
      <c r="AA83" s="467">
        <v>0</v>
      </c>
      <c r="AB83" s="467">
        <v>0</v>
      </c>
      <c r="AC83" s="468">
        <v>0</v>
      </c>
    </row>
    <row r="84" spans="1:29" ht="34.15" customHeight="1" thickBot="1">
      <c r="A84" s="725"/>
      <c r="B84" s="728"/>
      <c r="C84" s="717"/>
      <c r="D84" s="718"/>
      <c r="E84" s="469" t="s">
        <v>361</v>
      </c>
      <c r="F84" s="470">
        <v>0</v>
      </c>
      <c r="G84" s="470">
        <v>0</v>
      </c>
      <c r="H84" s="470">
        <v>0</v>
      </c>
      <c r="I84" s="470">
        <v>0</v>
      </c>
      <c r="J84" s="470">
        <v>0</v>
      </c>
      <c r="K84" s="470">
        <v>0</v>
      </c>
      <c r="L84" s="470">
        <v>0.05</v>
      </c>
      <c r="M84" s="470">
        <v>0.05</v>
      </c>
      <c r="N84" s="470">
        <v>0.05</v>
      </c>
      <c r="O84" s="470">
        <v>0.05</v>
      </c>
      <c r="P84" s="470">
        <v>0.05</v>
      </c>
      <c r="Q84" s="470">
        <v>0.05</v>
      </c>
      <c r="R84" s="470">
        <v>0.05</v>
      </c>
      <c r="S84" s="470">
        <v>0.05</v>
      </c>
      <c r="T84" s="470">
        <v>0.05</v>
      </c>
      <c r="U84" s="470">
        <v>0.05</v>
      </c>
      <c r="V84" s="470">
        <v>0.05</v>
      </c>
      <c r="W84" s="470">
        <v>0.05</v>
      </c>
      <c r="X84" s="470">
        <v>0</v>
      </c>
      <c r="Y84" s="470">
        <v>0</v>
      </c>
      <c r="Z84" s="470">
        <v>0</v>
      </c>
      <c r="AA84" s="470">
        <v>0</v>
      </c>
      <c r="AB84" s="470">
        <v>0</v>
      </c>
      <c r="AC84" s="471">
        <v>0</v>
      </c>
    </row>
    <row r="85" spans="1:29" ht="34.15" customHeight="1">
      <c r="A85" s="723" t="s">
        <v>112</v>
      </c>
      <c r="B85" s="726" t="s">
        <v>112</v>
      </c>
      <c r="C85" s="676" t="s">
        <v>629</v>
      </c>
      <c r="D85" s="707" t="s">
        <v>645</v>
      </c>
      <c r="E85" s="369" t="s">
        <v>359</v>
      </c>
      <c r="F85" s="465">
        <v>0.05</v>
      </c>
      <c r="G85" s="465">
        <v>0.05</v>
      </c>
      <c r="H85" s="465">
        <v>0.05</v>
      </c>
      <c r="I85" s="465">
        <v>0.05</v>
      </c>
      <c r="J85" s="465">
        <v>0.05</v>
      </c>
      <c r="K85" s="465">
        <v>0.1</v>
      </c>
      <c r="L85" s="465">
        <v>0.1</v>
      </c>
      <c r="M85" s="465">
        <v>0.3</v>
      </c>
      <c r="N85" s="465">
        <v>0.65</v>
      </c>
      <c r="O85" s="465">
        <v>0.65</v>
      </c>
      <c r="P85" s="465">
        <v>0.65</v>
      </c>
      <c r="Q85" s="465">
        <v>0.65</v>
      </c>
      <c r="R85" s="465">
        <v>0.65</v>
      </c>
      <c r="S85" s="465">
        <v>0.65</v>
      </c>
      <c r="T85" s="465">
        <v>0.65</v>
      </c>
      <c r="U85" s="465">
        <v>0.65</v>
      </c>
      <c r="V85" s="465">
        <v>0.65</v>
      </c>
      <c r="W85" s="465">
        <v>0.35</v>
      </c>
      <c r="X85" s="465">
        <v>0.3</v>
      </c>
      <c r="Y85" s="465">
        <v>0.3</v>
      </c>
      <c r="Z85" s="465">
        <v>0.2</v>
      </c>
      <c r="AA85" s="465">
        <v>0.2</v>
      </c>
      <c r="AB85" s="465">
        <v>0.1</v>
      </c>
      <c r="AC85" s="466">
        <v>0.05</v>
      </c>
    </row>
    <row r="86" spans="1:29" ht="34.15" customHeight="1">
      <c r="A86" s="724"/>
      <c r="B86" s="727"/>
      <c r="C86" s="681"/>
      <c r="D86" s="684"/>
      <c r="E86" s="359" t="s">
        <v>360</v>
      </c>
      <c r="F86" s="467">
        <v>0.05</v>
      </c>
      <c r="G86" s="467">
        <v>0.05</v>
      </c>
      <c r="H86" s="467">
        <v>0.05</v>
      </c>
      <c r="I86" s="467">
        <v>0.05</v>
      </c>
      <c r="J86" s="467">
        <v>0.05</v>
      </c>
      <c r="K86" s="467">
        <v>0.05</v>
      </c>
      <c r="L86" s="467">
        <v>0.1</v>
      </c>
      <c r="M86" s="467">
        <v>0.1</v>
      </c>
      <c r="N86" s="467">
        <v>0.3</v>
      </c>
      <c r="O86" s="467">
        <v>0.3</v>
      </c>
      <c r="P86" s="467">
        <v>0.3</v>
      </c>
      <c r="Q86" s="467">
        <v>0.3</v>
      </c>
      <c r="R86" s="467">
        <v>0.15</v>
      </c>
      <c r="S86" s="467">
        <v>0.15</v>
      </c>
      <c r="T86" s="467">
        <v>0.15</v>
      </c>
      <c r="U86" s="467">
        <v>0.15</v>
      </c>
      <c r="V86" s="467">
        <v>0.15</v>
      </c>
      <c r="W86" s="467">
        <v>0.05</v>
      </c>
      <c r="X86" s="467">
        <v>0.05</v>
      </c>
      <c r="Y86" s="467">
        <v>0.05</v>
      </c>
      <c r="Z86" s="467">
        <v>0.05</v>
      </c>
      <c r="AA86" s="467">
        <v>0.05</v>
      </c>
      <c r="AB86" s="467">
        <v>0.05</v>
      </c>
      <c r="AC86" s="468">
        <v>0.05</v>
      </c>
    </row>
    <row r="87" spans="1:29" ht="34.15" customHeight="1" thickBot="1">
      <c r="A87" s="725"/>
      <c r="B87" s="728"/>
      <c r="C87" s="717"/>
      <c r="D87" s="718"/>
      <c r="E87" s="370" t="s">
        <v>361</v>
      </c>
      <c r="F87" s="478">
        <v>0.05</v>
      </c>
      <c r="G87" s="478">
        <v>0.05</v>
      </c>
      <c r="H87" s="478">
        <v>0.05</v>
      </c>
      <c r="I87" s="478">
        <v>0.05</v>
      </c>
      <c r="J87" s="478">
        <v>0.05</v>
      </c>
      <c r="K87" s="478">
        <v>0.05</v>
      </c>
      <c r="L87" s="478">
        <v>0.05</v>
      </c>
      <c r="M87" s="478">
        <v>0.05</v>
      </c>
      <c r="N87" s="478">
        <v>0.05</v>
      </c>
      <c r="O87" s="478">
        <v>0.05</v>
      </c>
      <c r="P87" s="478">
        <v>0.05</v>
      </c>
      <c r="Q87" s="478">
        <v>0.05</v>
      </c>
      <c r="R87" s="478">
        <v>0.05</v>
      </c>
      <c r="S87" s="478">
        <v>0.05</v>
      </c>
      <c r="T87" s="478">
        <v>0.05</v>
      </c>
      <c r="U87" s="478">
        <v>0.05</v>
      </c>
      <c r="V87" s="478">
        <v>0.05</v>
      </c>
      <c r="W87" s="478">
        <v>0.05</v>
      </c>
      <c r="X87" s="478">
        <v>0.05</v>
      </c>
      <c r="Y87" s="478">
        <v>0.05</v>
      </c>
      <c r="Z87" s="478">
        <v>0.05</v>
      </c>
      <c r="AA87" s="478">
        <v>0.05</v>
      </c>
      <c r="AB87" s="478">
        <v>0.05</v>
      </c>
      <c r="AC87" s="479">
        <v>0.05</v>
      </c>
    </row>
    <row r="88" spans="1:29" ht="34.15" customHeight="1">
      <c r="A88" s="723" t="s">
        <v>112</v>
      </c>
      <c r="B88" s="726" t="s">
        <v>112</v>
      </c>
      <c r="C88" s="676" t="s">
        <v>643</v>
      </c>
      <c r="D88" s="767" t="s">
        <v>471</v>
      </c>
      <c r="E88" s="369" t="s">
        <v>359</v>
      </c>
      <c r="F88" s="472">
        <v>0.45</v>
      </c>
      <c r="G88" s="472">
        <v>0.45</v>
      </c>
      <c r="H88" s="472">
        <v>0.45</v>
      </c>
      <c r="I88" s="472">
        <v>0.45</v>
      </c>
      <c r="J88" s="472">
        <v>0.45</v>
      </c>
      <c r="K88" s="472">
        <v>0.45</v>
      </c>
      <c r="L88" s="472">
        <v>0.45</v>
      </c>
      <c r="M88" s="472">
        <v>0.74</v>
      </c>
      <c r="N88" s="472">
        <v>0.87</v>
      </c>
      <c r="O88" s="472">
        <v>0.9</v>
      </c>
      <c r="P88" s="472">
        <v>0.9</v>
      </c>
      <c r="Q88" s="472">
        <v>0.9</v>
      </c>
      <c r="R88" s="472">
        <v>0.9</v>
      </c>
      <c r="S88" s="472">
        <v>0.9</v>
      </c>
      <c r="T88" s="472">
        <v>0.9</v>
      </c>
      <c r="U88" s="472">
        <v>0.9</v>
      </c>
      <c r="V88" s="472">
        <v>0.9</v>
      </c>
      <c r="W88" s="472">
        <v>0.7</v>
      </c>
      <c r="X88" s="472">
        <v>0.5</v>
      </c>
      <c r="Y88" s="472">
        <v>0.5</v>
      </c>
      <c r="Z88" s="472">
        <v>0.5</v>
      </c>
      <c r="AA88" s="472">
        <v>0.45</v>
      </c>
      <c r="AB88" s="472">
        <v>0.45</v>
      </c>
      <c r="AC88" s="473">
        <v>0.45</v>
      </c>
    </row>
    <row r="89" spans="1:29" ht="34.15" customHeight="1">
      <c r="A89" s="724"/>
      <c r="B89" s="727"/>
      <c r="C89" s="681"/>
      <c r="D89" s="768"/>
      <c r="E89" s="359" t="s">
        <v>360</v>
      </c>
      <c r="F89" s="474">
        <v>0.43</v>
      </c>
      <c r="G89" s="474">
        <v>0.43</v>
      </c>
      <c r="H89" s="474">
        <v>0.43</v>
      </c>
      <c r="I89" s="474">
        <v>0.43</v>
      </c>
      <c r="J89" s="474">
        <v>0.43</v>
      </c>
      <c r="K89" s="474">
        <v>0.43</v>
      </c>
      <c r="L89" s="474">
        <v>0.43</v>
      </c>
      <c r="M89" s="474">
        <v>0.43</v>
      </c>
      <c r="N89" s="474">
        <v>0.43</v>
      </c>
      <c r="O89" s="474">
        <v>0.43</v>
      </c>
      <c r="P89" s="474">
        <v>0.43</v>
      </c>
      <c r="Q89" s="474">
        <v>0.43</v>
      </c>
      <c r="R89" s="474">
        <v>0.43</v>
      </c>
      <c r="S89" s="474">
        <v>0.43</v>
      </c>
      <c r="T89" s="474">
        <v>0.43</v>
      </c>
      <c r="U89" s="474">
        <v>0.43</v>
      </c>
      <c r="V89" s="474">
        <v>0.43</v>
      </c>
      <c r="W89" s="474">
        <v>0.43</v>
      </c>
      <c r="X89" s="474">
        <v>0.43</v>
      </c>
      <c r="Y89" s="474">
        <v>0.43</v>
      </c>
      <c r="Z89" s="474">
        <v>0.43</v>
      </c>
      <c r="AA89" s="474">
        <v>0.43</v>
      </c>
      <c r="AB89" s="474">
        <v>0.43</v>
      </c>
      <c r="AC89" s="475">
        <v>0.43</v>
      </c>
    </row>
    <row r="90" spans="1:29" ht="34.15" customHeight="1" thickBot="1">
      <c r="A90" s="725"/>
      <c r="B90" s="728"/>
      <c r="C90" s="682"/>
      <c r="D90" s="769"/>
      <c r="E90" s="371" t="s">
        <v>361</v>
      </c>
      <c r="F90" s="476">
        <v>0.43</v>
      </c>
      <c r="G90" s="476">
        <v>0.43</v>
      </c>
      <c r="H90" s="476">
        <v>0.43</v>
      </c>
      <c r="I90" s="476">
        <v>0.43</v>
      </c>
      <c r="J90" s="476">
        <v>0.43</v>
      </c>
      <c r="K90" s="476">
        <v>0.43</v>
      </c>
      <c r="L90" s="476">
        <v>0.43</v>
      </c>
      <c r="M90" s="476">
        <v>0.43</v>
      </c>
      <c r="N90" s="476">
        <v>0.43</v>
      </c>
      <c r="O90" s="476">
        <v>0.43</v>
      </c>
      <c r="P90" s="476">
        <v>0.43</v>
      </c>
      <c r="Q90" s="476">
        <v>0.43</v>
      </c>
      <c r="R90" s="476">
        <v>0.43</v>
      </c>
      <c r="S90" s="476">
        <v>0.43</v>
      </c>
      <c r="T90" s="476">
        <v>0.43</v>
      </c>
      <c r="U90" s="476">
        <v>0.43</v>
      </c>
      <c r="V90" s="476">
        <v>0.43</v>
      </c>
      <c r="W90" s="476">
        <v>0.43</v>
      </c>
      <c r="X90" s="476">
        <v>0.43</v>
      </c>
      <c r="Y90" s="476">
        <v>0.43</v>
      </c>
      <c r="Z90" s="476">
        <v>0.43</v>
      </c>
      <c r="AA90" s="476">
        <v>0.43</v>
      </c>
      <c r="AB90" s="476">
        <v>0.43</v>
      </c>
      <c r="AC90" s="477">
        <v>0.43</v>
      </c>
    </row>
    <row r="91" spans="1:29" ht="23.45" customHeight="1">
      <c r="A91" s="723" t="s">
        <v>112</v>
      </c>
      <c r="B91" s="726" t="s">
        <v>112</v>
      </c>
      <c r="C91" s="680" t="s">
        <v>632</v>
      </c>
      <c r="D91" s="707" t="s">
        <v>645</v>
      </c>
      <c r="E91" s="372" t="s">
        <v>359</v>
      </c>
      <c r="F91" s="480">
        <v>0</v>
      </c>
      <c r="G91" s="480">
        <v>0</v>
      </c>
      <c r="H91" s="480">
        <v>0</v>
      </c>
      <c r="I91" s="480">
        <v>0</v>
      </c>
      <c r="J91" s="480">
        <v>0</v>
      </c>
      <c r="K91" s="480">
        <v>1</v>
      </c>
      <c r="L91" s="480">
        <v>1</v>
      </c>
      <c r="M91" s="480">
        <v>1</v>
      </c>
      <c r="N91" s="480">
        <v>1</v>
      </c>
      <c r="O91" s="480">
        <v>1</v>
      </c>
      <c r="P91" s="480">
        <v>1</v>
      </c>
      <c r="Q91" s="480">
        <v>1</v>
      </c>
      <c r="R91" s="480">
        <v>1</v>
      </c>
      <c r="S91" s="480">
        <v>1</v>
      </c>
      <c r="T91" s="480">
        <v>1</v>
      </c>
      <c r="U91" s="480">
        <v>1</v>
      </c>
      <c r="V91" s="480">
        <v>1</v>
      </c>
      <c r="W91" s="480">
        <v>1</v>
      </c>
      <c r="X91" s="480">
        <v>1</v>
      </c>
      <c r="Y91" s="480">
        <v>1</v>
      </c>
      <c r="Z91" s="480">
        <v>1</v>
      </c>
      <c r="AA91" s="480">
        <v>1</v>
      </c>
      <c r="AB91" s="480">
        <v>1</v>
      </c>
      <c r="AC91" s="481">
        <v>1</v>
      </c>
    </row>
    <row r="92" spans="1:29" ht="34.15" customHeight="1">
      <c r="A92" s="724"/>
      <c r="B92" s="727"/>
      <c r="C92" s="681"/>
      <c r="D92" s="684"/>
      <c r="E92" s="359" t="s">
        <v>360</v>
      </c>
      <c r="F92" s="467">
        <v>0</v>
      </c>
      <c r="G92" s="467">
        <v>0</v>
      </c>
      <c r="H92" s="467">
        <v>0</v>
      </c>
      <c r="I92" s="467">
        <v>0</v>
      </c>
      <c r="J92" s="467">
        <v>0</v>
      </c>
      <c r="K92" s="467">
        <v>1</v>
      </c>
      <c r="L92" s="467">
        <v>1</v>
      </c>
      <c r="M92" s="467">
        <v>1</v>
      </c>
      <c r="N92" s="467">
        <v>1</v>
      </c>
      <c r="O92" s="467">
        <v>1</v>
      </c>
      <c r="P92" s="467">
        <v>1</v>
      </c>
      <c r="Q92" s="467">
        <v>1</v>
      </c>
      <c r="R92" s="467">
        <v>1</v>
      </c>
      <c r="S92" s="467">
        <v>1</v>
      </c>
      <c r="T92" s="467">
        <v>1</v>
      </c>
      <c r="U92" s="467">
        <v>1</v>
      </c>
      <c r="V92" s="467">
        <v>1</v>
      </c>
      <c r="W92" s="467">
        <v>1</v>
      </c>
      <c r="X92" s="467">
        <v>1</v>
      </c>
      <c r="Y92" s="467">
        <v>0</v>
      </c>
      <c r="Z92" s="467">
        <v>0</v>
      </c>
      <c r="AA92" s="467">
        <v>0</v>
      </c>
      <c r="AB92" s="467">
        <v>0</v>
      </c>
      <c r="AC92" s="468">
        <v>0</v>
      </c>
    </row>
    <row r="93" spans="1:29" ht="34.15" customHeight="1" thickBot="1">
      <c r="A93" s="725"/>
      <c r="B93" s="728"/>
      <c r="C93" s="682"/>
      <c r="D93" s="718"/>
      <c r="E93" s="371" t="s">
        <v>361</v>
      </c>
      <c r="F93" s="478">
        <v>0</v>
      </c>
      <c r="G93" s="478">
        <v>0</v>
      </c>
      <c r="H93" s="478">
        <v>0</v>
      </c>
      <c r="I93" s="478">
        <v>0</v>
      </c>
      <c r="J93" s="478">
        <v>0</v>
      </c>
      <c r="K93" s="478">
        <v>0</v>
      </c>
      <c r="L93" s="478">
        <v>0</v>
      </c>
      <c r="M93" s="478">
        <v>0</v>
      </c>
      <c r="N93" s="478">
        <v>0</v>
      </c>
      <c r="O93" s="478">
        <v>0</v>
      </c>
      <c r="P93" s="478">
        <v>0</v>
      </c>
      <c r="Q93" s="478">
        <v>0</v>
      </c>
      <c r="R93" s="478">
        <v>0</v>
      </c>
      <c r="S93" s="478">
        <v>0</v>
      </c>
      <c r="T93" s="478">
        <v>0</v>
      </c>
      <c r="U93" s="478">
        <v>0</v>
      </c>
      <c r="V93" s="478">
        <v>0</v>
      </c>
      <c r="W93" s="478">
        <v>0</v>
      </c>
      <c r="X93" s="478">
        <v>0</v>
      </c>
      <c r="Y93" s="478">
        <v>0</v>
      </c>
      <c r="Z93" s="478">
        <v>0</v>
      </c>
      <c r="AA93" s="478">
        <v>0</v>
      </c>
      <c r="AB93" s="478">
        <v>0</v>
      </c>
      <c r="AC93" s="479">
        <v>0</v>
      </c>
    </row>
    <row r="94" spans="1:29" ht="34.15" customHeight="1">
      <c r="A94" s="723" t="s">
        <v>112</v>
      </c>
      <c r="B94" s="726" t="s">
        <v>112</v>
      </c>
      <c r="C94" s="680" t="s">
        <v>633</v>
      </c>
      <c r="D94" s="707" t="s">
        <v>645</v>
      </c>
      <c r="E94" s="372" t="s">
        <v>359</v>
      </c>
      <c r="F94" s="360">
        <v>0.05</v>
      </c>
      <c r="G94" s="360">
        <v>0.05</v>
      </c>
      <c r="H94" s="360">
        <v>0.05</v>
      </c>
      <c r="I94" s="360">
        <v>0.05</v>
      </c>
      <c r="J94" s="360">
        <v>0.05</v>
      </c>
      <c r="K94" s="360">
        <v>0.08</v>
      </c>
      <c r="L94" s="360">
        <v>7.0000000000000007E-2</v>
      </c>
      <c r="M94" s="360">
        <v>0.19</v>
      </c>
      <c r="N94" s="360">
        <v>0.35</v>
      </c>
      <c r="O94" s="360">
        <v>0.38</v>
      </c>
      <c r="P94" s="360">
        <v>0.39</v>
      </c>
      <c r="Q94" s="360">
        <v>0.47</v>
      </c>
      <c r="R94" s="360">
        <v>0.56999999999999995</v>
      </c>
      <c r="S94" s="360">
        <v>0.54</v>
      </c>
      <c r="T94" s="360">
        <v>0.34</v>
      </c>
      <c r="U94" s="360">
        <v>0.33</v>
      </c>
      <c r="V94" s="360">
        <v>0.44</v>
      </c>
      <c r="W94" s="360">
        <v>0.26</v>
      </c>
      <c r="X94" s="360">
        <v>0.21</v>
      </c>
      <c r="Y94" s="360">
        <v>0.15</v>
      </c>
      <c r="Z94" s="360">
        <v>0.17</v>
      </c>
      <c r="AA94" s="360">
        <v>0.08</v>
      </c>
      <c r="AB94" s="360">
        <v>0.05</v>
      </c>
      <c r="AC94" s="368">
        <v>0.05</v>
      </c>
    </row>
    <row r="95" spans="1:29" ht="34.15" customHeight="1">
      <c r="A95" s="724"/>
      <c r="B95" s="727"/>
      <c r="C95" s="681"/>
      <c r="D95" s="684"/>
      <c r="E95" s="359" t="s">
        <v>360</v>
      </c>
      <c r="F95" s="358">
        <v>0.05</v>
      </c>
      <c r="G95" s="358">
        <v>0.05</v>
      </c>
      <c r="H95" s="358">
        <v>0.05</v>
      </c>
      <c r="I95" s="358">
        <v>0.05</v>
      </c>
      <c r="J95" s="358">
        <v>0.05</v>
      </c>
      <c r="K95" s="358">
        <v>0.08</v>
      </c>
      <c r="L95" s="358">
        <v>7.0000000000000007E-2</v>
      </c>
      <c r="M95" s="358">
        <v>0.11</v>
      </c>
      <c r="N95" s="358">
        <v>0.15</v>
      </c>
      <c r="O95" s="358">
        <v>0.21</v>
      </c>
      <c r="P95" s="358">
        <v>0.19</v>
      </c>
      <c r="Q95" s="358">
        <v>0.23</v>
      </c>
      <c r="R95" s="358">
        <v>0.2</v>
      </c>
      <c r="S95" s="358">
        <v>0.19</v>
      </c>
      <c r="T95" s="358">
        <v>0.15</v>
      </c>
      <c r="U95" s="358">
        <v>0.12</v>
      </c>
      <c r="V95" s="358">
        <v>0.14000000000000001</v>
      </c>
      <c r="W95" s="358">
        <v>7.0000000000000007E-2</v>
      </c>
      <c r="X95" s="358">
        <v>7.0000000000000007E-2</v>
      </c>
      <c r="Y95" s="358">
        <v>7.0000000000000007E-2</v>
      </c>
      <c r="Z95" s="358">
        <v>7.0000000000000007E-2</v>
      </c>
      <c r="AA95" s="358">
        <v>0.09</v>
      </c>
      <c r="AB95" s="358">
        <v>0.05</v>
      </c>
      <c r="AC95" s="363">
        <v>0.05</v>
      </c>
    </row>
    <row r="96" spans="1:29" ht="34.15" customHeight="1" thickBot="1">
      <c r="A96" s="725"/>
      <c r="B96" s="728"/>
      <c r="C96" s="682"/>
      <c r="D96" s="718"/>
      <c r="E96" s="371" t="s">
        <v>361</v>
      </c>
      <c r="F96" s="364">
        <v>0.04</v>
      </c>
      <c r="G96" s="364">
        <v>0.04</v>
      </c>
      <c r="H96" s="364">
        <v>0.04</v>
      </c>
      <c r="I96" s="364">
        <v>0.04</v>
      </c>
      <c r="J96" s="364">
        <v>0.04</v>
      </c>
      <c r="K96" s="364">
        <v>7.0000000000000007E-2</v>
      </c>
      <c r="L96" s="364">
        <v>0.04</v>
      </c>
      <c r="M96" s="364">
        <v>0.04</v>
      </c>
      <c r="N96" s="364">
        <v>0.04</v>
      </c>
      <c r="O96" s="364">
        <v>0.04</v>
      </c>
      <c r="P96" s="364">
        <v>0.04</v>
      </c>
      <c r="Q96" s="364">
        <v>0.06</v>
      </c>
      <c r="R96" s="364">
        <v>0.06</v>
      </c>
      <c r="S96" s="364">
        <v>0.09</v>
      </c>
      <c r="T96" s="364">
        <v>0.06</v>
      </c>
      <c r="U96" s="364">
        <v>0.04</v>
      </c>
      <c r="V96" s="364">
        <v>0.04</v>
      </c>
      <c r="W96" s="364">
        <v>0.04</v>
      </c>
      <c r="X96" s="364">
        <v>0.04</v>
      </c>
      <c r="Y96" s="364">
        <v>0.04</v>
      </c>
      <c r="Z96" s="364">
        <v>0.04</v>
      </c>
      <c r="AA96" s="364">
        <v>7.0000000000000007E-2</v>
      </c>
      <c r="AB96" s="364">
        <v>0.04</v>
      </c>
      <c r="AC96" s="365">
        <v>0.04</v>
      </c>
    </row>
    <row r="97" spans="1:29" ht="34.15" customHeight="1">
      <c r="A97" s="723" t="s">
        <v>112</v>
      </c>
      <c r="B97" s="726" t="s">
        <v>112</v>
      </c>
      <c r="C97" s="676" t="s">
        <v>326</v>
      </c>
      <c r="D97" s="707" t="s">
        <v>645</v>
      </c>
      <c r="E97" s="369" t="s">
        <v>359</v>
      </c>
      <c r="F97" s="480">
        <v>1</v>
      </c>
      <c r="G97" s="480">
        <v>1</v>
      </c>
      <c r="H97" s="480">
        <v>1</v>
      </c>
      <c r="I97" s="480">
        <v>1</v>
      </c>
      <c r="J97" s="480">
        <v>1</v>
      </c>
      <c r="K97" s="480">
        <v>0.25</v>
      </c>
      <c r="L97" s="480">
        <v>0.25</v>
      </c>
      <c r="M97" s="480">
        <v>0.25</v>
      </c>
      <c r="N97" s="480">
        <v>0.25</v>
      </c>
      <c r="O97" s="480">
        <v>0.25</v>
      </c>
      <c r="P97" s="480">
        <v>0.25</v>
      </c>
      <c r="Q97" s="480">
        <v>0.25</v>
      </c>
      <c r="R97" s="480">
        <v>0.25</v>
      </c>
      <c r="S97" s="480">
        <v>0.25</v>
      </c>
      <c r="T97" s="480">
        <v>0.25</v>
      </c>
      <c r="U97" s="480">
        <v>0.25</v>
      </c>
      <c r="V97" s="480">
        <v>0.25</v>
      </c>
      <c r="W97" s="480">
        <v>0.25</v>
      </c>
      <c r="X97" s="480">
        <v>0.25</v>
      </c>
      <c r="Y97" s="480">
        <v>0.25</v>
      </c>
      <c r="Z97" s="480">
        <v>0.25</v>
      </c>
      <c r="AA97" s="480">
        <v>0.25</v>
      </c>
      <c r="AB97" s="480">
        <v>0.25</v>
      </c>
      <c r="AC97" s="481">
        <v>0.25</v>
      </c>
    </row>
    <row r="98" spans="1:29" ht="34.15" customHeight="1">
      <c r="A98" s="724"/>
      <c r="B98" s="727"/>
      <c r="C98" s="681"/>
      <c r="D98" s="684"/>
      <c r="E98" s="359" t="s">
        <v>360</v>
      </c>
      <c r="F98" s="467">
        <v>1</v>
      </c>
      <c r="G98" s="467">
        <v>1</v>
      </c>
      <c r="H98" s="467">
        <v>1</v>
      </c>
      <c r="I98" s="467">
        <v>1</v>
      </c>
      <c r="J98" s="467">
        <v>1</v>
      </c>
      <c r="K98" s="467">
        <v>0.25</v>
      </c>
      <c r="L98" s="467">
        <v>0.25</v>
      </c>
      <c r="M98" s="467">
        <v>0.25</v>
      </c>
      <c r="N98" s="467">
        <v>0.25</v>
      </c>
      <c r="O98" s="467">
        <v>0.25</v>
      </c>
      <c r="P98" s="467">
        <v>0.25</v>
      </c>
      <c r="Q98" s="467">
        <v>0.25</v>
      </c>
      <c r="R98" s="467">
        <v>0.25</v>
      </c>
      <c r="S98" s="467">
        <v>0.25</v>
      </c>
      <c r="T98" s="467">
        <v>0.25</v>
      </c>
      <c r="U98" s="467">
        <v>0.25</v>
      </c>
      <c r="V98" s="467">
        <v>0.25</v>
      </c>
      <c r="W98" s="467">
        <v>0.25</v>
      </c>
      <c r="X98" s="467">
        <v>0.25</v>
      </c>
      <c r="Y98" s="467">
        <v>1</v>
      </c>
      <c r="Z98" s="467">
        <v>1</v>
      </c>
      <c r="AA98" s="467">
        <v>1</v>
      </c>
      <c r="AB98" s="467">
        <v>1</v>
      </c>
      <c r="AC98" s="468">
        <v>1</v>
      </c>
    </row>
    <row r="99" spans="1:29" ht="34.15" customHeight="1" thickBot="1">
      <c r="A99" s="725"/>
      <c r="B99" s="728"/>
      <c r="C99" s="717"/>
      <c r="D99" s="718"/>
      <c r="E99" s="370" t="s">
        <v>361</v>
      </c>
      <c r="F99" s="470">
        <v>1</v>
      </c>
      <c r="G99" s="470">
        <v>1</v>
      </c>
      <c r="H99" s="470">
        <v>1</v>
      </c>
      <c r="I99" s="470">
        <v>1</v>
      </c>
      <c r="J99" s="470">
        <v>1</v>
      </c>
      <c r="K99" s="470">
        <v>1</v>
      </c>
      <c r="L99" s="470">
        <v>1</v>
      </c>
      <c r="M99" s="470">
        <v>1</v>
      </c>
      <c r="N99" s="470">
        <v>1</v>
      </c>
      <c r="O99" s="470">
        <v>1</v>
      </c>
      <c r="P99" s="470">
        <v>1</v>
      </c>
      <c r="Q99" s="470">
        <v>1</v>
      </c>
      <c r="R99" s="470">
        <v>1</v>
      </c>
      <c r="S99" s="470">
        <v>1</v>
      </c>
      <c r="T99" s="470">
        <v>1</v>
      </c>
      <c r="U99" s="470">
        <v>1</v>
      </c>
      <c r="V99" s="470">
        <v>1</v>
      </c>
      <c r="W99" s="470">
        <v>1</v>
      </c>
      <c r="X99" s="470">
        <v>1</v>
      </c>
      <c r="Y99" s="470">
        <v>1</v>
      </c>
      <c r="Z99" s="470">
        <v>1</v>
      </c>
      <c r="AA99" s="470">
        <v>1</v>
      </c>
      <c r="AB99" s="470">
        <v>1</v>
      </c>
      <c r="AC99" s="471">
        <v>1</v>
      </c>
    </row>
    <row r="100" spans="1:29" ht="34.15" customHeight="1">
      <c r="A100" s="723" t="s">
        <v>112</v>
      </c>
      <c r="B100" s="726" t="s">
        <v>112</v>
      </c>
      <c r="C100" s="711" t="s">
        <v>636</v>
      </c>
      <c r="D100" s="714" t="s">
        <v>637</v>
      </c>
      <c r="E100" s="484" t="s">
        <v>359</v>
      </c>
      <c r="F100" s="486">
        <f>IF((F91=1),Thermostat!$B$3,Thermostat!$B$4)</f>
        <v>60</v>
      </c>
      <c r="G100" s="486">
        <f>IF((G91=1),Thermostat!$B$3,Thermostat!$B$4)</f>
        <v>60</v>
      </c>
      <c r="H100" s="486">
        <f>IF((H91=1),Thermostat!$B$3,Thermostat!$B$4)</f>
        <v>60</v>
      </c>
      <c r="I100" s="486">
        <f>IF((I91=1),Thermostat!$B$3,Thermostat!$B$4)</f>
        <v>60</v>
      </c>
      <c r="J100" s="486">
        <f>IF((J91=1),Thermostat!$B$3,Thermostat!$B$4)</f>
        <v>60</v>
      </c>
      <c r="K100" s="486">
        <f>IF((K91=1),Thermostat!$B$3,Thermostat!$B$4)</f>
        <v>70</v>
      </c>
      <c r="L100" s="486">
        <f>IF((L91=1),Thermostat!$B$3,Thermostat!$B$4)</f>
        <v>70</v>
      </c>
      <c r="M100" s="486">
        <f>IF((M91=1),Thermostat!$B$3,Thermostat!$B$4)</f>
        <v>70</v>
      </c>
      <c r="N100" s="486">
        <f>IF((N91=1),Thermostat!$B$3,Thermostat!$B$4)</f>
        <v>70</v>
      </c>
      <c r="O100" s="486">
        <f>IF((O91=1),Thermostat!$B$3,Thermostat!$B$4)</f>
        <v>70</v>
      </c>
      <c r="P100" s="486">
        <f>IF((P91=1),Thermostat!$B$3,Thermostat!$B$4)</f>
        <v>70</v>
      </c>
      <c r="Q100" s="486">
        <f>IF((Q91=1),Thermostat!$B$3,Thermostat!$B$4)</f>
        <v>70</v>
      </c>
      <c r="R100" s="486">
        <f>IF((R91=1),Thermostat!$B$3,Thermostat!$B$4)</f>
        <v>70</v>
      </c>
      <c r="S100" s="486">
        <f>IF((S91=1),Thermostat!$B$3,Thermostat!$B$4)</f>
        <v>70</v>
      </c>
      <c r="T100" s="486">
        <f>IF((T91=1),Thermostat!$B$3,Thermostat!$B$4)</f>
        <v>70</v>
      </c>
      <c r="U100" s="486">
        <f>IF((U91=1),Thermostat!$B$3,Thermostat!$B$4)</f>
        <v>70</v>
      </c>
      <c r="V100" s="486">
        <f>IF((V91=1),Thermostat!$B$3,Thermostat!$B$4)</f>
        <v>70</v>
      </c>
      <c r="W100" s="486">
        <f>IF((W91=1),Thermostat!$B$3,Thermostat!$B$4)</f>
        <v>70</v>
      </c>
      <c r="X100" s="486">
        <f>IF((X91=1),Thermostat!$B$3,Thermostat!$B$4)</f>
        <v>70</v>
      </c>
      <c r="Y100" s="486">
        <f>IF((Y91=1),Thermostat!$B$3,Thermostat!$B$4)</f>
        <v>70</v>
      </c>
      <c r="Z100" s="486">
        <f>IF((Z91=1),Thermostat!$B$3,Thermostat!$B$4)</f>
        <v>70</v>
      </c>
      <c r="AA100" s="486">
        <f>IF((AA91=1),Thermostat!$B$3,Thermostat!$B$4)</f>
        <v>70</v>
      </c>
      <c r="AB100" s="486">
        <f>IF((AB91=1),Thermostat!$B$3,Thermostat!$B$4)</f>
        <v>70</v>
      </c>
      <c r="AC100" s="487">
        <f>IF((AC91=1),Thermostat!$B$3,Thermostat!$B$4)</f>
        <v>70</v>
      </c>
    </row>
    <row r="101" spans="1:29" ht="34.15" customHeight="1">
      <c r="A101" s="724"/>
      <c r="B101" s="727"/>
      <c r="C101" s="712"/>
      <c r="D101" s="715"/>
      <c r="E101" s="447" t="s">
        <v>360</v>
      </c>
      <c r="F101" s="440">
        <f>IF((F92=1),Thermostat!$B$3,Thermostat!$B$4)</f>
        <v>60</v>
      </c>
      <c r="G101" s="440">
        <f>IF((G92=1),Thermostat!$B$3,Thermostat!$B$4)</f>
        <v>60</v>
      </c>
      <c r="H101" s="440">
        <f>IF((H92=1),Thermostat!$B$3,Thermostat!$B$4)</f>
        <v>60</v>
      </c>
      <c r="I101" s="440">
        <f>IF((I92=1),Thermostat!$B$3,Thermostat!$B$4)</f>
        <v>60</v>
      </c>
      <c r="J101" s="440">
        <f>IF((J92=1),Thermostat!$B$3,Thermostat!$B$4)</f>
        <v>60</v>
      </c>
      <c r="K101" s="440">
        <f>IF((K92=1),Thermostat!$B$3,Thermostat!$B$4)</f>
        <v>70</v>
      </c>
      <c r="L101" s="440">
        <f>IF((L92=1),Thermostat!$B$3,Thermostat!$B$4)</f>
        <v>70</v>
      </c>
      <c r="M101" s="440">
        <f>IF((M92=1),Thermostat!$B$3,Thermostat!$B$4)</f>
        <v>70</v>
      </c>
      <c r="N101" s="440">
        <f>IF((N92=1),Thermostat!$B$3,Thermostat!$B$4)</f>
        <v>70</v>
      </c>
      <c r="O101" s="440">
        <f>IF((O92=1),Thermostat!$B$3,Thermostat!$B$4)</f>
        <v>70</v>
      </c>
      <c r="P101" s="440">
        <f>IF((P92=1),Thermostat!$B$3,Thermostat!$B$4)</f>
        <v>70</v>
      </c>
      <c r="Q101" s="440">
        <f>IF((Q92=1),Thermostat!$B$3,Thermostat!$B$4)</f>
        <v>70</v>
      </c>
      <c r="R101" s="440">
        <f>IF((R92=1),Thermostat!$B$3,Thermostat!$B$4)</f>
        <v>70</v>
      </c>
      <c r="S101" s="440">
        <f>IF((S92=1),Thermostat!$B$3,Thermostat!$B$4)</f>
        <v>70</v>
      </c>
      <c r="T101" s="440">
        <f>IF((T92=1),Thermostat!$B$3,Thermostat!$B$4)</f>
        <v>70</v>
      </c>
      <c r="U101" s="440">
        <f>IF((U92=1),Thermostat!$B$3,Thermostat!$B$4)</f>
        <v>70</v>
      </c>
      <c r="V101" s="440">
        <f>IF((V92=1),Thermostat!$B$3,Thermostat!$B$4)</f>
        <v>70</v>
      </c>
      <c r="W101" s="440">
        <f>IF((W92=1),Thermostat!$B$3,Thermostat!$B$4)</f>
        <v>70</v>
      </c>
      <c r="X101" s="440">
        <f>IF((X92=1),Thermostat!$B$3,Thermostat!$B$4)</f>
        <v>70</v>
      </c>
      <c r="Y101" s="440">
        <f>IF((Y92=1),Thermostat!$B$3,Thermostat!$B$4)</f>
        <v>60</v>
      </c>
      <c r="Z101" s="440">
        <f>IF((Z92=1),Thermostat!$B$3,Thermostat!$B$4)</f>
        <v>60</v>
      </c>
      <c r="AA101" s="440">
        <f>IF((AA92=1),Thermostat!$B$3,Thermostat!$B$4)</f>
        <v>60</v>
      </c>
      <c r="AB101" s="440">
        <f>IF((AB92=1),Thermostat!$B$3,Thermostat!$B$4)</f>
        <v>60</v>
      </c>
      <c r="AC101" s="488">
        <f>IF((AC92=1),Thermostat!$B$3,Thermostat!$B$4)</f>
        <v>60</v>
      </c>
    </row>
    <row r="102" spans="1:29" ht="34.15" customHeight="1" thickBot="1">
      <c r="A102" s="748"/>
      <c r="B102" s="728"/>
      <c r="C102" s="719"/>
      <c r="D102" s="720"/>
      <c r="E102" s="485" t="s">
        <v>361</v>
      </c>
      <c r="F102" s="489">
        <f>IF((F93=1),Thermostat!$B$3,Thermostat!$B$4)</f>
        <v>60</v>
      </c>
      <c r="G102" s="489">
        <f>IF((G93=1),Thermostat!$B$3,Thermostat!$B$4)</f>
        <v>60</v>
      </c>
      <c r="H102" s="489">
        <f>IF((H93=1),Thermostat!$B$3,Thermostat!$B$4)</f>
        <v>60</v>
      </c>
      <c r="I102" s="489">
        <f>IF((I93=1),Thermostat!$B$3,Thermostat!$B$4)</f>
        <v>60</v>
      </c>
      <c r="J102" s="489">
        <f>IF((J93=1),Thermostat!$B$3,Thermostat!$B$4)</f>
        <v>60</v>
      </c>
      <c r="K102" s="489">
        <f>IF((K93=1),Thermostat!$B$3,Thermostat!$B$4)</f>
        <v>60</v>
      </c>
      <c r="L102" s="489">
        <f>IF((L93=1),Thermostat!$B$3,Thermostat!$B$4)</f>
        <v>60</v>
      </c>
      <c r="M102" s="489">
        <f>IF((M93=1),Thermostat!$B$3,Thermostat!$B$4)</f>
        <v>60</v>
      </c>
      <c r="N102" s="489">
        <f>IF((N93=1),Thermostat!$B$3,Thermostat!$B$4)</f>
        <v>60</v>
      </c>
      <c r="O102" s="489">
        <f>IF((O93=1),Thermostat!$B$3,Thermostat!$B$4)</f>
        <v>60</v>
      </c>
      <c r="P102" s="489">
        <f>IF((P93=1),Thermostat!$B$3,Thermostat!$B$4)</f>
        <v>60</v>
      </c>
      <c r="Q102" s="489">
        <f>IF((Q93=1),Thermostat!$B$3,Thermostat!$B$4)</f>
        <v>60</v>
      </c>
      <c r="R102" s="489">
        <f>IF((R93=1),Thermostat!$B$3,Thermostat!$B$4)</f>
        <v>60</v>
      </c>
      <c r="S102" s="489">
        <f>IF((S93=1),Thermostat!$B$3,Thermostat!$B$4)</f>
        <v>60</v>
      </c>
      <c r="T102" s="489">
        <f>IF((T93=1),Thermostat!$B$3,Thermostat!$B$4)</f>
        <v>60</v>
      </c>
      <c r="U102" s="489">
        <f>IF((U93=1),Thermostat!$B$3,Thermostat!$B$4)</f>
        <v>60</v>
      </c>
      <c r="V102" s="489">
        <f>IF((V93=1),Thermostat!$B$3,Thermostat!$B$4)</f>
        <v>60</v>
      </c>
      <c r="W102" s="489">
        <f>IF((W93=1),Thermostat!$B$3,Thermostat!$B$4)</f>
        <v>60</v>
      </c>
      <c r="X102" s="489">
        <f>IF((X93=1),Thermostat!$B$3,Thermostat!$B$4)</f>
        <v>60</v>
      </c>
      <c r="Y102" s="489">
        <f>IF((Y93=1),Thermostat!$B$3,Thermostat!$B$4)</f>
        <v>60</v>
      </c>
      <c r="Z102" s="489">
        <f>IF((Z93=1),Thermostat!$B$3,Thermostat!$B$4)</f>
        <v>60</v>
      </c>
      <c r="AA102" s="489">
        <f>IF((AA93=1),Thermostat!$B$3,Thermostat!$B$4)</f>
        <v>60</v>
      </c>
      <c r="AB102" s="489">
        <f>IF((AB93=1),Thermostat!$B$3,Thermostat!$B$4)</f>
        <v>60</v>
      </c>
      <c r="AC102" s="490">
        <f>IF((AC93=1),Thermostat!$B$3,Thermostat!$B$4)</f>
        <v>60</v>
      </c>
    </row>
    <row r="103" spans="1:29" ht="34.15" customHeight="1">
      <c r="A103" s="755" t="s">
        <v>112</v>
      </c>
      <c r="B103" s="726" t="s">
        <v>112</v>
      </c>
      <c r="C103" s="772" t="s">
        <v>638</v>
      </c>
      <c r="D103" s="773" t="s">
        <v>637</v>
      </c>
      <c r="E103" s="446" t="s">
        <v>359</v>
      </c>
      <c r="F103" s="456">
        <f>IF((F91=1),Thermostat!$B$5,Thermostat!$B$6)</f>
        <v>85</v>
      </c>
      <c r="G103" s="456">
        <f>IF((G91=1),Thermostat!$B$5,Thermostat!$B$6)</f>
        <v>85</v>
      </c>
      <c r="H103" s="456">
        <f>IF((H91=1),Thermostat!$B$5,Thermostat!$B$6)</f>
        <v>85</v>
      </c>
      <c r="I103" s="456">
        <f>IF((I91=1),Thermostat!$B$5,Thermostat!$B$6)</f>
        <v>85</v>
      </c>
      <c r="J103" s="456">
        <f>IF((J91=1),Thermostat!$B$5,Thermostat!$B$6)</f>
        <v>85</v>
      </c>
      <c r="K103" s="456">
        <f>IF((K91=1),Thermostat!$B$5,Thermostat!$B$6)</f>
        <v>75</v>
      </c>
      <c r="L103" s="456">
        <f>IF((L91=1),Thermostat!$B$5,Thermostat!$B$6)</f>
        <v>75</v>
      </c>
      <c r="M103" s="456">
        <f>IF((M91=1),Thermostat!$B$5,Thermostat!$B$6)</f>
        <v>75</v>
      </c>
      <c r="N103" s="456">
        <f>IF((N91=1),Thermostat!$B$5,Thermostat!$B$6)</f>
        <v>75</v>
      </c>
      <c r="O103" s="456">
        <f>IF((O91=1),Thermostat!$B$5,Thermostat!$B$6)</f>
        <v>75</v>
      </c>
      <c r="P103" s="456">
        <f>IF((P91=1),Thermostat!$B$5,Thermostat!$B$6)</f>
        <v>75</v>
      </c>
      <c r="Q103" s="456">
        <f>IF((Q91=1),Thermostat!$B$5,Thermostat!$B$6)</f>
        <v>75</v>
      </c>
      <c r="R103" s="456">
        <f>IF((R91=1),Thermostat!$B$5,Thermostat!$B$6)</f>
        <v>75</v>
      </c>
      <c r="S103" s="456">
        <f>IF((S91=1),Thermostat!$B$5,Thermostat!$B$6)</f>
        <v>75</v>
      </c>
      <c r="T103" s="456">
        <f>IF((T91=1),Thermostat!$B$5,Thermostat!$B$6)</f>
        <v>75</v>
      </c>
      <c r="U103" s="456">
        <f>IF((U91=1),Thermostat!$B$5,Thermostat!$B$6)</f>
        <v>75</v>
      </c>
      <c r="V103" s="456">
        <f>IF((V91=1),Thermostat!$B$5,Thermostat!$B$6)</f>
        <v>75</v>
      </c>
      <c r="W103" s="456">
        <f>IF((W91=1),Thermostat!$B$5,Thermostat!$B$6)</f>
        <v>75</v>
      </c>
      <c r="X103" s="456">
        <f>IF((X91=1),Thermostat!$B$5,Thermostat!$B$6)</f>
        <v>75</v>
      </c>
      <c r="Y103" s="456">
        <f>IF((Y91=1),Thermostat!$B$5,Thermostat!$B$6)</f>
        <v>75</v>
      </c>
      <c r="Z103" s="456">
        <f>IF((Z91=1),Thermostat!$B$5,Thermostat!$B$6)</f>
        <v>75</v>
      </c>
      <c r="AA103" s="456">
        <f>IF((AA91=1),Thermostat!$B$5,Thermostat!$B$6)</f>
        <v>75</v>
      </c>
      <c r="AB103" s="456">
        <f>IF((AB91=1),Thermostat!$B$5,Thermostat!$B$6)</f>
        <v>75</v>
      </c>
      <c r="AC103" s="491">
        <f>IF((AC91=1),Thermostat!$B$5,Thermostat!$B$6)</f>
        <v>75</v>
      </c>
    </row>
    <row r="104" spans="1:29" ht="34.15" customHeight="1">
      <c r="A104" s="724"/>
      <c r="B104" s="727"/>
      <c r="C104" s="712"/>
      <c r="D104" s="715"/>
      <c r="E104" s="447" t="s">
        <v>360</v>
      </c>
      <c r="F104" s="440">
        <f>IF((F92=1),Thermostat!$B$5,Thermostat!$B$6)</f>
        <v>85</v>
      </c>
      <c r="G104" s="440">
        <f>IF((G92=1),Thermostat!$B$5,Thermostat!$B$6)</f>
        <v>85</v>
      </c>
      <c r="H104" s="440">
        <f>IF((H92=1),Thermostat!$B$5,Thermostat!$B$6)</f>
        <v>85</v>
      </c>
      <c r="I104" s="440">
        <f>IF((I92=1),Thermostat!$B$5,Thermostat!$B$6)</f>
        <v>85</v>
      </c>
      <c r="J104" s="440">
        <f>IF((J92=1),Thermostat!$B$5,Thermostat!$B$6)</f>
        <v>85</v>
      </c>
      <c r="K104" s="440">
        <f>IF((K92=1),Thermostat!$B$5,Thermostat!$B$6)</f>
        <v>75</v>
      </c>
      <c r="L104" s="440">
        <f>IF((L92=1),Thermostat!$B$5,Thermostat!$B$6)</f>
        <v>75</v>
      </c>
      <c r="M104" s="440">
        <f>IF((M92=1),Thermostat!$B$5,Thermostat!$B$6)</f>
        <v>75</v>
      </c>
      <c r="N104" s="440">
        <f>IF((N92=1),Thermostat!$B$5,Thermostat!$B$6)</f>
        <v>75</v>
      </c>
      <c r="O104" s="440">
        <f>IF((O92=1),Thermostat!$B$5,Thermostat!$B$6)</f>
        <v>75</v>
      </c>
      <c r="P104" s="440">
        <f>IF((P92=1),Thermostat!$B$5,Thermostat!$B$6)</f>
        <v>75</v>
      </c>
      <c r="Q104" s="440">
        <f>IF((Q92=1),Thermostat!$B$5,Thermostat!$B$6)</f>
        <v>75</v>
      </c>
      <c r="R104" s="440">
        <f>IF((R92=1),Thermostat!$B$5,Thermostat!$B$6)</f>
        <v>75</v>
      </c>
      <c r="S104" s="440">
        <f>IF((S92=1),Thermostat!$B$5,Thermostat!$B$6)</f>
        <v>75</v>
      </c>
      <c r="T104" s="440">
        <f>IF((T92=1),Thermostat!$B$5,Thermostat!$B$6)</f>
        <v>75</v>
      </c>
      <c r="U104" s="440">
        <f>IF((U92=1),Thermostat!$B$5,Thermostat!$B$6)</f>
        <v>75</v>
      </c>
      <c r="V104" s="440">
        <f>IF((V92=1),Thermostat!$B$5,Thermostat!$B$6)</f>
        <v>75</v>
      </c>
      <c r="W104" s="440">
        <f>IF((W92=1),Thermostat!$B$5,Thermostat!$B$6)</f>
        <v>75</v>
      </c>
      <c r="X104" s="440">
        <f>IF((X92=1),Thermostat!$B$5,Thermostat!$B$6)</f>
        <v>75</v>
      </c>
      <c r="Y104" s="440">
        <f>IF((Y92=1),Thermostat!$B$5,Thermostat!$B$6)</f>
        <v>85</v>
      </c>
      <c r="Z104" s="440">
        <f>IF((Z92=1),Thermostat!$B$5,Thermostat!$B$6)</f>
        <v>85</v>
      </c>
      <c r="AA104" s="440">
        <f>IF((AA92=1),Thermostat!$B$5,Thermostat!$B$6)</f>
        <v>85</v>
      </c>
      <c r="AB104" s="440">
        <f>IF((AB92=1),Thermostat!$B$5,Thermostat!$B$6)</f>
        <v>85</v>
      </c>
      <c r="AC104" s="488">
        <f>IF((AC92=1),Thermostat!$B$5,Thermostat!$B$6)</f>
        <v>85</v>
      </c>
    </row>
    <row r="105" spans="1:29" ht="34.15" customHeight="1" thickBot="1">
      <c r="A105" s="748"/>
      <c r="B105" s="728"/>
      <c r="C105" s="719"/>
      <c r="D105" s="720"/>
      <c r="E105" s="485" t="s">
        <v>361</v>
      </c>
      <c r="F105" s="489">
        <f>IF((F93=1),Thermostat!$B$5,Thermostat!$B$6)</f>
        <v>85</v>
      </c>
      <c r="G105" s="489">
        <f>IF((G93=1),Thermostat!$B$5,Thermostat!$B$6)</f>
        <v>85</v>
      </c>
      <c r="H105" s="489">
        <f>IF((H93=1),Thermostat!$B$5,Thermostat!$B$6)</f>
        <v>85</v>
      </c>
      <c r="I105" s="489">
        <f>IF((I93=1),Thermostat!$B$5,Thermostat!$B$6)</f>
        <v>85</v>
      </c>
      <c r="J105" s="489">
        <f>IF((J93=1),Thermostat!$B$5,Thermostat!$B$6)</f>
        <v>85</v>
      </c>
      <c r="K105" s="489">
        <f>IF((K93=1),Thermostat!$B$5,Thermostat!$B$6)</f>
        <v>85</v>
      </c>
      <c r="L105" s="489">
        <f>IF((L93=1),Thermostat!$B$5,Thermostat!$B$6)</f>
        <v>85</v>
      </c>
      <c r="M105" s="489">
        <f>IF((M93=1),Thermostat!$B$5,Thermostat!$B$6)</f>
        <v>85</v>
      </c>
      <c r="N105" s="489">
        <f>IF((N93=1),Thermostat!$B$5,Thermostat!$B$6)</f>
        <v>85</v>
      </c>
      <c r="O105" s="489">
        <f>IF((O93=1),Thermostat!$B$5,Thermostat!$B$6)</f>
        <v>85</v>
      </c>
      <c r="P105" s="489">
        <f>IF((P93=1),Thermostat!$B$5,Thermostat!$B$6)</f>
        <v>85</v>
      </c>
      <c r="Q105" s="489">
        <f>IF((Q93=1),Thermostat!$B$5,Thermostat!$B$6)</f>
        <v>85</v>
      </c>
      <c r="R105" s="489">
        <f>IF((R93=1),Thermostat!$B$5,Thermostat!$B$6)</f>
        <v>85</v>
      </c>
      <c r="S105" s="489">
        <f>IF((S93=1),Thermostat!$B$5,Thermostat!$B$6)</f>
        <v>85</v>
      </c>
      <c r="T105" s="489">
        <f>IF((T93=1),Thermostat!$B$5,Thermostat!$B$6)</f>
        <v>85</v>
      </c>
      <c r="U105" s="489">
        <f>IF((U93=1),Thermostat!$B$5,Thermostat!$B$6)</f>
        <v>85</v>
      </c>
      <c r="V105" s="489">
        <f>IF((V93=1),Thermostat!$B$5,Thermostat!$B$6)</f>
        <v>85</v>
      </c>
      <c r="W105" s="489">
        <f>IF((W93=1),Thermostat!$B$5,Thermostat!$B$6)</f>
        <v>85</v>
      </c>
      <c r="X105" s="489">
        <f>IF((X93=1),Thermostat!$B$5,Thermostat!$B$6)</f>
        <v>85</v>
      </c>
      <c r="Y105" s="489">
        <f>IF((Y93=1),Thermostat!$B$5,Thermostat!$B$6)</f>
        <v>85</v>
      </c>
      <c r="Z105" s="489">
        <f>IF((Z93=1),Thermostat!$B$5,Thermostat!$B$6)</f>
        <v>85</v>
      </c>
      <c r="AA105" s="489">
        <f>IF((AA93=1),Thermostat!$B$5,Thermostat!$B$6)</f>
        <v>85</v>
      </c>
      <c r="AB105" s="489">
        <f>IF((AB93=1),Thermostat!$B$5,Thermostat!$B$6)</f>
        <v>85</v>
      </c>
      <c r="AC105" s="490">
        <f>IF((AC93=1),Thermostat!$B$5,Thermostat!$B$6)</f>
        <v>85</v>
      </c>
    </row>
    <row r="106" spans="1:29" s="507" customFormat="1" ht="20.45" customHeight="1" thickBot="1">
      <c r="A106" s="721" t="s">
        <v>644</v>
      </c>
      <c r="B106" s="721"/>
      <c r="C106" s="721" t="s">
        <v>644</v>
      </c>
      <c r="D106" s="721"/>
      <c r="E106" s="721"/>
      <c r="F106" s="721"/>
      <c r="G106" s="721"/>
      <c r="H106" s="721"/>
      <c r="I106" s="721"/>
      <c r="J106" s="721"/>
      <c r="K106" s="721"/>
      <c r="L106" s="721"/>
      <c r="M106" s="721"/>
      <c r="N106" s="721"/>
      <c r="O106" s="721"/>
      <c r="P106" s="721"/>
      <c r="Q106" s="721"/>
      <c r="R106" s="721"/>
      <c r="S106" s="721"/>
      <c r="T106" s="721"/>
      <c r="U106" s="721"/>
      <c r="V106" s="721"/>
      <c r="W106" s="721"/>
      <c r="X106" s="721"/>
      <c r="Y106" s="721"/>
      <c r="Z106" s="721"/>
      <c r="AA106" s="721"/>
      <c r="AB106" s="721"/>
      <c r="AC106" s="722"/>
    </row>
    <row r="107" spans="1:29" ht="34.15" customHeight="1">
      <c r="A107" s="723"/>
      <c r="B107" s="705" t="s">
        <v>646</v>
      </c>
      <c r="C107" s="705" t="s">
        <v>647</v>
      </c>
      <c r="D107" s="707" t="s">
        <v>648</v>
      </c>
      <c r="E107" s="458" t="s">
        <v>359</v>
      </c>
      <c r="F107" s="459">
        <v>0</v>
      </c>
      <c r="G107" s="459">
        <v>0</v>
      </c>
      <c r="H107" s="459">
        <v>0</v>
      </c>
      <c r="I107" s="459">
        <v>0</v>
      </c>
      <c r="J107" s="459">
        <v>0</v>
      </c>
      <c r="K107" s="459">
        <v>0</v>
      </c>
      <c r="L107" s="459">
        <v>0</v>
      </c>
      <c r="M107" s="459">
        <v>0.35</v>
      </c>
      <c r="N107" s="459">
        <v>0.69</v>
      </c>
      <c r="O107" s="459">
        <v>0.43</v>
      </c>
      <c r="P107" s="459">
        <v>0.37</v>
      </c>
      <c r="Q107" s="459">
        <v>0.43</v>
      </c>
      <c r="R107" s="459">
        <v>0.57999999999999996</v>
      </c>
      <c r="S107" s="459">
        <v>0.48</v>
      </c>
      <c r="T107" s="459">
        <v>0.37</v>
      </c>
      <c r="U107" s="459">
        <v>0.37</v>
      </c>
      <c r="V107" s="459">
        <v>0.46</v>
      </c>
      <c r="W107" s="459">
        <v>0.62</v>
      </c>
      <c r="X107" s="459">
        <v>0.2</v>
      </c>
      <c r="Y107" s="459">
        <v>0.12</v>
      </c>
      <c r="Z107" s="459">
        <v>0.04</v>
      </c>
      <c r="AA107" s="459">
        <v>0.04</v>
      </c>
      <c r="AB107" s="459">
        <v>0</v>
      </c>
      <c r="AC107" s="460">
        <v>0</v>
      </c>
    </row>
    <row r="108" spans="1:29" ht="34.15" customHeight="1">
      <c r="A108" s="724"/>
      <c r="B108" s="681"/>
      <c r="C108" s="681"/>
      <c r="D108" s="684"/>
      <c r="E108" s="359" t="s">
        <v>360</v>
      </c>
      <c r="F108" s="358">
        <v>0</v>
      </c>
      <c r="G108" s="358">
        <v>0</v>
      </c>
      <c r="H108" s="358">
        <v>0</v>
      </c>
      <c r="I108" s="358">
        <v>0</v>
      </c>
      <c r="J108" s="358">
        <v>0</v>
      </c>
      <c r="K108" s="358">
        <v>0</v>
      </c>
      <c r="L108" s="358">
        <v>0</v>
      </c>
      <c r="M108" s="358">
        <v>0.35</v>
      </c>
      <c r="N108" s="358">
        <v>0.69</v>
      </c>
      <c r="O108" s="358">
        <v>0.43</v>
      </c>
      <c r="P108" s="358">
        <v>0.37</v>
      </c>
      <c r="Q108" s="358">
        <v>0.43</v>
      </c>
      <c r="R108" s="358">
        <v>0.57999999999999996</v>
      </c>
      <c r="S108" s="358">
        <v>0.48</v>
      </c>
      <c r="T108" s="358">
        <v>0.37</v>
      </c>
      <c r="U108" s="358">
        <v>0.37</v>
      </c>
      <c r="V108" s="358">
        <v>0.46</v>
      </c>
      <c r="W108" s="358">
        <v>0.62</v>
      </c>
      <c r="X108" s="358">
        <v>0.2</v>
      </c>
      <c r="Y108" s="358">
        <v>0.12</v>
      </c>
      <c r="Z108" s="358">
        <v>0.04</v>
      </c>
      <c r="AA108" s="358">
        <v>0.04</v>
      </c>
      <c r="AB108" s="358">
        <v>0</v>
      </c>
      <c r="AC108" s="461">
        <v>0</v>
      </c>
    </row>
    <row r="109" spans="1:29" ht="34.15" customHeight="1" thickBot="1">
      <c r="A109" s="748"/>
      <c r="B109" s="706"/>
      <c r="C109" s="706"/>
      <c r="D109" s="708"/>
      <c r="E109" s="462" t="s">
        <v>361</v>
      </c>
      <c r="F109" s="463">
        <v>0</v>
      </c>
      <c r="G109" s="463">
        <v>0</v>
      </c>
      <c r="H109" s="463">
        <v>0</v>
      </c>
      <c r="I109" s="463">
        <v>0</v>
      </c>
      <c r="J109" s="463">
        <v>0</v>
      </c>
      <c r="K109" s="463">
        <v>0</v>
      </c>
      <c r="L109" s="463">
        <v>0</v>
      </c>
      <c r="M109" s="463">
        <v>0.35</v>
      </c>
      <c r="N109" s="463">
        <v>0.69</v>
      </c>
      <c r="O109" s="463">
        <v>0.43</v>
      </c>
      <c r="P109" s="463">
        <v>0.37</v>
      </c>
      <c r="Q109" s="463">
        <v>0.43</v>
      </c>
      <c r="R109" s="463">
        <v>0.57999999999999996</v>
      </c>
      <c r="S109" s="463">
        <v>0.48</v>
      </c>
      <c r="T109" s="463">
        <v>0.37</v>
      </c>
      <c r="U109" s="463">
        <v>0.37</v>
      </c>
      <c r="V109" s="463">
        <v>0.46</v>
      </c>
      <c r="W109" s="463">
        <v>0.62</v>
      </c>
      <c r="X109" s="463">
        <v>0.2</v>
      </c>
      <c r="Y109" s="463">
        <v>0.12</v>
      </c>
      <c r="Z109" s="463">
        <v>0.04</v>
      </c>
      <c r="AA109" s="463">
        <v>0.04</v>
      </c>
      <c r="AB109" s="463">
        <v>0</v>
      </c>
      <c r="AC109" s="464">
        <v>0</v>
      </c>
    </row>
    <row r="110" spans="1:29" ht="24.6" customHeight="1">
      <c r="A110" s="755"/>
      <c r="B110" s="680" t="s">
        <v>646</v>
      </c>
      <c r="C110" s="680" t="s">
        <v>649</v>
      </c>
      <c r="D110" s="678" t="s">
        <v>650</v>
      </c>
      <c r="E110" s="372" t="s">
        <v>359</v>
      </c>
      <c r="F110" s="456">
        <v>1</v>
      </c>
      <c r="G110" s="456">
        <v>1</v>
      </c>
      <c r="H110" s="456">
        <v>1</v>
      </c>
      <c r="I110" s="456">
        <v>1</v>
      </c>
      <c r="J110" s="456">
        <v>1</v>
      </c>
      <c r="K110" s="456">
        <v>1</v>
      </c>
      <c r="L110" s="456">
        <v>1</v>
      </c>
      <c r="M110" s="456">
        <v>1</v>
      </c>
      <c r="N110" s="456">
        <v>1</v>
      </c>
      <c r="O110" s="456">
        <v>1</v>
      </c>
      <c r="P110" s="456">
        <v>1</v>
      </c>
      <c r="Q110" s="456">
        <v>1</v>
      </c>
      <c r="R110" s="456">
        <v>1</v>
      </c>
      <c r="S110" s="456">
        <v>1</v>
      </c>
      <c r="T110" s="456">
        <v>1</v>
      </c>
      <c r="U110" s="456">
        <v>1</v>
      </c>
      <c r="V110" s="456">
        <v>1</v>
      </c>
      <c r="W110" s="456">
        <v>1</v>
      </c>
      <c r="X110" s="456">
        <v>1</v>
      </c>
      <c r="Y110" s="456">
        <v>1</v>
      </c>
      <c r="Z110" s="456">
        <v>1</v>
      </c>
      <c r="AA110" s="456">
        <v>1</v>
      </c>
      <c r="AB110" s="456">
        <v>1</v>
      </c>
      <c r="AC110" s="457">
        <v>1</v>
      </c>
    </row>
    <row r="111" spans="1:29" ht="24.6" customHeight="1">
      <c r="A111" s="764"/>
      <c r="B111" s="671"/>
      <c r="C111" s="671"/>
      <c r="D111" s="678"/>
      <c r="E111" s="359" t="s">
        <v>360</v>
      </c>
      <c r="F111" s="440">
        <v>1</v>
      </c>
      <c r="G111" s="440">
        <v>1</v>
      </c>
      <c r="H111" s="440">
        <v>1</v>
      </c>
      <c r="I111" s="440">
        <v>1</v>
      </c>
      <c r="J111" s="440">
        <v>1</v>
      </c>
      <c r="K111" s="440">
        <v>1</v>
      </c>
      <c r="L111" s="440">
        <v>1</v>
      </c>
      <c r="M111" s="440">
        <v>1</v>
      </c>
      <c r="N111" s="440">
        <v>1</v>
      </c>
      <c r="O111" s="440">
        <v>1</v>
      </c>
      <c r="P111" s="440">
        <v>1</v>
      </c>
      <c r="Q111" s="440">
        <v>1</v>
      </c>
      <c r="R111" s="440">
        <v>1</v>
      </c>
      <c r="S111" s="440">
        <v>1</v>
      </c>
      <c r="T111" s="440">
        <v>1</v>
      </c>
      <c r="U111" s="440">
        <v>1</v>
      </c>
      <c r="V111" s="440">
        <v>1</v>
      </c>
      <c r="W111" s="440">
        <v>1</v>
      </c>
      <c r="X111" s="440">
        <v>1</v>
      </c>
      <c r="Y111" s="440">
        <v>1</v>
      </c>
      <c r="Z111" s="440">
        <v>1</v>
      </c>
      <c r="AA111" s="440">
        <v>1</v>
      </c>
      <c r="AB111" s="440">
        <v>1</v>
      </c>
      <c r="AC111" s="443">
        <v>1</v>
      </c>
    </row>
    <row r="112" spans="1:29" ht="24.6" customHeight="1" thickBot="1">
      <c r="A112" s="766"/>
      <c r="B112" s="672"/>
      <c r="C112" s="672"/>
      <c r="D112" s="679"/>
      <c r="E112" s="371" t="s">
        <v>361</v>
      </c>
      <c r="F112" s="441">
        <v>1</v>
      </c>
      <c r="G112" s="441">
        <v>1</v>
      </c>
      <c r="H112" s="441">
        <v>1</v>
      </c>
      <c r="I112" s="441">
        <v>1</v>
      </c>
      <c r="J112" s="441">
        <v>1</v>
      </c>
      <c r="K112" s="441">
        <v>1</v>
      </c>
      <c r="L112" s="441">
        <v>1</v>
      </c>
      <c r="M112" s="441">
        <v>1</v>
      </c>
      <c r="N112" s="441">
        <v>1</v>
      </c>
      <c r="O112" s="441">
        <v>1</v>
      </c>
      <c r="P112" s="441">
        <v>1</v>
      </c>
      <c r="Q112" s="441">
        <v>1</v>
      </c>
      <c r="R112" s="441">
        <v>1</v>
      </c>
      <c r="S112" s="441">
        <v>1</v>
      </c>
      <c r="T112" s="441">
        <v>1</v>
      </c>
      <c r="U112" s="441">
        <v>1</v>
      </c>
      <c r="V112" s="441">
        <v>1</v>
      </c>
      <c r="W112" s="441">
        <v>1</v>
      </c>
      <c r="X112" s="441">
        <v>1</v>
      </c>
      <c r="Y112" s="441">
        <v>1</v>
      </c>
      <c r="Z112" s="441">
        <v>1</v>
      </c>
      <c r="AA112" s="441">
        <v>1</v>
      </c>
      <c r="AB112" s="441">
        <v>1</v>
      </c>
      <c r="AC112" s="444">
        <v>1</v>
      </c>
    </row>
    <row r="113" spans="1:29" ht="24.6" customHeight="1">
      <c r="A113" s="757"/>
      <c r="B113" s="676" t="s">
        <v>646</v>
      </c>
      <c r="C113" s="676" t="s">
        <v>651</v>
      </c>
      <c r="D113" s="677" t="s">
        <v>652</v>
      </c>
      <c r="E113" s="369" t="s">
        <v>359</v>
      </c>
      <c r="F113" s="439">
        <v>0</v>
      </c>
      <c r="G113" s="439">
        <v>0</v>
      </c>
      <c r="H113" s="439">
        <v>0</v>
      </c>
      <c r="I113" s="439">
        <v>0</v>
      </c>
      <c r="J113" s="439">
        <v>0</v>
      </c>
      <c r="K113" s="439">
        <v>1</v>
      </c>
      <c r="L113" s="439">
        <v>1</v>
      </c>
      <c r="M113" s="439">
        <v>1</v>
      </c>
      <c r="N113" s="439">
        <v>1</v>
      </c>
      <c r="O113" s="439">
        <v>1</v>
      </c>
      <c r="P113" s="439">
        <v>1</v>
      </c>
      <c r="Q113" s="439">
        <v>1</v>
      </c>
      <c r="R113" s="439">
        <v>1</v>
      </c>
      <c r="S113" s="439">
        <v>1</v>
      </c>
      <c r="T113" s="439">
        <v>1</v>
      </c>
      <c r="U113" s="439">
        <v>1</v>
      </c>
      <c r="V113" s="439">
        <v>1</v>
      </c>
      <c r="W113" s="439">
        <v>1</v>
      </c>
      <c r="X113" s="439">
        <v>1</v>
      </c>
      <c r="Y113" s="439">
        <v>1</v>
      </c>
      <c r="Z113" s="439">
        <v>1</v>
      </c>
      <c r="AA113" s="439">
        <v>1</v>
      </c>
      <c r="AB113" s="439">
        <v>0</v>
      </c>
      <c r="AC113" s="442">
        <v>0</v>
      </c>
    </row>
    <row r="114" spans="1:29" ht="24.6" customHeight="1">
      <c r="A114" s="764"/>
      <c r="B114" s="671"/>
      <c r="C114" s="671"/>
      <c r="D114" s="678"/>
      <c r="E114" s="359" t="s">
        <v>360</v>
      </c>
      <c r="F114" s="440">
        <v>0</v>
      </c>
      <c r="G114" s="440">
        <v>0</v>
      </c>
      <c r="H114" s="440">
        <v>0</v>
      </c>
      <c r="I114" s="440">
        <v>0</v>
      </c>
      <c r="J114" s="440">
        <v>0</v>
      </c>
      <c r="K114" s="440">
        <v>1</v>
      </c>
      <c r="L114" s="440">
        <v>1</v>
      </c>
      <c r="M114" s="440">
        <v>1</v>
      </c>
      <c r="N114" s="440">
        <v>1</v>
      </c>
      <c r="O114" s="440">
        <v>1</v>
      </c>
      <c r="P114" s="440">
        <v>1</v>
      </c>
      <c r="Q114" s="440">
        <v>1</v>
      </c>
      <c r="R114" s="440">
        <v>1</v>
      </c>
      <c r="S114" s="440">
        <v>1</v>
      </c>
      <c r="T114" s="440">
        <v>1</v>
      </c>
      <c r="U114" s="440">
        <v>1</v>
      </c>
      <c r="V114" s="440">
        <v>1</v>
      </c>
      <c r="W114" s="440">
        <v>1</v>
      </c>
      <c r="X114" s="440">
        <v>1</v>
      </c>
      <c r="Y114" s="440">
        <v>1</v>
      </c>
      <c r="Z114" s="440">
        <v>1</v>
      </c>
      <c r="AA114" s="440">
        <v>1</v>
      </c>
      <c r="AB114" s="440">
        <v>1</v>
      </c>
      <c r="AC114" s="443">
        <v>1</v>
      </c>
    </row>
    <row r="115" spans="1:29" ht="24.6" customHeight="1" thickBot="1">
      <c r="A115" s="766"/>
      <c r="B115" s="672"/>
      <c r="C115" s="672"/>
      <c r="D115" s="679"/>
      <c r="E115" s="371" t="s">
        <v>361</v>
      </c>
      <c r="F115" s="441">
        <v>0</v>
      </c>
      <c r="G115" s="441">
        <v>0</v>
      </c>
      <c r="H115" s="441">
        <v>0</v>
      </c>
      <c r="I115" s="441">
        <v>0</v>
      </c>
      <c r="J115" s="441">
        <v>0</v>
      </c>
      <c r="K115" s="441">
        <v>1</v>
      </c>
      <c r="L115" s="441">
        <v>1</v>
      </c>
      <c r="M115" s="441">
        <v>1</v>
      </c>
      <c r="N115" s="441">
        <v>1</v>
      </c>
      <c r="O115" s="441">
        <v>1</v>
      </c>
      <c r="P115" s="441">
        <v>1</v>
      </c>
      <c r="Q115" s="441">
        <v>1</v>
      </c>
      <c r="R115" s="441">
        <v>1</v>
      </c>
      <c r="S115" s="441">
        <v>1</v>
      </c>
      <c r="T115" s="441">
        <v>1</v>
      </c>
      <c r="U115" s="441">
        <v>1</v>
      </c>
      <c r="V115" s="441">
        <v>1</v>
      </c>
      <c r="W115" s="441">
        <v>1</v>
      </c>
      <c r="X115" s="441">
        <v>1</v>
      </c>
      <c r="Y115" s="441">
        <v>1</v>
      </c>
      <c r="Z115" s="441">
        <v>1</v>
      </c>
      <c r="AA115" s="441">
        <v>1</v>
      </c>
      <c r="AB115" s="441">
        <v>1</v>
      </c>
      <c r="AC115" s="444">
        <v>1</v>
      </c>
    </row>
    <row r="116" spans="1:29" ht="22.9" customHeight="1">
      <c r="A116" s="757" t="s">
        <v>653</v>
      </c>
      <c r="B116" s="676" t="s">
        <v>646</v>
      </c>
      <c r="C116" s="676" t="s">
        <v>654</v>
      </c>
      <c r="D116" s="683" t="s">
        <v>655</v>
      </c>
      <c r="E116" s="369" t="s">
        <v>359</v>
      </c>
      <c r="F116" s="439">
        <v>146.5</v>
      </c>
      <c r="G116" s="439">
        <v>146.5</v>
      </c>
      <c r="H116" s="439">
        <v>146.5</v>
      </c>
      <c r="I116" s="439">
        <v>146.5</v>
      </c>
      <c r="J116" s="439">
        <v>146.5</v>
      </c>
      <c r="K116" s="439">
        <v>146.5</v>
      </c>
      <c r="L116" s="439">
        <v>146.5</v>
      </c>
      <c r="M116" s="439">
        <v>146.5</v>
      </c>
      <c r="N116" s="439">
        <v>146.5</v>
      </c>
      <c r="O116" s="439">
        <v>146.5</v>
      </c>
      <c r="P116" s="439">
        <v>146.5</v>
      </c>
      <c r="Q116" s="439">
        <v>146.5</v>
      </c>
      <c r="R116" s="439">
        <v>146.5</v>
      </c>
      <c r="S116" s="439">
        <v>146.5</v>
      </c>
      <c r="T116" s="439">
        <v>146.5</v>
      </c>
      <c r="U116" s="439">
        <v>146.5</v>
      </c>
      <c r="V116" s="439">
        <v>146.5</v>
      </c>
      <c r="W116" s="439">
        <v>146.5</v>
      </c>
      <c r="X116" s="439">
        <v>146.5</v>
      </c>
      <c r="Y116" s="439">
        <v>146.5</v>
      </c>
      <c r="Z116" s="439">
        <v>146.5</v>
      </c>
      <c r="AA116" s="439">
        <v>146.5</v>
      </c>
      <c r="AB116" s="439">
        <v>146.5</v>
      </c>
      <c r="AC116" s="439">
        <v>146.5</v>
      </c>
    </row>
    <row r="117" spans="1:29" ht="22.9" customHeight="1">
      <c r="A117" s="724"/>
      <c r="B117" s="671"/>
      <c r="C117" s="681"/>
      <c r="D117" s="684"/>
      <c r="E117" s="359" t="s">
        <v>360</v>
      </c>
      <c r="F117" s="440">
        <v>146.5</v>
      </c>
      <c r="G117" s="440">
        <v>146.5</v>
      </c>
      <c r="H117" s="440">
        <v>146.5</v>
      </c>
      <c r="I117" s="440">
        <v>146.5</v>
      </c>
      <c r="J117" s="440">
        <v>146.5</v>
      </c>
      <c r="K117" s="440">
        <v>146.5</v>
      </c>
      <c r="L117" s="440">
        <v>146.5</v>
      </c>
      <c r="M117" s="440">
        <v>146.5</v>
      </c>
      <c r="N117" s="440">
        <v>146.5</v>
      </c>
      <c r="O117" s="440">
        <v>146.5</v>
      </c>
      <c r="P117" s="440">
        <v>146.5</v>
      </c>
      <c r="Q117" s="440">
        <v>146.5</v>
      </c>
      <c r="R117" s="440">
        <v>146.5</v>
      </c>
      <c r="S117" s="440">
        <v>146.5</v>
      </c>
      <c r="T117" s="440">
        <v>146.5</v>
      </c>
      <c r="U117" s="440">
        <v>146.5</v>
      </c>
      <c r="V117" s="440">
        <v>146.5</v>
      </c>
      <c r="W117" s="440">
        <v>146.5</v>
      </c>
      <c r="X117" s="440">
        <v>146.5</v>
      </c>
      <c r="Y117" s="440">
        <v>146.5</v>
      </c>
      <c r="Z117" s="440">
        <v>146.5</v>
      </c>
      <c r="AA117" s="440">
        <v>146.5</v>
      </c>
      <c r="AB117" s="440">
        <v>146.5</v>
      </c>
      <c r="AC117" s="440">
        <v>146.5</v>
      </c>
    </row>
    <row r="118" spans="1:29" ht="22.9" customHeight="1" thickBot="1">
      <c r="A118" s="756"/>
      <c r="B118" s="672"/>
      <c r="C118" s="682"/>
      <c r="D118" s="685"/>
      <c r="E118" s="371" t="s">
        <v>361</v>
      </c>
      <c r="F118" s="441">
        <v>146.5</v>
      </c>
      <c r="G118" s="441">
        <v>146.5</v>
      </c>
      <c r="H118" s="441">
        <v>146.5</v>
      </c>
      <c r="I118" s="441">
        <v>146.5</v>
      </c>
      <c r="J118" s="441">
        <v>146.5</v>
      </c>
      <c r="K118" s="441">
        <v>146.5</v>
      </c>
      <c r="L118" s="441">
        <v>146.5</v>
      </c>
      <c r="M118" s="441">
        <v>146.5</v>
      </c>
      <c r="N118" s="441">
        <v>146.5</v>
      </c>
      <c r="O118" s="441">
        <v>146.5</v>
      </c>
      <c r="P118" s="441">
        <v>146.5</v>
      </c>
      <c r="Q118" s="441">
        <v>146.5</v>
      </c>
      <c r="R118" s="441">
        <v>146.5</v>
      </c>
      <c r="S118" s="441">
        <v>146.5</v>
      </c>
      <c r="T118" s="441">
        <v>146.5</v>
      </c>
      <c r="U118" s="441">
        <v>146.5</v>
      </c>
      <c r="V118" s="441">
        <v>146.5</v>
      </c>
      <c r="W118" s="441">
        <v>146.5</v>
      </c>
      <c r="X118" s="441">
        <v>146.5</v>
      </c>
      <c r="Y118" s="441">
        <v>146.5</v>
      </c>
      <c r="Z118" s="441">
        <v>146.5</v>
      </c>
      <c r="AA118" s="441">
        <v>146.5</v>
      </c>
      <c r="AB118" s="441">
        <v>146.5</v>
      </c>
      <c r="AC118" s="441">
        <v>146.5</v>
      </c>
    </row>
    <row r="119" spans="1:29" ht="21.6" customHeight="1">
      <c r="A119" s="757" t="s">
        <v>656</v>
      </c>
      <c r="B119" s="676" t="s">
        <v>646</v>
      </c>
      <c r="C119" s="676" t="s">
        <v>657</v>
      </c>
      <c r="D119" s="683" t="s">
        <v>655</v>
      </c>
      <c r="E119" s="369" t="s">
        <v>359</v>
      </c>
      <c r="F119" s="439">
        <v>117.2</v>
      </c>
      <c r="G119" s="439">
        <v>117.2</v>
      </c>
      <c r="H119" s="439">
        <v>117.2</v>
      </c>
      <c r="I119" s="439">
        <v>117.2</v>
      </c>
      <c r="J119" s="439">
        <v>117.2</v>
      </c>
      <c r="K119" s="439">
        <v>117.2</v>
      </c>
      <c r="L119" s="439">
        <v>117.2</v>
      </c>
      <c r="M119" s="439">
        <v>117.2</v>
      </c>
      <c r="N119" s="439">
        <v>117.2</v>
      </c>
      <c r="O119" s="439">
        <v>117.2</v>
      </c>
      <c r="P119" s="439">
        <v>117.2</v>
      </c>
      <c r="Q119" s="439">
        <v>117.2</v>
      </c>
      <c r="R119" s="439">
        <v>117.2</v>
      </c>
      <c r="S119" s="439">
        <v>117.2</v>
      </c>
      <c r="T119" s="439">
        <v>117.2</v>
      </c>
      <c r="U119" s="439">
        <v>117.2</v>
      </c>
      <c r="V119" s="439">
        <v>117.2</v>
      </c>
      <c r="W119" s="439">
        <v>117.2</v>
      </c>
      <c r="X119" s="439">
        <v>117.2</v>
      </c>
      <c r="Y119" s="439">
        <v>117.2</v>
      </c>
      <c r="Z119" s="439">
        <v>117.2</v>
      </c>
      <c r="AA119" s="439">
        <v>117.2</v>
      </c>
      <c r="AB119" s="439">
        <v>117.2</v>
      </c>
      <c r="AC119" s="442">
        <v>117.2</v>
      </c>
    </row>
    <row r="120" spans="1:29" ht="21.6" customHeight="1">
      <c r="A120" s="724"/>
      <c r="B120" s="671"/>
      <c r="C120" s="681"/>
      <c r="D120" s="684"/>
      <c r="E120" s="359" t="s">
        <v>360</v>
      </c>
      <c r="F120" s="440">
        <v>117.2</v>
      </c>
      <c r="G120" s="440">
        <v>117.2</v>
      </c>
      <c r="H120" s="440">
        <v>117.2</v>
      </c>
      <c r="I120" s="440">
        <v>117.2</v>
      </c>
      <c r="J120" s="440">
        <v>117.2</v>
      </c>
      <c r="K120" s="440">
        <v>117.2</v>
      </c>
      <c r="L120" s="440">
        <v>117.2</v>
      </c>
      <c r="M120" s="440">
        <v>117.2</v>
      </c>
      <c r="N120" s="440">
        <v>117.2</v>
      </c>
      <c r="O120" s="440">
        <v>117.2</v>
      </c>
      <c r="P120" s="440">
        <v>117.2</v>
      </c>
      <c r="Q120" s="440">
        <v>117.2</v>
      </c>
      <c r="R120" s="440">
        <v>117.2</v>
      </c>
      <c r="S120" s="440">
        <v>117.2</v>
      </c>
      <c r="T120" s="440">
        <v>117.2</v>
      </c>
      <c r="U120" s="440">
        <v>117.2</v>
      </c>
      <c r="V120" s="440">
        <v>117.2</v>
      </c>
      <c r="W120" s="440">
        <v>117.2</v>
      </c>
      <c r="X120" s="440">
        <v>117.2</v>
      </c>
      <c r="Y120" s="440">
        <v>117.2</v>
      </c>
      <c r="Z120" s="440">
        <v>117.2</v>
      </c>
      <c r="AA120" s="440">
        <v>117.2</v>
      </c>
      <c r="AB120" s="440">
        <v>117.2</v>
      </c>
      <c r="AC120" s="443">
        <v>117.2</v>
      </c>
    </row>
    <row r="121" spans="1:29" ht="21.6" customHeight="1" thickBot="1">
      <c r="A121" s="756"/>
      <c r="B121" s="672"/>
      <c r="C121" s="682"/>
      <c r="D121" s="685"/>
      <c r="E121" s="371" t="s">
        <v>361</v>
      </c>
      <c r="F121" s="441">
        <v>117.2</v>
      </c>
      <c r="G121" s="441">
        <v>117.2</v>
      </c>
      <c r="H121" s="441">
        <v>117.2</v>
      </c>
      <c r="I121" s="441">
        <v>117.2</v>
      </c>
      <c r="J121" s="441">
        <v>117.2</v>
      </c>
      <c r="K121" s="441">
        <v>117.2</v>
      </c>
      <c r="L121" s="441">
        <v>117.2</v>
      </c>
      <c r="M121" s="441">
        <v>117.2</v>
      </c>
      <c r="N121" s="441">
        <v>117.2</v>
      </c>
      <c r="O121" s="441">
        <v>117.2</v>
      </c>
      <c r="P121" s="441">
        <v>117.2</v>
      </c>
      <c r="Q121" s="441">
        <v>117.2</v>
      </c>
      <c r="R121" s="441">
        <v>117.2</v>
      </c>
      <c r="S121" s="441">
        <v>117.2</v>
      </c>
      <c r="T121" s="441">
        <v>117.2</v>
      </c>
      <c r="U121" s="441">
        <v>117.2</v>
      </c>
      <c r="V121" s="441">
        <v>117.2</v>
      </c>
      <c r="W121" s="441">
        <v>117.2</v>
      </c>
      <c r="X121" s="441">
        <v>117.2</v>
      </c>
      <c r="Y121" s="441">
        <v>117.2</v>
      </c>
      <c r="Z121" s="441">
        <v>117.2</v>
      </c>
      <c r="AA121" s="441">
        <v>117.2</v>
      </c>
      <c r="AB121" s="441">
        <v>117.2</v>
      </c>
      <c r="AC121" s="444">
        <v>117.2</v>
      </c>
    </row>
    <row r="122" spans="1:29" ht="21.6" customHeight="1">
      <c r="A122" s="757" t="s">
        <v>658</v>
      </c>
      <c r="B122" s="676" t="s">
        <v>646</v>
      </c>
      <c r="C122" s="676" t="s">
        <v>659</v>
      </c>
      <c r="D122" s="677" t="s">
        <v>655</v>
      </c>
      <c r="E122" s="369" t="s">
        <v>359</v>
      </c>
      <c r="F122" s="439">
        <v>131.9</v>
      </c>
      <c r="G122" s="439">
        <v>131.9</v>
      </c>
      <c r="H122" s="439">
        <v>131.9</v>
      </c>
      <c r="I122" s="439">
        <v>131.9</v>
      </c>
      <c r="J122" s="439">
        <v>131.9</v>
      </c>
      <c r="K122" s="439">
        <v>131.9</v>
      </c>
      <c r="L122" s="439">
        <v>131.9</v>
      </c>
      <c r="M122" s="439">
        <v>131.9</v>
      </c>
      <c r="N122" s="439">
        <v>131.9</v>
      </c>
      <c r="O122" s="439">
        <v>131.9</v>
      </c>
      <c r="P122" s="439">
        <v>131.9</v>
      </c>
      <c r="Q122" s="439">
        <v>131.9</v>
      </c>
      <c r="R122" s="439">
        <v>131.9</v>
      </c>
      <c r="S122" s="439">
        <v>131.9</v>
      </c>
      <c r="T122" s="439">
        <v>131.9</v>
      </c>
      <c r="U122" s="439">
        <v>131.9</v>
      </c>
      <c r="V122" s="439">
        <v>131.9</v>
      </c>
      <c r="W122" s="439">
        <v>131.9</v>
      </c>
      <c r="X122" s="439">
        <v>131.9</v>
      </c>
      <c r="Y122" s="439">
        <v>131.9</v>
      </c>
      <c r="Z122" s="439">
        <v>131.9</v>
      </c>
      <c r="AA122" s="439">
        <v>131.9</v>
      </c>
      <c r="AB122" s="439">
        <v>131.9</v>
      </c>
      <c r="AC122" s="442">
        <v>131.9</v>
      </c>
    </row>
    <row r="123" spans="1:29" ht="21.6" customHeight="1">
      <c r="A123" s="764"/>
      <c r="B123" s="671"/>
      <c r="C123" s="671"/>
      <c r="D123" s="678"/>
      <c r="E123" s="359" t="s">
        <v>360</v>
      </c>
      <c r="F123" s="440">
        <v>131.9</v>
      </c>
      <c r="G123" s="440">
        <v>131.9</v>
      </c>
      <c r="H123" s="440">
        <v>131.9</v>
      </c>
      <c r="I123" s="440">
        <v>131.9</v>
      </c>
      <c r="J123" s="440">
        <v>131.9</v>
      </c>
      <c r="K123" s="440">
        <v>131.9</v>
      </c>
      <c r="L123" s="440">
        <v>131.9</v>
      </c>
      <c r="M123" s="440">
        <v>131.9</v>
      </c>
      <c r="N123" s="440">
        <v>131.9</v>
      </c>
      <c r="O123" s="440">
        <v>131.9</v>
      </c>
      <c r="P123" s="440">
        <v>131.9</v>
      </c>
      <c r="Q123" s="440">
        <v>131.9</v>
      </c>
      <c r="R123" s="440">
        <v>131.9</v>
      </c>
      <c r="S123" s="440">
        <v>131.9</v>
      </c>
      <c r="T123" s="440">
        <v>131.9</v>
      </c>
      <c r="U123" s="440">
        <v>131.9</v>
      </c>
      <c r="V123" s="440">
        <v>131.9</v>
      </c>
      <c r="W123" s="440">
        <v>131.9</v>
      </c>
      <c r="X123" s="440">
        <v>131.9</v>
      </c>
      <c r="Y123" s="440">
        <v>131.9</v>
      </c>
      <c r="Z123" s="440">
        <v>131.9</v>
      </c>
      <c r="AA123" s="440">
        <v>131.9</v>
      </c>
      <c r="AB123" s="440">
        <v>131.9</v>
      </c>
      <c r="AC123" s="443">
        <v>131.9</v>
      </c>
    </row>
    <row r="124" spans="1:29" ht="21.6" customHeight="1" thickBot="1">
      <c r="A124" s="765"/>
      <c r="B124" s="672"/>
      <c r="C124" s="686"/>
      <c r="D124" s="687"/>
      <c r="E124" s="371" t="s">
        <v>361</v>
      </c>
      <c r="F124" s="441">
        <v>131.9</v>
      </c>
      <c r="G124" s="441">
        <v>131.9</v>
      </c>
      <c r="H124" s="441">
        <v>131.9</v>
      </c>
      <c r="I124" s="441">
        <v>131.9</v>
      </c>
      <c r="J124" s="441">
        <v>131.9</v>
      </c>
      <c r="K124" s="441">
        <v>131.9</v>
      </c>
      <c r="L124" s="441">
        <v>131.9</v>
      </c>
      <c r="M124" s="441">
        <v>131.9</v>
      </c>
      <c r="N124" s="441">
        <v>131.9</v>
      </c>
      <c r="O124" s="441">
        <v>131.9</v>
      </c>
      <c r="P124" s="441">
        <v>131.9</v>
      </c>
      <c r="Q124" s="441">
        <v>131.9</v>
      </c>
      <c r="R124" s="441">
        <v>131.9</v>
      </c>
      <c r="S124" s="441">
        <v>131.9</v>
      </c>
      <c r="T124" s="441">
        <v>131.9</v>
      </c>
      <c r="U124" s="441">
        <v>131.9</v>
      </c>
      <c r="V124" s="441">
        <v>131.9</v>
      </c>
      <c r="W124" s="441">
        <v>131.9</v>
      </c>
      <c r="X124" s="441">
        <v>131.9</v>
      </c>
      <c r="Y124" s="441">
        <v>131.9</v>
      </c>
      <c r="Z124" s="441">
        <v>131.9</v>
      </c>
      <c r="AA124" s="441">
        <v>131.9</v>
      </c>
      <c r="AB124" s="441">
        <v>131.9</v>
      </c>
      <c r="AC124" s="444">
        <v>131.9</v>
      </c>
    </row>
    <row r="128" spans="1:29" s="30" customFormat="1" ht="13.15" hidden="1">
      <c r="A128" s="30" t="s">
        <v>193</v>
      </c>
      <c r="I128" s="31"/>
      <c r="J128" s="33"/>
    </row>
    <row r="129" spans="3:40" ht="21.6" hidden="1" customHeight="1" thickBot="1"/>
    <row r="130" spans="3:40" ht="34.9" hidden="1" customHeight="1">
      <c r="C130" s="688" t="s">
        <v>660</v>
      </c>
      <c r="D130" s="691" t="s">
        <v>82</v>
      </c>
      <c r="E130" s="694" t="s">
        <v>661</v>
      </c>
      <c r="F130" s="555" t="s">
        <v>359</v>
      </c>
      <c r="G130" s="73">
        <v>0.40947755650000001</v>
      </c>
      <c r="H130" s="73">
        <v>0.40947755650000001</v>
      </c>
      <c r="I130" s="73">
        <v>0.40947755650000001</v>
      </c>
      <c r="J130" s="73">
        <v>0.40947755650000001</v>
      </c>
      <c r="K130" s="73">
        <v>0.40947755650000001</v>
      </c>
      <c r="L130" s="73">
        <v>0.40947755650000001</v>
      </c>
      <c r="M130" s="73">
        <v>0.47975263350000003</v>
      </c>
      <c r="N130" s="73">
        <v>0.47975263350000003</v>
      </c>
      <c r="O130" s="73">
        <v>0.95950526700000005</v>
      </c>
      <c r="P130" s="73">
        <v>0.95950526700000005</v>
      </c>
      <c r="Q130" s="73">
        <v>0.95950526700000005</v>
      </c>
      <c r="R130" s="73">
        <v>0.95950526700000005</v>
      </c>
      <c r="S130" s="73">
        <v>0.90193495097999998</v>
      </c>
      <c r="T130" s="73">
        <v>0.95950526700000005</v>
      </c>
      <c r="U130" s="73">
        <v>0.95950526700000005</v>
      </c>
      <c r="V130" s="73">
        <v>0.95950526700000005</v>
      </c>
      <c r="W130" s="73">
        <v>0.95950526700000005</v>
      </c>
      <c r="X130" s="73">
        <v>0.47975263350000003</v>
      </c>
      <c r="Y130" s="73">
        <v>0.19190105339999999</v>
      </c>
      <c r="Z130" s="73">
        <v>0.19190105339999999</v>
      </c>
      <c r="AA130" s="73">
        <v>0.19190105339999999</v>
      </c>
      <c r="AB130" s="73">
        <v>0.19190105339999999</v>
      </c>
      <c r="AC130" s="73">
        <v>0.19190105339999999</v>
      </c>
      <c r="AD130" s="74">
        <v>0.1637910226</v>
      </c>
      <c r="AN130" s="149"/>
    </row>
    <row r="131" spans="3:40" ht="34.9" hidden="1" customHeight="1">
      <c r="C131" s="689"/>
      <c r="D131" s="692"/>
      <c r="E131" s="695"/>
      <c r="F131" s="556" t="s">
        <v>360</v>
      </c>
      <c r="G131" s="72">
        <v>0.1637910226</v>
      </c>
      <c r="H131" s="72">
        <v>0.1637910226</v>
      </c>
      <c r="I131" s="72">
        <v>0.1637910226</v>
      </c>
      <c r="J131" s="72">
        <v>0.1637910226</v>
      </c>
      <c r="K131" s="72">
        <v>0.1637910226</v>
      </c>
      <c r="L131" s="72">
        <v>0.1637910226</v>
      </c>
      <c r="M131" s="72">
        <v>0.1637910226</v>
      </c>
      <c r="N131" s="72">
        <v>0.1637910226</v>
      </c>
      <c r="O131" s="72">
        <v>0.1637910226</v>
      </c>
      <c r="P131" s="72">
        <v>0.1637910226</v>
      </c>
      <c r="Q131" s="72">
        <v>0.1637910226</v>
      </c>
      <c r="R131" s="72">
        <v>0.1637910226</v>
      </c>
      <c r="S131" s="72">
        <v>0.1637910226</v>
      </c>
      <c r="T131" s="72">
        <v>0.1637910226</v>
      </c>
      <c r="U131" s="72">
        <v>0.1637910226</v>
      </c>
      <c r="V131" s="72">
        <v>0.1637910226</v>
      </c>
      <c r="W131" s="72">
        <v>0.1637910226</v>
      </c>
      <c r="X131" s="72">
        <v>0.1637910226</v>
      </c>
      <c r="Y131" s="72">
        <v>0.1637910226</v>
      </c>
      <c r="Z131" s="72">
        <v>0.1637910226</v>
      </c>
      <c r="AA131" s="72">
        <v>0.1637910226</v>
      </c>
      <c r="AB131" s="72">
        <v>0.1637910226</v>
      </c>
      <c r="AC131" s="72">
        <v>0.1637910226</v>
      </c>
      <c r="AD131" s="75">
        <v>0.1637910226</v>
      </c>
      <c r="AN131" s="149"/>
    </row>
    <row r="132" spans="3:40" ht="34.9" hidden="1" customHeight="1" thickBot="1">
      <c r="C132" s="690"/>
      <c r="D132" s="693"/>
      <c r="E132" s="696"/>
      <c r="F132" s="557" t="s">
        <v>361</v>
      </c>
      <c r="G132" s="76">
        <v>0.1637910226</v>
      </c>
      <c r="H132" s="76">
        <v>0.1637910226</v>
      </c>
      <c r="I132" s="76">
        <v>0.1637910226</v>
      </c>
      <c r="J132" s="76">
        <v>0.1637910226</v>
      </c>
      <c r="K132" s="76">
        <v>0.1637910226</v>
      </c>
      <c r="L132" s="76">
        <v>0.1637910226</v>
      </c>
      <c r="M132" s="76">
        <v>0.1637910226</v>
      </c>
      <c r="N132" s="76">
        <v>0.1637910226</v>
      </c>
      <c r="O132" s="76">
        <v>0.1637910226</v>
      </c>
      <c r="P132" s="76">
        <v>0.1637910226</v>
      </c>
      <c r="Q132" s="76">
        <v>0.1637910226</v>
      </c>
      <c r="R132" s="76">
        <v>0.1637910226</v>
      </c>
      <c r="S132" s="76">
        <v>0.1637910226</v>
      </c>
      <c r="T132" s="76">
        <v>0.1637910226</v>
      </c>
      <c r="U132" s="76">
        <v>0.1637910226</v>
      </c>
      <c r="V132" s="76">
        <v>0.1637910226</v>
      </c>
      <c r="W132" s="76">
        <v>0.1637910226</v>
      </c>
      <c r="X132" s="76">
        <v>0.1637910226</v>
      </c>
      <c r="Y132" s="76">
        <v>0.1637910226</v>
      </c>
      <c r="Z132" s="76">
        <v>0.1637910226</v>
      </c>
      <c r="AA132" s="76">
        <v>0.1637910226</v>
      </c>
      <c r="AB132" s="76">
        <v>0.1637910226</v>
      </c>
      <c r="AC132" s="76">
        <v>0.1637910226</v>
      </c>
      <c r="AD132" s="77">
        <v>0.1637910226</v>
      </c>
      <c r="AN132" s="149"/>
    </row>
    <row r="133" spans="3:40" ht="12" hidden="1" thickBot="1"/>
    <row r="134" spans="3:40" hidden="1">
      <c r="C134" s="667" t="s">
        <v>662</v>
      </c>
      <c r="D134" s="670" t="s">
        <v>510</v>
      </c>
      <c r="E134" s="673"/>
      <c r="F134" s="369" t="s">
        <v>359</v>
      </c>
      <c r="G134" s="439">
        <v>1</v>
      </c>
      <c r="H134" s="439">
        <v>1</v>
      </c>
      <c r="I134" s="439">
        <v>1</v>
      </c>
      <c r="J134" s="439">
        <v>1</v>
      </c>
      <c r="K134" s="439">
        <v>1</v>
      </c>
      <c r="L134" s="439">
        <v>1</v>
      </c>
      <c r="M134" s="439">
        <v>1</v>
      </c>
      <c r="N134" s="439">
        <v>1</v>
      </c>
      <c r="O134" s="439">
        <v>1</v>
      </c>
      <c r="P134" s="439">
        <v>1</v>
      </c>
      <c r="Q134" s="439">
        <v>1</v>
      </c>
      <c r="R134" s="439">
        <v>1</v>
      </c>
      <c r="S134" s="439">
        <v>1</v>
      </c>
      <c r="T134" s="439">
        <v>1</v>
      </c>
      <c r="U134" s="439">
        <v>1</v>
      </c>
      <c r="V134" s="439">
        <v>1</v>
      </c>
      <c r="W134" s="439">
        <v>1</v>
      </c>
      <c r="X134" s="439">
        <v>1</v>
      </c>
      <c r="Y134" s="439">
        <v>1</v>
      </c>
      <c r="Z134" s="439">
        <v>1</v>
      </c>
      <c r="AA134" s="439">
        <v>1</v>
      </c>
      <c r="AB134" s="439">
        <v>1</v>
      </c>
      <c r="AC134" s="439">
        <v>1</v>
      </c>
      <c r="AD134" s="442">
        <v>1</v>
      </c>
    </row>
    <row r="135" spans="3:40" hidden="1">
      <c r="C135" s="668"/>
      <c r="D135" s="671"/>
      <c r="E135" s="674"/>
      <c r="F135" s="359" t="s">
        <v>360</v>
      </c>
      <c r="G135" s="440">
        <v>1</v>
      </c>
      <c r="H135" s="440">
        <v>1</v>
      </c>
      <c r="I135" s="440">
        <v>1</v>
      </c>
      <c r="J135" s="440">
        <v>1</v>
      </c>
      <c r="K135" s="440">
        <v>1</v>
      </c>
      <c r="L135" s="440">
        <v>1</v>
      </c>
      <c r="M135" s="440">
        <v>1</v>
      </c>
      <c r="N135" s="440">
        <v>1</v>
      </c>
      <c r="O135" s="440">
        <v>1</v>
      </c>
      <c r="P135" s="440">
        <v>1</v>
      </c>
      <c r="Q135" s="440">
        <v>1</v>
      </c>
      <c r="R135" s="440">
        <v>1</v>
      </c>
      <c r="S135" s="440">
        <v>1</v>
      </c>
      <c r="T135" s="440">
        <v>1</v>
      </c>
      <c r="U135" s="440">
        <v>1</v>
      </c>
      <c r="V135" s="440">
        <v>1</v>
      </c>
      <c r="W135" s="440">
        <v>1</v>
      </c>
      <c r="X135" s="440">
        <v>1</v>
      </c>
      <c r="Y135" s="440">
        <v>1</v>
      </c>
      <c r="Z135" s="440">
        <v>1</v>
      </c>
      <c r="AA135" s="440">
        <v>1</v>
      </c>
      <c r="AB135" s="440">
        <v>1</v>
      </c>
      <c r="AC135" s="440">
        <v>1</v>
      </c>
      <c r="AD135" s="443">
        <v>1</v>
      </c>
    </row>
    <row r="136" spans="3:40" ht="12" hidden="1" thickBot="1">
      <c r="C136" s="669"/>
      <c r="D136" s="672"/>
      <c r="E136" s="675"/>
      <c r="F136" s="371" t="s">
        <v>361</v>
      </c>
      <c r="G136" s="441">
        <v>1</v>
      </c>
      <c r="H136" s="441">
        <v>1</v>
      </c>
      <c r="I136" s="441">
        <v>1</v>
      </c>
      <c r="J136" s="441">
        <v>1</v>
      </c>
      <c r="K136" s="441">
        <v>1</v>
      </c>
      <c r="L136" s="441">
        <v>1</v>
      </c>
      <c r="M136" s="441">
        <v>1</v>
      </c>
      <c r="N136" s="441">
        <v>1</v>
      </c>
      <c r="O136" s="441">
        <v>1</v>
      </c>
      <c r="P136" s="441">
        <v>1</v>
      </c>
      <c r="Q136" s="441">
        <v>1</v>
      </c>
      <c r="R136" s="441">
        <v>1</v>
      </c>
      <c r="S136" s="441">
        <v>1</v>
      </c>
      <c r="T136" s="441">
        <v>1</v>
      </c>
      <c r="U136" s="441">
        <v>1</v>
      </c>
      <c r="V136" s="441">
        <v>1</v>
      </c>
      <c r="W136" s="441">
        <v>1</v>
      </c>
      <c r="X136" s="441">
        <v>1</v>
      </c>
      <c r="Y136" s="441">
        <v>1</v>
      </c>
      <c r="Z136" s="441">
        <v>1</v>
      </c>
      <c r="AA136" s="441">
        <v>1</v>
      </c>
      <c r="AB136" s="441">
        <v>1</v>
      </c>
      <c r="AC136" s="441">
        <v>1</v>
      </c>
      <c r="AD136" s="444">
        <v>1</v>
      </c>
    </row>
    <row r="137" spans="3:40" hidden="1"/>
    <row r="138" spans="3:40" hidden="1"/>
    <row r="139" spans="3:40" hidden="1"/>
    <row r="140" spans="3:40" hidden="1"/>
  </sheetData>
  <mergeCells count="173">
    <mergeCell ref="A103:A105"/>
    <mergeCell ref="B103:B105"/>
    <mergeCell ref="C103:C105"/>
    <mergeCell ref="D103:D105"/>
    <mergeCell ref="A94:A96"/>
    <mergeCell ref="B94:B96"/>
    <mergeCell ref="C94:C96"/>
    <mergeCell ref="D94:D96"/>
    <mergeCell ref="A97:A99"/>
    <mergeCell ref="B97:B99"/>
    <mergeCell ref="C97:C99"/>
    <mergeCell ref="D97:D99"/>
    <mergeCell ref="A100:A102"/>
    <mergeCell ref="B100:B102"/>
    <mergeCell ref="C100:C102"/>
    <mergeCell ref="D100:D102"/>
    <mergeCell ref="A85:A87"/>
    <mergeCell ref="B85:B87"/>
    <mergeCell ref="C85:C87"/>
    <mergeCell ref="D85:D87"/>
    <mergeCell ref="A88:A90"/>
    <mergeCell ref="B88:B90"/>
    <mergeCell ref="C88:C90"/>
    <mergeCell ref="D88:D90"/>
    <mergeCell ref="A91:A93"/>
    <mergeCell ref="B91:B93"/>
    <mergeCell ref="C91:C93"/>
    <mergeCell ref="D91:D93"/>
    <mergeCell ref="B53:B55"/>
    <mergeCell ref="B47:B49"/>
    <mergeCell ref="B50:B52"/>
    <mergeCell ref="B44:B46"/>
    <mergeCell ref="B41:B43"/>
    <mergeCell ref="B38:B40"/>
    <mergeCell ref="B35:B37"/>
    <mergeCell ref="B32:B34"/>
    <mergeCell ref="B75:B77"/>
    <mergeCell ref="B78:B80"/>
    <mergeCell ref="B72:B74"/>
    <mergeCell ref="B69:B71"/>
    <mergeCell ref="B66:B68"/>
    <mergeCell ref="B63:B65"/>
    <mergeCell ref="B60:B62"/>
    <mergeCell ref="B57:B59"/>
    <mergeCell ref="A56:AC56"/>
    <mergeCell ref="A81:AC81"/>
    <mergeCell ref="C63:C65"/>
    <mergeCell ref="D63:D65"/>
    <mergeCell ref="C66:C68"/>
    <mergeCell ref="D66:D68"/>
    <mergeCell ref="A116:A118"/>
    <mergeCell ref="A119:A121"/>
    <mergeCell ref="A122:A124"/>
    <mergeCell ref="B116:B118"/>
    <mergeCell ref="B119:B121"/>
    <mergeCell ref="B122:B124"/>
    <mergeCell ref="A107:A109"/>
    <mergeCell ref="A110:A112"/>
    <mergeCell ref="A113:A115"/>
    <mergeCell ref="B107:B109"/>
    <mergeCell ref="B110:B112"/>
    <mergeCell ref="B113:B115"/>
    <mergeCell ref="A53:A55"/>
    <mergeCell ref="A57:A59"/>
    <mergeCell ref="A60:A62"/>
    <mergeCell ref="A63:A65"/>
    <mergeCell ref="A66:A68"/>
    <mergeCell ref="A69:A71"/>
    <mergeCell ref="A72:A74"/>
    <mergeCell ref="A75:A77"/>
    <mergeCell ref="A78:A80"/>
    <mergeCell ref="A28:A30"/>
    <mergeCell ref="B2:B3"/>
    <mergeCell ref="A32:A34"/>
    <mergeCell ref="A35:A37"/>
    <mergeCell ref="A38:A40"/>
    <mergeCell ref="A41:A43"/>
    <mergeCell ref="A44:A46"/>
    <mergeCell ref="A47:A49"/>
    <mergeCell ref="A50:A52"/>
    <mergeCell ref="A31:AC31"/>
    <mergeCell ref="A2:A3"/>
    <mergeCell ref="A4:A6"/>
    <mergeCell ref="A7:A9"/>
    <mergeCell ref="A10:A12"/>
    <mergeCell ref="A13:A15"/>
    <mergeCell ref="A16:A18"/>
    <mergeCell ref="A19:A21"/>
    <mergeCell ref="A22:A24"/>
    <mergeCell ref="A25:A27"/>
    <mergeCell ref="B4:B6"/>
    <mergeCell ref="B7:B9"/>
    <mergeCell ref="B10:B12"/>
    <mergeCell ref="B13:B15"/>
    <mergeCell ref="B16:B18"/>
    <mergeCell ref="B19:B21"/>
    <mergeCell ref="B22:B24"/>
    <mergeCell ref="B25:B27"/>
    <mergeCell ref="B28:B30"/>
    <mergeCell ref="C4:C6"/>
    <mergeCell ref="C7:C9"/>
    <mergeCell ref="C2:C3"/>
    <mergeCell ref="D10:D12"/>
    <mergeCell ref="D7:D9"/>
    <mergeCell ref="D25:D27"/>
    <mergeCell ref="C28:C30"/>
    <mergeCell ref="D28:D30"/>
    <mergeCell ref="D22:D24"/>
    <mergeCell ref="C22:C24"/>
    <mergeCell ref="F2:AC2"/>
    <mergeCell ref="E2:E3"/>
    <mergeCell ref="D2:D3"/>
    <mergeCell ref="D4:D6"/>
    <mergeCell ref="C10:C12"/>
    <mergeCell ref="A1:AC1"/>
    <mergeCell ref="C41:C43"/>
    <mergeCell ref="D41:D43"/>
    <mergeCell ref="C47:C49"/>
    <mergeCell ref="D47:D49"/>
    <mergeCell ref="C44:C46"/>
    <mergeCell ref="C13:C15"/>
    <mergeCell ref="D16:D18"/>
    <mergeCell ref="C19:C21"/>
    <mergeCell ref="D19:D21"/>
    <mergeCell ref="D13:D15"/>
    <mergeCell ref="C16:C18"/>
    <mergeCell ref="C32:C34"/>
    <mergeCell ref="D32:D34"/>
    <mergeCell ref="C35:C37"/>
    <mergeCell ref="D35:D37"/>
    <mergeCell ref="C38:C40"/>
    <mergeCell ref="D38:D40"/>
    <mergeCell ref="C25:C27"/>
    <mergeCell ref="D44:D46"/>
    <mergeCell ref="C50:C52"/>
    <mergeCell ref="D50:D52"/>
    <mergeCell ref="C107:C109"/>
    <mergeCell ref="D107:D109"/>
    <mergeCell ref="C53:C55"/>
    <mergeCell ref="D53:D55"/>
    <mergeCell ref="C75:C77"/>
    <mergeCell ref="D75:D77"/>
    <mergeCell ref="C57:C59"/>
    <mergeCell ref="D57:D59"/>
    <mergeCell ref="C60:C62"/>
    <mergeCell ref="D60:D62"/>
    <mergeCell ref="C78:C80"/>
    <mergeCell ref="D78:D80"/>
    <mergeCell ref="C72:C74"/>
    <mergeCell ref="D72:D74"/>
    <mergeCell ref="C69:C71"/>
    <mergeCell ref="D69:D71"/>
    <mergeCell ref="A106:AC106"/>
    <mergeCell ref="A82:A84"/>
    <mergeCell ref="B82:B84"/>
    <mergeCell ref="C82:C84"/>
    <mergeCell ref="D82:D84"/>
    <mergeCell ref="C134:C136"/>
    <mergeCell ref="D134:D136"/>
    <mergeCell ref="E134:E136"/>
    <mergeCell ref="C113:C115"/>
    <mergeCell ref="D113:D115"/>
    <mergeCell ref="C110:C112"/>
    <mergeCell ref="D110:D112"/>
    <mergeCell ref="C119:C121"/>
    <mergeCell ref="D119:D121"/>
    <mergeCell ref="C122:C124"/>
    <mergeCell ref="D122:D124"/>
    <mergeCell ref="C116:C118"/>
    <mergeCell ref="D116:D118"/>
    <mergeCell ref="C130:C132"/>
    <mergeCell ref="D130:D132"/>
    <mergeCell ref="E130:E13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AF125"/>
  <sheetViews>
    <sheetView zoomScaleNormal="55" workbookViewId="0">
      <selection sqref="A1:L1"/>
    </sheetView>
  </sheetViews>
  <sheetFormatPr defaultColWidth="8.7109375" defaultRowHeight="15" customHeight="1"/>
  <cols>
    <col min="1" max="1" width="14.42578125" style="5" customWidth="1"/>
    <col min="2" max="2" width="9.28515625" style="5" customWidth="1"/>
    <col min="3" max="3" width="13.7109375" style="5" customWidth="1"/>
    <col min="4" max="4" width="15.28515625" style="5" customWidth="1"/>
    <col min="5" max="5" width="13.7109375" style="5" customWidth="1"/>
    <col min="6" max="6" width="20.5703125" style="5" customWidth="1"/>
    <col min="7" max="7" width="16.5703125" style="5" bestFit="1" customWidth="1"/>
    <col min="8" max="8" width="16.85546875" style="5" bestFit="1" customWidth="1"/>
    <col min="9" max="9" width="10.7109375" style="5" customWidth="1"/>
    <col min="10" max="11" width="13.42578125" style="5" bestFit="1" customWidth="1"/>
    <col min="12" max="12" width="19.42578125" style="5" bestFit="1" customWidth="1"/>
    <col min="13" max="13" width="8.7109375" style="5"/>
    <col min="14" max="14" width="21.7109375" style="5" customWidth="1"/>
    <col min="15" max="15" width="13.7109375" style="5" customWidth="1"/>
    <col min="16" max="16" width="17.85546875" style="5" customWidth="1"/>
    <col min="17" max="19" width="20.85546875" style="5" customWidth="1"/>
    <col min="20" max="23" width="12.42578125" style="5" customWidth="1"/>
    <col min="24" max="16384" width="8.7109375" style="5"/>
  </cols>
  <sheetData>
    <row r="1" spans="1:22" ht="27" customHeight="1">
      <c r="A1" s="776" t="s">
        <v>663</v>
      </c>
      <c r="B1" s="776"/>
      <c r="C1" s="776"/>
      <c r="D1" s="776"/>
      <c r="E1" s="776"/>
      <c r="F1" s="776"/>
      <c r="G1" s="776"/>
      <c r="H1" s="776"/>
      <c r="I1" s="776"/>
      <c r="J1" s="776"/>
      <c r="K1" s="776"/>
      <c r="L1" s="776"/>
      <c r="N1" s="579" t="s">
        <v>664</v>
      </c>
      <c r="O1" s="579"/>
      <c r="P1" s="579"/>
      <c r="Q1" s="579"/>
      <c r="R1" s="579"/>
      <c r="S1" s="579"/>
      <c r="T1" s="579"/>
      <c r="U1" s="579"/>
      <c r="V1" s="579"/>
    </row>
    <row r="2" spans="1:22" ht="54" customHeight="1">
      <c r="A2" s="513" t="s">
        <v>6</v>
      </c>
      <c r="B2" s="513" t="s">
        <v>665</v>
      </c>
      <c r="C2" s="519" t="s">
        <v>666</v>
      </c>
      <c r="D2" s="519" t="s">
        <v>667</v>
      </c>
      <c r="E2" s="519" t="s">
        <v>668</v>
      </c>
      <c r="F2" s="519" t="s">
        <v>669</v>
      </c>
      <c r="G2" s="519" t="s">
        <v>670</v>
      </c>
      <c r="H2" s="519" t="s">
        <v>671</v>
      </c>
      <c r="I2" s="520" t="s">
        <v>672</v>
      </c>
      <c r="J2" s="520" t="s">
        <v>673</v>
      </c>
      <c r="K2" s="520" t="s">
        <v>674</v>
      </c>
      <c r="L2" s="520" t="s">
        <v>675</v>
      </c>
      <c r="N2" s="513" t="s">
        <v>6</v>
      </c>
      <c r="O2" s="554" t="s">
        <v>665</v>
      </c>
      <c r="P2" s="554" t="s">
        <v>676</v>
      </c>
      <c r="Q2" s="517" t="s">
        <v>677</v>
      </c>
      <c r="R2" s="517" t="s">
        <v>678</v>
      </c>
      <c r="S2" s="517" t="s">
        <v>679</v>
      </c>
      <c r="T2" s="517" t="s">
        <v>673</v>
      </c>
      <c r="U2" s="517" t="s">
        <v>674</v>
      </c>
      <c r="V2" s="517" t="s">
        <v>680</v>
      </c>
    </row>
    <row r="3" spans="1:22" ht="19.149999999999999" customHeight="1">
      <c r="A3" s="774" t="s">
        <v>48</v>
      </c>
      <c r="B3" s="558">
        <v>1</v>
      </c>
      <c r="C3" s="558">
        <v>48.2</v>
      </c>
      <c r="D3" s="558">
        <v>22.4</v>
      </c>
      <c r="E3" s="558">
        <v>70.5</v>
      </c>
      <c r="F3" s="516">
        <v>24.29</v>
      </c>
      <c r="G3" s="516">
        <v>24.74</v>
      </c>
      <c r="H3" s="516">
        <f>F3+G3</f>
        <v>49.03</v>
      </c>
      <c r="I3" s="558">
        <v>63.9</v>
      </c>
      <c r="J3" s="516">
        <f>(I3*1.25)</f>
        <v>79.875</v>
      </c>
      <c r="K3" s="516">
        <f>(I3*0.75)</f>
        <v>47.924999999999997</v>
      </c>
      <c r="L3" s="516">
        <f>J3-K3</f>
        <v>31.950000000000003</v>
      </c>
      <c r="N3" s="775" t="s">
        <v>270</v>
      </c>
      <c r="O3" s="514">
        <v>1</v>
      </c>
      <c r="P3" s="518">
        <v>9588</v>
      </c>
      <c r="Q3" s="145">
        <v>10.07</v>
      </c>
      <c r="R3" s="145">
        <v>6.41</v>
      </c>
      <c r="S3" s="145">
        <f>(Q3+R3)*3.412</f>
        <v>56.229759999999999</v>
      </c>
      <c r="T3" s="145">
        <f>S3*1.25</f>
        <v>70.287199999999999</v>
      </c>
      <c r="U3" s="145">
        <f>S3*0.75</f>
        <v>42.172319999999999</v>
      </c>
      <c r="V3" s="521">
        <f>T3-U3</f>
        <v>28.114879999999999</v>
      </c>
    </row>
    <row r="4" spans="1:22" ht="19.149999999999999" customHeight="1">
      <c r="A4" s="774"/>
      <c r="B4" s="558">
        <v>2</v>
      </c>
      <c r="C4" s="558">
        <v>45.2</v>
      </c>
      <c r="D4" s="558">
        <v>21.3</v>
      </c>
      <c r="E4" s="558">
        <v>66.5</v>
      </c>
      <c r="F4" s="516">
        <v>24.46</v>
      </c>
      <c r="G4" s="516">
        <v>23.8</v>
      </c>
      <c r="H4" s="516">
        <f t="shared" ref="H4:H18" si="0">F4+G4</f>
        <v>48.260000000000005</v>
      </c>
      <c r="I4" s="558">
        <v>59.3</v>
      </c>
      <c r="J4" s="516">
        <f t="shared" ref="J4:J18" si="1">(I4*1.25)</f>
        <v>74.125</v>
      </c>
      <c r="K4" s="516">
        <f t="shared" ref="K4:K18" si="2">(I4*0.75)</f>
        <v>44.474999999999994</v>
      </c>
      <c r="L4" s="516">
        <f t="shared" ref="L4:L18" si="3">J4-K4</f>
        <v>29.650000000000006</v>
      </c>
      <c r="N4" s="775"/>
      <c r="O4" s="514">
        <v>2</v>
      </c>
      <c r="P4" s="518">
        <v>42372</v>
      </c>
      <c r="Q4" s="145">
        <v>9.11</v>
      </c>
      <c r="R4" s="145">
        <v>5.42</v>
      </c>
      <c r="S4" s="145">
        <f t="shared" ref="S4:S18" si="4">(Q4+R4)*3.412</f>
        <v>49.576359999999994</v>
      </c>
      <c r="T4" s="145">
        <f t="shared" ref="T4:T18" si="5">S4*1.25</f>
        <v>61.970449999999992</v>
      </c>
      <c r="U4" s="145">
        <f t="shared" ref="U4:U18" si="6">S4*0.75</f>
        <v>37.182269999999995</v>
      </c>
      <c r="V4" s="521">
        <f t="shared" ref="V4:V18" si="7">T4-U4</f>
        <v>24.788179999999997</v>
      </c>
    </row>
    <row r="5" spans="1:22" ht="19.149999999999999" customHeight="1">
      <c r="A5" s="774"/>
      <c r="B5" s="558">
        <v>3</v>
      </c>
      <c r="C5" s="558">
        <v>40.5</v>
      </c>
      <c r="D5" s="558">
        <v>21.2</v>
      </c>
      <c r="E5" s="558">
        <v>61.7</v>
      </c>
      <c r="F5" s="516">
        <v>21.86</v>
      </c>
      <c r="G5" s="516">
        <v>22.95</v>
      </c>
      <c r="H5" s="516">
        <f t="shared" si="0"/>
        <v>44.81</v>
      </c>
      <c r="I5" s="558">
        <v>57.3</v>
      </c>
      <c r="J5" s="516">
        <f t="shared" si="1"/>
        <v>71.625</v>
      </c>
      <c r="K5" s="516">
        <f t="shared" si="2"/>
        <v>42.974999999999994</v>
      </c>
      <c r="L5" s="516">
        <f t="shared" si="3"/>
        <v>28.650000000000006</v>
      </c>
      <c r="N5" s="775"/>
      <c r="O5" s="514">
        <v>3</v>
      </c>
      <c r="P5" s="518">
        <v>61013</v>
      </c>
      <c r="Q5" s="145">
        <v>8.06</v>
      </c>
      <c r="R5" s="145">
        <v>8.35</v>
      </c>
      <c r="S5" s="145">
        <f t="shared" si="4"/>
        <v>55.990920000000003</v>
      </c>
      <c r="T5" s="145">
        <f t="shared" si="5"/>
        <v>69.988650000000007</v>
      </c>
      <c r="U5" s="145">
        <f t="shared" si="6"/>
        <v>41.993189999999998</v>
      </c>
      <c r="V5" s="521">
        <f t="shared" si="7"/>
        <v>27.995460000000008</v>
      </c>
    </row>
    <row r="6" spans="1:22" ht="19.149999999999999" customHeight="1">
      <c r="A6" s="774"/>
      <c r="B6" s="558">
        <v>4</v>
      </c>
      <c r="C6" s="558">
        <v>46.2</v>
      </c>
      <c r="D6" s="558">
        <v>20.9</v>
      </c>
      <c r="E6" s="558">
        <v>67.099999999999994</v>
      </c>
      <c r="F6" s="516">
        <v>25.8</v>
      </c>
      <c r="G6" s="516">
        <v>23.61</v>
      </c>
      <c r="H6" s="516">
        <f t="shared" si="0"/>
        <v>49.41</v>
      </c>
      <c r="I6" s="558">
        <v>61.3</v>
      </c>
      <c r="J6" s="516">
        <f t="shared" si="1"/>
        <v>76.625</v>
      </c>
      <c r="K6" s="516">
        <f t="shared" si="2"/>
        <v>45.974999999999994</v>
      </c>
      <c r="L6" s="516">
        <f t="shared" si="3"/>
        <v>30.650000000000006</v>
      </c>
      <c r="N6" s="775"/>
      <c r="O6" s="514">
        <v>4</v>
      </c>
      <c r="P6" s="518">
        <v>28798</v>
      </c>
      <c r="Q6" s="145">
        <v>7.94</v>
      </c>
      <c r="R6" s="145">
        <v>7.84</v>
      </c>
      <c r="S6" s="145">
        <f t="shared" si="4"/>
        <v>53.841360000000002</v>
      </c>
      <c r="T6" s="145">
        <f t="shared" si="5"/>
        <v>67.301699999999997</v>
      </c>
      <c r="U6" s="145">
        <f t="shared" si="6"/>
        <v>40.381019999999999</v>
      </c>
      <c r="V6" s="521">
        <f t="shared" si="7"/>
        <v>26.920679999999997</v>
      </c>
    </row>
    <row r="7" spans="1:22" ht="19.149999999999999" customHeight="1">
      <c r="A7" s="774"/>
      <c r="B7" s="558">
        <v>5</v>
      </c>
      <c r="C7" s="558">
        <v>38.9</v>
      </c>
      <c r="D7" s="558">
        <v>21.3</v>
      </c>
      <c r="E7" s="558">
        <v>60.2</v>
      </c>
      <c r="F7" s="516">
        <v>22.08</v>
      </c>
      <c r="G7" s="516">
        <v>23.01</v>
      </c>
      <c r="H7" s="516">
        <f t="shared" si="0"/>
        <v>45.09</v>
      </c>
      <c r="I7" s="558">
        <v>56.3</v>
      </c>
      <c r="J7" s="516">
        <f t="shared" si="1"/>
        <v>70.375</v>
      </c>
      <c r="K7" s="516">
        <f t="shared" si="2"/>
        <v>42.224999999999994</v>
      </c>
      <c r="L7" s="516">
        <f t="shared" si="3"/>
        <v>28.150000000000006</v>
      </c>
      <c r="N7" s="775"/>
      <c r="O7" s="514">
        <v>5</v>
      </c>
      <c r="P7" s="518">
        <v>9409</v>
      </c>
      <c r="Q7" s="145">
        <v>7.94</v>
      </c>
      <c r="R7" s="145">
        <v>11.86</v>
      </c>
      <c r="S7" s="145">
        <f t="shared" si="4"/>
        <v>67.557600000000008</v>
      </c>
      <c r="T7" s="145">
        <f t="shared" si="5"/>
        <v>84.447000000000003</v>
      </c>
      <c r="U7" s="145">
        <f t="shared" si="6"/>
        <v>50.668200000000006</v>
      </c>
      <c r="V7" s="521">
        <f t="shared" si="7"/>
        <v>33.778799999999997</v>
      </c>
    </row>
    <row r="8" spans="1:22" ht="19.149999999999999" customHeight="1">
      <c r="A8" s="774"/>
      <c r="B8" s="558">
        <v>6</v>
      </c>
      <c r="C8" s="558">
        <v>35.799999999999997</v>
      </c>
      <c r="D8" s="558">
        <v>19.899999999999999</v>
      </c>
      <c r="E8" s="558">
        <v>55.6</v>
      </c>
      <c r="F8" s="516">
        <v>22.81</v>
      </c>
      <c r="G8" s="516">
        <v>21.25</v>
      </c>
      <c r="H8" s="516">
        <f t="shared" si="0"/>
        <v>44.06</v>
      </c>
      <c r="I8" s="558">
        <v>55.7</v>
      </c>
      <c r="J8" s="516">
        <f t="shared" si="1"/>
        <v>69.625</v>
      </c>
      <c r="K8" s="516">
        <f t="shared" si="2"/>
        <v>41.775000000000006</v>
      </c>
      <c r="L8" s="516">
        <f t="shared" si="3"/>
        <v>27.849999999999994</v>
      </c>
      <c r="N8" s="775"/>
      <c r="O8" s="514">
        <v>6</v>
      </c>
      <c r="P8" s="518">
        <v>34023</v>
      </c>
      <c r="Q8" s="145">
        <v>9.0299999999999994</v>
      </c>
      <c r="R8" s="145">
        <v>10.6</v>
      </c>
      <c r="S8" s="145">
        <f t="shared" si="4"/>
        <v>66.977559999999997</v>
      </c>
      <c r="T8" s="145">
        <f t="shared" si="5"/>
        <v>83.721949999999993</v>
      </c>
      <c r="U8" s="145">
        <f t="shared" si="6"/>
        <v>50.233170000000001</v>
      </c>
      <c r="V8" s="521">
        <f t="shared" si="7"/>
        <v>33.488779999999991</v>
      </c>
    </row>
    <row r="9" spans="1:22" ht="19.149999999999999" customHeight="1">
      <c r="A9" s="774"/>
      <c r="B9" s="558">
        <v>7</v>
      </c>
      <c r="C9" s="558">
        <v>35.4</v>
      </c>
      <c r="D9" s="558">
        <v>19.8</v>
      </c>
      <c r="E9" s="558">
        <v>55.2</v>
      </c>
      <c r="F9" s="516">
        <v>23.09</v>
      </c>
      <c r="G9" s="516">
        <v>20.96</v>
      </c>
      <c r="H9" s="516">
        <f t="shared" si="0"/>
        <v>44.05</v>
      </c>
      <c r="I9" s="558">
        <v>55.9</v>
      </c>
      <c r="J9" s="516">
        <f t="shared" si="1"/>
        <v>69.875</v>
      </c>
      <c r="K9" s="516">
        <f t="shared" si="2"/>
        <v>41.924999999999997</v>
      </c>
      <c r="L9" s="516">
        <f t="shared" si="3"/>
        <v>27.950000000000003</v>
      </c>
      <c r="N9" s="775"/>
      <c r="O9" s="514">
        <v>7</v>
      </c>
      <c r="P9" s="518">
        <v>37336</v>
      </c>
      <c r="Q9" s="145">
        <v>11.69</v>
      </c>
      <c r="R9" s="145">
        <v>8.98</v>
      </c>
      <c r="S9" s="145">
        <f t="shared" si="4"/>
        <v>70.526040000000009</v>
      </c>
      <c r="T9" s="145">
        <f t="shared" si="5"/>
        <v>88.157550000000015</v>
      </c>
      <c r="U9" s="145">
        <f t="shared" si="6"/>
        <v>52.894530000000003</v>
      </c>
      <c r="V9" s="521">
        <f t="shared" si="7"/>
        <v>35.263020000000012</v>
      </c>
    </row>
    <row r="10" spans="1:22" ht="19.149999999999999" customHeight="1">
      <c r="A10" s="774"/>
      <c r="B10" s="558">
        <v>8</v>
      </c>
      <c r="C10" s="558">
        <v>39.6</v>
      </c>
      <c r="D10" s="558">
        <v>19.5</v>
      </c>
      <c r="E10" s="558">
        <v>59.1</v>
      </c>
      <c r="F10" s="516">
        <v>25.09</v>
      </c>
      <c r="G10" s="516">
        <v>21.29</v>
      </c>
      <c r="H10" s="516">
        <f t="shared" si="0"/>
        <v>46.379999999999995</v>
      </c>
      <c r="I10" s="558">
        <v>58.5</v>
      </c>
      <c r="J10" s="516">
        <f t="shared" si="1"/>
        <v>73.125</v>
      </c>
      <c r="K10" s="516">
        <f t="shared" si="2"/>
        <v>43.875</v>
      </c>
      <c r="L10" s="516">
        <f t="shared" si="3"/>
        <v>29.25</v>
      </c>
      <c r="N10" s="775"/>
      <c r="O10" s="514">
        <v>8</v>
      </c>
      <c r="P10" s="518">
        <v>50599</v>
      </c>
      <c r="Q10" s="145">
        <v>8.92</v>
      </c>
      <c r="R10" s="145">
        <v>10.37</v>
      </c>
      <c r="S10" s="145">
        <f t="shared" si="4"/>
        <v>65.817479999999989</v>
      </c>
      <c r="T10" s="145">
        <f t="shared" si="5"/>
        <v>82.271849999999986</v>
      </c>
      <c r="U10" s="145">
        <f t="shared" si="6"/>
        <v>49.363109999999992</v>
      </c>
      <c r="V10" s="521">
        <f t="shared" si="7"/>
        <v>32.908739999999995</v>
      </c>
    </row>
    <row r="11" spans="1:22" ht="19.149999999999999" customHeight="1">
      <c r="A11" s="774"/>
      <c r="B11" s="558">
        <v>9</v>
      </c>
      <c r="C11" s="558">
        <v>40.4</v>
      </c>
      <c r="D11" s="558">
        <v>19.600000000000001</v>
      </c>
      <c r="E11" s="558">
        <v>60</v>
      </c>
      <c r="F11" s="516">
        <v>25.07</v>
      </c>
      <c r="G11" s="516">
        <v>21.5</v>
      </c>
      <c r="H11" s="516">
        <f t="shared" si="0"/>
        <v>46.57</v>
      </c>
      <c r="I11" s="558">
        <v>58.9</v>
      </c>
      <c r="J11" s="516">
        <f t="shared" si="1"/>
        <v>73.625</v>
      </c>
      <c r="K11" s="516">
        <f t="shared" si="2"/>
        <v>44.174999999999997</v>
      </c>
      <c r="L11" s="516">
        <f t="shared" si="3"/>
        <v>29.450000000000003</v>
      </c>
      <c r="N11" s="775"/>
      <c r="O11" s="514">
        <v>9</v>
      </c>
      <c r="P11" s="518">
        <v>56761</v>
      </c>
      <c r="Q11" s="145">
        <v>8.94</v>
      </c>
      <c r="R11" s="145">
        <v>9.98</v>
      </c>
      <c r="S11" s="145">
        <f t="shared" si="4"/>
        <v>64.555040000000005</v>
      </c>
      <c r="T11" s="145">
        <f t="shared" si="5"/>
        <v>80.69380000000001</v>
      </c>
      <c r="U11" s="145">
        <f t="shared" si="6"/>
        <v>48.41628</v>
      </c>
      <c r="V11" s="521">
        <f t="shared" si="7"/>
        <v>32.27752000000001</v>
      </c>
    </row>
    <row r="12" spans="1:22" ht="19.149999999999999" customHeight="1">
      <c r="A12" s="774"/>
      <c r="B12" s="558">
        <v>10</v>
      </c>
      <c r="C12" s="558">
        <v>41.9</v>
      </c>
      <c r="D12" s="558">
        <v>19.8</v>
      </c>
      <c r="E12" s="558">
        <v>61.7</v>
      </c>
      <c r="F12" s="516">
        <v>26.18</v>
      </c>
      <c r="G12" s="516">
        <v>21.68</v>
      </c>
      <c r="H12" s="516">
        <f t="shared" si="0"/>
        <v>47.86</v>
      </c>
      <c r="I12" s="558">
        <v>60.6</v>
      </c>
      <c r="J12" s="516">
        <f t="shared" si="1"/>
        <v>75.75</v>
      </c>
      <c r="K12" s="516">
        <f t="shared" si="2"/>
        <v>45.45</v>
      </c>
      <c r="L12" s="516">
        <f t="shared" si="3"/>
        <v>30.299999999999997</v>
      </c>
      <c r="N12" s="775"/>
      <c r="O12" s="514">
        <v>10</v>
      </c>
      <c r="P12" s="518">
        <v>48383</v>
      </c>
      <c r="Q12" s="145">
        <v>10.61</v>
      </c>
      <c r="R12" s="145">
        <v>13.05</v>
      </c>
      <c r="S12" s="145">
        <f t="shared" si="4"/>
        <v>80.727919999999997</v>
      </c>
      <c r="T12" s="145">
        <f t="shared" si="5"/>
        <v>100.90989999999999</v>
      </c>
      <c r="U12" s="145">
        <f t="shared" si="6"/>
        <v>60.545940000000002</v>
      </c>
      <c r="V12" s="521">
        <f t="shared" si="7"/>
        <v>40.363959999999992</v>
      </c>
    </row>
    <row r="13" spans="1:22" ht="19.149999999999999" customHeight="1">
      <c r="A13" s="774"/>
      <c r="B13" s="558">
        <v>11</v>
      </c>
      <c r="C13" s="558">
        <v>51.3</v>
      </c>
      <c r="D13" s="558">
        <v>20.5</v>
      </c>
      <c r="E13" s="558">
        <v>71.8</v>
      </c>
      <c r="F13" s="516">
        <v>28.39</v>
      </c>
      <c r="G13" s="516">
        <v>23.78</v>
      </c>
      <c r="H13" s="516">
        <f t="shared" si="0"/>
        <v>52.17</v>
      </c>
      <c r="I13" s="558">
        <v>64.7</v>
      </c>
      <c r="J13" s="516">
        <f t="shared" si="1"/>
        <v>80.875</v>
      </c>
      <c r="K13" s="516">
        <f t="shared" si="2"/>
        <v>48.525000000000006</v>
      </c>
      <c r="L13" s="516">
        <f t="shared" si="3"/>
        <v>32.349999999999994</v>
      </c>
      <c r="N13" s="775"/>
      <c r="O13" s="514">
        <v>11</v>
      </c>
      <c r="P13" s="518">
        <v>13807</v>
      </c>
      <c r="Q13" s="145">
        <v>13.42</v>
      </c>
      <c r="R13" s="145">
        <v>12.06</v>
      </c>
      <c r="S13" s="145">
        <f t="shared" si="4"/>
        <v>86.937759999999997</v>
      </c>
      <c r="T13" s="145">
        <f t="shared" si="5"/>
        <v>108.6722</v>
      </c>
      <c r="U13" s="145">
        <f t="shared" si="6"/>
        <v>65.203319999999991</v>
      </c>
      <c r="V13" s="521">
        <f t="shared" si="7"/>
        <v>43.468880000000013</v>
      </c>
    </row>
    <row r="14" spans="1:22" ht="19.149999999999999" customHeight="1">
      <c r="A14" s="774"/>
      <c r="B14" s="558">
        <v>12</v>
      </c>
      <c r="C14" s="558">
        <v>45.6</v>
      </c>
      <c r="D14" s="558">
        <v>20.6</v>
      </c>
      <c r="E14" s="558">
        <v>66.2</v>
      </c>
      <c r="F14" s="516">
        <v>25.95</v>
      </c>
      <c r="G14" s="516">
        <v>23.4</v>
      </c>
      <c r="H14" s="516">
        <f t="shared" si="0"/>
        <v>49.349999999999994</v>
      </c>
      <c r="I14" s="558">
        <v>62</v>
      </c>
      <c r="J14" s="516">
        <f t="shared" si="1"/>
        <v>77.5</v>
      </c>
      <c r="K14" s="516">
        <f t="shared" si="2"/>
        <v>46.5</v>
      </c>
      <c r="L14" s="516">
        <f t="shared" si="3"/>
        <v>31</v>
      </c>
      <c r="N14" s="775"/>
      <c r="O14" s="514">
        <v>12</v>
      </c>
      <c r="P14" s="518">
        <v>54244</v>
      </c>
      <c r="Q14" s="145">
        <v>11.8</v>
      </c>
      <c r="R14" s="145">
        <v>11.49</v>
      </c>
      <c r="S14" s="145">
        <f t="shared" si="4"/>
        <v>79.465479999999999</v>
      </c>
      <c r="T14" s="145">
        <f t="shared" si="5"/>
        <v>99.331850000000003</v>
      </c>
      <c r="U14" s="145">
        <f t="shared" si="6"/>
        <v>59.599109999999996</v>
      </c>
      <c r="V14" s="521">
        <f t="shared" si="7"/>
        <v>39.732740000000007</v>
      </c>
    </row>
    <row r="15" spans="1:22" ht="19.149999999999999" customHeight="1">
      <c r="A15" s="774"/>
      <c r="B15" s="558">
        <v>13</v>
      </c>
      <c r="C15" s="558">
        <v>48.5</v>
      </c>
      <c r="D15" s="558">
        <v>20.5</v>
      </c>
      <c r="E15" s="558">
        <v>69</v>
      </c>
      <c r="F15" s="516">
        <v>28.21</v>
      </c>
      <c r="G15" s="516">
        <v>23.05</v>
      </c>
      <c r="H15" s="516">
        <f t="shared" si="0"/>
        <v>51.260000000000005</v>
      </c>
      <c r="I15" s="558">
        <v>65.099999999999994</v>
      </c>
      <c r="J15" s="516">
        <f t="shared" si="1"/>
        <v>81.375</v>
      </c>
      <c r="K15" s="516">
        <f t="shared" si="2"/>
        <v>48.824999999999996</v>
      </c>
      <c r="L15" s="516">
        <f t="shared" si="3"/>
        <v>32.550000000000004</v>
      </c>
      <c r="N15" s="775"/>
      <c r="O15" s="514">
        <v>13</v>
      </c>
      <c r="P15" s="518">
        <v>16296</v>
      </c>
      <c r="Q15" s="145">
        <v>11.83</v>
      </c>
      <c r="R15" s="145">
        <v>8.98</v>
      </c>
      <c r="S15" s="145">
        <f t="shared" si="4"/>
        <v>71.003720000000001</v>
      </c>
      <c r="T15" s="145">
        <f t="shared" si="5"/>
        <v>88.754649999999998</v>
      </c>
      <c r="U15" s="145">
        <f t="shared" si="6"/>
        <v>53.252790000000005</v>
      </c>
      <c r="V15" s="521">
        <f t="shared" si="7"/>
        <v>35.501859999999994</v>
      </c>
    </row>
    <row r="16" spans="1:22" ht="19.149999999999999" customHeight="1">
      <c r="A16" s="774"/>
      <c r="B16" s="558">
        <v>14</v>
      </c>
      <c r="C16" s="558">
        <v>48.9</v>
      </c>
      <c r="D16" s="558">
        <v>20.6</v>
      </c>
      <c r="E16" s="558">
        <v>69.5</v>
      </c>
      <c r="F16" s="516">
        <v>28.52</v>
      </c>
      <c r="G16" s="516">
        <v>24.27</v>
      </c>
      <c r="H16" s="516">
        <f t="shared" si="0"/>
        <v>52.79</v>
      </c>
      <c r="I16" s="558">
        <v>65.599999999999994</v>
      </c>
      <c r="J16" s="516">
        <f t="shared" si="1"/>
        <v>82</v>
      </c>
      <c r="K16" s="516">
        <f t="shared" si="2"/>
        <v>49.199999999999996</v>
      </c>
      <c r="L16" s="516">
        <f t="shared" si="3"/>
        <v>32.800000000000004</v>
      </c>
      <c r="N16" s="775"/>
      <c r="O16" s="514">
        <v>14</v>
      </c>
      <c r="P16" s="518">
        <v>9753</v>
      </c>
      <c r="Q16" s="145">
        <v>10.38</v>
      </c>
      <c r="R16" s="145">
        <v>13</v>
      </c>
      <c r="S16" s="145">
        <f t="shared" si="4"/>
        <v>79.772560000000013</v>
      </c>
      <c r="T16" s="145">
        <f t="shared" si="5"/>
        <v>99.715700000000012</v>
      </c>
      <c r="U16" s="145">
        <f t="shared" si="6"/>
        <v>59.829420000000013</v>
      </c>
      <c r="V16" s="521">
        <f t="shared" si="7"/>
        <v>39.886279999999999</v>
      </c>
    </row>
    <row r="17" spans="1:22" ht="19.149999999999999" customHeight="1">
      <c r="A17" s="774"/>
      <c r="B17" s="558">
        <v>15</v>
      </c>
      <c r="C17" s="558">
        <v>50.7</v>
      </c>
      <c r="D17" s="558">
        <v>17.399999999999999</v>
      </c>
      <c r="E17" s="558">
        <v>68.099999999999994</v>
      </c>
      <c r="F17" s="516">
        <v>32.58</v>
      </c>
      <c r="G17" s="516">
        <v>19.8</v>
      </c>
      <c r="H17" s="516">
        <f t="shared" si="0"/>
        <v>52.379999999999995</v>
      </c>
      <c r="I17" s="558">
        <v>70.400000000000006</v>
      </c>
      <c r="J17" s="516">
        <f t="shared" si="1"/>
        <v>88</v>
      </c>
      <c r="K17" s="516">
        <f t="shared" si="2"/>
        <v>52.800000000000004</v>
      </c>
      <c r="L17" s="516">
        <f t="shared" si="3"/>
        <v>35.199999999999996</v>
      </c>
      <c r="N17" s="775"/>
      <c r="O17" s="514">
        <v>15</v>
      </c>
      <c r="P17" s="518">
        <v>24241</v>
      </c>
      <c r="Q17" s="145">
        <v>8.52</v>
      </c>
      <c r="R17" s="145">
        <v>14.2</v>
      </c>
      <c r="S17" s="145">
        <f t="shared" si="4"/>
        <v>77.52064</v>
      </c>
      <c r="T17" s="145">
        <f t="shared" si="5"/>
        <v>96.900800000000004</v>
      </c>
      <c r="U17" s="145">
        <f t="shared" si="6"/>
        <v>58.140479999999997</v>
      </c>
      <c r="V17" s="521">
        <f t="shared" si="7"/>
        <v>38.760320000000007</v>
      </c>
    </row>
    <row r="18" spans="1:22" ht="19.149999999999999" customHeight="1">
      <c r="A18" s="774"/>
      <c r="B18" s="558">
        <v>16</v>
      </c>
      <c r="C18" s="558">
        <v>52.4</v>
      </c>
      <c r="D18" s="558">
        <v>22.7</v>
      </c>
      <c r="E18" s="558">
        <v>75</v>
      </c>
      <c r="F18" s="516">
        <v>28.74</v>
      </c>
      <c r="G18" s="516">
        <v>26.45</v>
      </c>
      <c r="H18" s="516">
        <f t="shared" si="0"/>
        <v>55.19</v>
      </c>
      <c r="I18" s="558">
        <v>66.599999999999994</v>
      </c>
      <c r="J18" s="516">
        <f t="shared" si="1"/>
        <v>83.25</v>
      </c>
      <c r="K18" s="516">
        <f t="shared" si="2"/>
        <v>49.949999999999996</v>
      </c>
      <c r="L18" s="516">
        <f t="shared" si="3"/>
        <v>33.300000000000004</v>
      </c>
      <c r="N18" s="775"/>
      <c r="O18" s="514">
        <v>16</v>
      </c>
      <c r="P18" s="518">
        <v>33483</v>
      </c>
      <c r="Q18" s="145">
        <v>12.32</v>
      </c>
      <c r="R18" s="145">
        <v>13.6</v>
      </c>
      <c r="S18" s="145">
        <f t="shared" si="4"/>
        <v>88.439040000000006</v>
      </c>
      <c r="T18" s="145">
        <f t="shared" si="5"/>
        <v>110.5488</v>
      </c>
      <c r="U18" s="145">
        <f t="shared" si="6"/>
        <v>66.329280000000011</v>
      </c>
      <c r="V18" s="521">
        <f t="shared" si="7"/>
        <v>44.219519999999989</v>
      </c>
    </row>
    <row r="20" spans="1:22" ht="13.15">
      <c r="A20" s="5" t="s">
        <v>681</v>
      </c>
    </row>
    <row r="21" spans="1:22" ht="13.15">
      <c r="A21" s="5" t="s">
        <v>682</v>
      </c>
    </row>
    <row r="22" spans="1:22" ht="13.15">
      <c r="A22" s="5" t="s">
        <v>683</v>
      </c>
    </row>
    <row r="25" spans="1:22" s="30" customFormat="1" ht="13.15" hidden="1">
      <c r="A25" s="30" t="s">
        <v>193</v>
      </c>
      <c r="C25" s="32"/>
      <c r="D25" s="33"/>
    </row>
    <row r="26" spans="1:22" ht="13.15" hidden="1"/>
    <row r="27" spans="1:22" ht="39.6" hidden="1">
      <c r="A27" s="89" t="s">
        <v>684</v>
      </c>
      <c r="B27" s="47" t="s">
        <v>685</v>
      </c>
      <c r="C27" s="90" t="s">
        <v>686</v>
      </c>
      <c r="D27" s="47" t="s">
        <v>687</v>
      </c>
      <c r="E27" s="47" t="s">
        <v>688</v>
      </c>
      <c r="F27" s="47"/>
      <c r="G27" s="47"/>
      <c r="H27" s="47"/>
      <c r="I27" s="47" t="s">
        <v>689</v>
      </c>
      <c r="J27" s="509"/>
      <c r="K27" s="509"/>
      <c r="L27" s="509"/>
    </row>
    <row r="28" spans="1:22" ht="13.15" hidden="1">
      <c r="A28" s="91" t="s">
        <v>690</v>
      </c>
      <c r="B28" s="91" t="s">
        <v>691</v>
      </c>
      <c r="C28" s="93">
        <v>6.9472618404239406E-2</v>
      </c>
      <c r="D28" s="94">
        <v>18.4126518663243</v>
      </c>
      <c r="E28" s="92">
        <v>134268858.31885999</v>
      </c>
      <c r="F28" s="95"/>
      <c r="G28" s="95"/>
      <c r="H28" s="95"/>
      <c r="I28" s="57">
        <v>5.96666874499171E-2</v>
      </c>
      <c r="J28" s="57"/>
      <c r="K28" s="57"/>
      <c r="L28" s="57"/>
    </row>
    <row r="29" spans="1:22" ht="13.15" hidden="1">
      <c r="A29" s="91" t="s">
        <v>690</v>
      </c>
      <c r="B29" s="91" t="s">
        <v>692</v>
      </c>
      <c r="C29" s="96">
        <v>5.1121524623256601E-2</v>
      </c>
      <c r="D29" s="97">
        <v>22.852915968004599</v>
      </c>
      <c r="E29" s="98">
        <v>27331076.8433863</v>
      </c>
      <c r="F29" s="98"/>
      <c r="G29" s="98"/>
      <c r="H29" s="98"/>
      <c r="I29" s="57">
        <v>6.1329054850815502E-2</v>
      </c>
      <c r="J29" s="57"/>
      <c r="K29" s="57"/>
      <c r="L29" s="57"/>
    </row>
    <row r="30" spans="1:22" ht="13.15" hidden="1">
      <c r="A30" s="91" t="s">
        <v>690</v>
      </c>
      <c r="B30" s="91" t="s">
        <v>693</v>
      </c>
      <c r="C30" s="96">
        <v>9.6269719338166096E-2</v>
      </c>
      <c r="D30" s="97">
        <v>19.118001246539901</v>
      </c>
      <c r="E30" s="98">
        <v>6426897.9090710599</v>
      </c>
      <c r="F30" s="98"/>
      <c r="G30" s="98"/>
      <c r="H30" s="98"/>
      <c r="I30" s="57">
        <v>9.6846802373571295E-2</v>
      </c>
      <c r="J30" s="57"/>
      <c r="K30" s="57"/>
      <c r="L30" s="57"/>
    </row>
    <row r="31" spans="1:22" ht="13.15" hidden="1">
      <c r="A31" s="91" t="s">
        <v>690</v>
      </c>
      <c r="B31" s="91" t="s">
        <v>694</v>
      </c>
      <c r="C31" s="96">
        <v>0.134850944761924</v>
      </c>
      <c r="D31" s="97">
        <v>28.286510997213099</v>
      </c>
      <c r="E31" s="98">
        <v>2660392.7332149502</v>
      </c>
      <c r="F31" s="98"/>
      <c r="G31" s="98"/>
      <c r="H31" s="98"/>
      <c r="I31" s="57">
        <v>0.15551675449649499</v>
      </c>
      <c r="J31" s="57"/>
      <c r="K31" s="57"/>
      <c r="L31" s="57"/>
    </row>
    <row r="32" spans="1:22" ht="13.15" hidden="1">
      <c r="A32" s="91" t="s">
        <v>690</v>
      </c>
      <c r="B32" s="91" t="s">
        <v>695</v>
      </c>
      <c r="C32" s="96">
        <v>8.6968601248933103E-2</v>
      </c>
      <c r="D32" s="97">
        <v>12.1512379866186</v>
      </c>
      <c r="E32" s="98">
        <v>5496954.8477340499</v>
      </c>
      <c r="F32" s="98"/>
      <c r="G32" s="98"/>
      <c r="H32" s="98"/>
      <c r="I32" s="57">
        <v>5.8292862221122198E-2</v>
      </c>
      <c r="J32" s="57"/>
      <c r="K32" s="57"/>
      <c r="L32" s="57"/>
    </row>
    <row r="33" spans="1:32" ht="13.15" hidden="1">
      <c r="A33" s="91" t="s">
        <v>690</v>
      </c>
      <c r="B33" s="91" t="s">
        <v>696</v>
      </c>
      <c r="C33" s="96">
        <v>8.51480789141906E-2</v>
      </c>
      <c r="D33" s="97">
        <v>15.1928344532295</v>
      </c>
      <c r="E33" s="98">
        <v>6556179.8848007796</v>
      </c>
      <c r="F33" s="98"/>
      <c r="G33" s="98"/>
      <c r="H33" s="98"/>
      <c r="I33" s="57">
        <v>6.9670951029196806E-2</v>
      </c>
      <c r="J33" s="57"/>
      <c r="K33" s="57"/>
      <c r="L33" s="57"/>
    </row>
    <row r="34" spans="1:32" ht="13.15" hidden="1">
      <c r="A34" s="91" t="s">
        <v>690</v>
      </c>
      <c r="B34" s="91" t="s">
        <v>697</v>
      </c>
      <c r="C34" s="96">
        <v>0.100918332402126</v>
      </c>
      <c r="D34" s="97">
        <v>36.414803753733899</v>
      </c>
      <c r="E34" s="98">
        <v>12728730.9274843</v>
      </c>
      <c r="F34" s="98"/>
      <c r="G34" s="98"/>
      <c r="H34" s="98"/>
      <c r="I34" s="57">
        <v>0.16679848361268099</v>
      </c>
      <c r="J34" s="57"/>
      <c r="K34" s="57"/>
      <c r="L34" s="57"/>
    </row>
    <row r="35" spans="1:32" ht="13.15" hidden="1">
      <c r="A35" s="91" t="s">
        <v>690</v>
      </c>
      <c r="B35" s="91" t="s">
        <v>698</v>
      </c>
      <c r="C35" s="96">
        <v>6.4676279788134894E-2</v>
      </c>
      <c r="D35" s="97">
        <v>10.462719486898299</v>
      </c>
      <c r="E35" s="98">
        <v>17590769.1189746</v>
      </c>
      <c r="F35" s="98"/>
      <c r="G35" s="98"/>
      <c r="H35" s="98"/>
      <c r="I35" s="57">
        <v>3.3022227695205797E-2</v>
      </c>
      <c r="J35" s="57"/>
      <c r="K35" s="57"/>
      <c r="L35" s="57"/>
    </row>
    <row r="36" spans="1:32" ht="13.15" hidden="1">
      <c r="A36" s="91" t="s">
        <v>690</v>
      </c>
      <c r="B36" s="91" t="s">
        <v>699</v>
      </c>
      <c r="C36" s="96">
        <v>8.2931727175147602E-2</v>
      </c>
      <c r="D36" s="97">
        <v>9.9914596699029392</v>
      </c>
      <c r="E36" s="98">
        <v>2420917.8031246602</v>
      </c>
      <c r="F36" s="98"/>
      <c r="G36" s="98"/>
      <c r="H36" s="98"/>
      <c r="I36" s="57">
        <v>4.0934188983236398E-2</v>
      </c>
      <c r="J36" s="57"/>
      <c r="K36" s="57"/>
      <c r="L36" s="57"/>
    </row>
    <row r="37" spans="1:32" ht="13.15" hidden="1">
      <c r="A37" s="91" t="s">
        <v>690</v>
      </c>
      <c r="B37" s="91" t="s">
        <v>700</v>
      </c>
      <c r="C37" s="96">
        <v>7.3941338894994907E-2</v>
      </c>
      <c r="D37" s="97">
        <v>13.0509885814238</v>
      </c>
      <c r="E37" s="98">
        <v>1525983.12197676</v>
      </c>
      <c r="F37" s="98"/>
      <c r="G37" s="98"/>
      <c r="H37" s="98"/>
      <c r="I37" s="57">
        <v>5.3068389307681298E-2</v>
      </c>
      <c r="J37" s="57"/>
      <c r="K37" s="57"/>
      <c r="L37" s="57"/>
    </row>
    <row r="38" spans="1:32" ht="13.15" hidden="1">
      <c r="A38" s="91" t="s">
        <v>690</v>
      </c>
      <c r="B38" s="91" t="s">
        <v>701</v>
      </c>
      <c r="C38" s="96">
        <v>4.7515324280336502E-2</v>
      </c>
      <c r="D38" s="97">
        <v>15.531345720731199</v>
      </c>
      <c r="E38" s="98">
        <v>5228482.7788508404</v>
      </c>
      <c r="F38" s="98"/>
      <c r="G38" s="98"/>
      <c r="H38" s="98"/>
      <c r="I38" s="57">
        <v>4.0201213931553098E-2</v>
      </c>
      <c r="J38" s="57"/>
      <c r="K38" s="57"/>
      <c r="L38" s="57"/>
    </row>
    <row r="39" spans="1:32" ht="13.15" hidden="1">
      <c r="A39" s="91" t="s">
        <v>690</v>
      </c>
      <c r="B39" s="91" t="s">
        <v>702</v>
      </c>
      <c r="C39" s="96">
        <v>7.2140397678845905E-2</v>
      </c>
      <c r="D39" s="97">
        <v>6.7585920908378796</v>
      </c>
      <c r="E39" s="98">
        <v>2405260.6733389199</v>
      </c>
      <c r="F39" s="98"/>
      <c r="G39" s="98"/>
      <c r="H39" s="98"/>
      <c r="I39" s="57">
        <v>2.30640151560117E-2</v>
      </c>
      <c r="J39" s="57"/>
      <c r="K39" s="57"/>
      <c r="L39" s="57"/>
    </row>
    <row r="40" spans="1:32" ht="13.15" hidden="1">
      <c r="A40" s="91" t="s">
        <v>690</v>
      </c>
      <c r="B40" s="91" t="s">
        <v>703</v>
      </c>
      <c r="C40" s="96">
        <v>0.103214878479746</v>
      </c>
      <c r="D40" s="97">
        <v>24.260094422715099</v>
      </c>
      <c r="E40" s="98">
        <v>16118298.177055599</v>
      </c>
      <c r="F40" s="98"/>
      <c r="G40" s="98"/>
      <c r="H40" s="98"/>
      <c r="I40" s="57">
        <v>8.1236962548796393E-2</v>
      </c>
      <c r="J40" s="57"/>
      <c r="K40" s="57"/>
      <c r="L40" s="57"/>
    </row>
    <row r="41" spans="1:32" ht="13.15" hidden="1">
      <c r="A41" s="91" t="s">
        <v>690</v>
      </c>
      <c r="B41" s="91" t="s">
        <v>704</v>
      </c>
      <c r="C41" s="96">
        <v>7.9379542774958595E-2</v>
      </c>
      <c r="D41" s="97">
        <v>19.8576237006504</v>
      </c>
      <c r="E41" s="98">
        <v>4195435.2736478196</v>
      </c>
      <c r="F41" s="98"/>
      <c r="G41" s="98"/>
      <c r="H41" s="98"/>
      <c r="I41" s="57">
        <v>7.7140996030821293E-2</v>
      </c>
      <c r="J41" s="57"/>
      <c r="K41" s="57"/>
      <c r="L41" s="57"/>
    </row>
    <row r="42" spans="1:32" ht="13.15" hidden="1">
      <c r="A42" s="91" t="s">
        <v>690</v>
      </c>
      <c r="B42" s="91" t="s">
        <v>705</v>
      </c>
      <c r="C42" s="96">
        <v>7.1341432613403893E-2</v>
      </c>
      <c r="D42" s="97">
        <v>28.241891521061699</v>
      </c>
      <c r="E42" s="98">
        <v>10874612.099108901</v>
      </c>
      <c r="F42" s="98"/>
      <c r="G42" s="98"/>
      <c r="H42" s="98"/>
      <c r="I42" s="57">
        <v>0.121526584688293</v>
      </c>
      <c r="J42" s="57"/>
      <c r="K42" s="57"/>
      <c r="L42" s="57"/>
    </row>
    <row r="43" spans="1:32" ht="13.15" hidden="1">
      <c r="A43" s="91" t="s">
        <v>690</v>
      </c>
      <c r="B43" s="91" t="s">
        <v>706</v>
      </c>
      <c r="C43" s="96">
        <v>5.7387573585142203E-2</v>
      </c>
      <c r="D43" s="97">
        <v>12.252374101207501</v>
      </c>
      <c r="E43" s="98">
        <v>10915477.840237301</v>
      </c>
      <c r="F43" s="98"/>
      <c r="G43" s="98"/>
      <c r="H43" s="98"/>
      <c r="I43" s="57">
        <v>5.0856958299953098E-2</v>
      </c>
      <c r="J43" s="57"/>
      <c r="K43" s="57"/>
      <c r="L43" s="57"/>
    </row>
    <row r="44" spans="1:32" ht="13.15" hidden="1">
      <c r="A44" s="91" t="s">
        <v>690</v>
      </c>
      <c r="B44" s="91" t="s">
        <v>707</v>
      </c>
      <c r="C44" s="96">
        <v>6.5657927635700497E-2</v>
      </c>
      <c r="D44" s="97">
        <v>37.369384613754796</v>
      </c>
      <c r="E44" s="98">
        <v>1793388.2868530301</v>
      </c>
      <c r="F44" s="98"/>
      <c r="G44" s="98"/>
      <c r="H44" s="98"/>
      <c r="I44" s="57">
        <v>4.0174471751225703E-2</v>
      </c>
      <c r="J44" s="57"/>
      <c r="K44" s="57"/>
      <c r="L44" s="57"/>
    </row>
    <row r="45" spans="1:32" ht="13.15" hidden="1">
      <c r="A45" s="91" t="s">
        <v>690</v>
      </c>
      <c r="I45" s="57"/>
      <c r="J45" s="57"/>
      <c r="K45" s="57"/>
      <c r="L45" s="57"/>
    </row>
    <row r="46" spans="1:32" ht="13.5" hidden="1" customHeight="1">
      <c r="A46" s="99"/>
      <c r="B46" s="99"/>
      <c r="C46" s="530"/>
      <c r="D46" s="780" t="s">
        <v>708</v>
      </c>
      <c r="E46" s="781"/>
      <c r="F46" s="781"/>
      <c r="G46" s="781"/>
      <c r="H46" s="781"/>
      <c r="I46" s="782"/>
      <c r="J46" s="530"/>
      <c r="K46" s="530"/>
      <c r="L46" s="530"/>
      <c r="M46" s="530"/>
      <c r="N46" s="780" t="s">
        <v>709</v>
      </c>
      <c r="O46" s="781"/>
      <c r="P46" s="782"/>
      <c r="Q46" s="530"/>
      <c r="R46" s="780" t="s">
        <v>710</v>
      </c>
      <c r="S46" s="781"/>
      <c r="T46" s="781"/>
      <c r="U46" s="781"/>
      <c r="V46" s="781"/>
      <c r="W46" s="781"/>
      <c r="X46" s="782"/>
      <c r="Y46" s="530"/>
      <c r="Z46" s="780" t="s">
        <v>687</v>
      </c>
      <c r="AA46" s="781"/>
      <c r="AB46" s="782"/>
      <c r="AC46" s="527"/>
      <c r="AD46" s="777" t="s">
        <v>687</v>
      </c>
      <c r="AE46" s="778"/>
      <c r="AF46" s="779"/>
    </row>
    <row r="47" spans="1:32" ht="53.45" hidden="1" thickBot="1">
      <c r="A47" s="100" t="s">
        <v>711</v>
      </c>
      <c r="B47" s="101" t="s">
        <v>51</v>
      </c>
      <c r="C47" s="530"/>
      <c r="D47" s="102" t="s">
        <v>712</v>
      </c>
      <c r="E47" s="102" t="s">
        <v>713</v>
      </c>
      <c r="F47" s="102"/>
      <c r="G47" s="102"/>
      <c r="H47" s="102"/>
      <c r="I47" s="102" t="s">
        <v>401</v>
      </c>
      <c r="J47" s="530"/>
      <c r="K47" s="530"/>
      <c r="L47" s="530"/>
      <c r="M47" s="530"/>
      <c r="N47" s="102" t="s">
        <v>712</v>
      </c>
      <c r="O47" s="102" t="s">
        <v>713</v>
      </c>
      <c r="P47" s="102" t="s">
        <v>401</v>
      </c>
      <c r="Q47" s="530"/>
      <c r="R47" s="102" t="s">
        <v>712</v>
      </c>
      <c r="S47" s="102"/>
      <c r="T47" s="102" t="s">
        <v>713</v>
      </c>
      <c r="U47" s="102"/>
      <c r="V47" s="102"/>
      <c r="W47" s="102"/>
      <c r="X47" s="102" t="s">
        <v>401</v>
      </c>
      <c r="Y47" s="530"/>
      <c r="Z47" s="102" t="s">
        <v>712</v>
      </c>
      <c r="AA47" s="102" t="s">
        <v>713</v>
      </c>
      <c r="AB47" s="102" t="s">
        <v>401</v>
      </c>
      <c r="AC47" s="527"/>
      <c r="AD47" s="81" t="s">
        <v>712</v>
      </c>
      <c r="AE47" s="81" t="s">
        <v>713</v>
      </c>
      <c r="AF47" s="81" t="s">
        <v>401</v>
      </c>
    </row>
    <row r="48" spans="1:32" ht="13.15" hidden="1">
      <c r="A48" s="38" t="s">
        <v>691</v>
      </c>
      <c r="B48" s="36" t="s">
        <v>690</v>
      </c>
      <c r="C48" s="85"/>
      <c r="D48" s="82">
        <v>5984.2373561351596</v>
      </c>
      <c r="E48" s="83">
        <v>513.69194108843021</v>
      </c>
      <c r="F48" s="515"/>
      <c r="G48" s="515"/>
      <c r="H48" s="515"/>
      <c r="I48" s="84">
        <v>6497.9292972235899</v>
      </c>
      <c r="J48" s="85"/>
      <c r="K48" s="85"/>
      <c r="L48" s="85"/>
      <c r="M48" s="85"/>
      <c r="N48" s="82">
        <v>125.313335965297</v>
      </c>
      <c r="O48" s="83">
        <v>8.9555223535629978</v>
      </c>
      <c r="P48" s="84">
        <v>134.26885831886</v>
      </c>
      <c r="Q48" s="85"/>
      <c r="R48" s="86">
        <v>8.9252323934047393</v>
      </c>
      <c r="S48" s="511"/>
      <c r="T48" s="87">
        <v>8.7458785124258398</v>
      </c>
      <c r="U48" s="512"/>
      <c r="V48" s="512"/>
      <c r="W48" s="512"/>
      <c r="X48" s="88">
        <v>8.9107862761175909</v>
      </c>
      <c r="Y48" s="85"/>
      <c r="Z48" s="86">
        <v>18.689944581433199</v>
      </c>
      <c r="AA48" s="87">
        <v>15.476875244161659</v>
      </c>
      <c r="AB48" s="88">
        <v>18.4126518663243</v>
      </c>
      <c r="AC48" s="85"/>
      <c r="AD48" s="86">
        <v>18.689944581433149</v>
      </c>
      <c r="AE48" s="87">
        <v>15.247253120930845</v>
      </c>
      <c r="AF48" s="88">
        <v>18.412651866324321</v>
      </c>
    </row>
    <row r="49" spans="1:32" ht="13.15" hidden="1">
      <c r="A49" s="38" t="s">
        <v>692</v>
      </c>
      <c r="B49" s="36" t="s">
        <v>690</v>
      </c>
      <c r="C49" s="85"/>
      <c r="D49" s="82">
        <v>896.81511398974499</v>
      </c>
      <c r="E49" s="83">
        <v>198.76560885743493</v>
      </c>
      <c r="F49" s="515"/>
      <c r="G49" s="515"/>
      <c r="H49" s="515"/>
      <c r="I49" s="84">
        <v>1095.5807228471799</v>
      </c>
      <c r="J49" s="85"/>
      <c r="K49" s="85"/>
      <c r="L49" s="85"/>
      <c r="M49" s="85"/>
      <c r="N49" s="82">
        <v>22.3725393150999</v>
      </c>
      <c r="O49" s="83">
        <v>4.9585375282863993</v>
      </c>
      <c r="P49" s="84">
        <v>27.331076843386299</v>
      </c>
      <c r="Q49" s="85"/>
      <c r="R49" s="86">
        <v>9.1607126710965296</v>
      </c>
      <c r="S49" s="511"/>
      <c r="T49" s="87">
        <v>9.1607126710967712</v>
      </c>
      <c r="U49" s="512"/>
      <c r="V49" s="512"/>
      <c r="W49" s="512"/>
      <c r="X49" s="88">
        <v>9.1607126710965296</v>
      </c>
      <c r="Y49" s="85"/>
      <c r="Z49" s="86">
        <v>22.852915968004599</v>
      </c>
      <c r="AA49" s="87">
        <v>22.852915968004517</v>
      </c>
      <c r="AB49" s="88">
        <v>22.852915968004599</v>
      </c>
      <c r="AC49" s="85"/>
      <c r="AD49" s="86">
        <v>22.852915968004581</v>
      </c>
      <c r="AE49" s="87">
        <v>22.852915968004485</v>
      </c>
      <c r="AF49" s="88">
        <v>22.852915968004567</v>
      </c>
    </row>
    <row r="50" spans="1:32" ht="13.15" hidden="1">
      <c r="A50" s="38" t="s">
        <v>693</v>
      </c>
      <c r="B50" s="36" t="s">
        <v>690</v>
      </c>
      <c r="C50" s="85"/>
      <c r="D50" s="82">
        <v>236.124621744672</v>
      </c>
      <c r="E50" s="83">
        <v>15.511315720683996</v>
      </c>
      <c r="F50" s="515"/>
      <c r="G50" s="515"/>
      <c r="H50" s="515"/>
      <c r="I50" s="84">
        <v>251.63593746535599</v>
      </c>
      <c r="J50" s="85"/>
      <c r="K50" s="85"/>
      <c r="L50" s="85"/>
      <c r="M50" s="85"/>
      <c r="N50" s="82">
        <v>6.0307317510240805</v>
      </c>
      <c r="O50" s="83">
        <v>0.39616615804697908</v>
      </c>
      <c r="P50" s="84">
        <v>6.4268979090710596</v>
      </c>
      <c r="Q50" s="85"/>
      <c r="R50" s="86">
        <v>7.4853782247682501</v>
      </c>
      <c r="S50" s="511"/>
      <c r="T50" s="87">
        <v>7.4853782247686516</v>
      </c>
      <c r="U50" s="512"/>
      <c r="V50" s="512"/>
      <c r="W50" s="512"/>
      <c r="X50" s="88">
        <v>7.4853782247682501</v>
      </c>
      <c r="Y50" s="85"/>
      <c r="Z50" s="86">
        <v>19.118001246539901</v>
      </c>
      <c r="AA50" s="87">
        <v>19.118001246539894</v>
      </c>
      <c r="AB50" s="88">
        <v>19.118001246539901</v>
      </c>
      <c r="AC50" s="85"/>
      <c r="AD50" s="86">
        <v>19.118001246539958</v>
      </c>
      <c r="AE50" s="87">
        <v>19.118001246539947</v>
      </c>
      <c r="AF50" s="88">
        <v>19.118001246539954</v>
      </c>
    </row>
    <row r="51" spans="1:32" ht="13.15" hidden="1">
      <c r="A51" s="38" t="s">
        <v>694</v>
      </c>
      <c r="B51" s="36" t="s">
        <v>690</v>
      </c>
      <c r="C51" s="85"/>
      <c r="D51" s="82">
        <v>111.772057395293</v>
      </c>
      <c r="E51" s="83">
        <v>3.4206093638079977</v>
      </c>
      <c r="F51" s="515"/>
      <c r="G51" s="515"/>
      <c r="H51" s="515"/>
      <c r="I51" s="84">
        <v>115.192666759101</v>
      </c>
      <c r="J51" s="85"/>
      <c r="K51" s="85"/>
      <c r="L51" s="85"/>
      <c r="M51" s="85"/>
      <c r="N51" s="82">
        <v>2.58139322265</v>
      </c>
      <c r="O51" s="83">
        <v>7.8999510564950359E-2</v>
      </c>
      <c r="P51" s="84">
        <v>2.6603927332149504</v>
      </c>
      <c r="Q51" s="85"/>
      <c r="R51" s="86">
        <v>12.247810612315099</v>
      </c>
      <c r="S51" s="511"/>
      <c r="T51" s="87">
        <v>12.247810612316659</v>
      </c>
      <c r="U51" s="512"/>
      <c r="V51" s="512"/>
      <c r="W51" s="512"/>
      <c r="X51" s="88">
        <v>12.247810612315099</v>
      </c>
      <c r="Y51" s="85"/>
      <c r="Z51" s="86">
        <v>28.286510997213099</v>
      </c>
      <c r="AA51" s="87">
        <v>28.286510997212226</v>
      </c>
      <c r="AB51" s="88">
        <v>28.286510997213099</v>
      </c>
      <c r="AC51" s="85"/>
      <c r="AD51" s="86">
        <v>28.286510997213146</v>
      </c>
      <c r="AE51" s="87">
        <v>28.286510997212243</v>
      </c>
      <c r="AF51" s="88">
        <v>28.286510997213117</v>
      </c>
    </row>
    <row r="52" spans="1:32" ht="13.15" hidden="1">
      <c r="A52" s="38" t="s">
        <v>695</v>
      </c>
      <c r="B52" s="36" t="s">
        <v>690</v>
      </c>
      <c r="C52" s="85"/>
      <c r="D52" s="82">
        <v>390.53261357090599</v>
      </c>
      <c r="E52" s="83">
        <v>72.614839483821982</v>
      </c>
      <c r="F52" s="515"/>
      <c r="G52" s="515"/>
      <c r="H52" s="515"/>
      <c r="I52" s="84">
        <v>463.14745305472798</v>
      </c>
      <c r="J52" s="85"/>
      <c r="K52" s="85"/>
      <c r="L52" s="85"/>
      <c r="M52" s="85"/>
      <c r="N52" s="82">
        <v>4.63511162418758</v>
      </c>
      <c r="O52" s="83">
        <v>0.86184322354646969</v>
      </c>
      <c r="P52" s="84">
        <v>5.4969548477340497</v>
      </c>
      <c r="Q52" s="85"/>
      <c r="R52" s="86">
        <v>10.2380592179762</v>
      </c>
      <c r="S52" s="511"/>
      <c r="T52" s="87">
        <v>10.238059217976208</v>
      </c>
      <c r="U52" s="512"/>
      <c r="V52" s="512"/>
      <c r="W52" s="512"/>
      <c r="X52" s="88">
        <v>10.2380592179762</v>
      </c>
      <c r="Y52" s="85"/>
      <c r="Z52" s="86">
        <v>12.1512379866186</v>
      </c>
      <c r="AA52" s="87">
        <v>12.15123798661857</v>
      </c>
      <c r="AB52" s="88">
        <v>12.1512379866186</v>
      </c>
      <c r="AC52" s="85"/>
      <c r="AD52" s="86">
        <v>12.151237986618584</v>
      </c>
      <c r="AE52" s="87">
        <v>12.15123798661855</v>
      </c>
      <c r="AF52" s="88">
        <v>12.151237986618579</v>
      </c>
    </row>
    <row r="53" spans="1:32" ht="13.15" hidden="1">
      <c r="A53" s="38" t="s">
        <v>696</v>
      </c>
      <c r="B53" s="36" t="s">
        <v>690</v>
      </c>
      <c r="C53" s="85"/>
      <c r="D53" s="82">
        <v>478.92750392088698</v>
      </c>
      <c r="E53" s="83">
        <v>0.93931387211000583</v>
      </c>
      <c r="F53" s="515"/>
      <c r="G53" s="515"/>
      <c r="H53" s="515"/>
      <c r="I53" s="84">
        <v>479.86681779299698</v>
      </c>
      <c r="J53" s="85"/>
      <c r="K53" s="85"/>
      <c r="L53" s="85"/>
      <c r="M53" s="85"/>
      <c r="N53" s="82">
        <v>6.5433465100278294</v>
      </c>
      <c r="O53" s="83">
        <v>1.2833374772950101E-2</v>
      </c>
      <c r="P53" s="84">
        <v>6.5561798848007795</v>
      </c>
      <c r="Q53" s="85"/>
      <c r="R53" s="86">
        <v>11.1200992810291</v>
      </c>
      <c r="S53" s="511"/>
      <c r="T53" s="87">
        <v>11.120099281046802</v>
      </c>
      <c r="U53" s="512"/>
      <c r="V53" s="512"/>
      <c r="W53" s="512"/>
      <c r="X53" s="88">
        <v>11.1200992810291</v>
      </c>
      <c r="Y53" s="85"/>
      <c r="Z53" s="86">
        <v>15.1928344532295</v>
      </c>
      <c r="AA53" s="87">
        <v>15.192834453250104</v>
      </c>
      <c r="AB53" s="88">
        <v>15.1928344532295</v>
      </c>
      <c r="AC53" s="85"/>
      <c r="AD53" s="86">
        <v>15.192834453229461</v>
      </c>
      <c r="AE53" s="87">
        <v>15.192834453250105</v>
      </c>
      <c r="AF53" s="88">
        <v>15.192834453229501</v>
      </c>
    </row>
    <row r="54" spans="1:32" ht="13.15" hidden="1">
      <c r="A54" s="38" t="s">
        <v>697</v>
      </c>
      <c r="B54" s="36" t="s">
        <v>690</v>
      </c>
      <c r="C54" s="85"/>
      <c r="D54" s="82">
        <v>231.37812404571301</v>
      </c>
      <c r="E54" s="83">
        <v>3.8514927340820009</v>
      </c>
      <c r="F54" s="515"/>
      <c r="G54" s="515"/>
      <c r="H54" s="515"/>
      <c r="I54" s="84">
        <v>235.22961677979501</v>
      </c>
      <c r="J54" s="85"/>
      <c r="K54" s="85"/>
      <c r="L54" s="85"/>
      <c r="M54" s="85"/>
      <c r="N54" s="82">
        <v>12.520319183451399</v>
      </c>
      <c r="O54" s="83">
        <v>0.20841174403290097</v>
      </c>
      <c r="P54" s="84">
        <v>12.7287309274843</v>
      </c>
      <c r="Q54" s="85"/>
      <c r="R54" s="86">
        <v>6.7295320962489598</v>
      </c>
      <c r="S54" s="511"/>
      <c r="T54" s="87">
        <v>6.7295320962501473</v>
      </c>
      <c r="U54" s="512"/>
      <c r="V54" s="512"/>
      <c r="W54" s="512"/>
      <c r="X54" s="88">
        <v>6.7295320962489598</v>
      </c>
      <c r="Y54" s="85"/>
      <c r="Z54" s="86">
        <v>36.414803753733899</v>
      </c>
      <c r="AA54" s="87">
        <v>36.414803753723483</v>
      </c>
      <c r="AB54" s="88">
        <v>36.414803753733899</v>
      </c>
      <c r="AC54" s="85"/>
      <c r="AD54" s="86">
        <v>36.414803753734006</v>
      </c>
      <c r="AE54" s="87">
        <v>36.414803753723419</v>
      </c>
      <c r="AF54" s="88">
        <v>36.414803753733835</v>
      </c>
    </row>
    <row r="55" spans="1:32" ht="13.15" hidden="1">
      <c r="A55" s="38" t="s">
        <v>698</v>
      </c>
      <c r="B55" s="36" t="s">
        <v>690</v>
      </c>
      <c r="C55" s="85"/>
      <c r="D55" s="82">
        <v>1153.6634461598801</v>
      </c>
      <c r="E55" s="83">
        <v>104.08673361004981</v>
      </c>
      <c r="F55" s="515"/>
      <c r="G55" s="515"/>
      <c r="H55" s="515"/>
      <c r="I55" s="84">
        <v>1257.7501797699299</v>
      </c>
      <c r="J55" s="85"/>
      <c r="K55" s="85"/>
      <c r="L55" s="85"/>
      <c r="M55" s="85"/>
      <c r="N55" s="82">
        <v>16.135022398574499</v>
      </c>
      <c r="O55" s="83">
        <v>1.4557467204001</v>
      </c>
      <c r="P55" s="84">
        <v>17.590769118974599</v>
      </c>
      <c r="Q55" s="85"/>
      <c r="R55" s="86">
        <v>7.4809050283844698</v>
      </c>
      <c r="S55" s="511"/>
      <c r="T55" s="87">
        <v>7.4809050283840559</v>
      </c>
      <c r="U55" s="512"/>
      <c r="V55" s="512"/>
      <c r="W55" s="512"/>
      <c r="X55" s="88">
        <v>7.4809050283844698</v>
      </c>
      <c r="Y55" s="85"/>
      <c r="Z55" s="86">
        <v>10.462719486898299</v>
      </c>
      <c r="AA55" s="87">
        <v>10.462719486898377</v>
      </c>
      <c r="AB55" s="88">
        <v>10.462719486898299</v>
      </c>
      <c r="AC55" s="85"/>
      <c r="AD55" s="86">
        <v>10.462719486898312</v>
      </c>
      <c r="AE55" s="87">
        <v>10.462719486898399</v>
      </c>
      <c r="AF55" s="88">
        <v>10.462719486898321</v>
      </c>
    </row>
    <row r="56" spans="1:32" ht="13.15" hidden="1">
      <c r="A56" s="38" t="s">
        <v>699</v>
      </c>
      <c r="B56" s="36" t="s">
        <v>690</v>
      </c>
      <c r="C56" s="85"/>
      <c r="D56" s="82">
        <v>172.02688006663601</v>
      </c>
      <c r="E56" s="83">
        <v>0</v>
      </c>
      <c r="F56" s="515"/>
      <c r="G56" s="515"/>
      <c r="H56" s="515"/>
      <c r="I56" s="84">
        <v>172.02688006663601</v>
      </c>
      <c r="J56" s="85"/>
      <c r="K56" s="85"/>
      <c r="L56" s="85"/>
      <c r="M56" s="85"/>
      <c r="N56" s="82">
        <v>2.4209178031246603</v>
      </c>
      <c r="O56" s="83">
        <v>0</v>
      </c>
      <c r="P56" s="84">
        <v>2.4209178031246603</v>
      </c>
      <c r="Q56" s="85"/>
      <c r="R56" s="86">
        <v>7.0997851810854096</v>
      </c>
      <c r="S56" s="511"/>
      <c r="T56" s="87" t="s">
        <v>714</v>
      </c>
      <c r="U56" s="512"/>
      <c r="V56" s="512"/>
      <c r="W56" s="512"/>
      <c r="X56" s="88">
        <v>7.0997851810854096</v>
      </c>
      <c r="Y56" s="85"/>
      <c r="Z56" s="86">
        <v>9.9914596699029392</v>
      </c>
      <c r="AA56" s="87" t="s">
        <v>714</v>
      </c>
      <c r="AB56" s="88">
        <v>9.9914596699029392</v>
      </c>
      <c r="AC56" s="85"/>
      <c r="AD56" s="86">
        <v>9.9914596699029641</v>
      </c>
      <c r="AE56" s="87" t="s">
        <v>714</v>
      </c>
      <c r="AF56" s="88">
        <v>9.9914596699029641</v>
      </c>
    </row>
    <row r="57" spans="1:32" ht="13.15" hidden="1">
      <c r="A57" s="38" t="s">
        <v>700</v>
      </c>
      <c r="B57" s="36" t="s">
        <v>690</v>
      </c>
      <c r="C57" s="85"/>
      <c r="D57" s="82">
        <v>96.789779351807098</v>
      </c>
      <c r="E57" s="83">
        <v>0</v>
      </c>
      <c r="F57" s="515"/>
      <c r="G57" s="515"/>
      <c r="H57" s="515"/>
      <c r="I57" s="84">
        <v>96.789779351807098</v>
      </c>
      <c r="J57" s="85"/>
      <c r="K57" s="85"/>
      <c r="L57" s="85"/>
      <c r="M57" s="85"/>
      <c r="N57" s="82">
        <v>1.5259831219767599</v>
      </c>
      <c r="O57" s="83">
        <v>0</v>
      </c>
      <c r="P57" s="84">
        <v>1.5259831219767599</v>
      </c>
      <c r="Q57" s="85"/>
      <c r="R57" s="86">
        <v>8.2779572521261802</v>
      </c>
      <c r="S57" s="511"/>
      <c r="T57" s="87" t="s">
        <v>714</v>
      </c>
      <c r="U57" s="512"/>
      <c r="V57" s="512"/>
      <c r="W57" s="512"/>
      <c r="X57" s="88">
        <v>8.2779572521261802</v>
      </c>
      <c r="Y57" s="85"/>
      <c r="Z57" s="86">
        <v>13.0509885814238</v>
      </c>
      <c r="AA57" s="87" t="s">
        <v>714</v>
      </c>
      <c r="AB57" s="88">
        <v>13.0509885814238</v>
      </c>
      <c r="AC57" s="85"/>
      <c r="AD57" s="86">
        <v>13.050988581423809</v>
      </c>
      <c r="AE57" s="87" t="s">
        <v>714</v>
      </c>
      <c r="AF57" s="88">
        <v>13.050988581423809</v>
      </c>
    </row>
    <row r="58" spans="1:32" ht="13.15" hidden="1">
      <c r="A58" s="38" t="s">
        <v>701</v>
      </c>
      <c r="B58" s="36" t="s">
        <v>690</v>
      </c>
      <c r="C58" s="85"/>
      <c r="D58" s="82">
        <v>243.39211440712299</v>
      </c>
      <c r="E58" s="83">
        <v>8.7781979489620028</v>
      </c>
      <c r="F58" s="515"/>
      <c r="G58" s="515"/>
      <c r="H58" s="515"/>
      <c r="I58" s="84">
        <v>252.17031235608499</v>
      </c>
      <c r="J58" s="85"/>
      <c r="K58" s="85"/>
      <c r="L58" s="85"/>
      <c r="M58" s="85"/>
      <c r="N58" s="82">
        <v>5.0464761961699898</v>
      </c>
      <c r="O58" s="83">
        <v>0.18200658268085057</v>
      </c>
      <c r="P58" s="84">
        <v>5.2284827788508403</v>
      </c>
      <c r="Q58" s="85"/>
      <c r="R58" s="86">
        <v>7.4907855057867003</v>
      </c>
      <c r="S58" s="511"/>
      <c r="T58" s="87">
        <v>7.4907855057868344</v>
      </c>
      <c r="U58" s="512"/>
      <c r="V58" s="512"/>
      <c r="W58" s="512"/>
      <c r="X58" s="88">
        <v>7.4907855057867003</v>
      </c>
      <c r="Y58" s="85"/>
      <c r="Z58" s="86">
        <v>15.531345720731199</v>
      </c>
      <c r="AA58" s="87">
        <v>15.531345720732181</v>
      </c>
      <c r="AB58" s="88">
        <v>15.531345720731199</v>
      </c>
      <c r="AC58" s="85"/>
      <c r="AD58" s="86">
        <v>15.531345720731148</v>
      </c>
      <c r="AE58" s="87">
        <v>15.531345720732164</v>
      </c>
      <c r="AF58" s="88">
        <v>15.531345720731181</v>
      </c>
    </row>
    <row r="59" spans="1:32" ht="13.15" hidden="1">
      <c r="A59" s="38" t="s">
        <v>702</v>
      </c>
      <c r="B59" s="36" t="s">
        <v>690</v>
      </c>
      <c r="C59" s="85"/>
      <c r="D59" s="82">
        <v>211.75495830813699</v>
      </c>
      <c r="E59" s="83">
        <v>105.72382949748803</v>
      </c>
      <c r="F59" s="515"/>
      <c r="G59" s="515"/>
      <c r="H59" s="515"/>
      <c r="I59" s="84">
        <v>317.47878780562502</v>
      </c>
      <c r="J59" s="85"/>
      <c r="K59" s="85"/>
      <c r="L59" s="85"/>
      <c r="M59" s="85"/>
      <c r="N59" s="82">
        <v>1.6042831621081899</v>
      </c>
      <c r="O59" s="83">
        <v>0.80097751123073002</v>
      </c>
      <c r="P59" s="84">
        <v>2.4052606733389199</v>
      </c>
      <c r="Q59" s="85"/>
      <c r="R59" s="86">
        <v>8.9209026200610602</v>
      </c>
      <c r="S59" s="511"/>
      <c r="T59" s="87">
        <v>8.9209026200610744</v>
      </c>
      <c r="U59" s="512"/>
      <c r="V59" s="512"/>
      <c r="W59" s="512"/>
      <c r="X59" s="88">
        <v>8.9209026200610602</v>
      </c>
      <c r="Y59" s="85"/>
      <c r="Z59" s="86">
        <v>6.7585920908378796</v>
      </c>
      <c r="AA59" s="87">
        <v>6.7585920908379382</v>
      </c>
      <c r="AB59" s="88">
        <v>6.7585920908378796</v>
      </c>
      <c r="AC59" s="85"/>
      <c r="AD59" s="86">
        <v>6.7585920908378547</v>
      </c>
      <c r="AE59" s="87">
        <v>6.7585920908379427</v>
      </c>
      <c r="AF59" s="88">
        <v>6.758592090837884</v>
      </c>
    </row>
    <row r="60" spans="1:32" ht="13.15" hidden="1">
      <c r="A60" s="38" t="s">
        <v>703</v>
      </c>
      <c r="B60" s="36" t="s">
        <v>690</v>
      </c>
      <c r="C60" s="85"/>
      <c r="D60" s="82">
        <v>714.65535549528397</v>
      </c>
      <c r="E60" s="83">
        <v>0</v>
      </c>
      <c r="F60" s="515"/>
      <c r="G60" s="515"/>
      <c r="H60" s="515"/>
      <c r="I60" s="84">
        <v>714.65535549528397</v>
      </c>
      <c r="J60" s="85"/>
      <c r="K60" s="85"/>
      <c r="L60" s="85"/>
      <c r="M60" s="85"/>
      <c r="N60" s="82">
        <v>16.1182981770556</v>
      </c>
      <c r="O60" s="83">
        <v>0</v>
      </c>
      <c r="P60" s="84">
        <v>16.1182981770556</v>
      </c>
      <c r="Q60" s="85"/>
      <c r="R60" s="86">
        <v>10.7564745443751</v>
      </c>
      <c r="S60" s="511"/>
      <c r="T60" s="87" t="s">
        <v>714</v>
      </c>
      <c r="U60" s="512"/>
      <c r="V60" s="512"/>
      <c r="W60" s="512"/>
      <c r="X60" s="88">
        <v>10.7564745443751</v>
      </c>
      <c r="Y60" s="85"/>
      <c r="Z60" s="86">
        <v>24.260094422715099</v>
      </c>
      <c r="AA60" s="87" t="s">
        <v>714</v>
      </c>
      <c r="AB60" s="88">
        <v>24.260094422715099</v>
      </c>
      <c r="AC60" s="85"/>
      <c r="AD60" s="86">
        <v>24.260094422715095</v>
      </c>
      <c r="AE60" s="87" t="s">
        <v>714</v>
      </c>
      <c r="AF60" s="88">
        <v>24.260094422715095</v>
      </c>
    </row>
    <row r="61" spans="1:32" ht="13.15" hidden="1">
      <c r="A61" s="38" t="s">
        <v>704</v>
      </c>
      <c r="B61" s="36" t="s">
        <v>690</v>
      </c>
      <c r="C61" s="85"/>
      <c r="D61" s="82">
        <v>214.78588896921599</v>
      </c>
      <c r="E61" s="83">
        <v>0</v>
      </c>
      <c r="F61" s="515"/>
      <c r="G61" s="515"/>
      <c r="H61" s="515"/>
      <c r="I61" s="84">
        <v>214.78588896921599</v>
      </c>
      <c r="J61" s="85"/>
      <c r="K61" s="85"/>
      <c r="L61" s="85"/>
      <c r="M61" s="85"/>
      <c r="N61" s="82">
        <v>4.1954352736478198</v>
      </c>
      <c r="O61" s="83">
        <v>0</v>
      </c>
      <c r="P61" s="84">
        <v>4.1954352736478198</v>
      </c>
      <c r="Q61" s="85"/>
      <c r="R61" s="86">
        <v>10.166137912198</v>
      </c>
      <c r="S61" s="511"/>
      <c r="T61" s="87" t="s">
        <v>714</v>
      </c>
      <c r="U61" s="512"/>
      <c r="V61" s="512"/>
      <c r="W61" s="512"/>
      <c r="X61" s="88">
        <v>10.166137912198</v>
      </c>
      <c r="Y61" s="85"/>
      <c r="Z61" s="86">
        <v>19.8576237006504</v>
      </c>
      <c r="AA61" s="87" t="s">
        <v>714</v>
      </c>
      <c r="AB61" s="88">
        <v>19.8576237006504</v>
      </c>
      <c r="AC61" s="85"/>
      <c r="AD61" s="86">
        <v>19.857623700650429</v>
      </c>
      <c r="AE61" s="87" t="s">
        <v>714</v>
      </c>
      <c r="AF61" s="88">
        <v>19.857623700650429</v>
      </c>
    </row>
    <row r="62" spans="1:32" ht="13.15" hidden="1">
      <c r="A62" s="38" t="s">
        <v>705</v>
      </c>
      <c r="B62" s="36" t="s">
        <v>690</v>
      </c>
      <c r="C62" s="85"/>
      <c r="D62" s="82">
        <v>304.37030708862301</v>
      </c>
      <c r="E62" s="83">
        <v>0</v>
      </c>
      <c r="F62" s="515"/>
      <c r="G62" s="515"/>
      <c r="H62" s="515"/>
      <c r="I62" s="84">
        <v>304.37030708862301</v>
      </c>
      <c r="J62" s="85"/>
      <c r="K62" s="85"/>
      <c r="L62" s="85"/>
      <c r="M62" s="85"/>
      <c r="N62" s="82">
        <v>10.874612099108901</v>
      </c>
      <c r="O62" s="83">
        <v>0</v>
      </c>
      <c r="P62" s="84">
        <v>10.874612099108901</v>
      </c>
      <c r="Q62" s="85"/>
      <c r="R62" s="86">
        <v>10.459344174247301</v>
      </c>
      <c r="S62" s="511"/>
      <c r="T62" s="87" t="s">
        <v>714</v>
      </c>
      <c r="U62" s="512"/>
      <c r="V62" s="512"/>
      <c r="W62" s="512"/>
      <c r="X62" s="88">
        <v>10.459344174247301</v>
      </c>
      <c r="Y62" s="85"/>
      <c r="Z62" s="86">
        <v>37.369384613754796</v>
      </c>
      <c r="AA62" s="87" t="s">
        <v>714</v>
      </c>
      <c r="AB62" s="88">
        <v>37.369384613754796</v>
      </c>
      <c r="AC62" s="85"/>
      <c r="AD62" s="86">
        <v>37.369384613754832</v>
      </c>
      <c r="AE62" s="87" t="s">
        <v>714</v>
      </c>
      <c r="AF62" s="88">
        <v>37.369384613754832</v>
      </c>
    </row>
    <row r="63" spans="1:32" ht="13.15" hidden="1">
      <c r="A63" s="38" t="s">
        <v>706</v>
      </c>
      <c r="B63" s="36" t="s">
        <v>690</v>
      </c>
      <c r="C63" s="85"/>
      <c r="D63" s="82">
        <v>399.40660446924198</v>
      </c>
      <c r="E63" s="83">
        <v>0</v>
      </c>
      <c r="F63" s="515"/>
      <c r="G63" s="515"/>
      <c r="H63" s="515"/>
      <c r="I63" s="84">
        <v>399.40660446924198</v>
      </c>
      <c r="J63" s="85"/>
      <c r="K63" s="85"/>
      <c r="L63" s="85"/>
      <c r="M63" s="85"/>
      <c r="N63" s="82">
        <v>10.915477840237301</v>
      </c>
      <c r="O63" s="83">
        <v>0</v>
      </c>
      <c r="P63" s="84">
        <v>10.915477840237301</v>
      </c>
      <c r="Q63" s="85"/>
      <c r="R63" s="86">
        <v>10.333947960239501</v>
      </c>
      <c r="S63" s="511"/>
      <c r="T63" s="87" t="s">
        <v>714</v>
      </c>
      <c r="U63" s="512"/>
      <c r="V63" s="512"/>
      <c r="W63" s="512"/>
      <c r="X63" s="88">
        <v>10.333947960239501</v>
      </c>
      <c r="Y63" s="85"/>
      <c r="Z63" s="86">
        <v>28.241891521061699</v>
      </c>
      <c r="AA63" s="87" t="s">
        <v>714</v>
      </c>
      <c r="AB63" s="88">
        <v>28.241891521061699</v>
      </c>
      <c r="AC63" s="85"/>
      <c r="AD63" s="86">
        <v>28.241891521061756</v>
      </c>
      <c r="AE63" s="87" t="s">
        <v>714</v>
      </c>
      <c r="AF63" s="88">
        <v>28.241891521061756</v>
      </c>
    </row>
    <row r="64" spans="1:32" ht="13.15" hidden="1">
      <c r="A64" s="38" t="s">
        <v>707</v>
      </c>
      <c r="B64" s="36" t="s">
        <v>690</v>
      </c>
      <c r="C64" s="85"/>
      <c r="D64" s="82">
        <v>127.841987151992</v>
      </c>
      <c r="E64" s="83">
        <v>0</v>
      </c>
      <c r="F64" s="515"/>
      <c r="G64" s="515"/>
      <c r="H64" s="515"/>
      <c r="I64" s="84">
        <v>127.841987151992</v>
      </c>
      <c r="J64" s="85"/>
      <c r="K64" s="85"/>
      <c r="L64" s="85"/>
      <c r="M64" s="85"/>
      <c r="N64" s="82">
        <v>1.7933882868530302</v>
      </c>
      <c r="O64" s="83">
        <v>0</v>
      </c>
      <c r="P64" s="84">
        <v>1.7933882868530302</v>
      </c>
      <c r="Q64" s="85"/>
      <c r="R64" s="86">
        <v>8.7341255873627297</v>
      </c>
      <c r="S64" s="511"/>
      <c r="T64" s="87" t="s">
        <v>714</v>
      </c>
      <c r="U64" s="512"/>
      <c r="V64" s="512"/>
      <c r="W64" s="512"/>
      <c r="X64" s="88">
        <v>8.7341255873627297</v>
      </c>
      <c r="Y64" s="85"/>
      <c r="Z64" s="86">
        <v>12.252374101207501</v>
      </c>
      <c r="AA64" s="87" t="s">
        <v>714</v>
      </c>
      <c r="AB64" s="88">
        <v>12.252374101207501</v>
      </c>
      <c r="AC64" s="85"/>
      <c r="AD64" s="86">
        <v>12.252374101207538</v>
      </c>
      <c r="AE64" s="87" t="s">
        <v>714</v>
      </c>
      <c r="AF64" s="88">
        <v>12.252374101207538</v>
      </c>
    </row>
    <row r="65" spans="1:32" ht="13.15" hidden="1">
      <c r="A65" s="38" t="s">
        <v>691</v>
      </c>
      <c r="B65" s="36" t="s">
        <v>690</v>
      </c>
      <c r="C65" s="85"/>
      <c r="D65" s="82">
        <v>5984.237356135156</v>
      </c>
      <c r="E65" s="83">
        <v>513.69194108844067</v>
      </c>
      <c r="F65" s="515"/>
      <c r="G65" s="515"/>
      <c r="H65" s="515"/>
      <c r="I65" s="84">
        <v>6497.9292972235962</v>
      </c>
      <c r="J65" s="85"/>
      <c r="K65" s="85"/>
      <c r="L65" s="85"/>
      <c r="M65" s="85"/>
      <c r="N65" s="82">
        <v>125.31333596529754</v>
      </c>
      <c r="O65" s="83">
        <v>8.9555223535623298</v>
      </c>
      <c r="P65" s="84">
        <v>134.26885831885988</v>
      </c>
      <c r="Q65" s="85"/>
      <c r="R65" s="86">
        <v>8.9252323934047428</v>
      </c>
      <c r="S65" s="511"/>
      <c r="T65" s="87">
        <v>8.7458785124260512</v>
      </c>
      <c r="U65" s="512"/>
      <c r="V65" s="512"/>
      <c r="W65" s="512"/>
      <c r="X65" s="88">
        <v>8.9107862761175927</v>
      </c>
      <c r="Y65" s="85"/>
      <c r="Z65" s="86">
        <v>18.689944581433149</v>
      </c>
      <c r="AA65" s="87">
        <v>15.476875244160539</v>
      </c>
      <c r="AB65" s="88">
        <v>18.412651866324317</v>
      </c>
      <c r="AC65" s="85"/>
      <c r="AD65" s="86">
        <v>18.68994458143322</v>
      </c>
      <c r="AE65" s="87">
        <v>15.247253120929765</v>
      </c>
      <c r="AF65" s="88">
        <v>18.412651866324303</v>
      </c>
    </row>
    <row r="66" spans="1:32" ht="13.15" hidden="1"/>
    <row r="67" spans="1:32" ht="13.15" hidden="1"/>
    <row r="68" spans="1:32" ht="13.15" hidden="1"/>
    <row r="69" spans="1:32" ht="13.15" hidden="1"/>
    <row r="70" spans="1:32" ht="52.9" hidden="1">
      <c r="A70" s="47" t="s">
        <v>715</v>
      </c>
      <c r="B70" s="47" t="s">
        <v>716</v>
      </c>
      <c r="C70" s="47" t="s">
        <v>717</v>
      </c>
      <c r="D70" s="47" t="s">
        <v>718</v>
      </c>
      <c r="E70" s="47" t="s">
        <v>719</v>
      </c>
      <c r="F70" s="47"/>
      <c r="G70" s="47"/>
      <c r="H70" s="47"/>
      <c r="I70" s="47" t="s">
        <v>720</v>
      </c>
      <c r="J70" s="47"/>
      <c r="K70" s="47"/>
      <c r="L70" s="47"/>
      <c r="M70" s="47" t="s">
        <v>721</v>
      </c>
      <c r="N70" s="546" t="s">
        <v>722</v>
      </c>
    </row>
    <row r="71" spans="1:32" ht="13.15" hidden="1">
      <c r="A71" s="91" t="s">
        <v>723</v>
      </c>
      <c r="B71" s="103" t="s">
        <v>691</v>
      </c>
      <c r="C71" s="103" t="s">
        <v>724</v>
      </c>
      <c r="D71" s="103" t="s">
        <v>724</v>
      </c>
      <c r="E71" s="103">
        <v>0.1553155410424</v>
      </c>
      <c r="F71" s="103"/>
      <c r="G71" s="103"/>
      <c r="H71" s="103"/>
      <c r="I71" s="103">
        <v>0</v>
      </c>
      <c r="J71" s="103"/>
      <c r="K71" s="103"/>
      <c r="L71" s="103"/>
      <c r="M71" s="103">
        <v>0</v>
      </c>
      <c r="N71" s="545"/>
    </row>
    <row r="72" spans="1:32" ht="13.15" hidden="1">
      <c r="A72" s="91" t="s">
        <v>725</v>
      </c>
      <c r="B72" s="103" t="s">
        <v>691</v>
      </c>
      <c r="C72" s="103">
        <v>0.62223881776062695</v>
      </c>
      <c r="D72" s="103">
        <v>4.1192278635886299E-3</v>
      </c>
      <c r="E72" s="103">
        <v>1.6026940983215083E-3</v>
      </c>
      <c r="F72" s="103"/>
      <c r="G72" s="103"/>
      <c r="H72" s="103"/>
      <c r="I72" s="103">
        <v>2.6690216912004846E-3</v>
      </c>
      <c r="J72" s="103"/>
      <c r="K72" s="103"/>
      <c r="L72" s="103"/>
      <c r="M72" s="103">
        <v>1.7668953149665044E-5</v>
      </c>
      <c r="N72" s="545"/>
    </row>
    <row r="73" spans="1:32" ht="13.15" hidden="1">
      <c r="A73" s="91" t="s">
        <v>726</v>
      </c>
      <c r="B73" s="103" t="s">
        <v>691</v>
      </c>
      <c r="C73" s="103">
        <v>9.3974451109733095E-3</v>
      </c>
      <c r="D73" s="103">
        <v>0</v>
      </c>
      <c r="E73" s="103">
        <v>0.94021569756721746</v>
      </c>
      <c r="F73" s="103"/>
      <c r="G73" s="103"/>
      <c r="H73" s="103"/>
      <c r="I73" s="103">
        <v>8.919445409014945E-3</v>
      </c>
      <c r="J73" s="103"/>
      <c r="K73" s="103"/>
      <c r="L73" s="103"/>
      <c r="M73" s="103">
        <v>0</v>
      </c>
      <c r="N73" s="545"/>
    </row>
    <row r="74" spans="1:32" ht="13.15" hidden="1">
      <c r="A74" s="104" t="s">
        <v>197</v>
      </c>
      <c r="B74" s="103" t="s">
        <v>691</v>
      </c>
      <c r="C74" s="103">
        <v>3.5234073619353298E-4</v>
      </c>
      <c r="D74" s="103">
        <v>1.20082088497135E-4</v>
      </c>
      <c r="E74" s="103">
        <v>0.89927168670254376</v>
      </c>
      <c r="F74" s="103"/>
      <c r="G74" s="103"/>
      <c r="H74" s="103"/>
      <c r="I74" s="103">
        <v>3.1699980607458668E-4</v>
      </c>
      <c r="J74" s="103"/>
      <c r="K74" s="103"/>
      <c r="L74" s="103"/>
      <c r="M74" s="103">
        <v>1.0803746162837765E-4</v>
      </c>
      <c r="N74" s="545"/>
    </row>
    <row r="75" spans="1:32" ht="13.15" hidden="1">
      <c r="A75" s="91" t="s">
        <v>432</v>
      </c>
      <c r="B75" s="103" t="s">
        <v>691</v>
      </c>
      <c r="C75" s="103" t="s">
        <v>724</v>
      </c>
      <c r="D75" s="103" t="s">
        <v>724</v>
      </c>
      <c r="E75" s="103">
        <v>0.66300604502508598</v>
      </c>
      <c r="F75" s="103"/>
      <c r="G75" s="103"/>
      <c r="H75" s="103"/>
      <c r="I75" s="103">
        <v>0</v>
      </c>
      <c r="J75" s="103"/>
      <c r="K75" s="103"/>
      <c r="L75" s="103"/>
      <c r="M75" s="103">
        <v>0</v>
      </c>
      <c r="N75" s="545"/>
    </row>
    <row r="76" spans="1:32" ht="13.15" hidden="1">
      <c r="A76" s="91" t="s">
        <v>727</v>
      </c>
      <c r="B76" s="103" t="s">
        <v>691</v>
      </c>
      <c r="C76" s="103" t="s">
        <v>724</v>
      </c>
      <c r="D76" s="103" t="s">
        <v>724</v>
      </c>
      <c r="E76" s="103">
        <v>5.9735148462676302E-2</v>
      </c>
      <c r="F76" s="103"/>
      <c r="G76" s="103"/>
      <c r="H76" s="103"/>
      <c r="I76" s="103">
        <v>0</v>
      </c>
      <c r="J76" s="103"/>
      <c r="K76" s="103"/>
      <c r="L76" s="103"/>
      <c r="M76" s="103">
        <v>0</v>
      </c>
      <c r="N76" s="545"/>
    </row>
    <row r="77" spans="1:32" ht="13.15" hidden="1">
      <c r="A77" s="91" t="s">
        <v>728</v>
      </c>
      <c r="B77" s="103" t="s">
        <v>691</v>
      </c>
      <c r="C77" s="103" t="s">
        <v>724</v>
      </c>
      <c r="D77" s="103" t="s">
        <v>724</v>
      </c>
      <c r="E77" s="103">
        <v>3.0891267059285902E-4</v>
      </c>
      <c r="F77" s="103"/>
      <c r="G77" s="103"/>
      <c r="H77" s="103"/>
      <c r="I77" s="103">
        <v>0</v>
      </c>
      <c r="J77" s="103"/>
      <c r="K77" s="103"/>
      <c r="L77" s="103"/>
      <c r="M77" s="103">
        <v>0</v>
      </c>
      <c r="N77" s="545"/>
    </row>
    <row r="78" spans="1:32" ht="13.15" hidden="1">
      <c r="A78" s="104" t="s">
        <v>358</v>
      </c>
      <c r="B78" s="103" t="s">
        <v>691</v>
      </c>
      <c r="C78" s="103">
        <v>0.55528364756249704</v>
      </c>
      <c r="D78" s="103">
        <v>1.0949729357291899E-2</v>
      </c>
      <c r="E78" s="103">
        <v>0.39542234148213284</v>
      </c>
      <c r="F78" s="103"/>
      <c r="G78" s="103"/>
      <c r="H78" s="103"/>
      <c r="I78" s="103">
        <v>0.5061974537061128</v>
      </c>
      <c r="J78" s="103"/>
      <c r="K78" s="103"/>
      <c r="L78" s="103"/>
      <c r="M78" s="103">
        <v>9.9817906465693249E-3</v>
      </c>
      <c r="N78" s="545"/>
      <c r="O78" s="105" t="s">
        <v>729</v>
      </c>
    </row>
    <row r="79" spans="1:32" ht="13.15" hidden="1">
      <c r="A79" s="91" t="s">
        <v>730</v>
      </c>
      <c r="B79" s="103" t="s">
        <v>691</v>
      </c>
      <c r="C79" s="103" t="s">
        <v>724</v>
      </c>
      <c r="D79" s="103" t="s">
        <v>724</v>
      </c>
      <c r="E79" s="103">
        <v>0.93412756224897098</v>
      </c>
      <c r="F79" s="103"/>
      <c r="G79" s="103"/>
      <c r="H79" s="103"/>
      <c r="I79" s="103">
        <v>0</v>
      </c>
      <c r="J79" s="103"/>
      <c r="K79" s="103"/>
      <c r="L79" s="103"/>
      <c r="M79" s="103">
        <v>0</v>
      </c>
      <c r="N79" s="545"/>
    </row>
    <row r="80" spans="1:32" ht="13.15" hidden="1">
      <c r="A80" s="91" t="s">
        <v>731</v>
      </c>
      <c r="B80" s="103" t="s">
        <v>691</v>
      </c>
      <c r="C80" s="103" t="s">
        <v>724</v>
      </c>
      <c r="D80" s="103" t="s">
        <v>724</v>
      </c>
      <c r="E80" s="103">
        <v>0.12784870196334799</v>
      </c>
      <c r="F80" s="103"/>
      <c r="G80" s="103"/>
      <c r="H80" s="103"/>
      <c r="I80" s="103">
        <v>0</v>
      </c>
      <c r="J80" s="103"/>
      <c r="K80" s="103"/>
      <c r="L80" s="103"/>
      <c r="M80" s="103">
        <v>0</v>
      </c>
      <c r="N80" s="545"/>
    </row>
    <row r="81" spans="1:14" ht="13.15" hidden="1">
      <c r="A81" s="91" t="s">
        <v>732</v>
      </c>
      <c r="B81" s="103" t="s">
        <v>691</v>
      </c>
      <c r="C81" s="103" t="s">
        <v>724</v>
      </c>
      <c r="D81" s="103" t="s">
        <v>724</v>
      </c>
      <c r="E81" s="103">
        <v>1</v>
      </c>
      <c r="F81" s="103"/>
      <c r="G81" s="103"/>
      <c r="H81" s="103"/>
      <c r="I81" s="103">
        <v>0</v>
      </c>
      <c r="J81" s="103"/>
      <c r="K81" s="103"/>
      <c r="L81" s="103"/>
      <c r="M81" s="103">
        <v>0</v>
      </c>
      <c r="N81" s="545"/>
    </row>
    <row r="82" spans="1:14" ht="13.15" hidden="1">
      <c r="A82" s="91" t="s">
        <v>733</v>
      </c>
      <c r="B82" s="103" t="s">
        <v>691</v>
      </c>
      <c r="C82" s="103" t="s">
        <v>724</v>
      </c>
      <c r="D82" s="103" t="s">
        <v>724</v>
      </c>
      <c r="E82" s="103">
        <v>9.4264351191699098E-5</v>
      </c>
      <c r="F82" s="103"/>
      <c r="G82" s="103"/>
      <c r="H82" s="103"/>
      <c r="I82" s="103">
        <v>0</v>
      </c>
      <c r="J82" s="103"/>
      <c r="K82" s="103"/>
      <c r="L82" s="103"/>
      <c r="M82" s="103">
        <v>0</v>
      </c>
      <c r="N82" s="545"/>
    </row>
    <row r="83" spans="1:14" ht="13.15" hidden="1">
      <c r="A83" s="91" t="s">
        <v>734</v>
      </c>
      <c r="B83" s="103" t="s">
        <v>691</v>
      </c>
      <c r="C83" s="103" t="s">
        <v>724</v>
      </c>
      <c r="D83" s="103" t="s">
        <v>724</v>
      </c>
      <c r="E83" s="103">
        <v>0.84563059045562805</v>
      </c>
      <c r="F83" s="103"/>
      <c r="G83" s="103"/>
      <c r="H83" s="103"/>
      <c r="I83" s="103">
        <v>0</v>
      </c>
      <c r="J83" s="103"/>
      <c r="K83" s="103"/>
      <c r="L83" s="103"/>
      <c r="M83" s="103">
        <v>0</v>
      </c>
      <c r="N83" s="545"/>
    </row>
    <row r="84" spans="1:14" ht="13.15" hidden="1">
      <c r="A84" s="91" t="s">
        <v>735</v>
      </c>
      <c r="B84" s="103" t="s">
        <v>691</v>
      </c>
      <c r="C84" s="103" t="s">
        <v>724</v>
      </c>
      <c r="D84" s="103" t="s">
        <v>724</v>
      </c>
      <c r="E84" s="103">
        <v>0.92628661157785597</v>
      </c>
      <c r="F84" s="103"/>
      <c r="G84" s="103"/>
      <c r="H84" s="103"/>
      <c r="I84" s="103">
        <v>0</v>
      </c>
      <c r="J84" s="103"/>
      <c r="K84" s="103"/>
      <c r="L84" s="103"/>
      <c r="M84" s="103">
        <v>0</v>
      </c>
      <c r="N84" s="545"/>
    </row>
    <row r="85" spans="1:14" ht="13.15" hidden="1">
      <c r="A85" s="104" t="s">
        <v>736</v>
      </c>
      <c r="B85" s="103" t="s">
        <v>691</v>
      </c>
      <c r="C85" s="103" t="s">
        <v>724</v>
      </c>
      <c r="D85" s="103" t="s">
        <v>724</v>
      </c>
      <c r="E85" s="103">
        <v>0.93073487115160702</v>
      </c>
      <c r="F85" s="103"/>
      <c r="G85" s="103"/>
      <c r="H85" s="103"/>
      <c r="I85" s="103">
        <v>0</v>
      </c>
      <c r="J85" s="103"/>
      <c r="K85" s="103"/>
      <c r="L85" s="103"/>
      <c r="M85" s="103">
        <v>0</v>
      </c>
      <c r="N85" s="545"/>
    </row>
    <row r="86" spans="1:14" ht="13.15" hidden="1">
      <c r="A86" s="104" t="s">
        <v>737</v>
      </c>
      <c r="B86" s="103" t="s">
        <v>691</v>
      </c>
      <c r="C86" s="103">
        <v>0.49119978950805399</v>
      </c>
      <c r="D86" s="103">
        <v>9.4911612808049207E-3</v>
      </c>
      <c r="E86" s="103">
        <v>0.46311397873385401</v>
      </c>
      <c r="F86" s="103"/>
      <c r="G86" s="103"/>
      <c r="H86" s="103"/>
      <c r="I86" s="103">
        <v>0.45559256182459495</v>
      </c>
      <c r="J86" s="103"/>
      <c r="K86" s="103"/>
      <c r="L86" s="103"/>
      <c r="M86" s="103">
        <v>8.8031440057069026E-3</v>
      </c>
      <c r="N86" s="545"/>
    </row>
    <row r="87" spans="1:14" ht="13.15" hidden="1"/>
    <row r="88" spans="1:14" ht="13.15" hidden="1"/>
    <row r="89" spans="1:14" ht="13.15" hidden="1"/>
    <row r="90" spans="1:14" ht="52.9" hidden="1">
      <c r="A90" s="106" t="s">
        <v>738</v>
      </c>
      <c r="B90" s="107" t="s">
        <v>51</v>
      </c>
      <c r="C90" s="49" t="s">
        <v>228</v>
      </c>
      <c r="D90" s="49" t="s">
        <v>739</v>
      </c>
      <c r="E90" s="49">
        <v>2018</v>
      </c>
      <c r="F90" s="49"/>
      <c r="G90" s="49"/>
      <c r="H90" s="49"/>
      <c r="I90" s="106" t="s">
        <v>740</v>
      </c>
      <c r="J90" s="510"/>
      <c r="K90" s="510"/>
      <c r="L90" s="510"/>
    </row>
    <row r="91" spans="1:14" ht="13.15" hidden="1">
      <c r="A91" s="545" t="s">
        <v>691</v>
      </c>
      <c r="B91" s="108" t="s">
        <v>690</v>
      </c>
      <c r="C91" s="109">
        <v>0.15455807061467194</v>
      </c>
      <c r="D91" s="109">
        <v>9.3862760252904923E-2</v>
      </c>
      <c r="E91" s="109">
        <v>0</v>
      </c>
      <c r="F91" s="109"/>
      <c r="G91" s="109"/>
      <c r="H91" s="109"/>
      <c r="I91" s="109">
        <v>9.217170736831469E-2</v>
      </c>
      <c r="J91" s="109"/>
      <c r="K91" s="109"/>
      <c r="L91" s="109"/>
    </row>
    <row r="92" spans="1:14" ht="13.15" hidden="1">
      <c r="A92" s="545">
        <v>1</v>
      </c>
      <c r="B92" s="108" t="s">
        <v>690</v>
      </c>
      <c r="C92" s="109">
        <v>0.14373991165005318</v>
      </c>
      <c r="D92" s="109">
        <v>0.26426271608582202</v>
      </c>
      <c r="E92" s="109">
        <v>0</v>
      </c>
      <c r="F92" s="109"/>
      <c r="G92" s="109"/>
      <c r="H92" s="109"/>
      <c r="I92" s="109">
        <v>5.1437832121996402E-2</v>
      </c>
      <c r="J92" s="109"/>
      <c r="K92" s="109"/>
      <c r="L92" s="109"/>
    </row>
    <row r="93" spans="1:14" ht="13.15" hidden="1">
      <c r="A93" s="545">
        <v>2</v>
      </c>
      <c r="B93" s="108" t="s">
        <v>690</v>
      </c>
      <c r="C93" s="109">
        <v>0.14129746417623584</v>
      </c>
      <c r="D93" s="109">
        <v>6.2888617897954802E-2</v>
      </c>
      <c r="E93" s="109">
        <v>0</v>
      </c>
      <c r="F93" s="109"/>
      <c r="G93" s="109"/>
      <c r="H93" s="109"/>
      <c r="I93" s="109">
        <v>4.6643746083055673E-2</v>
      </c>
      <c r="J93" s="109"/>
      <c r="K93" s="109"/>
      <c r="L93" s="109"/>
    </row>
    <row r="94" spans="1:14" ht="13.15" hidden="1">
      <c r="A94" s="545">
        <v>3</v>
      </c>
      <c r="B94" s="108" t="s">
        <v>690</v>
      </c>
      <c r="C94" s="109">
        <v>0.16451006587587985</v>
      </c>
      <c r="D94" s="109">
        <v>3.2749336777353061E-2</v>
      </c>
      <c r="E94" s="109">
        <v>0</v>
      </c>
      <c r="F94" s="109"/>
      <c r="G94" s="109"/>
      <c r="H94" s="109"/>
      <c r="I94" s="109">
        <v>0.11975941359235408</v>
      </c>
      <c r="J94" s="109"/>
      <c r="K94" s="109"/>
      <c r="L94" s="109"/>
    </row>
    <row r="95" spans="1:14" ht="13.15" hidden="1">
      <c r="A95" s="545">
        <v>4</v>
      </c>
      <c r="B95" s="108" t="s">
        <v>690</v>
      </c>
      <c r="C95" s="109">
        <v>0.47614741994994059</v>
      </c>
      <c r="D95" s="109">
        <v>5.4246891754674564E-2</v>
      </c>
      <c r="E95" s="109">
        <v>0</v>
      </c>
      <c r="F95" s="109"/>
      <c r="G95" s="109"/>
      <c r="H95" s="109"/>
      <c r="I95" s="109">
        <v>4.9904140409703444E-2</v>
      </c>
      <c r="J95" s="109"/>
      <c r="K95" s="109"/>
      <c r="L95" s="109"/>
    </row>
    <row r="96" spans="1:14" ht="13.15" hidden="1">
      <c r="A96" s="545">
        <v>5</v>
      </c>
      <c r="B96" s="108" t="s">
        <v>690</v>
      </c>
      <c r="C96" s="109">
        <v>0.22077584037995598</v>
      </c>
      <c r="D96" s="109">
        <v>0.12028858935277392</v>
      </c>
      <c r="E96" s="109">
        <v>0</v>
      </c>
      <c r="F96" s="109"/>
      <c r="G96" s="109"/>
      <c r="H96" s="109"/>
      <c r="I96" s="109">
        <v>5.3200673957394751E-2</v>
      </c>
      <c r="J96" s="109"/>
      <c r="K96" s="109"/>
      <c r="L96" s="109"/>
    </row>
    <row r="97" spans="1:12" ht="13.15" hidden="1">
      <c r="A97" s="545">
        <v>6</v>
      </c>
      <c r="B97" s="108" t="s">
        <v>690</v>
      </c>
      <c r="C97" s="109">
        <v>0.19783462765065449</v>
      </c>
      <c r="D97" s="109">
        <v>1.255117692735566E-2</v>
      </c>
      <c r="E97" s="109">
        <v>0</v>
      </c>
      <c r="F97" s="109"/>
      <c r="G97" s="109"/>
      <c r="H97" s="109"/>
      <c r="I97" s="109">
        <v>0.31141650885939631</v>
      </c>
      <c r="J97" s="109"/>
      <c r="K97" s="109"/>
      <c r="L97" s="109"/>
    </row>
    <row r="98" spans="1:12" ht="13.15" hidden="1">
      <c r="A98" s="545">
        <v>7</v>
      </c>
      <c r="B98" s="108" t="s">
        <v>690</v>
      </c>
      <c r="C98" s="109">
        <v>3.7103285263119283E-2</v>
      </c>
      <c r="D98" s="109">
        <v>8.4451102710699343E-3</v>
      </c>
      <c r="E98" s="109">
        <v>0</v>
      </c>
      <c r="F98" s="109"/>
      <c r="G98" s="109"/>
      <c r="H98" s="109"/>
      <c r="I98" s="109">
        <v>0.13396181297248511</v>
      </c>
      <c r="J98" s="109"/>
      <c r="K98" s="109"/>
      <c r="L98" s="109"/>
    </row>
    <row r="99" spans="1:12" ht="13.15" hidden="1">
      <c r="A99" s="545">
        <v>8</v>
      </c>
      <c r="B99" s="108" t="s">
        <v>690</v>
      </c>
      <c r="C99" s="109">
        <v>0.11827419779023984</v>
      </c>
      <c r="D99" s="109">
        <v>7.0117617149881628E-2</v>
      </c>
      <c r="E99" s="109">
        <v>0</v>
      </c>
      <c r="F99" s="109"/>
      <c r="G99" s="109"/>
      <c r="H99" s="109"/>
      <c r="I99" s="109">
        <v>0.13665704316301108</v>
      </c>
      <c r="J99" s="109"/>
      <c r="K99" s="109"/>
      <c r="L99" s="109"/>
    </row>
    <row r="100" spans="1:12" ht="13.15" hidden="1">
      <c r="A100" s="545">
        <v>9</v>
      </c>
      <c r="B100" s="108" t="s">
        <v>690</v>
      </c>
      <c r="C100" s="109">
        <v>0.27812008455706583</v>
      </c>
      <c r="D100" s="109">
        <v>0.12041461739569063</v>
      </c>
      <c r="E100" s="109">
        <v>0</v>
      </c>
      <c r="F100" s="109"/>
      <c r="G100" s="109"/>
      <c r="H100" s="109"/>
      <c r="I100" s="109">
        <v>0.22271198171036419</v>
      </c>
      <c r="J100" s="109"/>
      <c r="K100" s="109"/>
      <c r="L100" s="109"/>
    </row>
    <row r="101" spans="1:12" ht="13.15" hidden="1">
      <c r="A101" s="545">
        <v>10</v>
      </c>
      <c r="B101" s="108" t="s">
        <v>690</v>
      </c>
      <c r="C101" s="109">
        <v>0.22950211729379791</v>
      </c>
      <c r="D101" s="109">
        <v>6.2573043075138113E-2</v>
      </c>
      <c r="E101" s="109">
        <v>0</v>
      </c>
      <c r="F101" s="109"/>
      <c r="G101" s="109"/>
      <c r="H101" s="109"/>
      <c r="I101" s="109">
        <v>0.19073974460476889</v>
      </c>
      <c r="J101" s="109"/>
      <c r="K101" s="109"/>
      <c r="L101" s="109"/>
    </row>
    <row r="102" spans="1:12" ht="13.15" hidden="1">
      <c r="A102" s="545">
        <v>11</v>
      </c>
      <c r="B102" s="108" t="s">
        <v>690</v>
      </c>
      <c r="C102" s="109">
        <v>0.18171647012197434</v>
      </c>
      <c r="D102" s="109">
        <v>6.3899233873689329E-2</v>
      </c>
      <c r="E102" s="109">
        <v>0</v>
      </c>
      <c r="F102" s="109"/>
      <c r="G102" s="109"/>
      <c r="H102" s="109"/>
      <c r="I102" s="109">
        <v>0.17716263233903129</v>
      </c>
      <c r="J102" s="109"/>
      <c r="K102" s="109"/>
      <c r="L102" s="109"/>
    </row>
    <row r="103" spans="1:12" ht="13.15" hidden="1">
      <c r="A103" s="545" t="s">
        <v>741</v>
      </c>
      <c r="B103" s="108" t="s">
        <v>690</v>
      </c>
      <c r="C103" s="109">
        <v>0.11898880563475359</v>
      </c>
      <c r="D103" s="109">
        <v>9.0332776896798445E-2</v>
      </c>
      <c r="E103" s="109">
        <v>0</v>
      </c>
      <c r="F103" s="109"/>
      <c r="G103" s="109"/>
      <c r="H103" s="109"/>
      <c r="I103" s="109">
        <v>1.4836622593951089E-2</v>
      </c>
      <c r="J103" s="109"/>
      <c r="K103" s="109"/>
      <c r="L103" s="109"/>
    </row>
    <row r="104" spans="1:12" ht="13.15" hidden="1">
      <c r="A104" s="545" t="s">
        <v>742</v>
      </c>
      <c r="B104" s="108" t="s">
        <v>690</v>
      </c>
      <c r="C104" s="109">
        <v>4.7097825892143737E-2</v>
      </c>
      <c r="D104" s="109">
        <v>6.680485452309208E-2</v>
      </c>
      <c r="E104" s="109">
        <v>0</v>
      </c>
      <c r="F104" s="109"/>
      <c r="G104" s="109"/>
      <c r="H104" s="109"/>
      <c r="I104" s="109">
        <v>0.13498930219546912</v>
      </c>
      <c r="J104" s="109"/>
      <c r="K104" s="109"/>
      <c r="L104" s="109"/>
    </row>
    <row r="105" spans="1:12" ht="13.15" hidden="1">
      <c r="A105" s="545">
        <v>13</v>
      </c>
      <c r="B105" s="108" t="s">
        <v>690</v>
      </c>
      <c r="C105" s="109">
        <v>0.28120314051693446</v>
      </c>
      <c r="D105" s="109">
        <v>6.7054079985117129E-2</v>
      </c>
      <c r="E105" s="109">
        <v>2.4135388556567338E-5</v>
      </c>
      <c r="F105" s="109"/>
      <c r="G105" s="109"/>
      <c r="H105" s="109"/>
      <c r="I105" s="109">
        <v>3.0976246111359972E-2</v>
      </c>
      <c r="J105" s="109"/>
      <c r="K105" s="109"/>
      <c r="L105" s="109"/>
    </row>
    <row r="106" spans="1:12" ht="13.15" hidden="1">
      <c r="A106" s="545">
        <v>16</v>
      </c>
      <c r="B106" s="108" t="s">
        <v>690</v>
      </c>
      <c r="C106" s="109">
        <v>6.6062823147707311E-2</v>
      </c>
      <c r="D106" s="109">
        <v>0</v>
      </c>
      <c r="E106" s="109">
        <v>2.4135388556567338E-5</v>
      </c>
      <c r="F106" s="109"/>
      <c r="G106" s="109"/>
      <c r="H106" s="109"/>
      <c r="I106" s="109">
        <v>3.7404523449814202E-3</v>
      </c>
      <c r="J106" s="109"/>
      <c r="K106" s="109"/>
      <c r="L106" s="109"/>
    </row>
    <row r="107" spans="1:12" ht="13.15" hidden="1">
      <c r="A107" s="545">
        <v>17</v>
      </c>
      <c r="B107" s="108" t="s">
        <v>690</v>
      </c>
      <c r="C107" s="109">
        <v>0</v>
      </c>
      <c r="D107" s="109">
        <v>0.1081662675925774</v>
      </c>
      <c r="E107" s="109">
        <v>2.4135388556567338E-5</v>
      </c>
      <c r="F107" s="109"/>
      <c r="G107" s="109"/>
      <c r="H107" s="109"/>
      <c r="I107" s="109">
        <v>7.2911809991473384E-2</v>
      </c>
      <c r="J107" s="109"/>
      <c r="K107" s="109"/>
      <c r="L107" s="109"/>
    </row>
    <row r="108" spans="1:12" ht="52.9" hidden="1">
      <c r="A108" s="106" t="s">
        <v>738</v>
      </c>
      <c r="B108" s="107" t="s">
        <v>51</v>
      </c>
      <c r="C108" s="49" t="s">
        <v>228</v>
      </c>
      <c r="D108" s="49" t="s">
        <v>739</v>
      </c>
      <c r="E108" s="49">
        <v>2018</v>
      </c>
      <c r="F108" s="49"/>
      <c r="G108" s="49"/>
      <c r="H108" s="49"/>
      <c r="I108" s="106" t="s">
        <v>740</v>
      </c>
      <c r="J108" s="510"/>
      <c r="K108" s="510"/>
      <c r="L108" s="510"/>
    </row>
    <row r="109" spans="1:12" ht="13.15" hidden="1">
      <c r="A109" s="545" t="s">
        <v>691</v>
      </c>
      <c r="B109" s="108" t="s">
        <v>690</v>
      </c>
      <c r="C109" s="109">
        <v>0.15425823438880207</v>
      </c>
      <c r="D109" s="109">
        <v>6.2602159351716605E-2</v>
      </c>
      <c r="E109" s="109">
        <v>2.2319613009659059E-4</v>
      </c>
      <c r="F109" s="109"/>
      <c r="G109" s="109"/>
      <c r="H109" s="109"/>
      <c r="I109" s="109">
        <v>0.10249971795957681</v>
      </c>
      <c r="J109" s="109"/>
      <c r="K109" s="109"/>
      <c r="L109" s="109"/>
    </row>
    <row r="110" spans="1:12" ht="13.15" hidden="1">
      <c r="A110" s="545">
        <v>1</v>
      </c>
      <c r="B110" s="108" t="s">
        <v>690</v>
      </c>
      <c r="C110" s="109">
        <v>0.10147982691171223</v>
      </c>
      <c r="D110" s="109">
        <v>6.3052369512166251E-2</v>
      </c>
      <c r="E110" s="109">
        <v>0</v>
      </c>
      <c r="F110" s="109"/>
      <c r="G110" s="109"/>
      <c r="H110" s="109"/>
      <c r="I110" s="109">
        <v>8.7485679344500938E-2</v>
      </c>
      <c r="J110" s="109"/>
      <c r="K110" s="109"/>
      <c r="L110" s="109"/>
    </row>
    <row r="111" spans="1:12" ht="13.15" hidden="1">
      <c r="A111" s="545">
        <v>2</v>
      </c>
      <c r="B111" s="108" t="s">
        <v>690</v>
      </c>
      <c r="C111" s="109">
        <v>0.15942816132210227</v>
      </c>
      <c r="D111" s="109">
        <v>6.3877462977008581E-2</v>
      </c>
      <c r="E111" s="109">
        <v>0</v>
      </c>
      <c r="F111" s="109"/>
      <c r="G111" s="109"/>
      <c r="H111" s="109"/>
      <c r="I111" s="109">
        <v>4.6091764851651416E-2</v>
      </c>
      <c r="J111" s="109"/>
      <c r="K111" s="109"/>
      <c r="L111" s="109"/>
    </row>
    <row r="112" spans="1:12" ht="13.15" hidden="1">
      <c r="A112" s="545">
        <v>3</v>
      </c>
      <c r="B112" s="108" t="s">
        <v>690</v>
      </c>
      <c r="C112" s="109">
        <v>0.17262988713176208</v>
      </c>
      <c r="D112" s="109">
        <v>8.0304244646282247E-2</v>
      </c>
      <c r="E112" s="109">
        <v>0</v>
      </c>
      <c r="F112" s="109"/>
      <c r="G112" s="109"/>
      <c r="H112" s="109"/>
      <c r="I112" s="109">
        <v>0.10849505452201776</v>
      </c>
      <c r="J112" s="109"/>
      <c r="K112" s="109"/>
      <c r="L112" s="109"/>
    </row>
    <row r="113" spans="1:12" ht="13.15" hidden="1">
      <c r="A113" s="545">
        <v>4</v>
      </c>
      <c r="B113" s="108" t="s">
        <v>690</v>
      </c>
      <c r="C113" s="109">
        <v>0.45117862447422091</v>
      </c>
      <c r="D113" s="109">
        <v>4.5154653256203797E-2</v>
      </c>
      <c r="E113" s="109">
        <v>0</v>
      </c>
      <c r="F113" s="109"/>
      <c r="G113" s="109"/>
      <c r="H113" s="109"/>
      <c r="I113" s="109">
        <v>7.8681875736728107E-2</v>
      </c>
      <c r="J113" s="109"/>
      <c r="K113" s="109"/>
      <c r="L113" s="109"/>
    </row>
    <row r="114" spans="1:12" ht="13.15" hidden="1">
      <c r="A114" s="545">
        <v>5</v>
      </c>
      <c r="B114" s="108" t="s">
        <v>690</v>
      </c>
      <c r="C114" s="109">
        <v>0.23924878555181855</v>
      </c>
      <c r="D114" s="109">
        <v>0.17882667539041525</v>
      </c>
      <c r="E114" s="109">
        <v>0</v>
      </c>
      <c r="F114" s="109"/>
      <c r="G114" s="109"/>
      <c r="H114" s="109"/>
      <c r="I114" s="109">
        <v>6.3515604872957529E-2</v>
      </c>
      <c r="J114" s="109"/>
      <c r="K114" s="109"/>
      <c r="L114" s="109"/>
    </row>
    <row r="115" spans="1:12" ht="13.15" hidden="1">
      <c r="A115" s="545">
        <v>6</v>
      </c>
      <c r="B115" s="108" t="s">
        <v>690</v>
      </c>
      <c r="C115" s="109">
        <v>8.1345910389186787E-2</v>
      </c>
      <c r="D115" s="109">
        <v>5.9060027295703928E-2</v>
      </c>
      <c r="E115" s="109">
        <v>0</v>
      </c>
      <c r="F115" s="109"/>
      <c r="G115" s="109"/>
      <c r="H115" s="109"/>
      <c r="I115" s="109">
        <v>0.22831511312145614</v>
      </c>
      <c r="J115" s="109"/>
      <c r="K115" s="109"/>
      <c r="L115" s="109"/>
    </row>
    <row r="116" spans="1:12" ht="13.15" hidden="1">
      <c r="A116" s="545">
        <v>7</v>
      </c>
      <c r="B116" s="108" t="s">
        <v>690</v>
      </c>
      <c r="C116" s="109">
        <v>7.2498537953493911E-2</v>
      </c>
      <c r="D116" s="109">
        <v>3.2846479542247974E-2</v>
      </c>
      <c r="E116" s="109">
        <v>1.1531007477548979E-3</v>
      </c>
      <c r="F116" s="109"/>
      <c r="G116" s="109"/>
      <c r="H116" s="109"/>
      <c r="I116" s="109">
        <v>0.13210219056221073</v>
      </c>
      <c r="J116" s="109"/>
      <c r="K116" s="109"/>
      <c r="L116" s="109"/>
    </row>
    <row r="117" spans="1:12" ht="13.15" hidden="1">
      <c r="A117" s="545">
        <v>8</v>
      </c>
      <c r="B117" s="108" t="s">
        <v>690</v>
      </c>
      <c r="C117" s="109">
        <v>7.5660229015997296E-2</v>
      </c>
      <c r="D117" s="109">
        <v>8.5809561221058664E-2</v>
      </c>
      <c r="E117" s="109">
        <v>0</v>
      </c>
      <c r="F117" s="109"/>
      <c r="G117" s="109"/>
      <c r="H117" s="109"/>
      <c r="I117" s="109">
        <v>6.0034898917524712E-2</v>
      </c>
      <c r="J117" s="109"/>
      <c r="K117" s="109"/>
      <c r="L117" s="109"/>
    </row>
    <row r="118" spans="1:12" ht="13.15" hidden="1">
      <c r="A118" s="545">
        <v>9</v>
      </c>
      <c r="B118" s="108" t="s">
        <v>690</v>
      </c>
      <c r="C118" s="109">
        <v>0.19016954383866572</v>
      </c>
      <c r="D118" s="109">
        <v>0.11069816605630049</v>
      </c>
      <c r="E118" s="109">
        <v>0</v>
      </c>
      <c r="F118" s="109"/>
      <c r="G118" s="109"/>
      <c r="H118" s="109"/>
      <c r="I118" s="109">
        <v>0.26265126252932858</v>
      </c>
      <c r="J118" s="109"/>
      <c r="K118" s="109"/>
      <c r="L118" s="109"/>
    </row>
    <row r="119" spans="1:12" ht="13.15" hidden="1">
      <c r="A119" s="545">
        <v>10</v>
      </c>
      <c r="B119" s="108" t="s">
        <v>690</v>
      </c>
      <c r="C119" s="109">
        <v>0.23790067619203425</v>
      </c>
      <c r="D119" s="109">
        <v>6.9991104864108408E-2</v>
      </c>
      <c r="E119" s="109">
        <v>0</v>
      </c>
      <c r="F119" s="109"/>
      <c r="G119" s="109"/>
      <c r="H119" s="109"/>
      <c r="I119" s="109">
        <v>0.13841277679967046</v>
      </c>
      <c r="J119" s="109"/>
      <c r="K119" s="109"/>
      <c r="L119" s="109"/>
    </row>
    <row r="120" spans="1:12" ht="13.15" hidden="1">
      <c r="A120" s="545">
        <v>11</v>
      </c>
      <c r="B120" s="108" t="s">
        <v>690</v>
      </c>
      <c r="C120" s="109">
        <v>0.29462996085690746</v>
      </c>
      <c r="D120" s="109">
        <v>9.7317050711726749E-2</v>
      </c>
      <c r="E120" s="109">
        <v>0</v>
      </c>
      <c r="F120" s="109"/>
      <c r="G120" s="109"/>
      <c r="H120" s="109"/>
      <c r="I120" s="109">
        <v>0.16247575603260792</v>
      </c>
      <c r="J120" s="109"/>
      <c r="K120" s="109"/>
      <c r="L120" s="109"/>
    </row>
    <row r="121" spans="1:12" ht="13.15" hidden="1">
      <c r="A121" s="545" t="s">
        <v>741</v>
      </c>
      <c r="B121" s="108" t="s">
        <v>690</v>
      </c>
      <c r="C121" s="109">
        <v>0.1399446727981469</v>
      </c>
      <c r="D121" s="109">
        <v>6.6739546239185196E-2</v>
      </c>
      <c r="E121" s="109">
        <v>0</v>
      </c>
      <c r="F121" s="109"/>
      <c r="G121" s="109"/>
      <c r="H121" s="109"/>
      <c r="I121" s="109">
        <v>8.0812774092837367E-2</v>
      </c>
      <c r="J121" s="109"/>
      <c r="K121" s="109"/>
      <c r="L121" s="109"/>
    </row>
    <row r="122" spans="1:12" ht="13.15" hidden="1">
      <c r="A122" s="545" t="s">
        <v>742</v>
      </c>
      <c r="B122" s="108" t="s">
        <v>690</v>
      </c>
      <c r="C122" s="109">
        <v>0.12627830994861616</v>
      </c>
      <c r="D122" s="109">
        <v>2.5575805412876979E-2</v>
      </c>
      <c r="E122" s="109">
        <v>0</v>
      </c>
      <c r="F122" s="109"/>
      <c r="G122" s="109"/>
      <c r="H122" s="109"/>
      <c r="I122" s="109">
        <v>0.23863565195826089</v>
      </c>
      <c r="J122" s="109"/>
      <c r="K122" s="109"/>
      <c r="L122" s="109"/>
    </row>
    <row r="123" spans="1:12" ht="13.15" hidden="1">
      <c r="A123" s="545">
        <v>13</v>
      </c>
      <c r="B123" s="108" t="s">
        <v>690</v>
      </c>
      <c r="C123" s="109">
        <v>0.20396192968002785</v>
      </c>
      <c r="D123" s="109">
        <v>6.7054070235449292E-2</v>
      </c>
      <c r="E123" s="109">
        <v>0</v>
      </c>
      <c r="F123" s="109"/>
      <c r="G123" s="109"/>
      <c r="H123" s="109"/>
      <c r="I123" s="109">
        <v>4.2413385892168122E-2</v>
      </c>
      <c r="J123" s="109"/>
      <c r="K123" s="109"/>
      <c r="L123" s="109"/>
    </row>
    <row r="124" spans="1:12" ht="13.15" hidden="1">
      <c r="A124" s="545">
        <v>16</v>
      </c>
      <c r="B124" s="108" t="s">
        <v>690</v>
      </c>
      <c r="C124" s="109">
        <v>5.7382951480448363E-2</v>
      </c>
      <c r="D124" s="109">
        <v>0</v>
      </c>
      <c r="E124" s="109">
        <v>0</v>
      </c>
      <c r="F124" s="109"/>
      <c r="G124" s="109"/>
      <c r="H124" s="109"/>
      <c r="I124" s="109">
        <v>1.0757992716595065E-2</v>
      </c>
      <c r="J124" s="109"/>
      <c r="K124" s="109"/>
      <c r="L124" s="109"/>
    </row>
    <row r="125" spans="1:12" ht="13.15" hidden="1">
      <c r="A125" s="545">
        <v>17</v>
      </c>
      <c r="B125" s="108" t="s">
        <v>690</v>
      </c>
      <c r="C125" s="109">
        <v>0</v>
      </c>
      <c r="D125" s="109">
        <v>2.2131942533488571E-2</v>
      </c>
      <c r="E125" s="109">
        <v>0</v>
      </c>
      <c r="F125" s="109"/>
      <c r="G125" s="109"/>
      <c r="H125" s="109"/>
      <c r="I125" s="109">
        <v>8.4971543028486737E-2</v>
      </c>
      <c r="J125" s="109"/>
      <c r="K125" s="109"/>
      <c r="L125" s="109"/>
    </row>
  </sheetData>
  <mergeCells count="9">
    <mergeCell ref="A3:A18"/>
    <mergeCell ref="N3:N18"/>
    <mergeCell ref="A1:L1"/>
    <mergeCell ref="N1:V1"/>
    <mergeCell ref="AD46:AF46"/>
    <mergeCell ref="N46:P46"/>
    <mergeCell ref="R46:X46"/>
    <mergeCell ref="Z46:AB46"/>
    <mergeCell ref="D46:I46"/>
  </mergeCells>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B80"/>
  <sheetViews>
    <sheetView zoomScaleNormal="100" workbookViewId="0">
      <selection sqref="A1:G1"/>
    </sheetView>
  </sheetViews>
  <sheetFormatPr defaultColWidth="8.7109375" defaultRowHeight="13.15"/>
  <cols>
    <col min="1" max="2" width="12" style="5" customWidth="1"/>
    <col min="3" max="6" width="13.7109375" style="5" customWidth="1"/>
    <col min="7" max="7" width="13.28515625" style="5" customWidth="1"/>
    <col min="8" max="8" width="12.7109375" style="5" bestFit="1" customWidth="1"/>
    <col min="9" max="9" width="8.7109375" style="5"/>
    <col min="10" max="10" width="12" style="5" customWidth="1"/>
    <col min="11" max="11" width="14.140625" style="5" customWidth="1"/>
    <col min="12" max="12" width="10.28515625" style="5" customWidth="1"/>
    <col min="13" max="27" width="5.7109375" style="5" customWidth="1"/>
    <col min="28" max="16384" width="8.7109375" style="5"/>
  </cols>
  <sheetData>
    <row r="1" spans="1:28" ht="28.9" customHeight="1">
      <c r="A1" s="799" t="s">
        <v>743</v>
      </c>
      <c r="B1" s="799"/>
      <c r="C1" s="799"/>
      <c r="D1" s="799"/>
      <c r="E1" s="799"/>
      <c r="F1" s="799"/>
      <c r="G1" s="799"/>
      <c r="J1" s="793" t="s">
        <v>744</v>
      </c>
      <c r="K1" s="793"/>
      <c r="L1" s="793"/>
      <c r="M1" s="793"/>
      <c r="N1" s="793"/>
      <c r="O1" s="793"/>
      <c r="P1" s="793"/>
      <c r="Q1" s="793"/>
      <c r="R1" s="793"/>
      <c r="S1" s="793"/>
      <c r="T1" s="793"/>
      <c r="U1" s="793"/>
      <c r="V1" s="793"/>
      <c r="W1" s="793"/>
      <c r="X1" s="793"/>
      <c r="Y1" s="793"/>
      <c r="Z1" s="793"/>
      <c r="AA1" s="793"/>
    </row>
    <row r="2" spans="1:28" ht="21" customHeight="1">
      <c r="A2" s="797" t="s">
        <v>6</v>
      </c>
      <c r="B2" s="797" t="s">
        <v>665</v>
      </c>
      <c r="C2" s="794" t="s">
        <v>745</v>
      </c>
      <c r="D2" s="795"/>
      <c r="E2" s="795"/>
      <c r="F2" s="795"/>
      <c r="G2" s="796"/>
      <c r="J2" s="797" t="s">
        <v>6</v>
      </c>
      <c r="K2" s="797" t="s">
        <v>745</v>
      </c>
      <c r="L2" s="794" t="s">
        <v>665</v>
      </c>
      <c r="M2" s="795"/>
      <c r="N2" s="795"/>
      <c r="O2" s="795"/>
      <c r="P2" s="795"/>
      <c r="Q2" s="795"/>
      <c r="R2" s="795"/>
      <c r="S2" s="795"/>
      <c r="T2" s="795"/>
      <c r="U2" s="795"/>
      <c r="V2" s="795"/>
      <c r="W2" s="795"/>
      <c r="X2" s="795"/>
      <c r="Y2" s="795"/>
      <c r="Z2" s="795"/>
      <c r="AA2" s="796"/>
    </row>
    <row r="3" spans="1:28" ht="21" customHeight="1">
      <c r="A3" s="798"/>
      <c r="B3" s="798"/>
      <c r="C3" s="239" t="s">
        <v>746</v>
      </c>
      <c r="D3" s="239" t="s">
        <v>227</v>
      </c>
      <c r="E3" s="239" t="s">
        <v>228</v>
      </c>
      <c r="F3" s="239" t="s">
        <v>229</v>
      </c>
      <c r="G3" s="239" t="s">
        <v>747</v>
      </c>
      <c r="J3" s="798"/>
      <c r="K3" s="798"/>
      <c r="L3" s="239">
        <v>1</v>
      </c>
      <c r="M3" s="239">
        <v>2</v>
      </c>
      <c r="N3" s="239">
        <v>3</v>
      </c>
      <c r="O3" s="239">
        <v>4</v>
      </c>
      <c r="P3" s="239">
        <v>5</v>
      </c>
      <c r="Q3" s="239">
        <v>6</v>
      </c>
      <c r="R3" s="239">
        <v>7</v>
      </c>
      <c r="S3" s="239">
        <v>8</v>
      </c>
      <c r="T3" s="239">
        <v>9</v>
      </c>
      <c r="U3" s="239">
        <v>10</v>
      </c>
      <c r="V3" s="239">
        <v>11</v>
      </c>
      <c r="W3" s="239">
        <v>12</v>
      </c>
      <c r="X3" s="239">
        <v>13</v>
      </c>
      <c r="Y3" s="239">
        <v>14</v>
      </c>
      <c r="Z3" s="239">
        <v>15</v>
      </c>
      <c r="AA3" s="239">
        <v>16</v>
      </c>
    </row>
    <row r="4" spans="1:28" ht="16.899999999999999" customHeight="1">
      <c r="A4" s="791" t="s">
        <v>748</v>
      </c>
      <c r="B4" s="356">
        <v>1</v>
      </c>
      <c r="C4" s="240">
        <v>0.49</v>
      </c>
      <c r="D4" s="240">
        <v>0.16</v>
      </c>
      <c r="E4" s="240">
        <v>0.25</v>
      </c>
      <c r="F4" s="240">
        <v>7.0000000000000007E-2</v>
      </c>
      <c r="G4" s="241">
        <v>0.04</v>
      </c>
      <c r="H4" s="176">
        <f>SUM(C4:G4)</f>
        <v>1.01</v>
      </c>
      <c r="J4" s="786" t="s">
        <v>748</v>
      </c>
      <c r="K4" s="238" t="s">
        <v>746</v>
      </c>
      <c r="L4" s="242">
        <v>0.03</v>
      </c>
      <c r="M4" s="242">
        <v>0.16</v>
      </c>
      <c r="N4" s="242">
        <v>0.19</v>
      </c>
      <c r="O4" s="242">
        <v>0.09</v>
      </c>
      <c r="P4" s="242">
        <v>0.02</v>
      </c>
      <c r="Q4" s="242">
        <v>0.05</v>
      </c>
      <c r="R4" s="242">
        <v>0.04</v>
      </c>
      <c r="S4" s="242">
        <v>7.0000000000000007E-2</v>
      </c>
      <c r="T4" s="242">
        <v>0.09</v>
      </c>
      <c r="U4" s="242">
        <v>0.03</v>
      </c>
      <c r="V4" s="242">
        <v>0.02</v>
      </c>
      <c r="W4" s="242">
        <v>0.1</v>
      </c>
      <c r="X4" s="242">
        <v>0.03</v>
      </c>
      <c r="Y4" s="242">
        <v>0.01</v>
      </c>
      <c r="Z4" s="242">
        <v>0.01</v>
      </c>
      <c r="AA4" s="242">
        <v>0.03</v>
      </c>
      <c r="AB4" s="176">
        <f>SUM(L4:AA4)</f>
        <v>0.9700000000000002</v>
      </c>
    </row>
    <row r="5" spans="1:28" ht="16.899999999999999" customHeight="1">
      <c r="A5" s="792"/>
      <c r="B5" s="238">
        <v>2</v>
      </c>
      <c r="C5" s="242">
        <v>0.56999999999999995</v>
      </c>
      <c r="D5" s="242">
        <v>0.09</v>
      </c>
      <c r="E5" s="242">
        <v>0.28000000000000003</v>
      </c>
      <c r="F5" s="242">
        <v>0.03</v>
      </c>
      <c r="G5" s="243">
        <v>0.02</v>
      </c>
      <c r="H5" s="176">
        <f t="shared" ref="H5:H19" si="0">SUM(C5:G5)</f>
        <v>0.99</v>
      </c>
      <c r="J5" s="787"/>
      <c r="K5" s="238" t="s">
        <v>227</v>
      </c>
      <c r="L5" s="242">
        <v>0.01</v>
      </c>
      <c r="M5" s="242">
        <v>0.02</v>
      </c>
      <c r="N5" s="242">
        <v>0.08</v>
      </c>
      <c r="O5" s="242">
        <v>0.04</v>
      </c>
      <c r="P5" s="242">
        <v>0.02</v>
      </c>
      <c r="Q5" s="242">
        <v>0.08</v>
      </c>
      <c r="R5" s="242">
        <v>7.0000000000000007E-2</v>
      </c>
      <c r="S5" s="242">
        <v>0.12</v>
      </c>
      <c r="T5" s="242">
        <v>0.14000000000000001</v>
      </c>
      <c r="U5" s="242">
        <v>0.12</v>
      </c>
      <c r="V5" s="242">
        <v>0.03</v>
      </c>
      <c r="W5" s="242">
        <v>0.09</v>
      </c>
      <c r="X5" s="242">
        <v>0.03</v>
      </c>
      <c r="Y5" s="242">
        <v>0.02</v>
      </c>
      <c r="Z5" s="242">
        <v>7.0000000000000007E-2</v>
      </c>
      <c r="AA5" s="242">
        <v>7.0000000000000007E-2</v>
      </c>
      <c r="AB5" s="176">
        <f>SUM(L5:AA5)</f>
        <v>1.0100000000000002</v>
      </c>
    </row>
    <row r="6" spans="1:28" ht="16.899999999999999" customHeight="1">
      <c r="A6" s="792"/>
      <c r="B6" s="238">
        <v>3</v>
      </c>
      <c r="C6" s="242">
        <v>0.45</v>
      </c>
      <c r="D6" s="242">
        <v>0.26</v>
      </c>
      <c r="E6" s="242">
        <v>0.2</v>
      </c>
      <c r="F6" s="242">
        <v>0.04</v>
      </c>
      <c r="G6" s="243">
        <v>0.05</v>
      </c>
      <c r="H6" s="176">
        <f t="shared" si="0"/>
        <v>1</v>
      </c>
      <c r="J6" s="787"/>
      <c r="K6" s="238" t="s">
        <v>228</v>
      </c>
      <c r="L6" s="242">
        <v>0.03</v>
      </c>
      <c r="M6" s="242">
        <v>0.13</v>
      </c>
      <c r="N6" s="242">
        <v>0.13</v>
      </c>
      <c r="O6" s="242">
        <v>0.06</v>
      </c>
      <c r="P6" s="242">
        <v>0.02</v>
      </c>
      <c r="Q6" s="242">
        <v>0.03</v>
      </c>
      <c r="R6" s="242">
        <v>7.0000000000000007E-2</v>
      </c>
      <c r="S6" s="242">
        <v>0.04</v>
      </c>
      <c r="T6" s="242">
        <v>0.05</v>
      </c>
      <c r="U6" s="242">
        <v>0.1</v>
      </c>
      <c r="V6" s="242">
        <v>0.03</v>
      </c>
      <c r="W6" s="242">
        <v>0.14000000000000001</v>
      </c>
      <c r="X6" s="242">
        <v>0.03</v>
      </c>
      <c r="Y6" s="242">
        <v>0.02</v>
      </c>
      <c r="Z6" s="242">
        <v>0.02</v>
      </c>
      <c r="AA6" s="242">
        <v>0.1</v>
      </c>
      <c r="AB6" s="176">
        <f>SUM(L6:AA6)</f>
        <v>1.0000000000000002</v>
      </c>
    </row>
    <row r="7" spans="1:28" ht="16.899999999999999" customHeight="1">
      <c r="A7" s="792"/>
      <c r="B7" s="238">
        <v>4</v>
      </c>
      <c r="C7" s="242">
        <v>0.46</v>
      </c>
      <c r="D7" s="242">
        <v>0.25</v>
      </c>
      <c r="E7" s="242">
        <v>0.2</v>
      </c>
      <c r="F7" s="242">
        <v>0.04</v>
      </c>
      <c r="G7" s="243">
        <v>0.05</v>
      </c>
      <c r="H7" s="176">
        <f t="shared" si="0"/>
        <v>1</v>
      </c>
      <c r="J7" s="787"/>
      <c r="K7" s="238" t="s">
        <v>229</v>
      </c>
      <c r="L7" s="242">
        <v>0.01</v>
      </c>
      <c r="M7" s="242">
        <v>0.03</v>
      </c>
      <c r="N7" s="242">
        <v>0.05</v>
      </c>
      <c r="O7" s="242">
        <v>0.02</v>
      </c>
      <c r="P7" s="242">
        <v>0.01</v>
      </c>
      <c r="Q7" s="242">
        <v>7.0000000000000007E-2</v>
      </c>
      <c r="R7" s="242">
        <v>0.16</v>
      </c>
      <c r="S7" s="242">
        <v>0.11</v>
      </c>
      <c r="T7" s="242">
        <v>0.12</v>
      </c>
      <c r="U7" s="242">
        <v>0.11</v>
      </c>
      <c r="V7" s="242">
        <v>0.03</v>
      </c>
      <c r="W7" s="242">
        <v>0.12</v>
      </c>
      <c r="X7" s="242">
        <v>0.05</v>
      </c>
      <c r="Y7" s="242">
        <v>0.02</v>
      </c>
      <c r="Z7" s="242">
        <v>0.02</v>
      </c>
      <c r="AA7" s="242">
        <v>7.0000000000000007E-2</v>
      </c>
      <c r="AB7" s="176">
        <f>SUM(L7:AA7)</f>
        <v>1</v>
      </c>
    </row>
    <row r="8" spans="1:28" ht="16.899999999999999" customHeight="1">
      <c r="A8" s="792"/>
      <c r="B8" s="238">
        <v>5</v>
      </c>
      <c r="C8" s="242">
        <v>0.37</v>
      </c>
      <c r="D8" s="242">
        <v>0.37</v>
      </c>
      <c r="E8" s="242">
        <v>0.16</v>
      </c>
      <c r="F8" s="242">
        <v>0.05</v>
      </c>
      <c r="G8" s="243">
        <v>0.05</v>
      </c>
      <c r="H8" s="176">
        <f t="shared" si="0"/>
        <v>1</v>
      </c>
      <c r="J8" s="787"/>
      <c r="K8" s="238" t="s">
        <v>747</v>
      </c>
      <c r="L8" s="242">
        <v>0.01</v>
      </c>
      <c r="M8" s="242">
        <v>0.02</v>
      </c>
      <c r="N8" s="242">
        <v>0.06</v>
      </c>
      <c r="O8" s="242">
        <v>0.03</v>
      </c>
      <c r="P8" s="242">
        <v>0.01</v>
      </c>
      <c r="Q8" s="242">
        <v>0.09</v>
      </c>
      <c r="R8" s="242">
        <v>0.05</v>
      </c>
      <c r="S8" s="242">
        <v>0.17</v>
      </c>
      <c r="T8" s="242">
        <v>0.14000000000000001</v>
      </c>
      <c r="U8" s="242">
        <v>0.12</v>
      </c>
      <c r="V8" s="242">
        <v>0.03</v>
      </c>
      <c r="W8" s="242">
        <v>7.0000000000000007E-2</v>
      </c>
      <c r="X8" s="242">
        <v>0.03</v>
      </c>
      <c r="Y8" s="242">
        <v>0.02</v>
      </c>
      <c r="Z8" s="242">
        <v>0.1</v>
      </c>
      <c r="AA8" s="242">
        <v>0.05</v>
      </c>
      <c r="AB8" s="176">
        <f>SUM(L8:AA8)</f>
        <v>1</v>
      </c>
    </row>
    <row r="9" spans="1:28" ht="16.899999999999999" customHeight="1">
      <c r="A9" s="792"/>
      <c r="B9" s="238">
        <v>6</v>
      </c>
      <c r="C9" s="242">
        <v>0.23</v>
      </c>
      <c r="D9" s="242">
        <v>0.46</v>
      </c>
      <c r="E9" s="242">
        <v>0.08</v>
      </c>
      <c r="F9" s="242">
        <v>0.11</v>
      </c>
      <c r="G9" s="243">
        <v>0.12</v>
      </c>
      <c r="H9" s="176">
        <f t="shared" si="0"/>
        <v>1</v>
      </c>
      <c r="J9" s="787"/>
      <c r="K9" s="238" t="s">
        <v>401</v>
      </c>
      <c r="L9" s="242">
        <v>0.02</v>
      </c>
      <c r="M9" s="242">
        <v>0.08</v>
      </c>
      <c r="N9" s="242">
        <v>0.12</v>
      </c>
      <c r="O9" s="242">
        <v>0.05</v>
      </c>
      <c r="P9" s="242">
        <v>0.02</v>
      </c>
      <c r="Q9" s="242">
        <v>0.06</v>
      </c>
      <c r="R9" s="242">
        <v>7.0000000000000007E-2</v>
      </c>
      <c r="S9" s="242">
        <v>0.1</v>
      </c>
      <c r="T9" s="242">
        <v>0.11</v>
      </c>
      <c r="U9" s="242">
        <v>0.09</v>
      </c>
      <c r="V9" s="242">
        <v>0.03</v>
      </c>
      <c r="W9" s="242">
        <v>0.1</v>
      </c>
      <c r="X9" s="242">
        <v>0.03</v>
      </c>
      <c r="Y9" s="242">
        <v>0.02</v>
      </c>
      <c r="Z9" s="242">
        <v>0.05</v>
      </c>
      <c r="AA9" s="242">
        <v>0.06</v>
      </c>
      <c r="AB9" s="46"/>
    </row>
    <row r="10" spans="1:28" ht="16.899999999999999" customHeight="1">
      <c r="A10" s="792"/>
      <c r="B10" s="238">
        <v>7</v>
      </c>
      <c r="C10" s="242">
        <v>0.16</v>
      </c>
      <c r="D10" s="242">
        <v>0.39</v>
      </c>
      <c r="E10" s="242">
        <v>0.16</v>
      </c>
      <c r="F10" s="242">
        <v>0.23</v>
      </c>
      <c r="G10" s="243">
        <v>0.06</v>
      </c>
      <c r="H10" s="176">
        <f t="shared" si="0"/>
        <v>1</v>
      </c>
      <c r="J10" s="8"/>
      <c r="K10" s="175"/>
      <c r="L10" s="39"/>
      <c r="M10" s="39"/>
      <c r="N10" s="39"/>
      <c r="O10" s="39"/>
      <c r="P10" s="141"/>
    </row>
    <row r="11" spans="1:28" ht="16.899999999999999" customHeight="1">
      <c r="A11" s="792"/>
      <c r="B11" s="238">
        <v>8</v>
      </c>
      <c r="C11" s="242">
        <v>0.21</v>
      </c>
      <c r="D11" s="242">
        <v>0.45</v>
      </c>
      <c r="E11" s="242">
        <v>0.08</v>
      </c>
      <c r="F11" s="242">
        <v>0.11</v>
      </c>
      <c r="G11" s="243">
        <v>0.15</v>
      </c>
      <c r="H11" s="176">
        <f t="shared" si="0"/>
        <v>1</v>
      </c>
      <c r="J11" s="8"/>
      <c r="K11" s="175"/>
      <c r="L11" s="39"/>
      <c r="M11" s="39"/>
      <c r="N11" s="39"/>
      <c r="O11" s="39"/>
      <c r="P11" s="141"/>
    </row>
    <row r="12" spans="1:28" ht="16.899999999999999" customHeight="1">
      <c r="A12" s="792"/>
      <c r="B12" s="238">
        <v>9</v>
      </c>
      <c r="C12" s="242">
        <v>0.22</v>
      </c>
      <c r="D12" s="242">
        <v>0.47</v>
      </c>
      <c r="E12" s="242">
        <v>0.09</v>
      </c>
      <c r="F12" s="242">
        <v>0.11</v>
      </c>
      <c r="G12" s="243">
        <v>0.11</v>
      </c>
      <c r="H12" s="176">
        <f t="shared" si="0"/>
        <v>0.99999999999999989</v>
      </c>
      <c r="J12" s="8"/>
      <c r="K12" s="175"/>
      <c r="L12" s="39"/>
      <c r="M12" s="39"/>
      <c r="N12" s="39"/>
      <c r="O12" s="39"/>
      <c r="P12" s="141"/>
    </row>
    <row r="13" spans="1:28" ht="16.899999999999999" customHeight="1">
      <c r="A13" s="792"/>
      <c r="B13" s="238">
        <v>10</v>
      </c>
      <c r="C13" s="242">
        <v>0.11</v>
      </c>
      <c r="D13" s="242">
        <v>0.48</v>
      </c>
      <c r="E13" s="242">
        <v>0.19</v>
      </c>
      <c r="F13" s="242">
        <v>0.12</v>
      </c>
      <c r="G13" s="243">
        <v>0.11</v>
      </c>
      <c r="H13" s="176">
        <f t="shared" si="0"/>
        <v>1.01</v>
      </c>
      <c r="J13" s="8"/>
      <c r="K13" s="175"/>
      <c r="L13" s="39"/>
      <c r="M13" s="39"/>
      <c r="N13" s="39"/>
      <c r="O13" s="39"/>
      <c r="P13" s="141"/>
    </row>
    <row r="14" spans="1:28" ht="16.899999999999999" customHeight="1">
      <c r="A14" s="792"/>
      <c r="B14" s="238">
        <v>11</v>
      </c>
      <c r="C14" s="242">
        <v>0.2</v>
      </c>
      <c r="D14" s="242">
        <v>0.43</v>
      </c>
      <c r="E14" s="242">
        <v>0.19</v>
      </c>
      <c r="F14" s="242">
        <v>0.1</v>
      </c>
      <c r="G14" s="243">
        <v>0.09</v>
      </c>
      <c r="H14" s="176">
        <f t="shared" si="0"/>
        <v>1.01</v>
      </c>
      <c r="J14" s="8"/>
      <c r="K14" s="175"/>
      <c r="L14" s="39"/>
      <c r="M14" s="39"/>
      <c r="N14" s="39"/>
      <c r="O14" s="39"/>
      <c r="P14" s="141"/>
    </row>
    <row r="15" spans="1:28" ht="16.899999999999999" customHeight="1">
      <c r="A15" s="792"/>
      <c r="B15" s="238">
        <v>12</v>
      </c>
      <c r="C15" s="242">
        <v>0.28000000000000003</v>
      </c>
      <c r="D15" s="242">
        <v>0.31</v>
      </c>
      <c r="E15" s="242">
        <v>0.23</v>
      </c>
      <c r="F15" s="242">
        <v>0.12</v>
      </c>
      <c r="G15" s="243">
        <v>0.06</v>
      </c>
      <c r="H15" s="176">
        <f t="shared" si="0"/>
        <v>1</v>
      </c>
      <c r="J15" s="8"/>
      <c r="K15" s="175"/>
      <c r="L15" s="39"/>
      <c r="M15" s="39"/>
      <c r="N15" s="39"/>
      <c r="O15" s="39"/>
      <c r="P15" s="141"/>
    </row>
    <row r="16" spans="1:28" ht="16.899999999999999" customHeight="1">
      <c r="A16" s="792"/>
      <c r="B16" s="238">
        <v>13</v>
      </c>
      <c r="C16" s="242">
        <v>0.3</v>
      </c>
      <c r="D16" s="242">
        <v>0.32</v>
      </c>
      <c r="E16" s="242">
        <v>0.15</v>
      </c>
      <c r="F16" s="242">
        <v>0.16</v>
      </c>
      <c r="G16" s="243">
        <v>7.0000000000000007E-2</v>
      </c>
      <c r="H16" s="176">
        <f t="shared" si="0"/>
        <v>1</v>
      </c>
      <c r="J16" s="8"/>
      <c r="K16" s="175"/>
      <c r="L16" s="39"/>
      <c r="M16" s="39"/>
      <c r="N16" s="39"/>
      <c r="O16" s="39"/>
      <c r="P16" s="141"/>
    </row>
    <row r="17" spans="1:16" ht="16.899999999999999" customHeight="1">
      <c r="A17" s="792"/>
      <c r="B17" s="238">
        <v>14</v>
      </c>
      <c r="C17" s="242">
        <v>0.15</v>
      </c>
      <c r="D17" s="242">
        <v>0.44</v>
      </c>
      <c r="E17" s="242">
        <v>0.21</v>
      </c>
      <c r="F17" s="242">
        <v>0.09</v>
      </c>
      <c r="G17" s="243">
        <v>0.11</v>
      </c>
      <c r="H17" s="176">
        <f t="shared" si="0"/>
        <v>0.99999999999999989</v>
      </c>
      <c r="J17" s="8"/>
      <c r="K17" s="175"/>
      <c r="L17" s="39"/>
      <c r="M17" s="39"/>
      <c r="N17" s="39"/>
      <c r="O17" s="39"/>
      <c r="P17" s="141"/>
    </row>
    <row r="18" spans="1:16" ht="16.899999999999999" customHeight="1">
      <c r="A18" s="792"/>
      <c r="B18" s="238">
        <v>15</v>
      </c>
      <c r="C18" s="242">
        <v>0.09</v>
      </c>
      <c r="D18" s="242">
        <v>0.57999999999999996</v>
      </c>
      <c r="E18" s="242">
        <v>0.09</v>
      </c>
      <c r="F18" s="242">
        <v>0.05</v>
      </c>
      <c r="G18" s="243">
        <v>0.19</v>
      </c>
      <c r="H18" s="176">
        <f t="shared" si="0"/>
        <v>1</v>
      </c>
      <c r="J18" s="8"/>
      <c r="K18" s="175"/>
      <c r="L18" s="39"/>
      <c r="M18" s="39"/>
      <c r="N18" s="39"/>
      <c r="O18" s="39"/>
      <c r="P18" s="141"/>
    </row>
    <row r="19" spans="1:16" ht="16.899999999999999" customHeight="1">
      <c r="A19" s="792"/>
      <c r="B19" s="238">
        <v>16</v>
      </c>
      <c r="C19" s="243">
        <v>0.14000000000000001</v>
      </c>
      <c r="D19" s="243">
        <v>0.42</v>
      </c>
      <c r="E19" s="243">
        <v>0.27</v>
      </c>
      <c r="F19" s="243">
        <v>0.1</v>
      </c>
      <c r="G19" s="243">
        <v>7.0000000000000007E-2</v>
      </c>
      <c r="H19" s="176">
        <f t="shared" si="0"/>
        <v>1</v>
      </c>
      <c r="J19" s="8"/>
      <c r="K19" s="175"/>
      <c r="L19" s="39"/>
      <c r="M19" s="39"/>
      <c r="N19" s="39"/>
      <c r="O19" s="39"/>
      <c r="P19" s="141"/>
    </row>
    <row r="20" spans="1:16">
      <c r="A20" s="792"/>
      <c r="B20" s="357" t="s">
        <v>691</v>
      </c>
      <c r="C20" s="243">
        <v>0.3</v>
      </c>
      <c r="D20" s="243">
        <v>0.35</v>
      </c>
      <c r="E20" s="243">
        <v>0.17</v>
      </c>
      <c r="F20" s="243">
        <v>0.1</v>
      </c>
      <c r="G20" s="243">
        <v>0.08</v>
      </c>
    </row>
    <row r="22" spans="1:16">
      <c r="A22" s="5" t="s">
        <v>749</v>
      </c>
    </row>
    <row r="23" spans="1:16">
      <c r="A23" s="5" t="s">
        <v>682</v>
      </c>
    </row>
    <row r="24" spans="1:16">
      <c r="A24" s="5" t="s">
        <v>683</v>
      </c>
    </row>
    <row r="29" spans="1:16" s="30" customFormat="1" hidden="1">
      <c r="A29" s="30" t="s">
        <v>193</v>
      </c>
      <c r="E29" s="31"/>
      <c r="F29" s="32"/>
      <c r="G29" s="33"/>
    </row>
    <row r="30" spans="1:16" hidden="1"/>
    <row r="31" spans="1:16" hidden="1">
      <c r="A31" s="5" t="s">
        <v>3</v>
      </c>
    </row>
    <row r="32" spans="1:16" ht="39.6" hidden="1">
      <c r="A32" s="50" t="s">
        <v>750</v>
      </c>
      <c r="B32" s="110" t="s">
        <v>51</v>
      </c>
      <c r="C32" s="110" t="s">
        <v>746</v>
      </c>
      <c r="D32" s="110" t="s">
        <v>227</v>
      </c>
      <c r="E32" s="110" t="s">
        <v>228</v>
      </c>
      <c r="F32" s="110" t="s">
        <v>739</v>
      </c>
      <c r="G32" s="110">
        <v>2018</v>
      </c>
      <c r="H32" s="50" t="s">
        <v>740</v>
      </c>
      <c r="I32" s="111" t="s">
        <v>401</v>
      </c>
      <c r="K32" s="5" t="s">
        <v>229</v>
      </c>
      <c r="L32" t="s">
        <v>751</v>
      </c>
    </row>
    <row r="33" spans="1:12" hidden="1">
      <c r="A33" s="545" t="s">
        <v>691</v>
      </c>
      <c r="B33" s="108" t="s">
        <v>690</v>
      </c>
      <c r="C33" s="109">
        <v>0.39055720125042798</v>
      </c>
      <c r="D33" s="109">
        <v>0.32054924195969953</v>
      </c>
      <c r="E33" s="109">
        <v>0.13196479727094398</v>
      </c>
      <c r="F33" s="109">
        <v>4.6532957819755125E-2</v>
      </c>
      <c r="G33" s="109">
        <v>4.6801205299373848E-4</v>
      </c>
      <c r="H33" s="109">
        <v>0.10992778964617919</v>
      </c>
      <c r="I33" s="112">
        <v>1</v>
      </c>
      <c r="K33" s="113">
        <f>F33+G33</f>
        <v>4.7000969872748863E-2</v>
      </c>
      <c r="L33" s="98">
        <f>SUM(L34:L49)</f>
        <v>729220.64292341308</v>
      </c>
    </row>
    <row r="34" spans="1:12" hidden="1">
      <c r="A34" s="545">
        <v>1</v>
      </c>
      <c r="B34" s="108" t="s">
        <v>690</v>
      </c>
      <c r="C34" s="109">
        <v>0.49229156602087693</v>
      </c>
      <c r="D34" s="109">
        <v>0.27621144100372907</v>
      </c>
      <c r="E34" s="109">
        <v>0.10186498453256364</v>
      </c>
      <c r="F34" s="109">
        <v>4.1901259350047626E-2</v>
      </c>
      <c r="G34" s="109">
        <v>0</v>
      </c>
      <c r="H34" s="109">
        <v>8.7730749092782695E-2</v>
      </c>
      <c r="I34" s="112">
        <v>0.99999999999999989</v>
      </c>
      <c r="K34" s="113">
        <f t="shared" ref="K34:K49" si="1">F34+G34</f>
        <v>4.1901259350047626E-2</v>
      </c>
      <c r="L34" s="98">
        <v>119595.577569407</v>
      </c>
    </row>
    <row r="35" spans="1:12" hidden="1">
      <c r="A35" s="545">
        <v>2</v>
      </c>
      <c r="B35" s="108" t="s">
        <v>690</v>
      </c>
      <c r="C35" s="109">
        <v>0.4616833435941215</v>
      </c>
      <c r="D35" s="109">
        <v>0.33779851515833248</v>
      </c>
      <c r="E35" s="109">
        <v>0.12287337564722189</v>
      </c>
      <c r="F35" s="109">
        <v>5.037888260720022E-2</v>
      </c>
      <c r="G35" s="109">
        <v>0</v>
      </c>
      <c r="H35" s="109">
        <v>2.7265882993123998E-2</v>
      </c>
      <c r="I35" s="112">
        <v>1</v>
      </c>
      <c r="K35" s="113">
        <f t="shared" si="1"/>
        <v>5.037888260720022E-2</v>
      </c>
      <c r="L35" s="98">
        <v>33616.997018630398</v>
      </c>
    </row>
    <row r="36" spans="1:12" hidden="1">
      <c r="A36" s="545">
        <v>3</v>
      </c>
      <c r="B36" s="108" t="s">
        <v>690</v>
      </c>
      <c r="C36" s="109">
        <v>0.35133698669636287</v>
      </c>
      <c r="D36" s="109">
        <v>0.29735123533889662</v>
      </c>
      <c r="E36" s="109">
        <v>0.15972187120791284</v>
      </c>
      <c r="F36" s="109">
        <v>5.9548007170190667E-2</v>
      </c>
      <c r="G36" s="109">
        <v>0</v>
      </c>
      <c r="H36" s="109">
        <v>0.13204189958663687</v>
      </c>
      <c r="I36" s="112">
        <v>0.99999999999999978</v>
      </c>
      <c r="K36" s="113">
        <f t="shared" si="1"/>
        <v>5.9548007170190667E-2</v>
      </c>
      <c r="L36" s="98">
        <v>9405.1639436092391</v>
      </c>
    </row>
    <row r="37" spans="1:12" hidden="1">
      <c r="A37" s="545">
        <v>4</v>
      </c>
      <c r="B37" s="108" t="s">
        <v>690</v>
      </c>
      <c r="C37" s="109">
        <v>0.1054345310140103</v>
      </c>
      <c r="D37" s="109">
        <v>0.33085784923676231</v>
      </c>
      <c r="E37" s="109">
        <v>0.44093491419994485</v>
      </c>
      <c r="F37" s="109">
        <v>4.5761264415698999E-2</v>
      </c>
      <c r="G37" s="109">
        <v>0</v>
      </c>
      <c r="H37" s="109">
        <v>7.7011441133583505E-2</v>
      </c>
      <c r="I37" s="112">
        <v>0.99999999999999989</v>
      </c>
      <c r="K37" s="113">
        <f t="shared" si="1"/>
        <v>4.5761264415698999E-2</v>
      </c>
      <c r="L37" s="98">
        <v>45237.817363033399</v>
      </c>
    </row>
    <row r="38" spans="1:12" hidden="1">
      <c r="A38" s="545">
        <v>5</v>
      </c>
      <c r="B38" s="108" t="s">
        <v>690</v>
      </c>
      <c r="C38" s="109">
        <v>0.27174546020805568</v>
      </c>
      <c r="D38" s="109">
        <v>0.34074192103795709</v>
      </c>
      <c r="E38" s="109">
        <v>0.22424547423259861</v>
      </c>
      <c r="F38" s="109">
        <v>8.8750291577199422E-2</v>
      </c>
      <c r="G38" s="109">
        <v>0</v>
      </c>
      <c r="H38" s="109">
        <v>7.4516852944189194E-2</v>
      </c>
      <c r="I38" s="112">
        <v>0.99999999999999989</v>
      </c>
      <c r="K38" s="113">
        <f t="shared" si="1"/>
        <v>8.8750291577199422E-2</v>
      </c>
      <c r="L38" s="98">
        <v>43153.105531319401</v>
      </c>
    </row>
    <row r="39" spans="1:12" hidden="1">
      <c r="A39" s="545">
        <v>6</v>
      </c>
      <c r="B39" s="108" t="s">
        <v>690</v>
      </c>
      <c r="C39" s="109">
        <v>0.36794135926948235</v>
      </c>
      <c r="D39" s="109">
        <v>0.31173018373562822</v>
      </c>
      <c r="E39" s="109">
        <v>7.3232661653941003E-2</v>
      </c>
      <c r="F39" s="109">
        <v>3.2108609780588292E-2</v>
      </c>
      <c r="G39" s="109">
        <v>0</v>
      </c>
      <c r="H39" s="109">
        <v>0.21498718556036014</v>
      </c>
      <c r="I39" s="112">
        <v>1</v>
      </c>
      <c r="K39" s="113">
        <f t="shared" si="1"/>
        <v>3.2108609780588292E-2</v>
      </c>
      <c r="L39" s="98">
        <v>34954.8250034964</v>
      </c>
    </row>
    <row r="40" spans="1:12" hidden="1">
      <c r="A40" s="545">
        <v>7</v>
      </c>
      <c r="B40" s="108" t="s">
        <v>690</v>
      </c>
      <c r="C40" s="109">
        <v>0.49357998544058496</v>
      </c>
      <c r="D40" s="109">
        <v>0.27608269401002911</v>
      </c>
      <c r="E40" s="109">
        <v>6.4239191661350004E-2</v>
      </c>
      <c r="F40" s="109">
        <v>2.7310472436036338E-2</v>
      </c>
      <c r="G40" s="109">
        <v>2.0299051498175917E-3</v>
      </c>
      <c r="H40" s="109">
        <v>0.13675775130218204</v>
      </c>
      <c r="I40" s="112">
        <v>1</v>
      </c>
      <c r="K40" s="113">
        <f t="shared" si="1"/>
        <v>2.9340377585853929E-2</v>
      </c>
      <c r="L40" s="98">
        <v>168128.07741813399</v>
      </c>
    </row>
    <row r="41" spans="1:12" hidden="1">
      <c r="A41" s="545">
        <v>8</v>
      </c>
      <c r="B41" s="108" t="s">
        <v>690</v>
      </c>
      <c r="C41" s="109">
        <v>0.26930889645050166</v>
      </c>
      <c r="D41" s="109">
        <v>0.48402865259070987</v>
      </c>
      <c r="E41" s="109">
        <v>9.7879686240195884E-2</v>
      </c>
      <c r="F41" s="109">
        <v>9.0458863759883046E-2</v>
      </c>
      <c r="G41" s="109">
        <v>0</v>
      </c>
      <c r="H41" s="109">
        <v>5.8323900958709644E-2</v>
      </c>
      <c r="I41" s="112">
        <v>1</v>
      </c>
      <c r="K41" s="113">
        <f t="shared" si="1"/>
        <v>9.0458863759883046E-2</v>
      </c>
      <c r="L41" s="98">
        <v>24229.8711410219</v>
      </c>
    </row>
    <row r="42" spans="1:12" hidden="1">
      <c r="A42" s="545">
        <v>9</v>
      </c>
      <c r="B42" s="108" t="s">
        <v>690</v>
      </c>
      <c r="C42" s="109">
        <v>0.26610117258756211</v>
      </c>
      <c r="D42" s="109">
        <v>0.24380818684659047</v>
      </c>
      <c r="E42" s="109">
        <v>0.23268647056622224</v>
      </c>
      <c r="F42" s="109">
        <v>8.9894983109559498E-2</v>
      </c>
      <c r="G42" s="109">
        <v>0</v>
      </c>
      <c r="H42" s="109">
        <v>0.16750918689006558</v>
      </c>
      <c r="I42" s="112">
        <v>0.99999999999999989</v>
      </c>
      <c r="K42" s="113">
        <f t="shared" si="1"/>
        <v>8.9894983109559498E-2</v>
      </c>
      <c r="L42" s="98">
        <v>11692.4715124552</v>
      </c>
    </row>
    <row r="43" spans="1:12" hidden="1">
      <c r="A43" s="545">
        <v>10</v>
      </c>
      <c r="B43" s="108" t="s">
        <v>690</v>
      </c>
      <c r="C43" s="109">
        <v>0.23333439676499831</v>
      </c>
      <c r="D43" s="109">
        <v>0.31235343489152267</v>
      </c>
      <c r="E43" s="109">
        <v>0.22634974217709103</v>
      </c>
      <c r="F43" s="109">
        <v>7.8500252068401583E-2</v>
      </c>
      <c r="G43" s="109">
        <v>0</v>
      </c>
      <c r="H43" s="109">
        <v>0.14946217409798648</v>
      </c>
      <c r="I43" s="112">
        <v>1.0000000000000002</v>
      </c>
      <c r="K43" s="113">
        <f t="shared" si="1"/>
        <v>7.8500252068401583E-2</v>
      </c>
      <c r="L43" s="98">
        <v>33664.067962068999</v>
      </c>
    </row>
    <row r="44" spans="1:12" hidden="1">
      <c r="A44" s="545">
        <v>11</v>
      </c>
      <c r="B44" s="108" t="s">
        <v>690</v>
      </c>
      <c r="C44" s="109">
        <v>0.15071273269320182</v>
      </c>
      <c r="D44" s="109">
        <v>0.31828928020856179</v>
      </c>
      <c r="E44" s="109">
        <v>0.2353499666465371</v>
      </c>
      <c r="F44" s="109">
        <v>0.12159304215498382</v>
      </c>
      <c r="G44" s="109">
        <v>0</v>
      </c>
      <c r="H44" s="109">
        <v>0.17405497829671537</v>
      </c>
      <c r="I44" s="112">
        <v>0.99999999999999978</v>
      </c>
      <c r="K44" s="113">
        <f t="shared" si="1"/>
        <v>0.12159304215498382</v>
      </c>
      <c r="L44" s="98">
        <v>35588.191164836702</v>
      </c>
    </row>
    <row r="45" spans="1:12" hidden="1">
      <c r="A45" s="545" t="s">
        <v>741</v>
      </c>
      <c r="B45" s="108" t="s">
        <v>690</v>
      </c>
      <c r="C45" s="109">
        <v>0.27133901509099106</v>
      </c>
      <c r="D45" s="109">
        <v>0.51706159038885724</v>
      </c>
      <c r="E45" s="109">
        <v>8.6642331839518361E-2</v>
      </c>
      <c r="F45" s="109">
        <v>3.9424143817435447E-2</v>
      </c>
      <c r="G45" s="109">
        <v>0</v>
      </c>
      <c r="H45" s="109">
        <v>8.5532918863197874E-2</v>
      </c>
      <c r="I45" s="112">
        <v>1</v>
      </c>
      <c r="K45" s="113">
        <f t="shared" si="1"/>
        <v>3.9424143817435447E-2</v>
      </c>
      <c r="L45" s="98">
        <v>66439.552526901098</v>
      </c>
    </row>
    <row r="46" spans="1:12" hidden="1">
      <c r="A46" s="545" t="s">
        <v>742</v>
      </c>
      <c r="B46" s="108" t="s">
        <v>690</v>
      </c>
      <c r="C46" s="109">
        <v>0.33099060756255672</v>
      </c>
      <c r="D46" s="109">
        <v>0.25225531947529478</v>
      </c>
      <c r="E46" s="109">
        <v>0.10310907180993627</v>
      </c>
      <c r="F46" s="109">
        <v>6.9768474467105709E-3</v>
      </c>
      <c r="G46" s="109">
        <v>0</v>
      </c>
      <c r="H46" s="109">
        <v>0.30666815370550166</v>
      </c>
      <c r="I46" s="112">
        <v>1</v>
      </c>
      <c r="K46" s="113">
        <f t="shared" si="1"/>
        <v>6.9768474467105709E-3</v>
      </c>
      <c r="L46" s="98">
        <v>21127.579698825699</v>
      </c>
    </row>
    <row r="47" spans="1:12" hidden="1">
      <c r="A47" s="545">
        <v>13</v>
      </c>
      <c r="B47" s="108" t="s">
        <v>690</v>
      </c>
      <c r="C47" s="109">
        <v>0.32632305309109705</v>
      </c>
      <c r="D47" s="109">
        <v>0.41747371686932522</v>
      </c>
      <c r="E47" s="109">
        <v>0.1875124167563573</v>
      </c>
      <c r="F47" s="109">
        <v>3.6549681307580462E-2</v>
      </c>
      <c r="G47" s="109">
        <v>0</v>
      </c>
      <c r="H47" s="109">
        <v>3.2141131975639961E-2</v>
      </c>
      <c r="I47" s="112">
        <v>1</v>
      </c>
      <c r="K47" s="113">
        <f t="shared" si="1"/>
        <v>3.6549681307580462E-2</v>
      </c>
      <c r="L47" s="98">
        <v>29100.3242667962</v>
      </c>
    </row>
    <row r="48" spans="1:12" hidden="1">
      <c r="A48" s="545">
        <v>16</v>
      </c>
      <c r="B48" s="108" t="s">
        <v>690</v>
      </c>
      <c r="C48" s="109">
        <v>0.74894659337207037</v>
      </c>
      <c r="D48" s="109">
        <v>0.2123471506508848</v>
      </c>
      <c r="E48" s="109">
        <v>2.4644793841334337E-2</v>
      </c>
      <c r="F48" s="109">
        <v>0</v>
      </c>
      <c r="G48" s="109">
        <v>0</v>
      </c>
      <c r="H48" s="109">
        <v>1.4061462135710375E-2</v>
      </c>
      <c r="I48" s="112">
        <v>0.99999999999999989</v>
      </c>
      <c r="K48" s="113">
        <f t="shared" si="1"/>
        <v>0</v>
      </c>
      <c r="L48" s="98">
        <v>38649.953145301697</v>
      </c>
    </row>
    <row r="49" spans="1:20" hidden="1">
      <c r="A49" s="545">
        <v>17</v>
      </c>
      <c r="B49" s="108" t="s">
        <v>690</v>
      </c>
      <c r="C49" s="109">
        <v>0.57666003242367558</v>
      </c>
      <c r="D49" s="109">
        <v>0.21316775843059591</v>
      </c>
      <c r="E49" s="109">
        <v>0</v>
      </c>
      <c r="F49" s="109">
        <v>6.9057190237551511E-2</v>
      </c>
      <c r="G49" s="109">
        <v>0</v>
      </c>
      <c r="H49" s="109">
        <v>0.14111501890817699</v>
      </c>
      <c r="I49" s="112">
        <v>1</v>
      </c>
      <c r="K49" s="113">
        <f t="shared" si="1"/>
        <v>6.9057190237551511E-2</v>
      </c>
      <c r="L49" s="98">
        <v>14637.067657575701</v>
      </c>
    </row>
    <row r="50" spans="1:20" hidden="1"/>
    <row r="51" spans="1:20" hidden="1"/>
    <row r="52" spans="1:20" hidden="1"/>
    <row r="53" spans="1:20" hidden="1">
      <c r="E53" s="5" t="s">
        <v>752</v>
      </c>
    </row>
    <row r="54" spans="1:20" hidden="1">
      <c r="A54" s="788" t="s">
        <v>2</v>
      </c>
      <c r="B54" s="790" t="s">
        <v>753</v>
      </c>
      <c r="C54" s="790"/>
      <c r="D54" s="790"/>
      <c r="E54" s="114">
        <v>61112.2</v>
      </c>
    </row>
    <row r="55" spans="1:20" hidden="1">
      <c r="A55" s="788"/>
      <c r="B55" s="790" t="s">
        <v>754</v>
      </c>
      <c r="C55" s="790"/>
      <c r="D55" s="790"/>
      <c r="E55" s="115">
        <v>297298.7</v>
      </c>
    </row>
    <row r="56" spans="1:20" hidden="1">
      <c r="A56" s="789" t="s">
        <v>3</v>
      </c>
      <c r="B56" s="61" t="s">
        <v>755</v>
      </c>
      <c r="C56" s="61"/>
      <c r="D56" s="61"/>
      <c r="E56" s="116">
        <v>771141.35002315126</v>
      </c>
    </row>
    <row r="57" spans="1:20" hidden="1">
      <c r="A57" s="789"/>
      <c r="B57" s="61" t="s">
        <v>756</v>
      </c>
      <c r="C57" s="61"/>
      <c r="D57" s="61"/>
      <c r="E57" s="115">
        <f>F57*E56</f>
        <v>304706.35579540255</v>
      </c>
      <c r="F57" s="109">
        <v>0.3951368394215336</v>
      </c>
    </row>
    <row r="58" spans="1:20" hidden="1">
      <c r="B58" s="61"/>
      <c r="C58" s="61"/>
      <c r="D58" s="61"/>
      <c r="E58" s="61"/>
    </row>
    <row r="59" spans="1:20" hidden="1">
      <c r="B59" s="61" t="s">
        <v>757</v>
      </c>
      <c r="C59" s="61"/>
      <c r="D59" s="61"/>
      <c r="E59" s="117">
        <f>E54/E57</f>
        <v>0.20056096250592903</v>
      </c>
    </row>
    <row r="60" spans="1:20" hidden="1"/>
    <row r="61" spans="1:20" ht="13.9" hidden="1" thickBot="1"/>
    <row r="62" spans="1:20" ht="18.600000000000001" hidden="1" thickBot="1">
      <c r="A62" s="173" t="s">
        <v>3</v>
      </c>
      <c r="B62" s="174"/>
      <c r="C62" s="783" t="s">
        <v>758</v>
      </c>
      <c r="D62" s="784"/>
      <c r="E62" s="784"/>
      <c r="F62" s="784"/>
      <c r="G62" s="784"/>
      <c r="H62" s="785"/>
      <c r="I62" s="783" t="s">
        <v>759</v>
      </c>
      <c r="J62" s="784"/>
      <c r="K62" s="784"/>
      <c r="L62" s="784"/>
      <c r="M62" s="784"/>
      <c r="N62" s="785"/>
      <c r="O62" s="783" t="s">
        <v>401</v>
      </c>
      <c r="P62" s="784"/>
      <c r="Q62" s="784"/>
      <c r="R62" s="784"/>
      <c r="S62" s="784"/>
      <c r="T62" s="785"/>
    </row>
    <row r="63" spans="1:20" ht="42" hidden="1" thickBot="1">
      <c r="A63" s="161" t="s">
        <v>760</v>
      </c>
      <c r="B63" s="162" t="s">
        <v>51</v>
      </c>
      <c r="C63" s="163" t="s">
        <v>746</v>
      </c>
      <c r="D63" s="164" t="s">
        <v>227</v>
      </c>
      <c r="E63" s="164" t="s">
        <v>228</v>
      </c>
      <c r="F63" s="165" t="s">
        <v>229</v>
      </c>
      <c r="G63" s="166" t="s">
        <v>761</v>
      </c>
      <c r="H63" s="167" t="s">
        <v>401</v>
      </c>
      <c r="I63" s="163" t="s">
        <v>746</v>
      </c>
      <c r="J63" s="164" t="s">
        <v>227</v>
      </c>
      <c r="K63" s="164" t="s">
        <v>228</v>
      </c>
      <c r="L63" s="165" t="s">
        <v>229</v>
      </c>
      <c r="M63" s="166" t="s">
        <v>761</v>
      </c>
      <c r="N63" s="167" t="s">
        <v>401</v>
      </c>
      <c r="O63" s="163" t="s">
        <v>746</v>
      </c>
      <c r="P63" s="164" t="s">
        <v>227</v>
      </c>
      <c r="Q63" s="164" t="s">
        <v>228</v>
      </c>
      <c r="R63" s="165" t="s">
        <v>229</v>
      </c>
      <c r="S63" s="166" t="s">
        <v>761</v>
      </c>
      <c r="T63" s="167" t="s">
        <v>401</v>
      </c>
    </row>
    <row r="64" spans="1:20" ht="13.9" hidden="1">
      <c r="A64" s="168" t="s">
        <v>691</v>
      </c>
      <c r="B64" s="169" t="s">
        <v>690</v>
      </c>
      <c r="C64" s="170">
        <v>276678.50943546015</v>
      </c>
      <c r="D64" s="171">
        <v>241828.11236100906</v>
      </c>
      <c r="E64" s="171">
        <v>95988.859947190154</v>
      </c>
      <c r="F64" s="171">
        <v>35630.299474390566</v>
      </c>
      <c r="G64" s="171">
        <v>61102.024891377885</v>
      </c>
      <c r="H64" s="172">
        <v>711227.80610942654</v>
      </c>
      <c r="I64" s="170">
        <v>29971.080187286479</v>
      </c>
      <c r="J64" s="171">
        <v>16040.623086662659</v>
      </c>
      <c r="K64" s="171">
        <v>7634.2166724879353</v>
      </c>
      <c r="L64" s="171">
        <v>1514.2893197608907</v>
      </c>
      <c r="M64" s="171">
        <v>4638.4938280552424</v>
      </c>
      <c r="N64" s="172">
        <v>59798.703094253251</v>
      </c>
      <c r="O64" s="144">
        <f>C64+I64</f>
        <v>306649.58962274663</v>
      </c>
      <c r="P64" s="144">
        <f t="shared" ref="P64:T79" si="2">D64+J64</f>
        <v>257868.73544767173</v>
      </c>
      <c r="Q64" s="144">
        <f t="shared" si="2"/>
        <v>103623.07661967809</v>
      </c>
      <c r="R64" s="144">
        <f t="shared" si="2"/>
        <v>37144.588794151459</v>
      </c>
      <c r="S64" s="144">
        <f t="shared" si="2"/>
        <v>65740.518719433123</v>
      </c>
      <c r="T64" s="144">
        <f t="shared" si="2"/>
        <v>771026.50920367974</v>
      </c>
    </row>
    <row r="65" spans="1:20" ht="13.9" hidden="1">
      <c r="A65" s="168" t="s">
        <v>762</v>
      </c>
      <c r="B65" s="169" t="s">
        <v>690</v>
      </c>
      <c r="C65" s="170">
        <v>53784.871797377891</v>
      </c>
      <c r="D65" s="171">
        <v>32999.721957680755</v>
      </c>
      <c r="E65" s="171">
        <v>10936.753366416111</v>
      </c>
      <c r="F65" s="171">
        <v>4585.3403267772846</v>
      </c>
      <c r="G65" s="171">
        <v>7468.4344883178173</v>
      </c>
      <c r="H65" s="172">
        <v>109775.12193656982</v>
      </c>
      <c r="I65" s="170">
        <v>7268.2041495836174</v>
      </c>
      <c r="J65" s="171">
        <v>694.39613092875175</v>
      </c>
      <c r="K65" s="171">
        <v>1204.1481292206493</v>
      </c>
      <c r="L65" s="171">
        <v>425.8628165440017</v>
      </c>
      <c r="M65" s="171">
        <v>186.1316306324054</v>
      </c>
      <c r="N65" s="172">
        <v>9778.7428569094209</v>
      </c>
      <c r="O65" s="144">
        <f t="shared" ref="O65:O80" si="3">C65+I65</f>
        <v>61053.075946961508</v>
      </c>
      <c r="P65" s="144">
        <f t="shared" si="2"/>
        <v>33694.11808860951</v>
      </c>
      <c r="Q65" s="144">
        <f t="shared" si="2"/>
        <v>12140.901495636761</v>
      </c>
      <c r="R65" s="144">
        <f t="shared" si="2"/>
        <v>5011.203143321286</v>
      </c>
      <c r="S65" s="144">
        <f t="shared" si="2"/>
        <v>7654.5661189502225</v>
      </c>
      <c r="T65" s="144">
        <f t="shared" si="2"/>
        <v>119553.86479347924</v>
      </c>
    </row>
    <row r="66" spans="1:20" ht="13.9" hidden="1">
      <c r="A66" s="168" t="s">
        <v>763</v>
      </c>
      <c r="B66" s="169" t="s">
        <v>690</v>
      </c>
      <c r="C66" s="170">
        <v>13352.817618318822</v>
      </c>
      <c r="D66" s="171">
        <v>9647.915966147466</v>
      </c>
      <c r="E66" s="171">
        <v>3659.6977019968758</v>
      </c>
      <c r="F66" s="171">
        <v>1714.0382895377147</v>
      </c>
      <c r="G66" s="171">
        <v>731.30135970610877</v>
      </c>
      <c r="H66" s="172">
        <v>29105.770935707005</v>
      </c>
      <c r="I66" s="170">
        <v>2187.0680015745816</v>
      </c>
      <c r="J66" s="171">
        <v>1767.358728191396</v>
      </c>
      <c r="K66" s="171">
        <v>470.93507215983493</v>
      </c>
      <c r="L66" s="171">
        <v>0</v>
      </c>
      <c r="M66" s="171">
        <v>85.855789588602278</v>
      </c>
      <c r="N66" s="172">
        <v>4511.2175915144153</v>
      </c>
      <c r="O66" s="144">
        <f t="shared" si="3"/>
        <v>15539.885619893405</v>
      </c>
      <c r="P66" s="144">
        <f t="shared" si="2"/>
        <v>11415.274694338863</v>
      </c>
      <c r="Q66" s="144">
        <f t="shared" si="2"/>
        <v>4130.6327741567111</v>
      </c>
      <c r="R66" s="144">
        <f t="shared" si="2"/>
        <v>1714.0382895377147</v>
      </c>
      <c r="S66" s="144">
        <f t="shared" si="2"/>
        <v>817.15714929471108</v>
      </c>
      <c r="T66" s="144">
        <f t="shared" si="2"/>
        <v>33616.988527221423</v>
      </c>
    </row>
    <row r="67" spans="1:20" ht="13.9" hidden="1">
      <c r="A67" s="168" t="s">
        <v>764</v>
      </c>
      <c r="B67" s="169" t="s">
        <v>690</v>
      </c>
      <c r="C67" s="170">
        <v>3193.2901698164151</v>
      </c>
      <c r="D67" s="171">
        <v>2796.6371171970573</v>
      </c>
      <c r="E67" s="171">
        <v>1418.2922608412782</v>
      </c>
      <c r="F67" s="171">
        <v>560.05876995086192</v>
      </c>
      <c r="G67" s="171">
        <v>1184.7169520952884</v>
      </c>
      <c r="H67" s="172">
        <v>9152.9952699009009</v>
      </c>
      <c r="I67" s="170">
        <v>111.09178951653708</v>
      </c>
      <c r="J67" s="171">
        <v>0</v>
      </c>
      <c r="K67" s="171">
        <v>83.918123249182642</v>
      </c>
      <c r="L67" s="171">
        <v>0</v>
      </c>
      <c r="M67" s="171">
        <v>57.15894282975929</v>
      </c>
      <c r="N67" s="172">
        <v>252.16885559547899</v>
      </c>
      <c r="O67" s="144">
        <f t="shared" si="3"/>
        <v>3304.3819593329522</v>
      </c>
      <c r="P67" s="144">
        <f t="shared" si="2"/>
        <v>2796.6371171970573</v>
      </c>
      <c r="Q67" s="144">
        <f t="shared" si="2"/>
        <v>1502.2103840904608</v>
      </c>
      <c r="R67" s="144">
        <f t="shared" si="2"/>
        <v>560.05876995086192</v>
      </c>
      <c r="S67" s="144">
        <f t="shared" si="2"/>
        <v>1241.8758949250478</v>
      </c>
      <c r="T67" s="144">
        <f t="shared" si="2"/>
        <v>9405.1641254963797</v>
      </c>
    </row>
    <row r="68" spans="1:20" ht="13.9" hidden="1">
      <c r="A68" s="168" t="s">
        <v>765</v>
      </c>
      <c r="B68" s="169" t="s">
        <v>690</v>
      </c>
      <c r="C68" s="170">
        <v>4769.6280577688785</v>
      </c>
      <c r="D68" s="171">
        <v>13172.607264945389</v>
      </c>
      <c r="E68" s="171">
        <v>17791.129909999563</v>
      </c>
      <c r="F68" s="171">
        <v>2050.2791221276198</v>
      </c>
      <c r="G68" s="171">
        <v>3043.2602561528465</v>
      </c>
      <c r="H68" s="172">
        <v>40826.904610994294</v>
      </c>
      <c r="I68" s="170">
        <v>0</v>
      </c>
      <c r="J68" s="171">
        <v>1794.6778108670169</v>
      </c>
      <c r="K68" s="171">
        <v>2167.3134849844846</v>
      </c>
      <c r="L68" s="171">
        <v>19.860599811251383</v>
      </c>
      <c r="M68" s="171">
        <v>440.56610135313628</v>
      </c>
      <c r="N68" s="172">
        <v>4422.4179970158893</v>
      </c>
      <c r="O68" s="144">
        <f t="shared" si="3"/>
        <v>4769.6280577688785</v>
      </c>
      <c r="P68" s="144">
        <f t="shared" si="2"/>
        <v>14967.285075812406</v>
      </c>
      <c r="Q68" s="144">
        <f t="shared" si="2"/>
        <v>19958.443394984046</v>
      </c>
      <c r="R68" s="144">
        <f t="shared" si="2"/>
        <v>2070.1397219388709</v>
      </c>
      <c r="S68" s="144">
        <f t="shared" si="2"/>
        <v>3483.8263575059827</v>
      </c>
      <c r="T68" s="144">
        <f t="shared" si="2"/>
        <v>45249.322608010181</v>
      </c>
    </row>
    <row r="69" spans="1:20" ht="13.9" hidden="1">
      <c r="A69" s="168" t="s">
        <v>766</v>
      </c>
      <c r="B69" s="169" t="s">
        <v>690</v>
      </c>
      <c r="C69" s="170">
        <v>11153.23918134357</v>
      </c>
      <c r="D69" s="171">
        <v>13330.880056440594</v>
      </c>
      <c r="E69" s="171">
        <v>9354.7826426589454</v>
      </c>
      <c r="F69" s="171">
        <v>3829.8506983662564</v>
      </c>
      <c r="G69" s="171">
        <v>2977.7771926170335</v>
      </c>
      <c r="H69" s="172">
        <v>40646.529771426402</v>
      </c>
      <c r="I69" s="170">
        <v>811.27776701699383</v>
      </c>
      <c r="J69" s="171">
        <v>1373.1990686526913</v>
      </c>
      <c r="K69" s="171">
        <v>322.10597182115447</v>
      </c>
      <c r="L69" s="171">
        <v>0</v>
      </c>
      <c r="M69" s="171">
        <v>0</v>
      </c>
      <c r="N69" s="172">
        <v>2506.5828074908391</v>
      </c>
      <c r="O69" s="144">
        <f t="shared" si="3"/>
        <v>11964.516948360564</v>
      </c>
      <c r="P69" s="144">
        <f t="shared" si="2"/>
        <v>14704.079125093285</v>
      </c>
      <c r="Q69" s="144">
        <f t="shared" si="2"/>
        <v>9676.8886144800999</v>
      </c>
      <c r="R69" s="144">
        <f t="shared" si="2"/>
        <v>3829.8506983662564</v>
      </c>
      <c r="S69" s="144">
        <f t="shared" si="2"/>
        <v>2977.7771926170335</v>
      </c>
      <c r="T69" s="144">
        <f t="shared" si="2"/>
        <v>43153.112578917244</v>
      </c>
    </row>
    <row r="70" spans="1:20" ht="13.9" hidden="1">
      <c r="A70" s="168" t="s">
        <v>767</v>
      </c>
      <c r="B70" s="169" t="s">
        <v>690</v>
      </c>
      <c r="C70" s="170">
        <v>11881.936651869441</v>
      </c>
      <c r="D70" s="171">
        <v>10003.91621148376</v>
      </c>
      <c r="E70" s="171">
        <v>2831.2619452424615</v>
      </c>
      <c r="F70" s="171">
        <v>1071.4579372409655</v>
      </c>
      <c r="G70" s="171">
        <v>6770.1529249104369</v>
      </c>
      <c r="H70" s="172">
        <v>32558.72567074707</v>
      </c>
      <c r="I70" s="170">
        <v>1071.7011271086483</v>
      </c>
      <c r="J70" s="171">
        <v>1012.7015797987644</v>
      </c>
      <c r="K70" s="171">
        <v>18.466682783849109</v>
      </c>
      <c r="L70" s="171">
        <v>50.893401592746116</v>
      </c>
      <c r="M70" s="171">
        <v>242.33329188609821</v>
      </c>
      <c r="N70" s="172">
        <v>2396.0960831701063</v>
      </c>
      <c r="O70" s="144">
        <f t="shared" si="3"/>
        <v>12953.637778978089</v>
      </c>
      <c r="P70" s="144">
        <f t="shared" si="2"/>
        <v>11016.617791282524</v>
      </c>
      <c r="Q70" s="144">
        <f t="shared" si="2"/>
        <v>2849.7286280263106</v>
      </c>
      <c r="R70" s="144">
        <f t="shared" si="2"/>
        <v>1122.3513388337117</v>
      </c>
      <c r="S70" s="144">
        <f t="shared" si="2"/>
        <v>7012.4862167965348</v>
      </c>
      <c r="T70" s="144">
        <f t="shared" si="2"/>
        <v>34954.821753917175</v>
      </c>
    </row>
    <row r="71" spans="1:20" ht="13.9" hidden="1">
      <c r="A71" s="168" t="s">
        <v>768</v>
      </c>
      <c r="B71" s="169" t="s">
        <v>690</v>
      </c>
      <c r="C71" s="170">
        <v>79852.487890634235</v>
      </c>
      <c r="D71" s="171">
        <v>49086.818373038222</v>
      </c>
      <c r="E71" s="171">
        <v>10354.364803989591</v>
      </c>
      <c r="F71" s="171">
        <v>5701.2154339954186</v>
      </c>
      <c r="G71" s="171">
        <v>16153.721443705144</v>
      </c>
      <c r="H71" s="172">
        <v>161148.60794536266</v>
      </c>
      <c r="I71" s="170">
        <v>3985.9000624435462</v>
      </c>
      <c r="J71" s="171">
        <v>2093.1092069247748</v>
      </c>
      <c r="K71" s="171">
        <v>446.04651823462962</v>
      </c>
      <c r="L71" s="171">
        <v>0</v>
      </c>
      <c r="M71" s="171">
        <v>403.53432468736685</v>
      </c>
      <c r="N71" s="172">
        <v>6928.5901122903178</v>
      </c>
      <c r="O71" s="144">
        <f t="shared" si="3"/>
        <v>83838.387953077778</v>
      </c>
      <c r="P71" s="144">
        <f t="shared" si="2"/>
        <v>51179.927579962998</v>
      </c>
      <c r="Q71" s="144">
        <f t="shared" si="2"/>
        <v>10800.411322224219</v>
      </c>
      <c r="R71" s="144">
        <f t="shared" si="2"/>
        <v>5701.2154339954186</v>
      </c>
      <c r="S71" s="144">
        <f t="shared" si="2"/>
        <v>16557.255768392512</v>
      </c>
      <c r="T71" s="144">
        <f t="shared" si="2"/>
        <v>168077.19805765297</v>
      </c>
    </row>
    <row r="72" spans="1:20" ht="13.9" hidden="1">
      <c r="A72" s="168" t="s">
        <v>769</v>
      </c>
      <c r="B72" s="169" t="s">
        <v>690</v>
      </c>
      <c r="C72" s="170">
        <v>6673.1279007423627</v>
      </c>
      <c r="D72" s="171">
        <v>10968.355036489755</v>
      </c>
      <c r="E72" s="171">
        <v>2306.1578987433923</v>
      </c>
      <c r="F72" s="171">
        <v>2050.2475039919823</v>
      </c>
      <c r="G72" s="171">
        <v>586.49540426124372</v>
      </c>
      <c r="H72" s="172">
        <v>22584.383744228726</v>
      </c>
      <c r="I72" s="170">
        <v>0</v>
      </c>
      <c r="J72" s="171">
        <v>877.84072674025026</v>
      </c>
      <c r="K72" s="171">
        <v>65.454111519472747</v>
      </c>
      <c r="L72" s="171">
        <v>141.55910847324157</v>
      </c>
      <c r="M72" s="171">
        <v>533.14052158190668</v>
      </c>
      <c r="N72" s="172">
        <v>1617.9944683148713</v>
      </c>
      <c r="O72" s="144">
        <f t="shared" si="3"/>
        <v>6673.1279007423627</v>
      </c>
      <c r="P72" s="144">
        <f t="shared" si="2"/>
        <v>11846.195763230005</v>
      </c>
      <c r="Q72" s="144">
        <f t="shared" si="2"/>
        <v>2371.6120102628652</v>
      </c>
      <c r="R72" s="144">
        <f t="shared" si="2"/>
        <v>2191.8066124652237</v>
      </c>
      <c r="S72" s="144">
        <f t="shared" si="2"/>
        <v>1119.6359258431503</v>
      </c>
      <c r="T72" s="144">
        <f t="shared" si="2"/>
        <v>24202.378212543597</v>
      </c>
    </row>
    <row r="73" spans="1:20" ht="13.9" hidden="1">
      <c r="A73" s="168" t="s">
        <v>770</v>
      </c>
      <c r="B73" s="169" t="s">
        <v>690</v>
      </c>
      <c r="C73" s="170">
        <v>2791.165376195032</v>
      </c>
      <c r="D73" s="171">
        <v>2824.4311314125794</v>
      </c>
      <c r="E73" s="171">
        <v>2664.3978681879853</v>
      </c>
      <c r="F73" s="171">
        <v>951.79973030611598</v>
      </c>
      <c r="G73" s="171">
        <v>1958.5963957866206</v>
      </c>
      <c r="H73" s="172">
        <v>11190.390501888336</v>
      </c>
      <c r="I73" s="170">
        <v>320.21883452073644</v>
      </c>
      <c r="J73" s="171">
        <v>26.28914779452667</v>
      </c>
      <c r="K73" s="171">
        <v>56.282998291277671</v>
      </c>
      <c r="L73" s="171">
        <v>99.294798815047102</v>
      </c>
      <c r="M73" s="171">
        <v>0</v>
      </c>
      <c r="N73" s="172">
        <v>502.08577942158792</v>
      </c>
      <c r="O73" s="144">
        <f t="shared" si="3"/>
        <v>3111.3842107157684</v>
      </c>
      <c r="P73" s="144">
        <f t="shared" si="2"/>
        <v>2850.7202792071062</v>
      </c>
      <c r="Q73" s="144">
        <f t="shared" si="2"/>
        <v>2720.6808664792629</v>
      </c>
      <c r="R73" s="144">
        <f t="shared" si="2"/>
        <v>1051.0945291211631</v>
      </c>
      <c r="S73" s="144">
        <f t="shared" si="2"/>
        <v>1958.5963957866206</v>
      </c>
      <c r="T73" s="144">
        <f t="shared" si="2"/>
        <v>11692.476281309924</v>
      </c>
    </row>
    <row r="74" spans="1:20" ht="13.9" hidden="1">
      <c r="A74" s="168" t="s">
        <v>771</v>
      </c>
      <c r="B74" s="169" t="s">
        <v>690</v>
      </c>
      <c r="C74" s="170">
        <v>7579.1686274047861</v>
      </c>
      <c r="D74" s="171">
        <v>10386.010993909897</v>
      </c>
      <c r="E74" s="171">
        <v>7421.6188471942942</v>
      </c>
      <c r="F74" s="171">
        <v>2642.637820670222</v>
      </c>
      <c r="G74" s="171">
        <v>3481.0138609830233</v>
      </c>
      <c r="H74" s="172">
        <v>31510.450150162214</v>
      </c>
      <c r="I74" s="170">
        <v>336.44067197769493</v>
      </c>
      <c r="J74" s="171">
        <v>681.73025969666105</v>
      </c>
      <c r="K74" s="171">
        <v>795.98880502661473</v>
      </c>
      <c r="L74" s="171">
        <v>0</v>
      </c>
      <c r="M74" s="171">
        <v>339.44771661452131</v>
      </c>
      <c r="N74" s="172">
        <v>2153.607453315492</v>
      </c>
      <c r="O74" s="144">
        <f t="shared" si="3"/>
        <v>7915.6092993824814</v>
      </c>
      <c r="P74" s="144">
        <f t="shared" si="2"/>
        <v>11067.741253606557</v>
      </c>
      <c r="Q74" s="144">
        <f t="shared" si="2"/>
        <v>8217.6076522209096</v>
      </c>
      <c r="R74" s="144">
        <f t="shared" si="2"/>
        <v>2642.637820670222</v>
      </c>
      <c r="S74" s="144">
        <f t="shared" si="2"/>
        <v>3820.4615775975444</v>
      </c>
      <c r="T74" s="144">
        <f t="shared" si="2"/>
        <v>33664.057603477704</v>
      </c>
    </row>
    <row r="75" spans="1:20" ht="13.9" hidden="1">
      <c r="A75" s="168" t="s">
        <v>772</v>
      </c>
      <c r="B75" s="169" t="s">
        <v>690</v>
      </c>
      <c r="C75" s="170">
        <v>5363.5935420605965</v>
      </c>
      <c r="D75" s="171">
        <v>12676.290359257242</v>
      </c>
      <c r="E75" s="171">
        <v>7990.6575004744682</v>
      </c>
      <c r="F75" s="171">
        <v>4097.6865638964509</v>
      </c>
      <c r="G75" s="171">
        <v>4780.4586498121407</v>
      </c>
      <c r="H75" s="172">
        <v>34908.686615500919</v>
      </c>
      <c r="I75" s="170">
        <v>0</v>
      </c>
      <c r="J75" s="171">
        <v>64.892409389122648</v>
      </c>
      <c r="K75" s="171">
        <v>385.02210318042978</v>
      </c>
      <c r="L75" s="171">
        <v>229.58833032386153</v>
      </c>
      <c r="M75" s="171">
        <v>0</v>
      </c>
      <c r="N75" s="172">
        <v>679.50284289341391</v>
      </c>
      <c r="O75" s="144">
        <f t="shared" si="3"/>
        <v>5363.5935420605965</v>
      </c>
      <c r="P75" s="144">
        <f t="shared" si="2"/>
        <v>12741.182768646364</v>
      </c>
      <c r="Q75" s="144">
        <f t="shared" si="2"/>
        <v>8375.6796036548985</v>
      </c>
      <c r="R75" s="144">
        <f t="shared" si="2"/>
        <v>4327.2748942203125</v>
      </c>
      <c r="S75" s="144">
        <f t="shared" si="2"/>
        <v>4780.4586498121407</v>
      </c>
      <c r="T75" s="144">
        <f t="shared" si="2"/>
        <v>35588.189458394336</v>
      </c>
    </row>
    <row r="76" spans="1:20" ht="13.9" hidden="1">
      <c r="A76" s="168" t="s">
        <v>773</v>
      </c>
      <c r="B76" s="169" t="s">
        <v>690</v>
      </c>
      <c r="C76" s="170">
        <v>15294.645648398549</v>
      </c>
      <c r="D76" s="171">
        <v>33670.859979968074</v>
      </c>
      <c r="E76" s="171">
        <v>6158.0382724230894</v>
      </c>
      <c r="F76" s="171">
        <v>2245.6254361515726</v>
      </c>
      <c r="G76" s="171">
        <v>2607.6682298140699</v>
      </c>
      <c r="H76" s="172">
        <v>59976.837566755414</v>
      </c>
      <c r="I76" s="170">
        <v>3368.2913868132864</v>
      </c>
      <c r="J76" s="171">
        <v>2076.6405880434086</v>
      </c>
      <c r="K76" s="171">
        <v>362.9596291584491</v>
      </c>
      <c r="L76" s="171">
        <v>436.23499075002923</v>
      </c>
      <c r="M76" s="171">
        <v>218.58919315904882</v>
      </c>
      <c r="N76" s="172">
        <v>6462.715787924225</v>
      </c>
      <c r="O76" s="144">
        <f t="shared" si="3"/>
        <v>18662.937035211835</v>
      </c>
      <c r="P76" s="144">
        <f t="shared" si="2"/>
        <v>35747.500568011485</v>
      </c>
      <c r="Q76" s="144">
        <f t="shared" si="2"/>
        <v>6520.9979015815388</v>
      </c>
      <c r="R76" s="144">
        <f t="shared" si="2"/>
        <v>2681.8604269016018</v>
      </c>
      <c r="S76" s="144">
        <f t="shared" si="2"/>
        <v>2826.257422973119</v>
      </c>
      <c r="T76" s="144">
        <f t="shared" si="2"/>
        <v>66439.553354679636</v>
      </c>
    </row>
    <row r="77" spans="1:20" ht="13.9" hidden="1">
      <c r="A77" s="168" t="s">
        <v>774</v>
      </c>
      <c r="B77" s="169" t="s">
        <v>690</v>
      </c>
      <c r="C77" s="170">
        <v>6659.2890374103326</v>
      </c>
      <c r="D77" s="171">
        <v>5920.1395908987997</v>
      </c>
      <c r="E77" s="171">
        <v>2160.3566863970491</v>
      </c>
      <c r="F77" s="171">
        <v>143.21594523859827</v>
      </c>
      <c r="G77" s="171">
        <v>3679.7168455295136</v>
      </c>
      <c r="H77" s="172">
        <v>18562.718105474298</v>
      </c>
      <c r="I77" s="170">
        <v>1088.5205291278387</v>
      </c>
      <c r="J77" s="171">
        <v>355.38021228671977</v>
      </c>
      <c r="K77" s="171">
        <v>18.08844593931893</v>
      </c>
      <c r="L77" s="171">
        <v>4.1884937781899065</v>
      </c>
      <c r="M77" s="171">
        <v>1098.6842075153841</v>
      </c>
      <c r="N77" s="172">
        <v>2564.861888647451</v>
      </c>
      <c r="O77" s="144">
        <f t="shared" si="3"/>
        <v>7747.8095665381716</v>
      </c>
      <c r="P77" s="144">
        <f t="shared" si="2"/>
        <v>6275.5198031855198</v>
      </c>
      <c r="Q77" s="144">
        <f t="shared" si="2"/>
        <v>2178.4451323363678</v>
      </c>
      <c r="R77" s="144">
        <f t="shared" si="2"/>
        <v>147.40443901678816</v>
      </c>
      <c r="S77" s="144">
        <f t="shared" si="2"/>
        <v>4778.4010530448977</v>
      </c>
      <c r="T77" s="144">
        <f t="shared" si="2"/>
        <v>21127.579994121748</v>
      </c>
    </row>
    <row r="78" spans="1:20" ht="13.9" hidden="1">
      <c r="A78" s="168" t="s">
        <v>775</v>
      </c>
      <c r="B78" s="169" t="s">
        <v>690</v>
      </c>
      <c r="C78" s="170">
        <v>8736.9076696496231</v>
      </c>
      <c r="D78" s="171">
        <v>10325.815710979356</v>
      </c>
      <c r="E78" s="171">
        <v>4770.6935408574054</v>
      </c>
      <c r="F78" s="171">
        <v>1039.1204391532453</v>
      </c>
      <c r="G78" s="171">
        <v>501.91351245108672</v>
      </c>
      <c r="H78" s="172">
        <v>25374.450873090707</v>
      </c>
      <c r="I78" s="170">
        <v>957.28989387577553</v>
      </c>
      <c r="J78" s="171">
        <v>1894.5277138910096</v>
      </c>
      <c r="K78" s="171">
        <v>822.47609196551105</v>
      </c>
      <c r="L78" s="171">
        <v>24.487138745404625</v>
      </c>
      <c r="M78" s="171">
        <v>27.085205142878113</v>
      </c>
      <c r="N78" s="172">
        <v>3725.8660436205791</v>
      </c>
      <c r="O78" s="144">
        <f t="shared" si="3"/>
        <v>9694.1975635253984</v>
      </c>
      <c r="P78" s="144">
        <f t="shared" si="2"/>
        <v>12220.343424870365</v>
      </c>
      <c r="Q78" s="144">
        <f t="shared" si="2"/>
        <v>5593.1696328229164</v>
      </c>
      <c r="R78" s="144">
        <f t="shared" si="2"/>
        <v>1063.6075778986499</v>
      </c>
      <c r="S78" s="144">
        <f t="shared" si="2"/>
        <v>528.99871759396478</v>
      </c>
      <c r="T78" s="144">
        <f t="shared" si="2"/>
        <v>29100.316916711286</v>
      </c>
    </row>
    <row r="79" spans="1:20" ht="13.9" hidden="1">
      <c r="A79" s="168" t="s">
        <v>776</v>
      </c>
      <c r="B79" s="169" t="s">
        <v>690</v>
      </c>
      <c r="C79" s="170">
        <v>22110.959560331481</v>
      </c>
      <c r="D79" s="171">
        <v>8207.2074231950155</v>
      </c>
      <c r="E79" s="171">
        <v>952.52012724319161</v>
      </c>
      <c r="F79" s="171">
        <v>0</v>
      </c>
      <c r="G79" s="171">
        <v>543.47485269963977</v>
      </c>
      <c r="H79" s="172">
        <v>31814.161963469323</v>
      </c>
      <c r="I79" s="170">
        <v>6835.7911818323537</v>
      </c>
      <c r="J79" s="171">
        <v>0</v>
      </c>
      <c r="K79" s="171">
        <v>0</v>
      </c>
      <c r="L79" s="171">
        <v>0</v>
      </c>
      <c r="M79" s="171">
        <v>0</v>
      </c>
      <c r="N79" s="172">
        <v>6835.7911818323537</v>
      </c>
      <c r="O79" s="144">
        <f t="shared" si="3"/>
        <v>28946.750742163837</v>
      </c>
      <c r="P79" s="144">
        <f t="shared" si="2"/>
        <v>8207.2074231950155</v>
      </c>
      <c r="Q79" s="144">
        <f t="shared" si="2"/>
        <v>952.52012724319161</v>
      </c>
      <c r="R79" s="144">
        <f t="shared" si="2"/>
        <v>0</v>
      </c>
      <c r="S79" s="144">
        <f t="shared" si="2"/>
        <v>543.47485269963977</v>
      </c>
      <c r="T79" s="144">
        <f t="shared" si="2"/>
        <v>38649.953145301675</v>
      </c>
    </row>
    <row r="80" spans="1:20" ht="13.9" hidden="1">
      <c r="A80" s="168" t="s">
        <v>777</v>
      </c>
      <c r="B80" s="169" t="s">
        <v>690</v>
      </c>
      <c r="C80" s="170">
        <v>8440.6119100051619</v>
      </c>
      <c r="D80" s="171">
        <v>2664.270108670979</v>
      </c>
      <c r="E80" s="171">
        <v>0</v>
      </c>
      <c r="F80" s="171">
        <v>1010.7947657491204</v>
      </c>
      <c r="G80" s="171">
        <v>1311.7005026617444</v>
      </c>
      <c r="H80" s="172">
        <v>13427.377287087003</v>
      </c>
      <c r="I80" s="170">
        <v>0</v>
      </c>
      <c r="J80" s="171">
        <v>455.88079389141535</v>
      </c>
      <c r="K80" s="171">
        <v>0</v>
      </c>
      <c r="L80" s="171">
        <v>0</v>
      </c>
      <c r="M80" s="171">
        <v>753.80957659732212</v>
      </c>
      <c r="N80" s="172">
        <v>1209.6903704887375</v>
      </c>
      <c r="O80" s="144">
        <f t="shared" si="3"/>
        <v>8440.6119100051619</v>
      </c>
      <c r="P80" s="144">
        <f>D80+J80</f>
        <v>3120.1509025623945</v>
      </c>
      <c r="Q80" s="144">
        <f>E80+K80</f>
        <v>0</v>
      </c>
      <c r="R80" s="144">
        <f>F80+L80</f>
        <v>1010.7947657491204</v>
      </c>
      <c r="S80" s="144">
        <f>G80+M80</f>
        <v>2065.5100792590665</v>
      </c>
      <c r="T80" s="144">
        <f>H80+N80</f>
        <v>14637.067657575741</v>
      </c>
    </row>
  </sheetData>
  <mergeCells count="17">
    <mergeCell ref="J1:AA1"/>
    <mergeCell ref="C2:G2"/>
    <mergeCell ref="L2:AA2"/>
    <mergeCell ref="K2:K3"/>
    <mergeCell ref="J2:J3"/>
    <mergeCell ref="A1:G1"/>
    <mergeCell ref="B2:B3"/>
    <mergeCell ref="A2:A3"/>
    <mergeCell ref="C62:H62"/>
    <mergeCell ref="I62:N62"/>
    <mergeCell ref="O62:T62"/>
    <mergeCell ref="J4:J9"/>
    <mergeCell ref="A54:A55"/>
    <mergeCell ref="A56:A57"/>
    <mergeCell ref="B54:D54"/>
    <mergeCell ref="B55:D55"/>
    <mergeCell ref="A4:A2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14"/>
  <dimension ref="A1:J2"/>
  <sheetViews>
    <sheetView workbookViewId="0">
      <selection sqref="A1:J1"/>
    </sheetView>
  </sheetViews>
  <sheetFormatPr defaultRowHeight="14.45"/>
  <sheetData>
    <row r="1" spans="1:10" ht="15.6" customHeight="1">
      <c r="A1" s="589" t="str">
        <f>"PV - "&amp;Prototype!A2</f>
        <v>PV - HotelSmall</v>
      </c>
      <c r="B1" s="589"/>
      <c r="C1" s="589"/>
      <c r="D1" s="589"/>
      <c r="E1" s="589"/>
      <c r="F1" s="589"/>
      <c r="G1" s="589"/>
      <c r="H1" s="589"/>
      <c r="I1" s="589"/>
      <c r="J1" s="589"/>
    </row>
    <row r="2" spans="1:10">
      <c r="A2" s="3" t="s">
        <v>778</v>
      </c>
      <c r="B2" s="3"/>
      <c r="C2" s="3"/>
      <c r="D2" s="3"/>
      <c r="E2" s="3"/>
      <c r="F2" s="3"/>
      <c r="G2" s="3"/>
      <c r="H2" s="3"/>
      <c r="I2" s="3"/>
      <c r="J2" s="3"/>
    </row>
  </sheetData>
  <mergeCells count="1">
    <mergeCell ref="A1:J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BC34"/>
  <sheetViews>
    <sheetView zoomScaleNormal="70" workbookViewId="0">
      <selection activeCell="K36" sqref="K36"/>
    </sheetView>
  </sheetViews>
  <sheetFormatPr defaultColWidth="8.7109375" defaultRowHeight="13.15"/>
  <cols>
    <col min="1" max="1" width="21" style="5" customWidth="1"/>
    <col min="2" max="2" width="14.28515625" style="5" customWidth="1"/>
    <col min="3" max="3" width="14.5703125" style="5" customWidth="1"/>
    <col min="4" max="8" width="8.7109375" style="5"/>
    <col min="9" max="9" width="13.7109375" style="5" customWidth="1"/>
    <col min="10" max="10" width="14.42578125" style="5" customWidth="1"/>
    <col min="11" max="16384" width="8.7109375" style="5"/>
  </cols>
  <sheetData>
    <row r="1" spans="1:55" ht="15.6">
      <c r="A1" s="589" t="str">
        <f>"EV Charger - "&amp;Prototype!A2</f>
        <v>EV Charger - HotelSmall</v>
      </c>
      <c r="B1" s="589"/>
      <c r="C1" s="589"/>
      <c r="D1" s="589"/>
      <c r="E1" s="589"/>
      <c r="F1" s="589"/>
      <c r="G1" s="589"/>
      <c r="H1" s="589"/>
    </row>
    <row r="2" spans="1:55">
      <c r="A2" s="5" t="s">
        <v>778</v>
      </c>
      <c r="B2" s="119"/>
      <c r="C2" s="120"/>
      <c r="D2" s="121"/>
      <c r="E2" s="121"/>
    </row>
    <row r="3" spans="1:55">
      <c r="A3" s="426"/>
      <c r="B3" s="524"/>
      <c r="C3" s="545"/>
      <c r="D3" s="122"/>
      <c r="E3" s="122"/>
    </row>
    <row r="11" spans="1:55" s="30" customFormat="1" hidden="1">
      <c r="A11" s="30" t="s">
        <v>193</v>
      </c>
      <c r="E11" s="31"/>
      <c r="F11" s="32"/>
      <c r="G11" s="33"/>
    </row>
    <row r="12" spans="1:55" hidden="1"/>
    <row r="13" spans="1:55" hidden="1"/>
    <row r="14" spans="1:55" s="124" customFormat="1" ht="13.9" hidden="1" thickBot="1">
      <c r="A14" s="123" t="s">
        <v>779</v>
      </c>
      <c r="K14" s="124" t="s">
        <v>780</v>
      </c>
    </row>
    <row r="15" spans="1:55" ht="13.9" hidden="1" thickBot="1">
      <c r="A15" s="6"/>
      <c r="B15" s="6"/>
      <c r="C15" s="6"/>
      <c r="D15" s="803" t="s">
        <v>781</v>
      </c>
      <c r="E15" s="804"/>
      <c r="F15" s="805"/>
      <c r="I15" s="118"/>
      <c r="J15" s="125"/>
      <c r="K15" s="800" t="s">
        <v>782</v>
      </c>
      <c r="L15" s="801"/>
      <c r="M15" s="801"/>
      <c r="N15" s="801"/>
      <c r="O15" s="801"/>
      <c r="P15" s="801"/>
      <c r="Q15" s="801"/>
      <c r="R15" s="801"/>
      <c r="S15" s="802"/>
      <c r="T15" s="801" t="s">
        <v>783</v>
      </c>
      <c r="U15" s="801"/>
      <c r="V15" s="801"/>
      <c r="W15" s="801"/>
      <c r="X15" s="801"/>
      <c r="Y15" s="801"/>
      <c r="Z15" s="801"/>
      <c r="AA15" s="801"/>
      <c r="AB15" s="802"/>
      <c r="AC15" s="800" t="s">
        <v>784</v>
      </c>
      <c r="AD15" s="801"/>
      <c r="AE15" s="801"/>
      <c r="AF15" s="801"/>
      <c r="AG15" s="801"/>
      <c r="AH15" s="801"/>
      <c r="AI15" s="801"/>
      <c r="AJ15" s="801"/>
      <c r="AK15" s="802"/>
      <c r="AL15" s="800" t="s">
        <v>785</v>
      </c>
      <c r="AM15" s="801"/>
      <c r="AN15" s="801"/>
      <c r="AO15" s="801"/>
      <c r="AP15" s="801"/>
      <c r="AQ15" s="801"/>
      <c r="AR15" s="801"/>
      <c r="AS15" s="801"/>
      <c r="AT15" s="802"/>
      <c r="AU15" s="800" t="s">
        <v>786</v>
      </c>
      <c r="AV15" s="801"/>
      <c r="AW15" s="801"/>
      <c r="AX15" s="801"/>
      <c r="AY15" s="801"/>
      <c r="AZ15" s="801"/>
      <c r="BA15" s="801"/>
      <c r="BB15" s="801"/>
      <c r="BC15" s="802"/>
    </row>
    <row r="16" spans="1:55" ht="39.6" hidden="1">
      <c r="A16" s="48" t="s">
        <v>787</v>
      </c>
      <c r="B16" s="48" t="s">
        <v>760</v>
      </c>
      <c r="C16" s="49" t="s">
        <v>51</v>
      </c>
      <c r="D16" s="126" t="s">
        <v>788</v>
      </c>
      <c r="E16" s="126" t="s">
        <v>99</v>
      </c>
      <c r="F16" s="126" t="s">
        <v>401</v>
      </c>
      <c r="I16" s="127" t="s">
        <v>760</v>
      </c>
      <c r="J16" s="128" t="s">
        <v>51</v>
      </c>
      <c r="K16" s="129" t="s">
        <v>789</v>
      </c>
      <c r="L16" s="130" t="s">
        <v>790</v>
      </c>
      <c r="M16" s="130" t="s">
        <v>791</v>
      </c>
      <c r="N16" s="130" t="s">
        <v>792</v>
      </c>
      <c r="O16" s="130" t="s">
        <v>793</v>
      </c>
      <c r="P16" s="130" t="s">
        <v>794</v>
      </c>
      <c r="Q16" s="130" t="s">
        <v>795</v>
      </c>
      <c r="R16" s="130" t="s">
        <v>796</v>
      </c>
      <c r="S16" s="131" t="s">
        <v>797</v>
      </c>
      <c r="T16" s="132" t="s">
        <v>789</v>
      </c>
      <c r="U16" s="130" t="s">
        <v>790</v>
      </c>
      <c r="V16" s="130" t="s">
        <v>791</v>
      </c>
      <c r="W16" s="130" t="s">
        <v>792</v>
      </c>
      <c r="X16" s="130" t="s">
        <v>793</v>
      </c>
      <c r="Y16" s="130" t="s">
        <v>794</v>
      </c>
      <c r="Z16" s="130" t="s">
        <v>795</v>
      </c>
      <c r="AA16" s="130" t="s">
        <v>796</v>
      </c>
      <c r="AB16" s="130" t="s">
        <v>798</v>
      </c>
      <c r="AC16" s="130" t="s">
        <v>789</v>
      </c>
      <c r="AD16" s="130" t="s">
        <v>790</v>
      </c>
      <c r="AE16" s="130" t="s">
        <v>791</v>
      </c>
      <c r="AF16" s="130" t="s">
        <v>792</v>
      </c>
      <c r="AG16" s="130" t="s">
        <v>793</v>
      </c>
      <c r="AH16" s="130" t="s">
        <v>794</v>
      </c>
      <c r="AI16" s="130" t="s">
        <v>795</v>
      </c>
      <c r="AJ16" s="130" t="s">
        <v>796</v>
      </c>
      <c r="AK16" s="130" t="s">
        <v>799</v>
      </c>
      <c r="AL16" s="130" t="s">
        <v>789</v>
      </c>
      <c r="AM16" s="130" t="s">
        <v>790</v>
      </c>
      <c r="AN16" s="130" t="s">
        <v>791</v>
      </c>
      <c r="AO16" s="130" t="s">
        <v>792</v>
      </c>
      <c r="AP16" s="130" t="s">
        <v>793</v>
      </c>
      <c r="AQ16" s="130" t="s">
        <v>794</v>
      </c>
      <c r="AR16" s="130" t="s">
        <v>795</v>
      </c>
      <c r="AS16" s="130" t="s">
        <v>796</v>
      </c>
      <c r="AT16" s="130" t="s">
        <v>800</v>
      </c>
      <c r="AU16" s="130" t="s">
        <v>789</v>
      </c>
      <c r="AV16" s="130" t="s">
        <v>790</v>
      </c>
      <c r="AW16" s="130" t="s">
        <v>791</v>
      </c>
      <c r="AX16" s="130" t="s">
        <v>792</v>
      </c>
      <c r="AY16" s="130" t="s">
        <v>793</v>
      </c>
      <c r="AZ16" s="130" t="s">
        <v>794</v>
      </c>
      <c r="BA16" s="130" t="s">
        <v>795</v>
      </c>
      <c r="BB16" s="130" t="s">
        <v>796</v>
      </c>
      <c r="BC16" s="130" t="s">
        <v>401</v>
      </c>
    </row>
    <row r="17" spans="1:55" hidden="1">
      <c r="A17" s="51" t="s">
        <v>801</v>
      </c>
      <c r="B17" s="52" t="s">
        <v>691</v>
      </c>
      <c r="C17" s="53" t="s">
        <v>690</v>
      </c>
      <c r="D17" s="55">
        <v>0.91629083545529211</v>
      </c>
      <c r="E17" s="54">
        <v>8.3709164544707934E-2</v>
      </c>
      <c r="F17" s="56">
        <v>1</v>
      </c>
      <c r="I17" s="52" t="s">
        <v>691</v>
      </c>
      <c r="J17" s="53" t="s">
        <v>690</v>
      </c>
      <c r="K17" s="133">
        <v>234.63109419938075</v>
      </c>
      <c r="L17" s="134">
        <v>257.26071009531398</v>
      </c>
      <c r="M17" s="134">
        <v>0</v>
      </c>
      <c r="N17" s="134">
        <v>514.26458157647869</v>
      </c>
      <c r="O17" s="134">
        <v>0</v>
      </c>
      <c r="P17" s="134">
        <v>22.221663997801063</v>
      </c>
      <c r="Q17" s="134">
        <v>197.98307335443729</v>
      </c>
      <c r="R17" s="134">
        <v>0</v>
      </c>
      <c r="S17" s="135">
        <v>1226.3611232234116</v>
      </c>
      <c r="T17" s="133">
        <v>108.94502133589977</v>
      </c>
      <c r="U17" s="134">
        <v>831.31991634954227</v>
      </c>
      <c r="V17" s="134">
        <v>0</v>
      </c>
      <c r="W17" s="134">
        <v>1332.4399257375558</v>
      </c>
      <c r="X17" s="134">
        <v>101.16411121740421</v>
      </c>
      <c r="Y17" s="134">
        <v>78.502372667385458</v>
      </c>
      <c r="Z17" s="134">
        <v>360.40603758226268</v>
      </c>
      <c r="AA17" s="134">
        <v>0</v>
      </c>
      <c r="AB17" s="135">
        <v>2812.7773848900501</v>
      </c>
      <c r="AC17" s="133">
        <v>21.375883128638311</v>
      </c>
      <c r="AD17" s="134">
        <v>0</v>
      </c>
      <c r="AE17" s="134">
        <v>0</v>
      </c>
      <c r="AF17" s="134">
        <v>15.713800739862089</v>
      </c>
      <c r="AG17" s="134">
        <v>0</v>
      </c>
      <c r="AH17" s="134">
        <v>0</v>
      </c>
      <c r="AI17" s="134">
        <v>0</v>
      </c>
      <c r="AJ17" s="134">
        <v>0</v>
      </c>
      <c r="AK17" s="135">
        <v>37.089683868500401</v>
      </c>
      <c r="AL17" s="133">
        <v>56.949890324869315</v>
      </c>
      <c r="AM17" s="134">
        <v>42.147584318104094</v>
      </c>
      <c r="AN17" s="134">
        <v>0</v>
      </c>
      <c r="AO17" s="134">
        <v>212.11012713552492</v>
      </c>
      <c r="AP17" s="134">
        <v>0</v>
      </c>
      <c r="AQ17" s="134">
        <v>25.7419607619861</v>
      </c>
      <c r="AR17" s="134">
        <v>0</v>
      </c>
      <c r="AS17" s="134">
        <v>0</v>
      </c>
      <c r="AT17" s="135">
        <v>336.94956254048441</v>
      </c>
      <c r="AU17" s="133">
        <v>421.90188898878813</v>
      </c>
      <c r="AV17" s="134">
        <v>1130.7282107629603</v>
      </c>
      <c r="AW17" s="134">
        <v>0</v>
      </c>
      <c r="AX17" s="134">
        <v>2074.5284351894215</v>
      </c>
      <c r="AY17" s="134">
        <v>101.16411121740421</v>
      </c>
      <c r="AZ17" s="134">
        <v>126.46599742717262</v>
      </c>
      <c r="BA17" s="134">
        <v>558.38911093670004</v>
      </c>
      <c r="BB17" s="134">
        <v>0</v>
      </c>
      <c r="BC17" s="135">
        <v>4413.1777545224468</v>
      </c>
    </row>
    <row r="18" spans="1:55" hidden="1">
      <c r="A18" s="51" t="s">
        <v>801</v>
      </c>
      <c r="B18" s="52" t="s">
        <v>762</v>
      </c>
      <c r="C18" s="53" t="s">
        <v>690</v>
      </c>
      <c r="D18" s="55">
        <v>0.88474891999606764</v>
      </c>
      <c r="E18" s="54">
        <v>0.11525108000393226</v>
      </c>
      <c r="F18" s="56">
        <v>1</v>
      </c>
      <c r="I18" s="52" t="s">
        <v>762</v>
      </c>
      <c r="J18" s="53" t="s">
        <v>690</v>
      </c>
      <c r="K18" s="133">
        <v>0</v>
      </c>
      <c r="L18" s="134">
        <v>0</v>
      </c>
      <c r="M18" s="134">
        <v>0</v>
      </c>
      <c r="N18" s="134">
        <v>92.114773643401861</v>
      </c>
      <c r="O18" s="134">
        <v>0</v>
      </c>
      <c r="P18" s="134">
        <v>0</v>
      </c>
      <c r="Q18" s="134">
        <v>5.6273316566652944</v>
      </c>
      <c r="R18" s="134">
        <v>0</v>
      </c>
      <c r="S18" s="135">
        <v>97.742105300067152</v>
      </c>
      <c r="T18" s="133">
        <v>0</v>
      </c>
      <c r="U18" s="134">
        <v>290.15374486882479</v>
      </c>
      <c r="V18" s="134">
        <v>0</v>
      </c>
      <c r="W18" s="134">
        <v>73.027736781594768</v>
      </c>
      <c r="X18" s="134">
        <v>95.664638163310002</v>
      </c>
      <c r="Y18" s="134">
        <v>65.739866280452532</v>
      </c>
      <c r="Z18" s="134">
        <v>24.342578927198254</v>
      </c>
      <c r="AA18" s="134">
        <v>0</v>
      </c>
      <c r="AB18" s="135">
        <v>548.92856502138034</v>
      </c>
      <c r="AC18" s="133">
        <v>0</v>
      </c>
      <c r="AD18" s="134">
        <v>0</v>
      </c>
      <c r="AE18" s="134">
        <v>0</v>
      </c>
      <c r="AF18" s="134">
        <v>0</v>
      </c>
      <c r="AG18" s="134">
        <v>0</v>
      </c>
      <c r="AH18" s="134">
        <v>0</v>
      </c>
      <c r="AI18" s="134">
        <v>0</v>
      </c>
      <c r="AJ18" s="134">
        <v>0</v>
      </c>
      <c r="AK18" s="135">
        <v>0</v>
      </c>
      <c r="AL18" s="133">
        <v>0</v>
      </c>
      <c r="AM18" s="134">
        <v>0</v>
      </c>
      <c r="AN18" s="134">
        <v>0</v>
      </c>
      <c r="AO18" s="134">
        <v>27.974784997679031</v>
      </c>
      <c r="AP18" s="134">
        <v>0</v>
      </c>
      <c r="AQ18" s="134">
        <v>24.342578927198254</v>
      </c>
      <c r="AR18" s="134">
        <v>0</v>
      </c>
      <c r="AS18" s="134">
        <v>0</v>
      </c>
      <c r="AT18" s="135">
        <v>52.317363924877284</v>
      </c>
      <c r="AU18" s="133">
        <v>0</v>
      </c>
      <c r="AV18" s="134">
        <v>290.15374486882479</v>
      </c>
      <c r="AW18" s="134">
        <v>0</v>
      </c>
      <c r="AX18" s="134">
        <v>193.11729542267565</v>
      </c>
      <c r="AY18" s="134">
        <v>95.664638163310002</v>
      </c>
      <c r="AZ18" s="134">
        <v>90.082445207650778</v>
      </c>
      <c r="BA18" s="134">
        <v>29.969910583863548</v>
      </c>
      <c r="BB18" s="134">
        <v>0</v>
      </c>
      <c r="BC18" s="135">
        <v>698.98803424632479</v>
      </c>
    </row>
    <row r="19" spans="1:55" hidden="1">
      <c r="A19" s="51" t="s">
        <v>801</v>
      </c>
      <c r="B19" s="52" t="s">
        <v>763</v>
      </c>
      <c r="C19" s="53" t="s">
        <v>690</v>
      </c>
      <c r="D19" s="55">
        <v>0.87664054902524069</v>
      </c>
      <c r="E19" s="54">
        <v>0.12335945097475935</v>
      </c>
      <c r="F19" s="56">
        <v>1</v>
      </c>
      <c r="I19" s="52" t="s">
        <v>763</v>
      </c>
      <c r="J19" s="53" t="s">
        <v>690</v>
      </c>
      <c r="K19" s="133">
        <v>0</v>
      </c>
      <c r="L19" s="134">
        <v>0</v>
      </c>
      <c r="M19" s="134">
        <v>0</v>
      </c>
      <c r="N19" s="134">
        <v>0</v>
      </c>
      <c r="O19" s="134">
        <v>0</v>
      </c>
      <c r="P19" s="134">
        <v>21.013652175205049</v>
      </c>
      <c r="Q19" s="134">
        <v>0</v>
      </c>
      <c r="R19" s="134">
        <v>0</v>
      </c>
      <c r="S19" s="135">
        <v>21.013652175205049</v>
      </c>
      <c r="T19" s="133">
        <v>0</v>
      </c>
      <c r="U19" s="134">
        <v>189.12286957684543</v>
      </c>
      <c r="V19" s="134">
        <v>0</v>
      </c>
      <c r="W19" s="134">
        <v>21.156124021741039</v>
      </c>
      <c r="X19" s="134">
        <v>0</v>
      </c>
      <c r="Y19" s="134">
        <v>0</v>
      </c>
      <c r="Z19" s="134">
        <v>0</v>
      </c>
      <c r="AA19" s="134">
        <v>0</v>
      </c>
      <c r="AB19" s="135">
        <v>210.27899359858648</v>
      </c>
      <c r="AC19" s="133">
        <v>0</v>
      </c>
      <c r="AD19" s="134">
        <v>0</v>
      </c>
      <c r="AE19" s="134">
        <v>0</v>
      </c>
      <c r="AF19" s="134">
        <v>0</v>
      </c>
      <c r="AG19" s="134">
        <v>0</v>
      </c>
      <c r="AH19" s="134">
        <v>0</v>
      </c>
      <c r="AI19" s="134">
        <v>0</v>
      </c>
      <c r="AJ19" s="134">
        <v>0</v>
      </c>
      <c r="AK19" s="135">
        <v>0</v>
      </c>
      <c r="AL19" s="133">
        <v>0</v>
      </c>
      <c r="AM19" s="134">
        <v>0</v>
      </c>
      <c r="AN19" s="134">
        <v>0</v>
      </c>
      <c r="AO19" s="134">
        <v>0</v>
      </c>
      <c r="AP19" s="134">
        <v>0</v>
      </c>
      <c r="AQ19" s="134">
        <v>0</v>
      </c>
      <c r="AR19" s="134">
        <v>0</v>
      </c>
      <c r="AS19" s="134">
        <v>0</v>
      </c>
      <c r="AT19" s="135">
        <v>0</v>
      </c>
      <c r="AU19" s="133">
        <v>0</v>
      </c>
      <c r="AV19" s="134">
        <v>189.12286957684543</v>
      </c>
      <c r="AW19" s="134">
        <v>0</v>
      </c>
      <c r="AX19" s="134">
        <v>21.156124021741039</v>
      </c>
      <c r="AY19" s="134">
        <v>0</v>
      </c>
      <c r="AZ19" s="134">
        <v>21.013652175205049</v>
      </c>
      <c r="BA19" s="134">
        <v>0</v>
      </c>
      <c r="BB19" s="134">
        <v>0</v>
      </c>
      <c r="BC19" s="135">
        <v>231.29264577379152</v>
      </c>
    </row>
    <row r="20" spans="1:55" hidden="1">
      <c r="A20" s="51" t="s">
        <v>801</v>
      </c>
      <c r="B20" s="52" t="s">
        <v>764</v>
      </c>
      <c r="C20" s="53" t="s">
        <v>690</v>
      </c>
      <c r="D20" s="55">
        <v>0.93389783863693032</v>
      </c>
      <c r="E20" s="54">
        <v>6.6102161363069678E-2</v>
      </c>
      <c r="F20" s="56">
        <v>1</v>
      </c>
      <c r="I20" s="52" t="s">
        <v>764</v>
      </c>
      <c r="J20" s="53" t="s">
        <v>690</v>
      </c>
      <c r="K20" s="133">
        <v>0</v>
      </c>
      <c r="L20" s="134">
        <v>78.750981979029874</v>
      </c>
      <c r="M20" s="134">
        <v>0</v>
      </c>
      <c r="N20" s="134">
        <v>0</v>
      </c>
      <c r="O20" s="134">
        <v>0</v>
      </c>
      <c r="P20" s="134">
        <v>0</v>
      </c>
      <c r="Q20" s="134">
        <v>0</v>
      </c>
      <c r="R20" s="134">
        <v>0</v>
      </c>
      <c r="S20" s="135">
        <v>78.750981979029874</v>
      </c>
      <c r="T20" s="133">
        <v>0</v>
      </c>
      <c r="U20" s="134">
        <v>0</v>
      </c>
      <c r="V20" s="134">
        <v>0</v>
      </c>
      <c r="W20" s="134">
        <v>0</v>
      </c>
      <c r="X20" s="134">
        <v>0</v>
      </c>
      <c r="Y20" s="134">
        <v>0</v>
      </c>
      <c r="Z20" s="134">
        <v>0</v>
      </c>
      <c r="AA20" s="134">
        <v>0</v>
      </c>
      <c r="AB20" s="135">
        <v>0</v>
      </c>
      <c r="AC20" s="133">
        <v>0</v>
      </c>
      <c r="AD20" s="134">
        <v>0</v>
      </c>
      <c r="AE20" s="134">
        <v>0</v>
      </c>
      <c r="AF20" s="134">
        <v>0</v>
      </c>
      <c r="AG20" s="134">
        <v>0</v>
      </c>
      <c r="AH20" s="134">
        <v>0</v>
      </c>
      <c r="AI20" s="134">
        <v>0</v>
      </c>
      <c r="AJ20" s="134">
        <v>0</v>
      </c>
      <c r="AK20" s="135">
        <v>0</v>
      </c>
      <c r="AL20" s="133">
        <v>0</v>
      </c>
      <c r="AM20" s="134">
        <v>12.871851042494857</v>
      </c>
      <c r="AN20" s="134">
        <v>0</v>
      </c>
      <c r="AO20" s="134">
        <v>0</v>
      </c>
      <c r="AP20" s="134">
        <v>0</v>
      </c>
      <c r="AQ20" s="134">
        <v>0</v>
      </c>
      <c r="AR20" s="134">
        <v>0</v>
      </c>
      <c r="AS20" s="134">
        <v>0</v>
      </c>
      <c r="AT20" s="135">
        <v>12.871851042494857</v>
      </c>
      <c r="AU20" s="133">
        <v>0</v>
      </c>
      <c r="AV20" s="134">
        <v>91.622833021524727</v>
      </c>
      <c r="AW20" s="134">
        <v>0</v>
      </c>
      <c r="AX20" s="134">
        <v>0</v>
      </c>
      <c r="AY20" s="134">
        <v>0</v>
      </c>
      <c r="AZ20" s="134">
        <v>0</v>
      </c>
      <c r="BA20" s="134">
        <v>0</v>
      </c>
      <c r="BB20" s="134">
        <v>0</v>
      </c>
      <c r="BC20" s="135">
        <v>91.622833021524727</v>
      </c>
    </row>
    <row r="21" spans="1:55" hidden="1">
      <c r="A21" s="51" t="s">
        <v>801</v>
      </c>
      <c r="B21" s="52" t="s">
        <v>765</v>
      </c>
      <c r="C21" s="53" t="s">
        <v>690</v>
      </c>
      <c r="D21" s="55">
        <v>0.82696528750038811</v>
      </c>
      <c r="E21" s="54">
        <v>0.1730347124996118</v>
      </c>
      <c r="F21" s="56">
        <v>1</v>
      </c>
      <c r="I21" s="52" t="s">
        <v>765</v>
      </c>
      <c r="J21" s="53" t="s">
        <v>690</v>
      </c>
      <c r="K21" s="133">
        <v>0</v>
      </c>
      <c r="L21" s="134">
        <v>0</v>
      </c>
      <c r="M21" s="134">
        <v>0</v>
      </c>
      <c r="N21" s="134">
        <v>0</v>
      </c>
      <c r="O21" s="134">
        <v>0</v>
      </c>
      <c r="P21" s="134">
        <v>0</v>
      </c>
      <c r="Q21" s="134">
        <v>0</v>
      </c>
      <c r="R21" s="134">
        <v>0</v>
      </c>
      <c r="S21" s="135">
        <v>0</v>
      </c>
      <c r="T21" s="133">
        <v>0</v>
      </c>
      <c r="U21" s="134">
        <v>0</v>
      </c>
      <c r="V21" s="134">
        <v>0</v>
      </c>
      <c r="W21" s="134">
        <v>44.110009786486408</v>
      </c>
      <c r="X21" s="134">
        <v>0</v>
      </c>
      <c r="Y21" s="134">
        <v>0</v>
      </c>
      <c r="Z21" s="134">
        <v>0</v>
      </c>
      <c r="AA21" s="134">
        <v>0</v>
      </c>
      <c r="AB21" s="135">
        <v>44.110009786486408</v>
      </c>
      <c r="AC21" s="133">
        <v>0</v>
      </c>
      <c r="AD21" s="134">
        <v>0</v>
      </c>
      <c r="AE21" s="134">
        <v>0</v>
      </c>
      <c r="AF21" s="134">
        <v>0</v>
      </c>
      <c r="AG21" s="134">
        <v>0</v>
      </c>
      <c r="AH21" s="134">
        <v>0</v>
      </c>
      <c r="AI21" s="134">
        <v>0</v>
      </c>
      <c r="AJ21" s="134">
        <v>0</v>
      </c>
      <c r="AK21" s="135">
        <v>0</v>
      </c>
      <c r="AL21" s="133">
        <v>0</v>
      </c>
      <c r="AM21" s="134">
        <v>26.98451061311329</v>
      </c>
      <c r="AN21" s="134">
        <v>0</v>
      </c>
      <c r="AO21" s="134">
        <v>0</v>
      </c>
      <c r="AP21" s="134">
        <v>0</v>
      </c>
      <c r="AQ21" s="134">
        <v>0</v>
      </c>
      <c r="AR21" s="134">
        <v>0</v>
      </c>
      <c r="AS21" s="134">
        <v>0</v>
      </c>
      <c r="AT21" s="135">
        <v>26.98451061311329</v>
      </c>
      <c r="AU21" s="133">
        <v>0</v>
      </c>
      <c r="AV21" s="134">
        <v>26.98451061311329</v>
      </c>
      <c r="AW21" s="134">
        <v>0</v>
      </c>
      <c r="AX21" s="134">
        <v>44.110009786486408</v>
      </c>
      <c r="AY21" s="134">
        <v>0</v>
      </c>
      <c r="AZ21" s="134">
        <v>0</v>
      </c>
      <c r="BA21" s="134">
        <v>0</v>
      </c>
      <c r="BB21" s="134">
        <v>0</v>
      </c>
      <c r="BC21" s="135">
        <v>71.094520399599702</v>
      </c>
    </row>
    <row r="22" spans="1:55" hidden="1">
      <c r="A22" s="51" t="s">
        <v>801</v>
      </c>
      <c r="B22" s="52" t="s">
        <v>766</v>
      </c>
      <c r="C22" s="53" t="s">
        <v>690</v>
      </c>
      <c r="D22" s="55">
        <v>0.9639940765832945</v>
      </c>
      <c r="E22" s="54">
        <v>3.6005923416705561E-2</v>
      </c>
      <c r="F22" s="56">
        <v>1</v>
      </c>
      <c r="I22" s="52" t="s">
        <v>766</v>
      </c>
      <c r="J22" s="53" t="s">
        <v>690</v>
      </c>
      <c r="K22" s="133">
        <v>0</v>
      </c>
      <c r="L22" s="134">
        <v>0</v>
      </c>
      <c r="M22" s="134">
        <v>0</v>
      </c>
      <c r="N22" s="134">
        <v>0</v>
      </c>
      <c r="O22" s="134">
        <v>0</v>
      </c>
      <c r="P22" s="134">
        <v>0</v>
      </c>
      <c r="Q22" s="134">
        <v>0</v>
      </c>
      <c r="R22" s="134">
        <v>0</v>
      </c>
      <c r="S22" s="135">
        <v>0</v>
      </c>
      <c r="T22" s="133">
        <v>0</v>
      </c>
      <c r="U22" s="134">
        <v>0</v>
      </c>
      <c r="V22" s="134">
        <v>0</v>
      </c>
      <c r="W22" s="134">
        <v>19.634672986614149</v>
      </c>
      <c r="X22" s="134">
        <v>0</v>
      </c>
      <c r="Y22" s="134">
        <v>0</v>
      </c>
      <c r="Z22" s="134">
        <v>0</v>
      </c>
      <c r="AA22" s="134">
        <v>0</v>
      </c>
      <c r="AB22" s="135">
        <v>19.634672986614149</v>
      </c>
      <c r="AC22" s="133">
        <v>0</v>
      </c>
      <c r="AD22" s="134">
        <v>0</v>
      </c>
      <c r="AE22" s="134">
        <v>0</v>
      </c>
      <c r="AF22" s="134">
        <v>0</v>
      </c>
      <c r="AG22" s="134">
        <v>0</v>
      </c>
      <c r="AH22" s="134">
        <v>0</v>
      </c>
      <c r="AI22" s="134">
        <v>0</v>
      </c>
      <c r="AJ22" s="134">
        <v>0</v>
      </c>
      <c r="AK22" s="135">
        <v>0</v>
      </c>
      <c r="AL22" s="133">
        <v>0</v>
      </c>
      <c r="AM22" s="134">
        <v>0</v>
      </c>
      <c r="AN22" s="134">
        <v>0</v>
      </c>
      <c r="AO22" s="134">
        <v>0</v>
      </c>
      <c r="AP22" s="134">
        <v>0</v>
      </c>
      <c r="AQ22" s="134">
        <v>0</v>
      </c>
      <c r="AR22" s="134">
        <v>0</v>
      </c>
      <c r="AS22" s="134">
        <v>0</v>
      </c>
      <c r="AT22" s="135">
        <v>0</v>
      </c>
      <c r="AU22" s="133">
        <v>0</v>
      </c>
      <c r="AV22" s="134">
        <v>0</v>
      </c>
      <c r="AW22" s="134">
        <v>0</v>
      </c>
      <c r="AX22" s="134">
        <v>19.634672986614149</v>
      </c>
      <c r="AY22" s="134">
        <v>0</v>
      </c>
      <c r="AZ22" s="134">
        <v>0</v>
      </c>
      <c r="BA22" s="134">
        <v>0</v>
      </c>
      <c r="BB22" s="134">
        <v>0</v>
      </c>
      <c r="BC22" s="135">
        <v>19.634672986614149</v>
      </c>
    </row>
    <row r="23" spans="1:55" hidden="1">
      <c r="A23" s="51" t="s">
        <v>801</v>
      </c>
      <c r="B23" s="52" t="s">
        <v>767</v>
      </c>
      <c r="C23" s="53" t="s">
        <v>690</v>
      </c>
      <c r="D23" s="55">
        <v>0.93408299941780015</v>
      </c>
      <c r="E23" s="54">
        <v>6.5917000582199917E-2</v>
      </c>
      <c r="F23" s="56">
        <v>1</v>
      </c>
      <c r="I23" s="52" t="s">
        <v>767</v>
      </c>
      <c r="J23" s="53" t="s">
        <v>690</v>
      </c>
      <c r="K23" s="133">
        <v>0</v>
      </c>
      <c r="L23" s="134">
        <v>0</v>
      </c>
      <c r="M23" s="134">
        <v>0</v>
      </c>
      <c r="N23" s="134">
        <v>0</v>
      </c>
      <c r="O23" s="134">
        <v>0</v>
      </c>
      <c r="P23" s="134">
        <v>0</v>
      </c>
      <c r="Q23" s="134">
        <v>0</v>
      </c>
      <c r="R23" s="134">
        <v>0</v>
      </c>
      <c r="S23" s="135">
        <v>0</v>
      </c>
      <c r="T23" s="133">
        <v>0</v>
      </c>
      <c r="U23" s="134">
        <v>0</v>
      </c>
      <c r="V23" s="134">
        <v>0</v>
      </c>
      <c r="W23" s="134">
        <v>0</v>
      </c>
      <c r="X23" s="134">
        <v>0</v>
      </c>
      <c r="Y23" s="134">
        <v>0</v>
      </c>
      <c r="Z23" s="134">
        <v>0</v>
      </c>
      <c r="AA23" s="134">
        <v>0</v>
      </c>
      <c r="AB23" s="135">
        <v>0</v>
      </c>
      <c r="AC23" s="133">
        <v>0</v>
      </c>
      <c r="AD23" s="134">
        <v>0</v>
      </c>
      <c r="AE23" s="134">
        <v>0</v>
      </c>
      <c r="AF23" s="134">
        <v>0</v>
      </c>
      <c r="AG23" s="134">
        <v>0</v>
      </c>
      <c r="AH23" s="134">
        <v>0</v>
      </c>
      <c r="AI23" s="134">
        <v>0</v>
      </c>
      <c r="AJ23" s="134">
        <v>0</v>
      </c>
      <c r="AK23" s="135">
        <v>0</v>
      </c>
      <c r="AL23" s="133">
        <v>0</v>
      </c>
      <c r="AM23" s="134">
        <v>0</v>
      </c>
      <c r="AN23" s="134">
        <v>0</v>
      </c>
      <c r="AO23" s="134">
        <v>50.284769574735037</v>
      </c>
      <c r="AP23" s="134">
        <v>0</v>
      </c>
      <c r="AQ23" s="134">
        <v>0</v>
      </c>
      <c r="AR23" s="134">
        <v>0</v>
      </c>
      <c r="AS23" s="134">
        <v>0</v>
      </c>
      <c r="AT23" s="135">
        <v>50.284769574735037</v>
      </c>
      <c r="AU23" s="133">
        <v>0</v>
      </c>
      <c r="AV23" s="134">
        <v>0</v>
      </c>
      <c r="AW23" s="134">
        <v>0</v>
      </c>
      <c r="AX23" s="134">
        <v>50.284769574735037</v>
      </c>
      <c r="AY23" s="134">
        <v>0</v>
      </c>
      <c r="AZ23" s="134">
        <v>0</v>
      </c>
      <c r="BA23" s="134">
        <v>0</v>
      </c>
      <c r="BB23" s="134">
        <v>0</v>
      </c>
      <c r="BC23" s="135">
        <v>50.284769574735037</v>
      </c>
    </row>
    <row r="24" spans="1:55" hidden="1">
      <c r="A24" s="51" t="s">
        <v>801</v>
      </c>
      <c r="B24" s="52" t="s">
        <v>768</v>
      </c>
      <c r="C24" s="53" t="s">
        <v>690</v>
      </c>
      <c r="D24" s="55">
        <v>0.91769059534017872</v>
      </c>
      <c r="E24" s="54">
        <v>8.23094046598212E-2</v>
      </c>
      <c r="F24" s="56">
        <v>1</v>
      </c>
      <c r="I24" s="52" t="s">
        <v>768</v>
      </c>
      <c r="J24" s="53" t="s">
        <v>690</v>
      </c>
      <c r="K24" s="133">
        <v>0</v>
      </c>
      <c r="L24" s="134">
        <v>0</v>
      </c>
      <c r="M24" s="134">
        <v>0</v>
      </c>
      <c r="N24" s="134">
        <v>199.11719821988763</v>
      </c>
      <c r="O24" s="134">
        <v>0</v>
      </c>
      <c r="P24" s="134">
        <v>0</v>
      </c>
      <c r="Q24" s="134">
        <v>0</v>
      </c>
      <c r="R24" s="134">
        <v>0</v>
      </c>
      <c r="S24" s="135">
        <v>199.11719821988763</v>
      </c>
      <c r="T24" s="133">
        <v>0</v>
      </c>
      <c r="U24" s="134">
        <v>229.22224785316547</v>
      </c>
      <c r="V24" s="134">
        <v>0</v>
      </c>
      <c r="W24" s="134">
        <v>397.49954616357195</v>
      </c>
      <c r="X24" s="134">
        <v>0</v>
      </c>
      <c r="Y24" s="134">
        <v>0</v>
      </c>
      <c r="Z24" s="134">
        <v>0</v>
      </c>
      <c r="AA24" s="134">
        <v>0</v>
      </c>
      <c r="AB24" s="135">
        <v>626.72179401673748</v>
      </c>
      <c r="AC24" s="133">
        <v>0</v>
      </c>
      <c r="AD24" s="134">
        <v>0</v>
      </c>
      <c r="AE24" s="134">
        <v>0</v>
      </c>
      <c r="AF24" s="134">
        <v>0</v>
      </c>
      <c r="AG24" s="134">
        <v>0</v>
      </c>
      <c r="AH24" s="134">
        <v>0</v>
      </c>
      <c r="AI24" s="134">
        <v>0</v>
      </c>
      <c r="AJ24" s="134">
        <v>0</v>
      </c>
      <c r="AK24" s="135">
        <v>0</v>
      </c>
      <c r="AL24" s="133">
        <v>0</v>
      </c>
      <c r="AM24" s="134">
        <v>0</v>
      </c>
      <c r="AN24" s="134">
        <v>0</v>
      </c>
      <c r="AO24" s="134">
        <v>0</v>
      </c>
      <c r="AP24" s="134">
        <v>0</v>
      </c>
      <c r="AQ24" s="134">
        <v>0</v>
      </c>
      <c r="AR24" s="134">
        <v>0</v>
      </c>
      <c r="AS24" s="134">
        <v>0</v>
      </c>
      <c r="AT24" s="135">
        <v>0</v>
      </c>
      <c r="AU24" s="133">
        <v>0</v>
      </c>
      <c r="AV24" s="134">
        <v>229.22224785316547</v>
      </c>
      <c r="AW24" s="134">
        <v>0</v>
      </c>
      <c r="AX24" s="134">
        <v>596.6167443834596</v>
      </c>
      <c r="AY24" s="134">
        <v>0</v>
      </c>
      <c r="AZ24" s="134">
        <v>0</v>
      </c>
      <c r="BA24" s="134">
        <v>0</v>
      </c>
      <c r="BB24" s="134">
        <v>0</v>
      </c>
      <c r="BC24" s="135">
        <v>825.83899223662513</v>
      </c>
    </row>
    <row r="25" spans="1:55" hidden="1">
      <c r="A25" s="51" t="s">
        <v>801</v>
      </c>
      <c r="B25" s="52" t="s">
        <v>769</v>
      </c>
      <c r="C25" s="53" t="s">
        <v>690</v>
      </c>
      <c r="D25" s="55">
        <v>0.86719579734784979</v>
      </c>
      <c r="E25" s="54">
        <v>0.13280420265215021</v>
      </c>
      <c r="F25" s="56">
        <v>1</v>
      </c>
      <c r="I25" s="52" t="s">
        <v>769</v>
      </c>
      <c r="J25" s="53" t="s">
        <v>690</v>
      </c>
      <c r="K25" s="133">
        <v>0</v>
      </c>
      <c r="L25" s="134">
        <v>0</v>
      </c>
      <c r="M25" s="134">
        <v>0</v>
      </c>
      <c r="N25" s="134">
        <v>0</v>
      </c>
      <c r="O25" s="134">
        <v>0</v>
      </c>
      <c r="P25" s="134">
        <v>0</v>
      </c>
      <c r="Q25" s="134">
        <v>0</v>
      </c>
      <c r="R25" s="134">
        <v>0</v>
      </c>
      <c r="S25" s="135">
        <v>0</v>
      </c>
      <c r="T25" s="133">
        <v>0</v>
      </c>
      <c r="U25" s="134">
        <v>77.628925891035308</v>
      </c>
      <c r="V25" s="134">
        <v>0</v>
      </c>
      <c r="W25" s="134">
        <v>0</v>
      </c>
      <c r="X25" s="134">
        <v>0</v>
      </c>
      <c r="Y25" s="134">
        <v>0</v>
      </c>
      <c r="Z25" s="134">
        <v>0</v>
      </c>
      <c r="AA25" s="134">
        <v>0</v>
      </c>
      <c r="AB25" s="135">
        <v>77.628925891035308</v>
      </c>
      <c r="AC25" s="133">
        <v>0</v>
      </c>
      <c r="AD25" s="134">
        <v>0</v>
      </c>
      <c r="AE25" s="134">
        <v>0</v>
      </c>
      <c r="AF25" s="134">
        <v>14.859568713243839</v>
      </c>
      <c r="AG25" s="134">
        <v>0</v>
      </c>
      <c r="AH25" s="134">
        <v>0</v>
      </c>
      <c r="AI25" s="134">
        <v>0</v>
      </c>
      <c r="AJ25" s="134">
        <v>0</v>
      </c>
      <c r="AK25" s="135">
        <v>14.859568713243839</v>
      </c>
      <c r="AL25" s="133">
        <v>0</v>
      </c>
      <c r="AM25" s="134">
        <v>0</v>
      </c>
      <c r="AN25" s="134">
        <v>0</v>
      </c>
      <c r="AO25" s="134">
        <v>0</v>
      </c>
      <c r="AP25" s="134">
        <v>0</v>
      </c>
      <c r="AQ25" s="134">
        <v>0</v>
      </c>
      <c r="AR25" s="134">
        <v>0</v>
      </c>
      <c r="AS25" s="134">
        <v>0</v>
      </c>
      <c r="AT25" s="135">
        <v>0</v>
      </c>
      <c r="AU25" s="133">
        <v>0</v>
      </c>
      <c r="AV25" s="134">
        <v>77.628925891035308</v>
      </c>
      <c r="AW25" s="134">
        <v>0</v>
      </c>
      <c r="AX25" s="134">
        <v>14.859568713243839</v>
      </c>
      <c r="AY25" s="134">
        <v>0</v>
      </c>
      <c r="AZ25" s="134">
        <v>0</v>
      </c>
      <c r="BA25" s="134">
        <v>0</v>
      </c>
      <c r="BB25" s="134">
        <v>0</v>
      </c>
      <c r="BC25" s="135">
        <v>92.48849460427914</v>
      </c>
    </row>
    <row r="26" spans="1:55" hidden="1">
      <c r="A26" s="51" t="s">
        <v>801</v>
      </c>
      <c r="B26" s="52" t="s">
        <v>770</v>
      </c>
      <c r="C26" s="53" t="s">
        <v>690</v>
      </c>
      <c r="D26" s="55">
        <v>0.90936489436209378</v>
      </c>
      <c r="E26" s="54">
        <v>9.063510563790618E-2</v>
      </c>
      <c r="F26" s="56">
        <v>1</v>
      </c>
      <c r="I26" s="52" t="s">
        <v>770</v>
      </c>
      <c r="J26" s="53" t="s">
        <v>690</v>
      </c>
      <c r="K26" s="133">
        <v>0</v>
      </c>
      <c r="L26" s="134">
        <v>0</v>
      </c>
      <c r="M26" s="134">
        <v>0</v>
      </c>
      <c r="N26" s="134">
        <v>0</v>
      </c>
      <c r="O26" s="134">
        <v>0</v>
      </c>
      <c r="P26" s="134">
        <v>0</v>
      </c>
      <c r="Q26" s="134">
        <v>0</v>
      </c>
      <c r="R26" s="134">
        <v>0</v>
      </c>
      <c r="S26" s="135">
        <v>0</v>
      </c>
      <c r="T26" s="133">
        <v>0</v>
      </c>
      <c r="U26" s="134">
        <v>0</v>
      </c>
      <c r="V26" s="134">
        <v>0</v>
      </c>
      <c r="W26" s="134">
        <v>0</v>
      </c>
      <c r="X26" s="134">
        <v>0</v>
      </c>
      <c r="Y26" s="134">
        <v>0</v>
      </c>
      <c r="Z26" s="134">
        <v>0</v>
      </c>
      <c r="AA26" s="134">
        <v>0</v>
      </c>
      <c r="AB26" s="135">
        <v>0</v>
      </c>
      <c r="AC26" s="133">
        <v>0</v>
      </c>
      <c r="AD26" s="134">
        <v>0</v>
      </c>
      <c r="AE26" s="134">
        <v>0</v>
      </c>
      <c r="AF26" s="134">
        <v>0</v>
      </c>
      <c r="AG26" s="134">
        <v>0</v>
      </c>
      <c r="AH26" s="134">
        <v>0</v>
      </c>
      <c r="AI26" s="134">
        <v>0</v>
      </c>
      <c r="AJ26" s="134">
        <v>0</v>
      </c>
      <c r="AK26" s="135">
        <v>0</v>
      </c>
      <c r="AL26" s="133">
        <v>0</v>
      </c>
      <c r="AM26" s="134">
        <v>0</v>
      </c>
      <c r="AN26" s="134">
        <v>0</v>
      </c>
      <c r="AO26" s="134">
        <v>0</v>
      </c>
      <c r="AP26" s="134">
        <v>0</v>
      </c>
      <c r="AQ26" s="134">
        <v>0</v>
      </c>
      <c r="AR26" s="134">
        <v>0</v>
      </c>
      <c r="AS26" s="134">
        <v>0</v>
      </c>
      <c r="AT26" s="135">
        <v>0</v>
      </c>
      <c r="AU26" s="133">
        <v>0</v>
      </c>
      <c r="AV26" s="134">
        <v>0</v>
      </c>
      <c r="AW26" s="134">
        <v>0</v>
      </c>
      <c r="AX26" s="134">
        <v>0</v>
      </c>
      <c r="AY26" s="134">
        <v>0</v>
      </c>
      <c r="AZ26" s="134">
        <v>0</v>
      </c>
      <c r="BA26" s="134">
        <v>0</v>
      </c>
      <c r="BB26" s="134">
        <v>0</v>
      </c>
      <c r="BC26" s="135">
        <v>0</v>
      </c>
    </row>
    <row r="27" spans="1:55" hidden="1">
      <c r="A27" s="51" t="s">
        <v>801</v>
      </c>
      <c r="B27" s="52" t="s">
        <v>771</v>
      </c>
      <c r="C27" s="53" t="s">
        <v>690</v>
      </c>
      <c r="D27" s="55">
        <v>0.95601441298306766</v>
      </c>
      <c r="E27" s="54">
        <v>4.3985587016932386E-2</v>
      </c>
      <c r="F27" s="56">
        <v>1</v>
      </c>
      <c r="I27" s="52" t="s">
        <v>771</v>
      </c>
      <c r="J27" s="53" t="s">
        <v>690</v>
      </c>
      <c r="K27" s="133">
        <v>0</v>
      </c>
      <c r="L27" s="134">
        <v>0</v>
      </c>
      <c r="M27" s="134">
        <v>0</v>
      </c>
      <c r="N27" s="134">
        <v>27.526762610065123</v>
      </c>
      <c r="O27" s="134">
        <v>0</v>
      </c>
      <c r="P27" s="134">
        <v>0</v>
      </c>
      <c r="Q27" s="134">
        <v>0</v>
      </c>
      <c r="R27" s="134">
        <v>0</v>
      </c>
      <c r="S27" s="135">
        <v>27.526762610065123</v>
      </c>
      <c r="T27" s="133">
        <v>0</v>
      </c>
      <c r="U27" s="134">
        <v>0</v>
      </c>
      <c r="V27" s="134">
        <v>0</v>
      </c>
      <c r="W27" s="134">
        <v>0</v>
      </c>
      <c r="X27" s="134">
        <v>0</v>
      </c>
      <c r="Y27" s="134">
        <v>0</v>
      </c>
      <c r="Z27" s="134">
        <v>0</v>
      </c>
      <c r="AA27" s="134">
        <v>0</v>
      </c>
      <c r="AB27" s="135">
        <v>0</v>
      </c>
      <c r="AC27" s="133">
        <v>0</v>
      </c>
      <c r="AD27" s="134">
        <v>0</v>
      </c>
      <c r="AE27" s="134">
        <v>0</v>
      </c>
      <c r="AF27" s="134">
        <v>0</v>
      </c>
      <c r="AG27" s="134">
        <v>0</v>
      </c>
      <c r="AH27" s="134">
        <v>0</v>
      </c>
      <c r="AI27" s="134">
        <v>0</v>
      </c>
      <c r="AJ27" s="134">
        <v>0</v>
      </c>
      <c r="AK27" s="135">
        <v>0</v>
      </c>
      <c r="AL27" s="133">
        <v>0</v>
      </c>
      <c r="AM27" s="134">
        <v>0</v>
      </c>
      <c r="AN27" s="134">
        <v>0</v>
      </c>
      <c r="AO27" s="134">
        <v>50.160792280915594</v>
      </c>
      <c r="AP27" s="134">
        <v>0</v>
      </c>
      <c r="AQ27" s="134">
        <v>0</v>
      </c>
      <c r="AR27" s="134">
        <v>0</v>
      </c>
      <c r="AS27" s="134">
        <v>0</v>
      </c>
      <c r="AT27" s="135">
        <v>50.160792280915594</v>
      </c>
      <c r="AU27" s="133">
        <v>0</v>
      </c>
      <c r="AV27" s="134">
        <v>0</v>
      </c>
      <c r="AW27" s="134">
        <v>0</v>
      </c>
      <c r="AX27" s="134">
        <v>77.687554890980721</v>
      </c>
      <c r="AY27" s="134">
        <v>0</v>
      </c>
      <c r="AZ27" s="134">
        <v>0</v>
      </c>
      <c r="BA27" s="134">
        <v>0</v>
      </c>
      <c r="BB27" s="134">
        <v>0</v>
      </c>
      <c r="BC27" s="135">
        <v>77.687554890980721</v>
      </c>
    </row>
    <row r="28" spans="1:55" hidden="1">
      <c r="A28" s="51" t="s">
        <v>801</v>
      </c>
      <c r="B28" s="52" t="s">
        <v>772</v>
      </c>
      <c r="C28" s="53" t="s">
        <v>690</v>
      </c>
      <c r="D28" s="55">
        <v>0.87588518856182296</v>
      </c>
      <c r="E28" s="54">
        <v>0.124114811438177</v>
      </c>
      <c r="F28" s="56">
        <v>1</v>
      </c>
      <c r="I28" s="52" t="s">
        <v>772</v>
      </c>
      <c r="J28" s="53" t="s">
        <v>690</v>
      </c>
      <c r="K28" s="133">
        <v>0</v>
      </c>
      <c r="L28" s="134">
        <v>0</v>
      </c>
      <c r="M28" s="134">
        <v>0</v>
      </c>
      <c r="N28" s="134">
        <v>0</v>
      </c>
      <c r="O28" s="134">
        <v>0</v>
      </c>
      <c r="P28" s="134">
        <v>0</v>
      </c>
      <c r="Q28" s="134">
        <v>0</v>
      </c>
      <c r="R28" s="134">
        <v>0</v>
      </c>
      <c r="S28" s="135">
        <v>0</v>
      </c>
      <c r="T28" s="133">
        <v>0</v>
      </c>
      <c r="U28" s="134">
        <v>0</v>
      </c>
      <c r="V28" s="134">
        <v>0</v>
      </c>
      <c r="W28" s="134">
        <v>89.176218358381661</v>
      </c>
      <c r="X28" s="134">
        <v>0</v>
      </c>
      <c r="Y28" s="134">
        <v>0</v>
      </c>
      <c r="Z28" s="134">
        <v>0</v>
      </c>
      <c r="AA28" s="134">
        <v>0</v>
      </c>
      <c r="AB28" s="135">
        <v>89.176218358381661</v>
      </c>
      <c r="AC28" s="133">
        <v>0</v>
      </c>
      <c r="AD28" s="134">
        <v>0</v>
      </c>
      <c r="AE28" s="134">
        <v>0</v>
      </c>
      <c r="AF28" s="134">
        <v>0</v>
      </c>
      <c r="AG28" s="134">
        <v>0</v>
      </c>
      <c r="AH28" s="134">
        <v>0</v>
      </c>
      <c r="AI28" s="134">
        <v>0</v>
      </c>
      <c r="AJ28" s="134">
        <v>0</v>
      </c>
      <c r="AK28" s="135">
        <v>0</v>
      </c>
      <c r="AL28" s="133">
        <v>0</v>
      </c>
      <c r="AM28" s="134">
        <v>0</v>
      </c>
      <c r="AN28" s="134">
        <v>0</v>
      </c>
      <c r="AO28" s="134">
        <v>0</v>
      </c>
      <c r="AP28" s="134">
        <v>0</v>
      </c>
      <c r="AQ28" s="134">
        <v>0</v>
      </c>
      <c r="AR28" s="134">
        <v>0</v>
      </c>
      <c r="AS28" s="134">
        <v>0</v>
      </c>
      <c r="AT28" s="135">
        <v>0</v>
      </c>
      <c r="AU28" s="133">
        <v>0</v>
      </c>
      <c r="AV28" s="134">
        <v>0</v>
      </c>
      <c r="AW28" s="134">
        <v>0</v>
      </c>
      <c r="AX28" s="134">
        <v>89.176218358381661</v>
      </c>
      <c r="AY28" s="134">
        <v>0</v>
      </c>
      <c r="AZ28" s="134">
        <v>0</v>
      </c>
      <c r="BA28" s="134">
        <v>0</v>
      </c>
      <c r="BB28" s="134">
        <v>0</v>
      </c>
      <c r="BC28" s="135">
        <v>89.176218358381661</v>
      </c>
    </row>
    <row r="29" spans="1:55" hidden="1">
      <c r="A29" s="51" t="s">
        <v>801</v>
      </c>
      <c r="B29" s="52" t="s">
        <v>773</v>
      </c>
      <c r="C29" s="53" t="s">
        <v>690</v>
      </c>
      <c r="D29" s="55">
        <v>0.84944115724381652</v>
      </c>
      <c r="E29" s="54">
        <v>0.15055884275618342</v>
      </c>
      <c r="F29" s="56">
        <v>1</v>
      </c>
      <c r="I29" s="52" t="s">
        <v>773</v>
      </c>
      <c r="J29" s="53" t="s">
        <v>690</v>
      </c>
      <c r="K29" s="133">
        <v>148.2735501254345</v>
      </c>
      <c r="L29" s="134">
        <v>164.52454773936284</v>
      </c>
      <c r="M29" s="134">
        <v>0</v>
      </c>
      <c r="N29" s="134">
        <v>144.74774163312946</v>
      </c>
      <c r="O29" s="134">
        <v>0</v>
      </c>
      <c r="P29" s="134">
        <v>0</v>
      </c>
      <c r="Q29" s="134">
        <v>181.59300613891733</v>
      </c>
      <c r="R29" s="134">
        <v>0</v>
      </c>
      <c r="S29" s="135">
        <v>639.13884563684417</v>
      </c>
      <c r="T29" s="133">
        <v>6.1824646651855133</v>
      </c>
      <c r="U29" s="134">
        <v>0</v>
      </c>
      <c r="V29" s="134">
        <v>0</v>
      </c>
      <c r="W29" s="134">
        <v>246.20211949089779</v>
      </c>
      <c r="X29" s="134">
        <v>0</v>
      </c>
      <c r="Y29" s="134">
        <v>8.4949684431757166</v>
      </c>
      <c r="Z29" s="134">
        <v>316.47110254809434</v>
      </c>
      <c r="AA29" s="134">
        <v>0</v>
      </c>
      <c r="AB29" s="135">
        <v>577.35065514735334</v>
      </c>
      <c r="AC29" s="133">
        <v>0</v>
      </c>
      <c r="AD29" s="134">
        <v>0</v>
      </c>
      <c r="AE29" s="134">
        <v>0</v>
      </c>
      <c r="AF29" s="134">
        <v>0</v>
      </c>
      <c r="AG29" s="134">
        <v>0</v>
      </c>
      <c r="AH29" s="134">
        <v>0</v>
      </c>
      <c r="AI29" s="134">
        <v>0</v>
      </c>
      <c r="AJ29" s="134">
        <v>0</v>
      </c>
      <c r="AK29" s="135">
        <v>0</v>
      </c>
      <c r="AL29" s="133">
        <v>0</v>
      </c>
      <c r="AM29" s="134">
        <v>0</v>
      </c>
      <c r="AN29" s="134">
        <v>0</v>
      </c>
      <c r="AO29" s="134">
        <v>49.357364321808859</v>
      </c>
      <c r="AP29" s="134">
        <v>0</v>
      </c>
      <c r="AQ29" s="134">
        <v>0</v>
      </c>
      <c r="AR29" s="134">
        <v>0</v>
      </c>
      <c r="AS29" s="134">
        <v>0</v>
      </c>
      <c r="AT29" s="135">
        <v>49.357364321808859</v>
      </c>
      <c r="AU29" s="133">
        <v>154.45601479062</v>
      </c>
      <c r="AV29" s="134">
        <v>164.52454773936284</v>
      </c>
      <c r="AW29" s="134">
        <v>0</v>
      </c>
      <c r="AX29" s="134">
        <v>440.30722544583614</v>
      </c>
      <c r="AY29" s="134">
        <v>0</v>
      </c>
      <c r="AZ29" s="134">
        <v>8.4949684431757166</v>
      </c>
      <c r="BA29" s="134">
        <v>498.06410868701164</v>
      </c>
      <c r="BB29" s="134">
        <v>0</v>
      </c>
      <c r="BC29" s="135">
        <v>1265.8468651060061</v>
      </c>
    </row>
    <row r="30" spans="1:55" hidden="1">
      <c r="A30" s="51" t="s">
        <v>801</v>
      </c>
      <c r="B30" s="52" t="s">
        <v>774</v>
      </c>
      <c r="C30" s="53" t="s">
        <v>690</v>
      </c>
      <c r="D30" s="55">
        <v>0.94563669068213607</v>
      </c>
      <c r="E30" s="54">
        <v>5.436330931786388E-2</v>
      </c>
      <c r="F30" s="56">
        <v>1</v>
      </c>
      <c r="I30" s="52" t="s">
        <v>774</v>
      </c>
      <c r="J30" s="53" t="s">
        <v>690</v>
      </c>
      <c r="K30" s="133">
        <v>73.602552558930171</v>
      </c>
      <c r="L30" s="134">
        <v>0</v>
      </c>
      <c r="M30" s="134">
        <v>0</v>
      </c>
      <c r="N30" s="134">
        <v>0</v>
      </c>
      <c r="O30" s="134">
        <v>0</v>
      </c>
      <c r="P30" s="134">
        <v>0</v>
      </c>
      <c r="Q30" s="134">
        <v>0</v>
      </c>
      <c r="R30" s="134">
        <v>0</v>
      </c>
      <c r="S30" s="135">
        <v>73.602552558930171</v>
      </c>
      <c r="T30" s="133">
        <v>0</v>
      </c>
      <c r="U30" s="134">
        <v>0</v>
      </c>
      <c r="V30" s="134">
        <v>0</v>
      </c>
      <c r="W30" s="134">
        <v>369.19953535640911</v>
      </c>
      <c r="X30" s="134">
        <v>0</v>
      </c>
      <c r="Y30" s="134">
        <v>0</v>
      </c>
      <c r="Z30" s="134">
        <v>0</v>
      </c>
      <c r="AA30" s="134">
        <v>0</v>
      </c>
      <c r="AB30" s="135">
        <v>369.19953535640911</v>
      </c>
      <c r="AC30" s="133">
        <v>0</v>
      </c>
      <c r="AD30" s="134">
        <v>0</v>
      </c>
      <c r="AE30" s="134">
        <v>0</v>
      </c>
      <c r="AF30" s="134">
        <v>0</v>
      </c>
      <c r="AG30" s="134">
        <v>0</v>
      </c>
      <c r="AH30" s="134">
        <v>0</v>
      </c>
      <c r="AI30" s="134">
        <v>0</v>
      </c>
      <c r="AJ30" s="134">
        <v>0</v>
      </c>
      <c r="AK30" s="135">
        <v>0</v>
      </c>
      <c r="AL30" s="133">
        <v>53.853986219092349</v>
      </c>
      <c r="AM30" s="134">
        <v>0</v>
      </c>
      <c r="AN30" s="134">
        <v>0</v>
      </c>
      <c r="AO30" s="134">
        <v>0</v>
      </c>
      <c r="AP30" s="134">
        <v>0</v>
      </c>
      <c r="AQ30" s="134">
        <v>0</v>
      </c>
      <c r="AR30" s="134">
        <v>0</v>
      </c>
      <c r="AS30" s="134">
        <v>0</v>
      </c>
      <c r="AT30" s="135">
        <v>53.853986219092349</v>
      </c>
      <c r="AU30" s="133">
        <v>127.45653877802252</v>
      </c>
      <c r="AV30" s="134">
        <v>0</v>
      </c>
      <c r="AW30" s="134">
        <v>0</v>
      </c>
      <c r="AX30" s="134">
        <v>369.19953535640911</v>
      </c>
      <c r="AY30" s="134">
        <v>0</v>
      </c>
      <c r="AZ30" s="134">
        <v>0</v>
      </c>
      <c r="BA30" s="134">
        <v>0</v>
      </c>
      <c r="BB30" s="134">
        <v>0</v>
      </c>
      <c r="BC30" s="135">
        <v>496.65607413443161</v>
      </c>
    </row>
    <row r="31" spans="1:55" hidden="1">
      <c r="A31" s="51" t="s">
        <v>801</v>
      </c>
      <c r="B31" s="52" t="s">
        <v>775</v>
      </c>
      <c r="C31" s="53" t="s">
        <v>690</v>
      </c>
      <c r="D31" s="55">
        <v>0.96480768386842664</v>
      </c>
      <c r="E31" s="54">
        <v>3.5192316131573469E-2</v>
      </c>
      <c r="F31" s="56">
        <v>1</v>
      </c>
      <c r="I31" s="52" t="s">
        <v>775</v>
      </c>
      <c r="J31" s="53" t="s">
        <v>690</v>
      </c>
      <c r="K31" s="133">
        <v>0</v>
      </c>
      <c r="L31" s="134">
        <v>0</v>
      </c>
      <c r="M31" s="134">
        <v>0</v>
      </c>
      <c r="N31" s="134">
        <v>22.8017069505925</v>
      </c>
      <c r="O31" s="134">
        <v>0</v>
      </c>
      <c r="P31" s="134">
        <v>0</v>
      </c>
      <c r="Q31" s="134">
        <v>0</v>
      </c>
      <c r="R31" s="134">
        <v>0</v>
      </c>
      <c r="S31" s="135">
        <v>22.8017069505925</v>
      </c>
      <c r="T31" s="133">
        <v>36.198549900463831</v>
      </c>
      <c r="U31" s="134">
        <v>0</v>
      </c>
      <c r="V31" s="134">
        <v>0</v>
      </c>
      <c r="W31" s="134">
        <v>0</v>
      </c>
      <c r="X31" s="134">
        <v>0</v>
      </c>
      <c r="Y31" s="134">
        <v>0</v>
      </c>
      <c r="Z31" s="134">
        <v>0</v>
      </c>
      <c r="AA31" s="134">
        <v>0</v>
      </c>
      <c r="AB31" s="135">
        <v>36.198549900463831</v>
      </c>
      <c r="AC31" s="133">
        <v>0</v>
      </c>
      <c r="AD31" s="134">
        <v>0</v>
      </c>
      <c r="AE31" s="134">
        <v>0</v>
      </c>
      <c r="AF31" s="134">
        <v>0</v>
      </c>
      <c r="AG31" s="134">
        <v>0</v>
      </c>
      <c r="AH31" s="134">
        <v>0</v>
      </c>
      <c r="AI31" s="134">
        <v>0</v>
      </c>
      <c r="AJ31" s="134">
        <v>0</v>
      </c>
      <c r="AK31" s="135">
        <v>0</v>
      </c>
      <c r="AL31" s="133">
        <v>0</v>
      </c>
      <c r="AM31" s="134">
        <v>0</v>
      </c>
      <c r="AN31" s="134">
        <v>0</v>
      </c>
      <c r="AO31" s="134">
        <v>22.8017069505925</v>
      </c>
      <c r="AP31" s="134">
        <v>0</v>
      </c>
      <c r="AQ31" s="134">
        <v>0</v>
      </c>
      <c r="AR31" s="134">
        <v>0</v>
      </c>
      <c r="AS31" s="134">
        <v>0</v>
      </c>
      <c r="AT31" s="135">
        <v>22.8017069505925</v>
      </c>
      <c r="AU31" s="133">
        <v>36.198549900463831</v>
      </c>
      <c r="AV31" s="134">
        <v>0</v>
      </c>
      <c r="AW31" s="134">
        <v>0</v>
      </c>
      <c r="AX31" s="134">
        <v>45.603413901185</v>
      </c>
      <c r="AY31" s="134">
        <v>0</v>
      </c>
      <c r="AZ31" s="134">
        <v>0</v>
      </c>
      <c r="BA31" s="134">
        <v>0</v>
      </c>
      <c r="BB31" s="134">
        <v>0</v>
      </c>
      <c r="BC31" s="135">
        <v>81.801963801648839</v>
      </c>
    </row>
    <row r="32" spans="1:55" hidden="1">
      <c r="A32" s="51" t="s">
        <v>801</v>
      </c>
      <c r="B32" s="52" t="s">
        <v>776</v>
      </c>
      <c r="C32" s="53" t="s">
        <v>690</v>
      </c>
      <c r="D32" s="55">
        <v>0.99338694798732041</v>
      </c>
      <c r="E32" s="54">
        <v>6.6130520126795201E-3</v>
      </c>
      <c r="F32" s="56">
        <v>1</v>
      </c>
      <c r="I32" s="52" t="s">
        <v>776</v>
      </c>
      <c r="J32" s="53" t="s">
        <v>690</v>
      </c>
      <c r="K32" s="133">
        <v>0</v>
      </c>
      <c r="L32" s="134">
        <v>0</v>
      </c>
      <c r="M32" s="134">
        <v>0</v>
      </c>
      <c r="N32" s="134">
        <v>0</v>
      </c>
      <c r="O32" s="134">
        <v>0</v>
      </c>
      <c r="P32" s="134">
        <v>0</v>
      </c>
      <c r="Q32" s="134">
        <v>0</v>
      </c>
      <c r="R32" s="134">
        <v>0</v>
      </c>
      <c r="S32" s="135">
        <v>0</v>
      </c>
      <c r="T32" s="133">
        <v>60.64154867711369</v>
      </c>
      <c r="U32" s="134">
        <v>0</v>
      </c>
      <c r="V32" s="134">
        <v>0</v>
      </c>
      <c r="W32" s="134">
        <v>0</v>
      </c>
      <c r="X32" s="134">
        <v>0</v>
      </c>
      <c r="Y32" s="134">
        <v>0</v>
      </c>
      <c r="Z32" s="134">
        <v>0</v>
      </c>
      <c r="AA32" s="134">
        <v>0</v>
      </c>
      <c r="AB32" s="135">
        <v>60.64154867711369</v>
      </c>
      <c r="AC32" s="133">
        <v>20.213849559037897</v>
      </c>
      <c r="AD32" s="134">
        <v>0</v>
      </c>
      <c r="AE32" s="134">
        <v>0</v>
      </c>
      <c r="AF32" s="134">
        <v>0</v>
      </c>
      <c r="AG32" s="134">
        <v>0</v>
      </c>
      <c r="AH32" s="134">
        <v>0</v>
      </c>
      <c r="AI32" s="134">
        <v>0</v>
      </c>
      <c r="AJ32" s="134">
        <v>0</v>
      </c>
      <c r="AK32" s="135">
        <v>20.213849559037897</v>
      </c>
      <c r="AL32" s="133">
        <v>0</v>
      </c>
      <c r="AM32" s="134">
        <v>0</v>
      </c>
      <c r="AN32" s="134">
        <v>0</v>
      </c>
      <c r="AO32" s="134">
        <v>0</v>
      </c>
      <c r="AP32" s="134">
        <v>0</v>
      </c>
      <c r="AQ32" s="134">
        <v>0</v>
      </c>
      <c r="AR32" s="134">
        <v>0</v>
      </c>
      <c r="AS32" s="134">
        <v>0</v>
      </c>
      <c r="AT32" s="135">
        <v>0</v>
      </c>
      <c r="AU32" s="133">
        <v>80.855398236151586</v>
      </c>
      <c r="AV32" s="134">
        <v>0</v>
      </c>
      <c r="AW32" s="134">
        <v>0</v>
      </c>
      <c r="AX32" s="134">
        <v>0</v>
      </c>
      <c r="AY32" s="134">
        <v>0</v>
      </c>
      <c r="AZ32" s="134">
        <v>0</v>
      </c>
      <c r="BA32" s="134">
        <v>0</v>
      </c>
      <c r="BB32" s="134">
        <v>0</v>
      </c>
      <c r="BC32" s="135">
        <v>80.855398236151586</v>
      </c>
    </row>
    <row r="33" spans="1:55" hidden="1">
      <c r="A33" s="51" t="s">
        <v>801</v>
      </c>
      <c r="B33" s="52" t="s">
        <v>777</v>
      </c>
      <c r="C33" s="53" t="s">
        <v>690</v>
      </c>
      <c r="D33" s="55">
        <v>0.98526125005623133</v>
      </c>
      <c r="E33" s="54">
        <v>1.4738749943768739E-2</v>
      </c>
      <c r="F33" s="56">
        <v>1</v>
      </c>
      <c r="I33" s="52" t="s">
        <v>777</v>
      </c>
      <c r="J33" s="53" t="s">
        <v>690</v>
      </c>
      <c r="K33" s="133">
        <v>0</v>
      </c>
      <c r="L33" s="134">
        <v>0</v>
      </c>
      <c r="M33" s="134">
        <v>0</v>
      </c>
      <c r="N33" s="134">
        <v>0</v>
      </c>
      <c r="O33" s="134">
        <v>0</v>
      </c>
      <c r="P33" s="134">
        <v>0</v>
      </c>
      <c r="Q33" s="134">
        <v>0</v>
      </c>
      <c r="R33" s="134">
        <v>0</v>
      </c>
      <c r="S33" s="135">
        <v>0</v>
      </c>
      <c r="T33" s="133">
        <v>0</v>
      </c>
      <c r="U33" s="134">
        <v>0</v>
      </c>
      <c r="V33" s="134">
        <v>0</v>
      </c>
      <c r="W33" s="134">
        <v>0</v>
      </c>
      <c r="X33" s="134">
        <v>0</v>
      </c>
      <c r="Y33" s="134">
        <v>0</v>
      </c>
      <c r="Z33" s="134">
        <v>0</v>
      </c>
      <c r="AA33" s="134">
        <v>0</v>
      </c>
      <c r="AB33" s="135">
        <v>0</v>
      </c>
      <c r="AC33" s="133">
        <v>0</v>
      </c>
      <c r="AD33" s="134">
        <v>0</v>
      </c>
      <c r="AE33" s="134">
        <v>0</v>
      </c>
      <c r="AF33" s="134">
        <v>0</v>
      </c>
      <c r="AG33" s="134">
        <v>0</v>
      </c>
      <c r="AH33" s="134">
        <v>0</v>
      </c>
      <c r="AI33" s="134">
        <v>0</v>
      </c>
      <c r="AJ33" s="134">
        <v>0</v>
      </c>
      <c r="AK33" s="135">
        <v>0</v>
      </c>
      <c r="AL33" s="133">
        <v>0</v>
      </c>
      <c r="AM33" s="134">
        <v>0</v>
      </c>
      <c r="AN33" s="134">
        <v>0</v>
      </c>
      <c r="AO33" s="134">
        <v>0</v>
      </c>
      <c r="AP33" s="134">
        <v>0</v>
      </c>
      <c r="AQ33" s="134">
        <v>0</v>
      </c>
      <c r="AR33" s="134">
        <v>0</v>
      </c>
      <c r="AS33" s="134">
        <v>0</v>
      </c>
      <c r="AT33" s="135">
        <v>0</v>
      </c>
      <c r="AU33" s="133">
        <v>0</v>
      </c>
      <c r="AV33" s="134">
        <v>0</v>
      </c>
      <c r="AW33" s="134">
        <v>0</v>
      </c>
      <c r="AX33" s="134">
        <v>0</v>
      </c>
      <c r="AY33" s="134">
        <v>0</v>
      </c>
      <c r="AZ33" s="134">
        <v>0</v>
      </c>
      <c r="BA33" s="134">
        <v>0</v>
      </c>
      <c r="BB33" s="134">
        <v>0</v>
      </c>
      <c r="BC33" s="135">
        <v>0</v>
      </c>
    </row>
    <row r="34" spans="1:55" hidden="1"/>
  </sheetData>
  <mergeCells count="7">
    <mergeCell ref="A1:H1"/>
    <mergeCell ref="AU15:BC15"/>
    <mergeCell ref="D15:F15"/>
    <mergeCell ref="K15:S15"/>
    <mergeCell ref="T15:AB15"/>
    <mergeCell ref="AC15:AK15"/>
    <mergeCell ref="AL15:AT1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FE9CE-8058-48E9-8425-F0C86C07BAAA}">
  <sheetPr codeName="Sheet16"/>
  <dimension ref="A1:G83"/>
  <sheetViews>
    <sheetView workbookViewId="0">
      <selection activeCell="A5" sqref="A5"/>
    </sheetView>
  </sheetViews>
  <sheetFormatPr defaultRowHeight="14.45"/>
  <cols>
    <col min="1" max="1" width="58.7109375" customWidth="1"/>
    <col min="2" max="2" width="30.85546875" customWidth="1"/>
    <col min="3" max="3" width="30.28515625" customWidth="1"/>
  </cols>
  <sheetData>
    <row r="1" spans="1:7">
      <c r="A1" t="s">
        <v>802</v>
      </c>
      <c r="B1" t="s">
        <v>803</v>
      </c>
      <c r="C1" t="s">
        <v>803</v>
      </c>
      <c r="D1" s="806" t="s">
        <v>804</v>
      </c>
      <c r="E1" s="806"/>
      <c r="F1" s="806"/>
      <c r="G1" s="806"/>
    </row>
    <row r="2" spans="1:7">
      <c r="A2" s="525" t="s">
        <v>805</v>
      </c>
      <c r="D2">
        <v>2013</v>
      </c>
      <c r="E2">
        <v>2016</v>
      </c>
      <c r="F2">
        <v>2019</v>
      </c>
      <c r="G2">
        <v>2025</v>
      </c>
    </row>
    <row r="3" spans="1:7">
      <c r="A3" s="525" t="s">
        <v>806</v>
      </c>
    </row>
    <row r="4" spans="1:7">
      <c r="A4" t="s">
        <v>807</v>
      </c>
    </row>
    <row r="5" spans="1:7">
      <c r="A5" t="s">
        <v>808</v>
      </c>
    </row>
    <row r="6" spans="1:7">
      <c r="A6" t="s">
        <v>809</v>
      </c>
    </row>
    <row r="7" spans="1:7">
      <c r="A7" t="s">
        <v>810</v>
      </c>
    </row>
    <row r="8" spans="1:7">
      <c r="A8" t="s">
        <v>811</v>
      </c>
    </row>
    <row r="9" spans="1:7">
      <c r="A9" t="s">
        <v>812</v>
      </c>
    </row>
    <row r="10" spans="1:7">
      <c r="A10" t="s">
        <v>813</v>
      </c>
    </row>
    <row r="11" spans="1:7">
      <c r="A11" t="s">
        <v>814</v>
      </c>
    </row>
    <row r="12" spans="1:7">
      <c r="A12" t="s">
        <v>815</v>
      </c>
    </row>
    <row r="13" spans="1:7">
      <c r="A13" t="s">
        <v>816</v>
      </c>
    </row>
    <row r="14" spans="1:7">
      <c r="A14" t="s">
        <v>817</v>
      </c>
    </row>
    <row r="15" spans="1:7">
      <c r="A15" t="s">
        <v>818</v>
      </c>
    </row>
    <row r="16" spans="1:7">
      <c r="A16" t="s">
        <v>819</v>
      </c>
    </row>
    <row r="17" spans="1:1">
      <c r="A17" t="s">
        <v>178</v>
      </c>
    </row>
    <row r="18" spans="1:1">
      <c r="A18" t="s">
        <v>820</v>
      </c>
    </row>
    <row r="19" spans="1:1">
      <c r="A19" t="s">
        <v>96</v>
      </c>
    </row>
    <row r="20" spans="1:1">
      <c r="A20" t="s">
        <v>821</v>
      </c>
    </row>
    <row r="21" spans="1:1">
      <c r="A21" t="s">
        <v>822</v>
      </c>
    </row>
    <row r="22" spans="1:1">
      <c r="A22" t="s">
        <v>823</v>
      </c>
    </row>
    <row r="23" spans="1:1">
      <c r="A23" t="s">
        <v>176</v>
      </c>
    </row>
    <row r="24" spans="1:1">
      <c r="A24" t="s">
        <v>107</v>
      </c>
    </row>
    <row r="25" spans="1:1">
      <c r="A25" t="s">
        <v>824</v>
      </c>
    </row>
    <row r="26" spans="1:1">
      <c r="A26" t="s">
        <v>825</v>
      </c>
    </row>
    <row r="27" spans="1:1">
      <c r="A27" t="s">
        <v>826</v>
      </c>
    </row>
    <row r="28" spans="1:1">
      <c r="A28" t="s">
        <v>827</v>
      </c>
    </row>
    <row r="29" spans="1:1">
      <c r="A29" t="s">
        <v>828</v>
      </c>
    </row>
    <row r="30" spans="1:1">
      <c r="A30" t="s">
        <v>829</v>
      </c>
    </row>
    <row r="31" spans="1:1">
      <c r="A31" t="s">
        <v>830</v>
      </c>
    </row>
    <row r="32" spans="1:1">
      <c r="A32" t="s">
        <v>831</v>
      </c>
    </row>
    <row r="33" spans="1:1">
      <c r="A33" t="s">
        <v>832</v>
      </c>
    </row>
    <row r="34" spans="1:1">
      <c r="A34" t="s">
        <v>833</v>
      </c>
    </row>
    <row r="35" spans="1:1">
      <c r="A35" t="s">
        <v>834</v>
      </c>
    </row>
    <row r="36" spans="1:1">
      <c r="A36" t="s">
        <v>835</v>
      </c>
    </row>
    <row r="37" spans="1:1">
      <c r="A37" t="s">
        <v>836</v>
      </c>
    </row>
    <row r="38" spans="1:1">
      <c r="A38" t="s">
        <v>837</v>
      </c>
    </row>
    <row r="39" spans="1:1">
      <c r="A39" t="s">
        <v>174</v>
      </c>
    </row>
    <row r="40" spans="1:1">
      <c r="A40" t="s">
        <v>838</v>
      </c>
    </row>
    <row r="41" spans="1:1">
      <c r="A41" t="s">
        <v>839</v>
      </c>
    </row>
    <row r="42" spans="1:1">
      <c r="A42" t="s">
        <v>840</v>
      </c>
    </row>
    <row r="43" spans="1:1">
      <c r="A43" t="s">
        <v>841</v>
      </c>
    </row>
    <row r="44" spans="1:1">
      <c r="A44" t="s">
        <v>105</v>
      </c>
    </row>
    <row r="45" spans="1:1">
      <c r="A45" t="s">
        <v>842</v>
      </c>
    </row>
    <row r="46" spans="1:1">
      <c r="A46" t="s">
        <v>843</v>
      </c>
    </row>
    <row r="47" spans="1:1">
      <c r="A47" t="s">
        <v>844</v>
      </c>
    </row>
    <row r="48" spans="1:1">
      <c r="A48" t="s">
        <v>845</v>
      </c>
    </row>
    <row r="49" spans="1:1">
      <c r="A49" t="s">
        <v>846</v>
      </c>
    </row>
    <row r="50" spans="1:1">
      <c r="A50" t="s">
        <v>111</v>
      </c>
    </row>
    <row r="51" spans="1:1">
      <c r="A51" t="s">
        <v>847</v>
      </c>
    </row>
    <row r="52" spans="1:1">
      <c r="A52" t="s">
        <v>848</v>
      </c>
    </row>
    <row r="53" spans="1:1">
      <c r="A53" t="s">
        <v>849</v>
      </c>
    </row>
    <row r="54" spans="1:1">
      <c r="A54" t="s">
        <v>850</v>
      </c>
    </row>
    <row r="55" spans="1:1">
      <c r="A55" t="s">
        <v>851</v>
      </c>
    </row>
    <row r="56" spans="1:1">
      <c r="A56" t="s">
        <v>852</v>
      </c>
    </row>
    <row r="57" spans="1:1">
      <c r="A57" t="s">
        <v>853</v>
      </c>
    </row>
    <row r="58" spans="1:1">
      <c r="A58" t="s">
        <v>854</v>
      </c>
    </row>
    <row r="59" spans="1:1">
      <c r="A59" t="s">
        <v>186</v>
      </c>
    </row>
    <row r="60" spans="1:1">
      <c r="A60" t="s">
        <v>114</v>
      </c>
    </row>
    <row r="61" spans="1:1">
      <c r="A61" t="s">
        <v>855</v>
      </c>
    </row>
    <row r="62" spans="1:1">
      <c r="A62" t="s">
        <v>856</v>
      </c>
    </row>
    <row r="63" spans="1:1">
      <c r="A63" t="s">
        <v>857</v>
      </c>
    </row>
    <row r="64" spans="1:1">
      <c r="A64" t="s">
        <v>118</v>
      </c>
    </row>
    <row r="65" spans="1:1">
      <c r="A65" t="s">
        <v>858</v>
      </c>
    </row>
    <row r="66" spans="1:1">
      <c r="A66" t="s">
        <v>859</v>
      </c>
    </row>
    <row r="67" spans="1:1">
      <c r="A67" t="s">
        <v>860</v>
      </c>
    </row>
    <row r="68" spans="1:1">
      <c r="A68" t="s">
        <v>861</v>
      </c>
    </row>
    <row r="69" spans="1:1">
      <c r="A69" t="s">
        <v>862</v>
      </c>
    </row>
    <row r="70" spans="1:1">
      <c r="A70" t="s">
        <v>863</v>
      </c>
    </row>
    <row r="71" spans="1:1">
      <c r="A71" t="s">
        <v>864</v>
      </c>
    </row>
    <row r="72" spans="1:1">
      <c r="A72" t="s">
        <v>865</v>
      </c>
    </row>
    <row r="73" spans="1:1">
      <c r="A73" t="s">
        <v>866</v>
      </c>
    </row>
    <row r="74" spans="1:1">
      <c r="A74" t="s">
        <v>867</v>
      </c>
    </row>
    <row r="75" spans="1:1">
      <c r="A75" t="s">
        <v>122</v>
      </c>
    </row>
    <row r="76" spans="1:1">
      <c r="A76" t="s">
        <v>868</v>
      </c>
    </row>
    <row r="77" spans="1:1">
      <c r="A77" t="s">
        <v>869</v>
      </c>
    </row>
    <row r="78" spans="1:1">
      <c r="A78" t="s">
        <v>870</v>
      </c>
    </row>
    <row r="79" spans="1:1">
      <c r="A79" t="s">
        <v>647</v>
      </c>
    </row>
    <row r="80" spans="1:1">
      <c r="A80" t="s">
        <v>871</v>
      </c>
    </row>
    <row r="81" spans="1:1">
      <c r="A81" t="s">
        <v>872</v>
      </c>
    </row>
    <row r="82" spans="1:1">
      <c r="A82" t="s">
        <v>873</v>
      </c>
    </row>
    <row r="83" spans="1:1">
      <c r="A83" t="s">
        <v>874</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CFD1B72A5F084B90FB7B73F4613BEC" ma:contentTypeVersion="6" ma:contentTypeDescription="Create a new document." ma:contentTypeScope="" ma:versionID="2558ad62346f4e4f9cd41e24fac43610">
  <xsd:schema xmlns:xsd="http://www.w3.org/2001/XMLSchema" xmlns:xs="http://www.w3.org/2001/XMLSchema" xmlns:p="http://schemas.microsoft.com/office/2006/metadata/properties" xmlns:ns2="f3a47e91-274c-46a0-ba98-7b939b571e5b" xmlns:ns3="ea1b199f-450f-4d51-8ad4-88f218385cd9" targetNamespace="http://schemas.microsoft.com/office/2006/metadata/properties" ma:root="true" ma:fieldsID="7070cde7c6343b0e2bf1de7a4c91f34e" ns2:_="" ns3:_="">
    <xsd:import namespace="f3a47e91-274c-46a0-ba98-7b939b571e5b"/>
    <xsd:import namespace="ea1b199f-450f-4d51-8ad4-88f218385cd9"/>
    <xsd:element name="properties">
      <xsd:complexType>
        <xsd:sequence>
          <xsd:element name="documentManagement">
            <xsd:complexType>
              <xsd:all>
                <xsd:element ref="ns2:MediaServiceSearchProperties" minOccurs="0"/>
                <xsd:element ref="ns2:MediaServiceObjectDetectorVersions" minOccurs="0"/>
                <xsd:element ref="ns3:SharedWithUsers" minOccurs="0"/>
                <xsd:element ref="ns3:SharedWithDetails" minOccurs="0"/>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a47e91-274c-46a0-ba98-7b939b571e5b" elementFormDefault="qualified">
    <xsd:import namespace="http://schemas.microsoft.com/office/2006/documentManagement/types"/>
    <xsd:import namespace="http://schemas.microsoft.com/office/infopath/2007/PartnerControls"/>
    <xsd:element name="MediaServiceSearchProperties" ma:index="8" nillable="true" ma:displayName="MediaServiceSearchProperties" ma:hidden="true" ma:internalName="MediaServiceSearchProperties" ma:readOnly="true">
      <xsd:simpleType>
        <xsd:restriction base="dms:Note"/>
      </xsd:simpleType>
    </xsd:element>
    <xsd:element name="MediaServiceObjectDetectorVersions" ma:index="9" nillable="true" ma:displayName="MediaServiceObjectDetectorVersions" ma:hidden="true" ma:indexed="true" ma:internalName="MediaServiceObjectDetectorVersions" ma:readOnly="true">
      <xsd:simpleType>
        <xsd:restriction base="dms:Text"/>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1b199f-450f-4d51-8ad4-88f218385cd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21D7C7-2942-400A-BADC-504F0CDA4BF6}"/>
</file>

<file path=customXml/itemProps2.xml><?xml version="1.0" encoding="utf-8"?>
<ds:datastoreItem xmlns:ds="http://schemas.openxmlformats.org/officeDocument/2006/customXml" ds:itemID="{20816333-575B-4274-8A3E-18699B071E90}"/>
</file>

<file path=customXml/itemProps3.xml><?xml version="1.0" encoding="utf-8"?>
<ds:datastoreItem xmlns:ds="http://schemas.openxmlformats.org/officeDocument/2006/customXml" ds:itemID="{7921AF10-0BF8-441A-BDBA-64AF3E09D45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cp:lastModifiedBy>
  <cp:revision/>
  <dcterms:created xsi:type="dcterms:W3CDTF">2024-06-21T17:19:36Z</dcterms:created>
  <dcterms:modified xsi:type="dcterms:W3CDTF">2025-12-24T09:21:48Z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0x01010003CFD1B72A5F084B90FB7B73F4613BEC</vt:lpwstr>
  </property>
  <property fmtid="{D5CDD505-2E9C-101B-9397-08002B2CF9AE}" pid="17" name="MediaServiceImageTags">
    <vt:lpwstr/>
  </property>
</Properties>
</file>