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8.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9.xml" ContentType="application/vnd.openxmlformats-officedocument.drawing+xml"/>
  <Override PartName="/xl/comments2.xml" ContentType="application/vnd.openxmlformats-officedocument.spreadsheetml.comment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codeName="ThisWorkbook" defaultThemeVersion="166925"/>
  <mc:AlternateContent xmlns:mc="http://schemas.openxmlformats.org/markup-compatibility/2006">
    <mc:Choice Requires="x15">
      <x15ac:absPath xmlns:x15ac="http://schemas.microsoft.com/office/spreadsheetml/2010/11/ac" url="https://carcglgov.sharepoint.com/sites/NYStretchCoordination/Shared Documents/Prototypes/Prototypes/Scorecards/"/>
    </mc:Choice>
  </mc:AlternateContent>
  <xr:revisionPtr revIDLastSave="1822" documentId="8_{84E1FEE2-F1DD-4C5E-8F79-CB9BB5D15AEE}" xr6:coauthVersionLast="47" xr6:coauthVersionMax="47" xr10:uidLastSave="{B0BFE77D-730B-4524-8A33-8C9DEBADBA7E}"/>
  <bookViews>
    <workbookView xWindow="-120" yWindow="-16320" windowWidth="29040" windowHeight="15720" firstSheet="1" activeTab="1" xr2:uid="{EAC23EE3-0CA0-4FF8-990D-9B21A59FA3E0}"/>
  </bookViews>
  <sheets>
    <sheet name="Notes" sheetId="23" r:id="rId1"/>
    <sheet name="Prototype" sheetId="2" r:id="rId2"/>
    <sheet name="Zones" sheetId="13" r:id="rId3"/>
    <sheet name="Envelope" sheetId="1" r:id="rId4"/>
    <sheet name="HVAC System" sheetId="14" r:id="rId5"/>
    <sheet name="Thermostat" sheetId="30" r:id="rId6"/>
    <sheet name="Ventilation" sheetId="18" r:id="rId7"/>
    <sheet name="Water Heater" sheetId="7" r:id="rId8"/>
    <sheet name="Interior Lights" sheetId="25" r:id="rId9"/>
    <sheet name="Ext Lighting" sheetId="9" r:id="rId10"/>
    <sheet name="Equipment" sheetId="29" r:id="rId11"/>
    <sheet name="Schedules" sheetId="28" r:id="rId12"/>
    <sheet name="Energy Usage" sheetId="20" r:id="rId13"/>
    <sheet name="EV Charger" sheetId="22" state="hidden" r:id="rId14"/>
    <sheet name="Weights" sheetId="21" r:id="rId15"/>
    <sheet name="PV" sheetId="27" state="hidden" r:id="rId16"/>
    <sheet name="Data" sheetId="32" state="hidden" r:id="rId17"/>
  </sheets>
  <definedNames>
    <definedName name="_xlnm._FilterDatabase" localSheetId="16" hidden="1">Data!$D$1:$G$1</definedName>
    <definedName name="_xlnm._FilterDatabase" localSheetId="2" hidden="1">Zones!$B$2:$L$17</definedName>
    <definedName name="nonparticipating_forecastzone_scale_factor" localSheetId="16">#REF!</definedName>
    <definedName name="nonparticipating_forecastzone_scale_factor">'Energy Usage'!$P$27</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20" l="1"/>
  <c r="K4" i="20"/>
  <c r="J5" i="20"/>
  <c r="K5" i="20"/>
  <c r="J6" i="20"/>
  <c r="K6" i="20"/>
  <c r="J7" i="20"/>
  <c r="K7" i="20"/>
  <c r="J8" i="20"/>
  <c r="K8" i="20"/>
  <c r="J9" i="20"/>
  <c r="K9" i="20"/>
  <c r="J10" i="20"/>
  <c r="K10" i="20"/>
  <c r="J11" i="20"/>
  <c r="K11" i="20"/>
  <c r="J12" i="20"/>
  <c r="K12" i="20"/>
  <c r="J13" i="20"/>
  <c r="K13" i="20"/>
  <c r="J14" i="20"/>
  <c r="K14" i="20"/>
  <c r="J15" i="20"/>
  <c r="K15" i="20"/>
  <c r="J16" i="20"/>
  <c r="K16" i="20"/>
  <c r="J17" i="20"/>
  <c r="K17" i="20"/>
  <c r="J18" i="20"/>
  <c r="K18" i="20"/>
  <c r="K3" i="20"/>
  <c r="J3" i="20"/>
  <c r="T4" i="20"/>
  <c r="U4" i="20"/>
  <c r="T5" i="20"/>
  <c r="U5" i="20"/>
  <c r="T6" i="20"/>
  <c r="U6" i="20"/>
  <c r="T7" i="20"/>
  <c r="U7" i="20"/>
  <c r="T8" i="20"/>
  <c r="U8" i="20"/>
  <c r="T9" i="20"/>
  <c r="U9" i="20"/>
  <c r="T10" i="20"/>
  <c r="U10" i="20"/>
  <c r="T11" i="20"/>
  <c r="U11" i="20"/>
  <c r="T12" i="20"/>
  <c r="U12" i="20"/>
  <c r="T13" i="20"/>
  <c r="U13" i="20"/>
  <c r="T14" i="20"/>
  <c r="U14" i="20"/>
  <c r="T15" i="20"/>
  <c r="U15" i="20"/>
  <c r="T16" i="20"/>
  <c r="U16" i="20"/>
  <c r="T17" i="20"/>
  <c r="U17" i="20"/>
  <c r="T18" i="20"/>
  <c r="U18" i="20"/>
  <c r="U3" i="20"/>
  <c r="T3" i="20"/>
  <c r="I4" i="1"/>
  <c r="L11" i="20"/>
  <c r="L18" i="20" l="1"/>
  <c r="L17" i="20"/>
  <c r="L16" i="20"/>
  <c r="L15" i="20"/>
  <c r="L14" i="20"/>
  <c r="L13" i="20"/>
  <c r="L12" i="20"/>
  <c r="L10" i="20"/>
  <c r="L9" i="20"/>
  <c r="L8" i="20"/>
  <c r="L7" i="20"/>
  <c r="L6" i="20"/>
  <c r="L5" i="20"/>
  <c r="L4" i="20"/>
  <c r="L3" i="20"/>
  <c r="S3" i="20"/>
  <c r="S4" i="20"/>
  <c r="S5" i="20"/>
  <c r="S6" i="20"/>
  <c r="S7" i="20"/>
  <c r="S8" i="20"/>
  <c r="S9" i="20"/>
  <c r="S10" i="20"/>
  <c r="S11" i="20"/>
  <c r="S12" i="20"/>
  <c r="S13" i="20"/>
  <c r="S14" i="20"/>
  <c r="S15" i="20"/>
  <c r="S16" i="20"/>
  <c r="S17" i="20"/>
  <c r="V17" i="20"/>
  <c r="S18" i="20"/>
  <c r="V18" i="20" l="1"/>
  <c r="V16" i="20"/>
  <c r="V15" i="20"/>
  <c r="V14" i="20"/>
  <c r="V12" i="20"/>
  <c r="V9" i="20"/>
  <c r="V8" i="20"/>
  <c r="V7" i="20"/>
  <c r="V6" i="20"/>
  <c r="V5" i="20"/>
  <c r="V4" i="20"/>
  <c r="V3" i="20"/>
  <c r="V13" i="20"/>
  <c r="V11" i="20"/>
  <c r="V10" i="20"/>
  <c r="E43" i="2" l="1"/>
  <c r="F43" i="2"/>
  <c r="G43" i="2"/>
  <c r="A1" i="29"/>
  <c r="A1" i="9"/>
  <c r="A1" i="25"/>
  <c r="A1" i="28"/>
  <c r="A1" i="7"/>
  <c r="B42" i="7"/>
  <c r="G14" i="7"/>
  <c r="G15" i="7"/>
  <c r="G16" i="7"/>
  <c r="G17" i="7"/>
  <c r="G18" i="7"/>
  <c r="F14" i="7"/>
  <c r="F15" i="7"/>
  <c r="F16" i="7"/>
  <c r="F17" i="7"/>
  <c r="F18" i="7"/>
  <c r="C11" i="7"/>
  <c r="D11" i="7"/>
  <c r="F11" i="7" s="1"/>
  <c r="C12" i="7"/>
  <c r="D12" i="7"/>
  <c r="F12" i="7" s="1"/>
  <c r="G12" i="7" s="1"/>
  <c r="C13" i="7"/>
  <c r="D13" i="7"/>
  <c r="F13" i="7" s="1"/>
  <c r="G13" i="7" s="1"/>
  <c r="C14" i="7"/>
  <c r="D14" i="7"/>
  <c r="C15" i="7"/>
  <c r="D15" i="7"/>
  <c r="C16" i="7"/>
  <c r="D16" i="7"/>
  <c r="C17" i="7"/>
  <c r="D17" i="7"/>
  <c r="C18" i="7"/>
  <c r="D18" i="7"/>
  <c r="C19" i="7"/>
  <c r="D19" i="7"/>
  <c r="F19" i="7" s="1"/>
  <c r="G19" i="7" s="1"/>
  <c r="C20" i="7"/>
  <c r="D20" i="7"/>
  <c r="F20" i="7" s="1"/>
  <c r="G20" i="7" s="1"/>
  <c r="C21" i="7"/>
  <c r="D21" i="7"/>
  <c r="F21" i="7" s="1"/>
  <c r="G21" i="7" s="1"/>
  <c r="C22" i="7"/>
  <c r="D22" i="7"/>
  <c r="F22" i="7" s="1"/>
  <c r="G22" i="7" s="1"/>
  <c r="C23" i="7"/>
  <c r="D23" i="7"/>
  <c r="F23" i="7" s="1"/>
  <c r="G23" i="7" s="1"/>
  <c r="O5" i="18"/>
  <c r="O7" i="18"/>
  <c r="O4" i="18"/>
  <c r="G10" i="14"/>
  <c r="D10" i="7"/>
  <c r="F10" i="7" s="1"/>
  <c r="G10" i="7" s="1"/>
  <c r="C10" i="7"/>
  <c r="A22" i="7"/>
  <c r="A23" i="7"/>
  <c r="A11" i="7"/>
  <c r="A12" i="7"/>
  <c r="A13" i="7"/>
  <c r="A14" i="7"/>
  <c r="A15" i="7"/>
  <c r="A16" i="7"/>
  <c r="A17" i="7"/>
  <c r="A18" i="7"/>
  <c r="A19" i="7"/>
  <c r="A20" i="7"/>
  <c r="A21" i="7"/>
  <c r="A10" i="7"/>
  <c r="B30" i="7" l="1"/>
  <c r="C30" i="7" s="1"/>
  <c r="D30" i="7" s="1"/>
  <c r="E30" i="7" s="1"/>
  <c r="G11" i="7"/>
  <c r="G4" i="18"/>
  <c r="H4" i="18"/>
  <c r="J4" i="18" s="1"/>
  <c r="G5" i="18"/>
  <c r="H5" i="18"/>
  <c r="J5" i="18"/>
  <c r="G6" i="18"/>
  <c r="H6" i="18"/>
  <c r="J6" i="18"/>
  <c r="G7" i="18"/>
  <c r="H7" i="18"/>
  <c r="J7" i="18"/>
  <c r="G8" i="18"/>
  <c r="H8" i="18"/>
  <c r="J8" i="18"/>
  <c r="G9" i="18"/>
  <c r="H9" i="18"/>
  <c r="J9" i="18"/>
  <c r="G10" i="18"/>
  <c r="H10" i="18"/>
  <c r="J10" i="18"/>
  <c r="O6" i="18" s="1"/>
  <c r="G11" i="18"/>
  <c r="J11" i="18" s="1"/>
  <c r="H11" i="18"/>
  <c r="G12" i="18"/>
  <c r="H12" i="18"/>
  <c r="J12" i="18"/>
  <c r="G13" i="18"/>
  <c r="H13" i="18"/>
  <c r="J13" i="18"/>
  <c r="G14" i="18"/>
  <c r="H14" i="18"/>
  <c r="J14" i="18" s="1"/>
  <c r="G15" i="18"/>
  <c r="H15" i="18"/>
  <c r="J15" i="18"/>
  <c r="J3" i="18"/>
  <c r="H3" i="18"/>
  <c r="G3" i="18"/>
  <c r="C3" i="18"/>
  <c r="B3" i="18"/>
  <c r="A14" i="18"/>
  <c r="A15" i="18"/>
  <c r="A16" i="18"/>
  <c r="A4" i="18"/>
  <c r="A5" i="18"/>
  <c r="A6" i="18"/>
  <c r="A7" i="18"/>
  <c r="A8" i="18"/>
  <c r="A9" i="18"/>
  <c r="A10" i="18"/>
  <c r="A11" i="18"/>
  <c r="A12" i="18"/>
  <c r="A13" i="18"/>
  <c r="A3" i="18"/>
  <c r="A1" i="18"/>
  <c r="A1" i="30"/>
  <c r="G13" i="14"/>
  <c r="G12" i="14"/>
  <c r="G11" i="14"/>
  <c r="A1" i="14"/>
  <c r="A1" i="1"/>
  <c r="A1" i="13"/>
  <c r="G17" i="13"/>
  <c r="G9" i="9"/>
  <c r="B18" i="9"/>
  <c r="C11" i="9" s="1"/>
  <c r="G11" i="9" s="1"/>
  <c r="G7" i="9"/>
  <c r="B32" i="7" l="1"/>
  <c r="F32" i="7"/>
  <c r="F30" i="7" l="1"/>
  <c r="F31" i="7"/>
  <c r="G31" i="7" s="1"/>
  <c r="I31" i="7" s="1"/>
  <c r="D4" i="7" l="1"/>
  <c r="D3" i="7"/>
  <c r="G30" i="7"/>
  <c r="AC22" i="28"/>
  <c r="AC23" i="28"/>
  <c r="AC24" i="28"/>
  <c r="G22" i="28"/>
  <c r="H22" i="28"/>
  <c r="I22" i="28"/>
  <c r="J22" i="28"/>
  <c r="K22" i="28"/>
  <c r="L22" i="28"/>
  <c r="M22" i="28"/>
  <c r="N22" i="28"/>
  <c r="O22" i="28"/>
  <c r="P22" i="28"/>
  <c r="Q22" i="28"/>
  <c r="R22" i="28"/>
  <c r="S22" i="28"/>
  <c r="T22" i="28"/>
  <c r="U22" i="28"/>
  <c r="V22" i="28"/>
  <c r="W22" i="28"/>
  <c r="X22" i="28"/>
  <c r="Y22" i="28"/>
  <c r="Z22" i="28"/>
  <c r="AA22" i="28"/>
  <c r="AB22" i="28"/>
  <c r="G23" i="28"/>
  <c r="H23" i="28"/>
  <c r="I23" i="28"/>
  <c r="J23" i="28"/>
  <c r="K23" i="28"/>
  <c r="L23" i="28"/>
  <c r="M23" i="28"/>
  <c r="N23" i="28"/>
  <c r="O23" i="28"/>
  <c r="P23" i="28"/>
  <c r="Q23" i="28"/>
  <c r="R23" i="28"/>
  <c r="S23" i="28"/>
  <c r="T23" i="28"/>
  <c r="U23" i="28"/>
  <c r="V23" i="28"/>
  <c r="W23" i="28"/>
  <c r="X23" i="28"/>
  <c r="Y23" i="28"/>
  <c r="Z23" i="28"/>
  <c r="AA23" i="28"/>
  <c r="AB23" i="28"/>
  <c r="G24" i="28"/>
  <c r="H24" i="28"/>
  <c r="I24" i="28"/>
  <c r="J24" i="28"/>
  <c r="K24" i="28"/>
  <c r="L24" i="28"/>
  <c r="M24" i="28"/>
  <c r="N24" i="28"/>
  <c r="O24" i="28"/>
  <c r="P24" i="28"/>
  <c r="Q24" i="28"/>
  <c r="R24" i="28"/>
  <c r="S24" i="28"/>
  <c r="T24" i="28"/>
  <c r="U24" i="28"/>
  <c r="V24" i="28"/>
  <c r="W24" i="28"/>
  <c r="X24" i="28"/>
  <c r="Y24" i="28"/>
  <c r="Z24" i="28"/>
  <c r="AA24" i="28"/>
  <c r="AB24" i="28"/>
  <c r="F23" i="28"/>
  <c r="F24" i="28"/>
  <c r="G25" i="28"/>
  <c r="H25" i="28"/>
  <c r="I25" i="28"/>
  <c r="J25" i="28"/>
  <c r="K25" i="28"/>
  <c r="L25" i="28"/>
  <c r="M25" i="28"/>
  <c r="N25" i="28"/>
  <c r="O25" i="28"/>
  <c r="P25" i="28"/>
  <c r="Q25" i="28"/>
  <c r="R25" i="28"/>
  <c r="S25" i="28"/>
  <c r="T25" i="28"/>
  <c r="U25" i="28"/>
  <c r="V25" i="28"/>
  <c r="W25" i="28"/>
  <c r="X25" i="28"/>
  <c r="Y25" i="28"/>
  <c r="Z25" i="28"/>
  <c r="AA25" i="28"/>
  <c r="AB25" i="28"/>
  <c r="AC25" i="28"/>
  <c r="G26" i="28"/>
  <c r="H26" i="28"/>
  <c r="I26" i="28"/>
  <c r="J26" i="28"/>
  <c r="K26" i="28"/>
  <c r="L26" i="28"/>
  <c r="M26" i="28"/>
  <c r="N26" i="28"/>
  <c r="O26" i="28"/>
  <c r="P26" i="28"/>
  <c r="Q26" i="28"/>
  <c r="R26" i="28"/>
  <c r="S26" i="28"/>
  <c r="T26" i="28"/>
  <c r="U26" i="28"/>
  <c r="V26" i="28"/>
  <c r="W26" i="28"/>
  <c r="X26" i="28"/>
  <c r="Y26" i="28"/>
  <c r="Z26" i="28"/>
  <c r="AA26" i="28"/>
  <c r="AB26" i="28"/>
  <c r="AC26" i="28"/>
  <c r="G27" i="28"/>
  <c r="H27" i="28"/>
  <c r="I27" i="28"/>
  <c r="J27" i="28"/>
  <c r="K27" i="28"/>
  <c r="L27" i="28"/>
  <c r="M27" i="28"/>
  <c r="N27" i="28"/>
  <c r="O27" i="28"/>
  <c r="P27" i="28"/>
  <c r="Q27" i="28"/>
  <c r="R27" i="28"/>
  <c r="S27" i="28"/>
  <c r="T27" i="28"/>
  <c r="U27" i="28"/>
  <c r="V27" i="28"/>
  <c r="W27" i="28"/>
  <c r="X27" i="28"/>
  <c r="Y27" i="28"/>
  <c r="Z27" i="28"/>
  <c r="AA27" i="28"/>
  <c r="AB27" i="28"/>
  <c r="AC27" i="28"/>
  <c r="F26" i="28"/>
  <c r="F27" i="28"/>
  <c r="F25" i="28"/>
  <c r="F22" i="28"/>
  <c r="A13" i="28"/>
  <c r="A16" i="28"/>
  <c r="A19" i="28"/>
  <c r="A7" i="28"/>
  <c r="A10" i="28" s="1"/>
  <c r="A25" i="28" s="1"/>
  <c r="G34" i="7" l="1"/>
  <c r="E4" i="7" s="1"/>
  <c r="I30" i="7"/>
  <c r="I34" i="7" s="1"/>
  <c r="E3" i="7"/>
  <c r="A22" i="28"/>
  <c r="D25" i="14"/>
  <c r="D24" i="14"/>
  <c r="I14" i="1"/>
  <c r="I13" i="1"/>
  <c r="J13" i="1"/>
  <c r="K13" i="1"/>
  <c r="L13" i="1"/>
  <c r="M13" i="1"/>
  <c r="N13" i="1"/>
  <c r="O13" i="1"/>
  <c r="P13" i="1"/>
  <c r="Q13" i="1"/>
  <c r="R13" i="1"/>
  <c r="S13" i="1"/>
  <c r="T13" i="1"/>
  <c r="U13" i="1"/>
  <c r="V13" i="1"/>
  <c r="W13" i="1"/>
  <c r="X13" i="1"/>
  <c r="J14" i="1"/>
  <c r="K14" i="1"/>
  <c r="L14" i="1"/>
  <c r="M14" i="1"/>
  <c r="N14" i="1"/>
  <c r="O14" i="1"/>
  <c r="P14" i="1"/>
  <c r="Q14" i="1"/>
  <c r="R14" i="1"/>
  <c r="S14" i="1"/>
  <c r="T14" i="1"/>
  <c r="U14" i="1"/>
  <c r="V14" i="1"/>
  <c r="W14" i="1"/>
  <c r="X14" i="1"/>
  <c r="J18" i="1"/>
  <c r="K18" i="1"/>
  <c r="L18" i="1"/>
  <c r="M18" i="1"/>
  <c r="N18" i="1"/>
  <c r="O18" i="1"/>
  <c r="P18" i="1"/>
  <c r="Q18" i="1"/>
  <c r="R18" i="1"/>
  <c r="S18" i="1"/>
  <c r="T18" i="1"/>
  <c r="U18" i="1"/>
  <c r="V18" i="1"/>
  <c r="W18" i="1"/>
  <c r="X18" i="1"/>
  <c r="J19" i="1"/>
  <c r="K19" i="1"/>
  <c r="L19" i="1"/>
  <c r="M19" i="1"/>
  <c r="N19" i="1"/>
  <c r="O19" i="1"/>
  <c r="P19" i="1"/>
  <c r="Q19" i="1"/>
  <c r="R19" i="1"/>
  <c r="S19" i="1"/>
  <c r="T19" i="1"/>
  <c r="U19" i="1"/>
  <c r="V19" i="1"/>
  <c r="W19" i="1"/>
  <c r="X19" i="1"/>
  <c r="I19" i="1"/>
  <c r="I18" i="1"/>
  <c r="F61" i="28" l="1"/>
  <c r="F3" i="13" l="1"/>
  <c r="B19" i="9"/>
  <c r="G14" i="14"/>
  <c r="C10" i="9" l="1"/>
  <c r="G10" i="9" s="1"/>
  <c r="G13" i="9" s="1"/>
  <c r="B3" i="9" s="1"/>
  <c r="C8" i="9"/>
  <c r="G8" i="9" s="1"/>
  <c r="G12" i="9" s="1"/>
  <c r="E44" i="1"/>
  <c r="A3" i="9" l="1"/>
  <c r="C3" i="9" s="1"/>
  <c r="G14" i="9"/>
  <c r="J4" i="13" l="1"/>
  <c r="J5" i="13"/>
  <c r="J6" i="13"/>
  <c r="J7" i="13"/>
  <c r="J8" i="13"/>
  <c r="J11" i="13"/>
  <c r="J12" i="13"/>
  <c r="J13" i="13"/>
  <c r="J14" i="13"/>
  <c r="J15" i="13"/>
  <c r="J3" i="13"/>
  <c r="B50" i="7"/>
  <c r="AB4" i="21" l="1"/>
  <c r="H4" i="13"/>
  <c r="H5" i="13"/>
  <c r="H6" i="13"/>
  <c r="H7" i="13"/>
  <c r="H8" i="13"/>
  <c r="H9" i="13"/>
  <c r="H10" i="13"/>
  <c r="H11" i="13"/>
  <c r="H12" i="13"/>
  <c r="H13" i="13"/>
  <c r="H14" i="13"/>
  <c r="H15" i="13"/>
  <c r="F12" i="13"/>
  <c r="AB5" i="21"/>
  <c r="AB6" i="21"/>
  <c r="AB7" i="21"/>
  <c r="AB8" i="21"/>
  <c r="H5" i="21"/>
  <c r="H6" i="21"/>
  <c r="H7" i="21"/>
  <c r="H8" i="21"/>
  <c r="H9" i="21"/>
  <c r="H10" i="21"/>
  <c r="H11" i="21"/>
  <c r="H12" i="21"/>
  <c r="H13" i="21"/>
  <c r="H14" i="21"/>
  <c r="H15" i="21"/>
  <c r="H16" i="21"/>
  <c r="H17" i="21"/>
  <c r="H18" i="21"/>
  <c r="H19" i="21"/>
  <c r="H4" i="21"/>
  <c r="L33" i="21"/>
  <c r="P64" i="21"/>
  <c r="Q64" i="21"/>
  <c r="R64" i="21"/>
  <c r="S64" i="21"/>
  <c r="T64" i="21"/>
  <c r="P65" i="21"/>
  <c r="Q65" i="21"/>
  <c r="R65" i="21"/>
  <c r="S65" i="21"/>
  <c r="T65" i="21"/>
  <c r="P66" i="21"/>
  <c r="Q66" i="21"/>
  <c r="R66" i="21"/>
  <c r="S66" i="21"/>
  <c r="T66" i="21"/>
  <c r="P67" i="21"/>
  <c r="Q67" i="21"/>
  <c r="R67" i="21"/>
  <c r="S67" i="21"/>
  <c r="T67" i="21"/>
  <c r="P68" i="21"/>
  <c r="Q68" i="21"/>
  <c r="R68" i="21"/>
  <c r="S68" i="21"/>
  <c r="T68" i="21"/>
  <c r="P69" i="21"/>
  <c r="Q69" i="21"/>
  <c r="R69" i="21"/>
  <c r="S69" i="21"/>
  <c r="T69" i="21"/>
  <c r="P70" i="21"/>
  <c r="Q70" i="21"/>
  <c r="R70" i="21"/>
  <c r="S70" i="21"/>
  <c r="T70" i="21"/>
  <c r="P71" i="21"/>
  <c r="Q71" i="21"/>
  <c r="R71" i="21"/>
  <c r="S71" i="21"/>
  <c r="T71" i="21"/>
  <c r="P72" i="21"/>
  <c r="Q72" i="21"/>
  <c r="R72" i="21"/>
  <c r="S72" i="21"/>
  <c r="T72" i="21"/>
  <c r="P73" i="21"/>
  <c r="Q73" i="21"/>
  <c r="R73" i="21"/>
  <c r="S73" i="21"/>
  <c r="T73" i="21"/>
  <c r="P74" i="21"/>
  <c r="Q74" i="21"/>
  <c r="R74" i="21"/>
  <c r="S74" i="21"/>
  <c r="T74" i="21"/>
  <c r="P75" i="21"/>
  <c r="Q75" i="21"/>
  <c r="R75" i="21"/>
  <c r="S75" i="21"/>
  <c r="T75" i="21"/>
  <c r="P76" i="21"/>
  <c r="Q76" i="21"/>
  <c r="R76" i="21"/>
  <c r="S76" i="21"/>
  <c r="T76" i="21"/>
  <c r="P77" i="21"/>
  <c r="Q77" i="21"/>
  <c r="R77" i="21"/>
  <c r="S77" i="21"/>
  <c r="T77" i="21"/>
  <c r="P78" i="21"/>
  <c r="Q78" i="21"/>
  <c r="R78" i="21"/>
  <c r="S78" i="21"/>
  <c r="T78" i="21"/>
  <c r="P79" i="21"/>
  <c r="Q79" i="21"/>
  <c r="R79" i="21"/>
  <c r="S79" i="21"/>
  <c r="T79" i="21"/>
  <c r="P80" i="21"/>
  <c r="Q80" i="21"/>
  <c r="R80" i="21"/>
  <c r="S80" i="21"/>
  <c r="T80" i="21"/>
  <c r="O65" i="21"/>
  <c r="O66" i="21"/>
  <c r="O67" i="21"/>
  <c r="O68" i="21"/>
  <c r="O69" i="21"/>
  <c r="O70" i="21"/>
  <c r="O71" i="21"/>
  <c r="O72" i="21"/>
  <c r="O73" i="21"/>
  <c r="O74" i="21"/>
  <c r="O75" i="21"/>
  <c r="O76" i="21"/>
  <c r="O77" i="21"/>
  <c r="O78" i="21"/>
  <c r="O79" i="21"/>
  <c r="O80" i="21"/>
  <c r="O64" i="21"/>
  <c r="F13" i="13" l="1"/>
  <c r="F11" i="13"/>
  <c r="F14" i="13"/>
  <c r="F10" i="13"/>
  <c r="F15" i="13"/>
  <c r="F5" i="13"/>
  <c r="F7" i="13"/>
  <c r="F4" i="13"/>
  <c r="F6" i="13"/>
  <c r="F8" i="13"/>
  <c r="F9" i="13"/>
  <c r="F17" i="13" l="1"/>
  <c r="H3" i="13"/>
  <c r="H17" i="13" s="1"/>
  <c r="V43" i="14" l="1"/>
  <c r="X43" i="14" s="1"/>
  <c r="AJ43" i="14" l="1"/>
  <c r="AI43" i="14"/>
  <c r="AB43" i="14"/>
  <c r="AA43" i="14"/>
  <c r="Z43" i="14"/>
  <c r="AC43" i="14"/>
  <c r="AD43" i="14"/>
  <c r="Y43" i="14"/>
  <c r="AK43" i="14"/>
  <c r="W43" i="14"/>
  <c r="AL43" i="14"/>
  <c r="AH43" i="14"/>
  <c r="AG43" i="14"/>
  <c r="AF43" i="14"/>
  <c r="AE43" i="14"/>
  <c r="K34" i="21" l="1"/>
  <c r="K35" i="21"/>
  <c r="K36" i="21"/>
  <c r="K37" i="21"/>
  <c r="K38" i="21"/>
  <c r="K39" i="21"/>
  <c r="K40" i="21"/>
  <c r="K41" i="21"/>
  <c r="K42" i="21"/>
  <c r="K43" i="21"/>
  <c r="K44" i="21"/>
  <c r="K45" i="21"/>
  <c r="K46" i="21"/>
  <c r="K47" i="21"/>
  <c r="K48" i="21"/>
  <c r="K49" i="21"/>
  <c r="K33" i="21"/>
  <c r="K108" i="25" l="1"/>
  <c r="M107" i="25"/>
  <c r="M108" i="25" s="1"/>
  <c r="L107" i="25"/>
  <c r="L108" i="25" s="1"/>
  <c r="J107" i="25"/>
  <c r="J108" i="25" s="1"/>
  <c r="I107" i="25"/>
  <c r="I108" i="25" s="1"/>
  <c r="N108" i="25" l="1"/>
  <c r="X4" i="1"/>
  <c r="W4" i="1"/>
  <c r="V4" i="1"/>
  <c r="U4" i="1"/>
  <c r="T4" i="1"/>
  <c r="S4" i="1"/>
  <c r="R4" i="1"/>
  <c r="Q4" i="1"/>
  <c r="P4" i="1"/>
  <c r="O4" i="1"/>
  <c r="N4" i="1"/>
  <c r="M4" i="1"/>
  <c r="K4" i="1"/>
  <c r="L4" i="1"/>
  <c r="J4" i="1"/>
  <c r="C74" i="1"/>
  <c r="D74" i="1"/>
  <c r="E74" i="1"/>
  <c r="H56" i="25"/>
  <c r="H55" i="25"/>
  <c r="H53" i="25"/>
  <c r="L52" i="25"/>
  <c r="L101" i="25"/>
  <c r="K101" i="25"/>
  <c r="J101" i="25"/>
  <c r="H101" i="25"/>
  <c r="G101" i="25"/>
  <c r="F101" i="25"/>
  <c r="C101" i="25"/>
  <c r="D101" i="25"/>
  <c r="B101" i="25"/>
  <c r="A78" i="25"/>
  <c r="A79" i="25" s="1"/>
  <c r="A80" i="25" s="1"/>
  <c r="A81" i="25" s="1"/>
  <c r="A82" i="25" s="1"/>
  <c r="A83" i="25" s="1"/>
  <c r="A84" i="25" s="1"/>
  <c r="A85" i="25" s="1"/>
  <c r="A86" i="25" s="1"/>
  <c r="A87" i="25" s="1"/>
  <c r="A88" i="25" s="1"/>
  <c r="A89" i="25" s="1"/>
  <c r="A90" i="25" s="1"/>
  <c r="A91" i="25" s="1"/>
  <c r="A92" i="25" s="1"/>
  <c r="A93" i="25" s="1"/>
  <c r="A94" i="25" s="1"/>
  <c r="A95" i="25" s="1"/>
  <c r="A96" i="25" s="1"/>
  <c r="A97" i="25" s="1"/>
  <c r="A98" i="25" s="1"/>
  <c r="A99" i="25" s="1"/>
  <c r="A100" i="25" s="1"/>
  <c r="F55" i="25" l="1"/>
  <c r="G55" i="25" s="1"/>
  <c r="F56" i="25"/>
  <c r="G56" i="25" s="1"/>
  <c r="F54" i="25"/>
  <c r="G54" i="25" s="1"/>
  <c r="F53" i="25"/>
  <c r="G53" i="25" s="1"/>
  <c r="E57" i="21" l="1"/>
  <c r="E59" i="21" s="1"/>
  <c r="D31" i="7" l="1"/>
  <c r="E31"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Yousefi, Fatemeh</author>
  </authors>
  <commentList>
    <comment ref="B46" authorId="0" shapeId="0" xr:uid="{34A745EE-FE9C-458B-AC55-60447554225A}">
      <text>
        <r>
          <rPr>
            <b/>
            <sz val="9"/>
            <color indexed="81"/>
            <rFont val="Tahoma"/>
            <family val="2"/>
          </rPr>
          <t>Yousefi, Fatemeh:</t>
        </r>
        <r>
          <rPr>
            <sz val="9"/>
            <color indexed="81"/>
            <rFont val="Tahoma"/>
            <family val="2"/>
          </rPr>
          <t xml:space="preserve">
Interface area probably got updated with new technologies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Mohsen Abrishami</author>
  </authors>
  <commentList>
    <comment ref="P46" authorId="0" shapeId="0" xr:uid="{C53F85B0-644B-420F-A446-2C73101F2231}">
      <text>
        <r>
          <rPr>
            <b/>
            <sz val="9"/>
            <color indexed="81"/>
            <rFont val="Tahoma"/>
            <family val="2"/>
          </rPr>
          <t xml:space="preserve">
</t>
        </r>
        <r>
          <rPr>
            <b/>
            <sz val="12"/>
            <color indexed="81"/>
            <rFont val="Tahoma"/>
            <family val="2"/>
          </rPr>
          <t>Weighted &amp; scaled to 2022 economy</t>
        </r>
      </text>
    </comment>
    <comment ref="T46" authorId="0" shapeId="0" xr:uid="{77E1ADFB-E079-4C65-A206-4B99F6D9DD36}">
      <text>
        <r>
          <rPr>
            <b/>
            <sz val="9"/>
            <color indexed="81"/>
            <rFont val="Tahoma"/>
            <family val="2"/>
          </rPr>
          <t xml:space="preserve">
</t>
        </r>
        <r>
          <rPr>
            <b/>
            <sz val="12"/>
            <color indexed="81"/>
            <rFont val="Tahoma"/>
            <family val="2"/>
          </rPr>
          <t>Weighted &amp; scaled to 2022 economy</t>
        </r>
      </text>
    </comment>
    <comment ref="X46" authorId="0" shapeId="0" xr:uid="{19EB706C-35B4-4A61-8404-D36AEC510B31}">
      <text>
        <r>
          <rPr>
            <b/>
            <sz val="9"/>
            <color indexed="81"/>
            <rFont val="Tahoma"/>
            <family val="2"/>
          </rPr>
          <t xml:space="preserve">
</t>
        </r>
        <r>
          <rPr>
            <b/>
            <sz val="12"/>
            <color indexed="81"/>
            <rFont val="Tahoma"/>
            <family val="2"/>
          </rPr>
          <t>Weighted &amp; scaled to 2022 economy</t>
        </r>
      </text>
    </comment>
    <comment ref="AF46" authorId="0" shapeId="0" xr:uid="{4B1226B5-3C2A-4C74-BCEF-2CC501A797DE}">
      <text>
        <r>
          <rPr>
            <b/>
            <sz val="9"/>
            <color indexed="81"/>
            <rFont val="Tahoma"/>
            <family val="2"/>
          </rPr>
          <t>Mohsen Abrishami:
Reported in Appdx K</t>
        </r>
      </text>
    </comment>
    <comment ref="U70" authorId="0" shapeId="0" xr:uid="{5902BBB0-8A82-440D-B5D0-2A9748115F33}">
      <text>
        <r>
          <rPr>
            <b/>
            <sz val="9"/>
            <color indexed="81"/>
            <rFont val="Tahoma"/>
            <family val="2"/>
          </rPr>
          <t>The saturations here are the % of total floorspace for each combination of end-use and fuel.</t>
        </r>
        <r>
          <rPr>
            <sz val="9"/>
            <color indexed="81"/>
            <rFont val="Tahoma"/>
            <family val="2"/>
          </rPr>
          <t xml:space="preserve">
</t>
        </r>
      </text>
    </comment>
    <comment ref="V70" authorId="0" shapeId="0" xr:uid="{727FD7A1-3A2F-4637-883F-C2B7A6551625}">
      <text>
        <r>
          <rPr>
            <b/>
            <sz val="9"/>
            <color indexed="81"/>
            <rFont val="Tahoma"/>
            <family val="2"/>
          </rPr>
          <t>The saturations here are the % of total floorspace for each combination of end-use and fuel.</t>
        </r>
        <r>
          <rPr>
            <sz val="9"/>
            <color indexed="81"/>
            <rFont val="Tahoma"/>
            <family val="2"/>
          </rPr>
          <t xml:space="preserve">
</t>
        </r>
      </text>
    </comment>
    <comment ref="W70" authorId="0" shapeId="0" xr:uid="{A1572544-0C8F-47E2-B8C0-FD9BC5A11052}">
      <text>
        <r>
          <rPr>
            <b/>
            <sz val="9"/>
            <color indexed="81"/>
            <rFont val="Tahoma"/>
            <family val="2"/>
          </rPr>
          <t>The saturations here are the % of total floorspace for each combination of end-use and fuel.</t>
        </r>
        <r>
          <rPr>
            <sz val="9"/>
            <color indexed="81"/>
            <rFont val="Tahoma"/>
            <family val="2"/>
          </rPr>
          <t xml:space="preserve">
</t>
        </r>
      </text>
    </comment>
  </commentList>
</comments>
</file>

<file path=xl/sharedStrings.xml><?xml version="1.0" encoding="utf-8"?>
<sst xmlns="http://schemas.openxmlformats.org/spreadsheetml/2006/main" count="1913" uniqueCount="907">
  <si>
    <t>Data Sources</t>
  </si>
  <si>
    <t>Dataset</t>
  </si>
  <si>
    <t>Dodge 2023</t>
  </si>
  <si>
    <t>CEUS 2022</t>
  </si>
  <si>
    <t>CBECS 2018</t>
  </si>
  <si>
    <t>ComStock 2023</t>
  </si>
  <si>
    <t>Prototype</t>
  </si>
  <si>
    <r>
      <t>CEC Small Office prototype</t>
    </r>
    <r>
      <rPr>
        <sz val="10"/>
        <rFont val="Arial"/>
        <family val="2"/>
      </rPr>
      <t xml:space="preserve"> (CBECC 2022.3.1)</t>
    </r>
  </si>
  <si>
    <t>https://bees.noresco.com/software2022.html</t>
  </si>
  <si>
    <t>PNNL Small Office prototype (90.1-2022)</t>
  </si>
  <si>
    <t>https://www.energycodes.gov/prototype-building-models#Commercial</t>
  </si>
  <si>
    <t>DEER Small Office prototype (June 2023)</t>
  </si>
  <si>
    <t>https://github.com/sound-data/DEER-Prototypes-EnergyPlus</t>
  </si>
  <si>
    <t>ORNL 2019 Small Office prototype zoning</t>
  </si>
  <si>
    <t>https://web.eecs.utk.edu/~jnew1/publications/2019_IBPSA_OpenStudioOffice.pdf</t>
  </si>
  <si>
    <t>Codes</t>
  </si>
  <si>
    <t>T24, referred to as T24 (1984, 1992,1998, 2001, 2005, 2008, 2013, 2016,2019, 2022, 2025)</t>
  </si>
  <si>
    <t>ASHRAE 90.1 (2022)</t>
  </si>
  <si>
    <t>CFR Title 10 (2010)</t>
  </si>
  <si>
    <t xml:space="preserve">https://www.govinfo.gov/content/pkg/FR-2009-03-23/pdf/FR-2009-03-23.pdf </t>
  </si>
  <si>
    <t>CFR Title 10 (2013)</t>
  </si>
  <si>
    <t>https://www.govinfo.gov/content/pkg/CFR-2013-title10-vol3/pdf/CFR-2013-title10-vol3-part431.pdf</t>
  </si>
  <si>
    <t>CFR Title 10 (2024)</t>
  </si>
  <si>
    <t>https://www.govinfo.gov/content/pkg/CFR-2024-title10-vol3/pdf/CFR-2024-title10-vol3-part431-subpartF.pdf</t>
  </si>
  <si>
    <t xml:space="preserve"> </t>
  </si>
  <si>
    <t>Others</t>
  </si>
  <si>
    <t>https://www.mass.gov/doc/small-office-prototype-basis-of-design-report/download</t>
  </si>
  <si>
    <t>https://www.mass.gov/lists/stretch-energy-code-development-support-documentation</t>
  </si>
  <si>
    <t>Massachusetts uses commercial prototype for its stretch code energy analysis and the above ones are the supporting documents for small office prototype</t>
  </si>
  <si>
    <t>ACM (2022)</t>
  </si>
  <si>
    <t>Title 24, 2022 - Appendix 5.4A and Appendix 5.4B</t>
  </si>
  <si>
    <t>https://www.energy.ca.gov/publications/2022/2022-nonresidential-and-multifamily-alternative-calculation-method-reference</t>
  </si>
  <si>
    <t xml:space="preserve">2022 Reduced infiltration CASE report </t>
  </si>
  <si>
    <t>https://title24stakeholders.com/wp-content/uploads/2020/10/2022-T24-Final-CASE-Report_Reduce-Infiltration.pdf</t>
  </si>
  <si>
    <t>PNNL 20405, 2010</t>
  </si>
  <si>
    <t>https://www.pnnl.gov/main/publications/external/technical_reports/PNNL-20405.pdf</t>
  </si>
  <si>
    <t>file:///N:/Prj_SUS/2023/S23668%20SCE%20CA%20Prototypes%20Development/Technical/NR/0_Input%20data/Lighting/PNNL-20405.pdf</t>
  </si>
  <si>
    <t>Air leakage Memo, NORESCO, 2025</t>
  </si>
  <si>
    <t>Infiltration_rate_report_14May2025-Short-Version.docx</t>
  </si>
  <si>
    <t>Construction Rate</t>
  </si>
  <si>
    <t>Notes</t>
  </si>
  <si>
    <t>Saturation is defined as the % of total floorspace for each combination of end-use and fuel-type.</t>
  </si>
  <si>
    <t>1978-84</t>
  </si>
  <si>
    <t>1985-97</t>
  </si>
  <si>
    <t>1992-1997</t>
  </si>
  <si>
    <t>1986 is  the representative year for the 1984-1997 vintage bin</t>
  </si>
  <si>
    <t>Most offices in this vintage bin were built after 1984 (more than 53% ) and the CA energy code did not  noticeably changed between 1984 to 1992) . Edition 1986 included 6 prescriptive package per CZ for office buildings compared to 1984 with 3 package per CZ.
Also "Heat Capacity" for external wall is considered between 10.0 to 14.99 (BTU/F/ft²) 
Package A  was selected for the thermal properties</t>
  </si>
  <si>
    <t>Construction rate (Dodge 2023 data for new small offices)</t>
  </si>
  <si>
    <t>2001 is  the representative year for the 1998-2007 vintage bin</t>
  </si>
  <si>
    <t xml:space="preserve">Wall and roof prescriptive criteria from 1998 to 2005  remain unchanged except for CZ2 and 6 in 2001 code  (the percentage of change is less than 10%). 
Since the construction rate between 1998-2005 is greater than the 2006-2007 period,  the envelope properties of 1998 -2005 were chosen for envelope properties. Since the windows requirement considerably changed in the 2001 code,  the nominated year for this vintage is 2001. 
It should be noticed that, only one Title 24 should be chosen within each vintage bin for building envelope properties since the entire envelope is built at once. We can't choose 1998 for walls and 2001 for windows. Wall and roof prescriptive criteria from 1998 to 2005  remain unchanged except for CZ2 and 6 in 2001 version (the percentage of change is less than 10%). </t>
  </si>
  <si>
    <t>2013 is  the representative year for the 2008-2018 vintage bin</t>
  </si>
  <si>
    <t>Wall properties remain unchanged from the 2008 code to the 2016 code but the roof did changed. Although the 2016 code introduced improvement for roof in nearly all CZ and for wall in a few CZ, and  construction activity surged between 2017 and 2018, the extended period from 2008 to 2016 resulted in a higher construction rate during that time . As a result, it was decided to select the code that was effective during 2008-2016. 
The 2013 code modified the solar reflectance requirement for low-sloped roof products ( by approximately 15%), and enhanced window properties. Therefore, the 2013 code was chosen as the representative code.  Additionally, construction activity from 2014-2018  was higher compared to 2008-2013 period.</t>
  </si>
  <si>
    <t>NORESCO, Updated November 2025</t>
  </si>
  <si>
    <t>OfficeSmall</t>
  </si>
  <si>
    <t>Characteristic</t>
  </si>
  <si>
    <t>Value</t>
  </si>
  <si>
    <t>Building Type</t>
  </si>
  <si>
    <t xml:space="preserve">Small Office </t>
  </si>
  <si>
    <t>Building Category</t>
  </si>
  <si>
    <t>Nonresidential</t>
  </si>
  <si>
    <t>Vintages</t>
  </si>
  <si>
    <t>4 Vintages: Pre-1978 , 1978-1997 ,1998-2007 , 2008-2018
New Construction (2019+)</t>
  </si>
  <si>
    <t>Based on the vintage bin analysis</t>
  </si>
  <si>
    <t>NonRes-Vintage bins-Draft Report-30Nov2023-Final.docx</t>
  </si>
  <si>
    <t>Shape</t>
  </si>
  <si>
    <t xml:space="preserve">Rectangular shape is supported by CBECS,  CEC, and PNNL </t>
  </si>
  <si>
    <t>Total Floor Area (ft²)</t>
  </si>
  <si>
    <t>5502 (90.8 ft x 60.5ft)</t>
  </si>
  <si>
    <t>Supported by Dodge 2023 data (Same as CEC and PNNL)</t>
  </si>
  <si>
    <t>Aspect Ratio</t>
  </si>
  <si>
    <t>Same as CEC and PNNL</t>
  </si>
  <si>
    <t>Number of Floors</t>
  </si>
  <si>
    <t>Supported by Dodge 2023 data -(Same as CEC and PNNL)
DEER considered two floors</t>
  </si>
  <si>
    <t>Roof type</t>
  </si>
  <si>
    <t>Tilted (Steep-Sloped)</t>
  </si>
  <si>
    <t>Supported by CBECS 2018 data  (Same as CEC and PNNL)</t>
  </si>
  <si>
    <t>WWR</t>
  </si>
  <si>
    <t xml:space="preserve">24.4% for South and 19.8% for the other three orientations
</t>
  </si>
  <si>
    <t>CEC: overall 21.2% same as PNNL 
DEER: 33% in all directions
CBECS: 2-25%</t>
  </si>
  <si>
    <t>Shading Geometry</t>
  </si>
  <si>
    <t xml:space="preserve">No Shades </t>
  </si>
  <si>
    <t>Floor to floor height (feet)</t>
  </si>
  <si>
    <t>Floor to ceiling height (feet)</t>
  </si>
  <si>
    <t>Glazing sill height (feet)</t>
  </si>
  <si>
    <t>3 
(top of the window is 8 ft high with 5 ft high glass)</t>
  </si>
  <si>
    <t>Background Data [To be deleted prior to publication]</t>
  </si>
  <si>
    <t>Equipment (Plug Load )- Prototypes comparison</t>
  </si>
  <si>
    <t>Unit</t>
  </si>
  <si>
    <t>CEC OffSml</t>
  </si>
  <si>
    <t xml:space="preserve">DEER  OFS </t>
  </si>
  <si>
    <t xml:space="preserve">PNNL </t>
  </si>
  <si>
    <t>ComStock</t>
  </si>
  <si>
    <t>Note</t>
  </si>
  <si>
    <t>W/ft2</t>
  </si>
  <si>
    <t xml:space="preserve"> PNNL considers higher load for electric equipment</t>
  </si>
  <si>
    <t xml:space="preserve">Yearly Load multiplier </t>
  </si>
  <si>
    <t>Space/Thermal Zone</t>
  </si>
  <si>
    <t>Space Type</t>
  </si>
  <si>
    <t>HVAC System Name/AHU Name</t>
  </si>
  <si>
    <t>Schedule Category</t>
  </si>
  <si>
    <t>Conditioned (Y/N)</t>
  </si>
  <si>
    <t>Area Fraction</t>
  </si>
  <si>
    <t>Area (ft²)</t>
  </si>
  <si>
    <t>Volume (ft³)</t>
  </si>
  <si>
    <t>Multipliers</t>
  </si>
  <si>
    <t>Number of People</t>
  </si>
  <si>
    <t xml:space="preserve">People 
(Persons/1,000 ft²)
[T24, 2025,Table 120.1-A] </t>
  </si>
  <si>
    <t>Open_Office_N</t>
  </si>
  <si>
    <t>Office Area (&gt;250 square feet)</t>
  </si>
  <si>
    <t>AHU_N</t>
  </si>
  <si>
    <t>Office</t>
  </si>
  <si>
    <t>Yes</t>
  </si>
  <si>
    <t>Closed_Office_W</t>
  </si>
  <si>
    <t>AHU_W</t>
  </si>
  <si>
    <t>Closed_Office_E</t>
  </si>
  <si>
    <t>AHU_E</t>
  </si>
  <si>
    <t>Conference</t>
  </si>
  <si>
    <t>Convention, Conference, Multipurpose and Meeting Area</t>
  </si>
  <si>
    <t>AHU_S</t>
  </si>
  <si>
    <t>Lobby_Lounge</t>
  </si>
  <si>
    <t>Lobby, Main Entry</t>
  </si>
  <si>
    <t>People: 10 according to ASHRAE 62.1, Table 6-1 for main entry lobbies
T24: 33 for main Entry lobbies &amp; 5 for reception area</t>
  </si>
  <si>
    <t>Storage</t>
  </si>
  <si>
    <t>Storage (General)</t>
  </si>
  <si>
    <t>Mechanical_Electrical</t>
  </si>
  <si>
    <t>Electrical, Mechanical, Telephone Rooms</t>
  </si>
  <si>
    <t>-</t>
  </si>
  <si>
    <t>Restroom</t>
  </si>
  <si>
    <t>Restrooms</t>
  </si>
  <si>
    <t>Break_CopyRoom</t>
  </si>
  <si>
    <t>Lounge, Breakroom, or Waiting Area</t>
  </si>
  <si>
    <t>Corridor_W</t>
  </si>
  <si>
    <t>Corridor Area</t>
  </si>
  <si>
    <t>Corridor_N</t>
  </si>
  <si>
    <t>Corridor_E</t>
  </si>
  <si>
    <t>Corridor_S</t>
  </si>
  <si>
    <t>Attic</t>
  </si>
  <si>
    <t>n/a</t>
  </si>
  <si>
    <t>No</t>
  </si>
  <si>
    <t>Total (14 Space)</t>
  </si>
  <si>
    <t>Total (9 Space)</t>
  </si>
  <si>
    <t>Total (4 HVAC system)</t>
  </si>
  <si>
    <t xml:space="preserve"> Total (1 category)</t>
  </si>
  <si>
    <t xml:space="preserve"> Total (4 Conditioned zones, 1 Unconditioned Zones)</t>
  </si>
  <si>
    <r>
      <rPr>
        <b/>
        <sz val="10"/>
        <color rgb="FF000000"/>
        <rFont val="Arial"/>
        <family val="2"/>
      </rPr>
      <t>Ref:</t>
    </r>
    <r>
      <rPr>
        <sz val="10"/>
        <color rgb="FF000000"/>
        <rFont val="Arial"/>
        <family val="2"/>
      </rPr>
      <t xml:space="preserve"> Geometry and zones: ORNL 2019 small office prototype with modification</t>
    </r>
  </si>
  <si>
    <t>https://web.eecs.utk.edu/~jnew1/presentations/2019_IBPSA_OpenStudioOffice.pdf</t>
  </si>
  <si>
    <t xml:space="preserve">Review zones of Existing Small Office Prototype </t>
  </si>
  <si>
    <t>Parameter</t>
  </si>
  <si>
    <t>PNNL</t>
  </si>
  <si>
    <t>CEC</t>
  </si>
  <si>
    <t>DEER</t>
  </si>
  <si>
    <t>Number of  Zones</t>
  </si>
  <si>
    <t>5 conditioned 
(1 core, 4 perm,  
 1 attic)</t>
  </si>
  <si>
    <t>20 (10 per floor: 5 conditioned zones and 5 plenum unconditioned zones)</t>
  </si>
  <si>
    <t>Floor area of spaces  
(ft²)</t>
  </si>
  <si>
    <t xml:space="preserve">People </t>
  </si>
  <si>
    <t>Element</t>
  </si>
  <si>
    <t xml:space="preserve"> 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</si>
  <si>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</si>
  <si>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</si>
  <si>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</si>
  <si>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</si>
  <si>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</si>
  <si>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</si>
  <si>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</si>
  <si>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</si>
  <si>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</si>
  <si>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</si>
  <si>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</si>
  <si>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</si>
  <si>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</si>
  <si>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</si>
  <si>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</si>
  <si>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</si>
  <si>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</si>
  <si>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</si>
  <si>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</si>
  <si>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</si>
  <si>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 xml:space="preserve">External Wall </t>
  </si>
  <si>
    <t xml:space="preserve">OfficeSmall </t>
  </si>
  <si>
    <t>ExtWall_WoodFramed_NonRes</t>
  </si>
  <si>
    <t>Wood-frame walls* + insulation + Gypsum board</t>
  </si>
  <si>
    <t>U-factor IP</t>
  </si>
  <si>
    <t>Pre 1978</t>
  </si>
  <si>
    <t>N/A</t>
  </si>
  <si>
    <t>ASHRAE 90.1, 2022, Table A3.4.3.1, 3.5", R-0</t>
  </si>
  <si>
    <t>1978-1997</t>
  </si>
  <si>
    <t xml:space="preserve">Table 2-53V-16: Package A/ Heat Capacity was considered 10.0-14.99 (BTU/F/ft²) </t>
  </si>
  <si>
    <t>1998-2007</t>
  </si>
  <si>
    <t>Table 1-H</t>
  </si>
  <si>
    <t>2008-2018</t>
  </si>
  <si>
    <t>Table 140.3-B</t>
  </si>
  <si>
    <t>2019+</t>
  </si>
  <si>
    <t>Flat Roof</t>
  </si>
  <si>
    <t>AtticFloor Reversed</t>
  </si>
  <si>
    <t xml:space="preserve">
Ceiling: Wood-frame roof + insulation + Acoustic tile/Gypsum board
(Attic Roof: Asphalt shingle + Plywood)</t>
  </si>
  <si>
    <t>Table 2-53V-16: Considering 30 years for roof/ insulation replacement.</t>
  </si>
  <si>
    <t>Windows</t>
  </si>
  <si>
    <t>FixedWindow_NonRes</t>
  </si>
  <si>
    <t xml:space="preserve">Mix Single and Double: CBECS 2018 shows that ~53% of small offices that were built before 2000 are single pane </t>
  </si>
  <si>
    <t>ASHRAE Handbook of Fundamentals (Table 10-Ch15) for single pane &amp; T24, 2013  for double pane(53%-47%)*</t>
  </si>
  <si>
    <t>Double pane</t>
  </si>
  <si>
    <t>SHGC</t>
  </si>
  <si>
    <t>Table 1-H : WWR:20-30 / SHGC non-north</t>
  </si>
  <si>
    <t>Infiltration</t>
  </si>
  <si>
    <t>I_75
6-sided Infiltration rate 
@ 75 pa</t>
  </si>
  <si>
    <t xml:space="preserve"> I-design (cfm/ft²) 
(4-sided Infiltration rate at normal pressure) 
(Design flow rate approach and Flow/Exterior Wall Area calculation method) </t>
  </si>
  <si>
    <t>2022 CASE report (Table 38)</t>
  </si>
  <si>
    <t>2022 CASE report (Table 38) &amp;
T24, 2008-2016 (Table 140.3-C)</t>
  </si>
  <si>
    <t>0.6*</t>
  </si>
  <si>
    <t>2022 CASE report (Table 38) &amp;  
T24, 2025 (Table 140.3-C)</t>
  </si>
  <si>
    <t>Source:  Title 24 air barrier requirements (all editions) and the standardized infiltration rate reported in the 2022 CASE report and Dodge 2023 data</t>
  </si>
  <si>
    <t>* Better to consider 0.6 for New construction instead of being very stringent align with the Appendix G of ASHRAE 90.1 (which is almost 0.4)</t>
  </si>
  <si>
    <t xml:space="preserve">Air Leakage Memo: </t>
  </si>
  <si>
    <t>Interior wall</t>
  </si>
  <si>
    <t>Gypsum board</t>
  </si>
  <si>
    <t>Wood stud</t>
  </si>
  <si>
    <t>R=0.32</t>
  </si>
  <si>
    <t xml:space="preserve">wood stud 2*4, covers 25% of the interior wall volume  between two layer of gypsum board , </t>
  </si>
  <si>
    <t>Air (or insulation)</t>
  </si>
  <si>
    <t>R=0.16</t>
  </si>
  <si>
    <t xml:space="preserve">air covers the rest 75%.  </t>
  </si>
  <si>
    <t>Title 24, 1984/Table 2-53J</t>
  </si>
  <si>
    <t>0.5 cfm/ft for sash crack of windows, 0.5 cfm/ft² of door area for single door or 0.1 cfm/ft² of door area for double door</t>
  </si>
  <si>
    <t>Title 24, 2001/116(a)1</t>
  </si>
  <si>
    <t>0.3 cfm/ft² of window area / 0.3 cfm/ft² of door area for nonresidential single doors (swinging and  sliding), and 1.0 cfm/ft² for nonresidential double doors (swinging),</t>
  </si>
  <si>
    <t>Title 24,  2013/110.6(a)1 and 140.3(9)(c)</t>
  </si>
  <si>
    <t>0.3 cfm/ft² of window area / 0.3 cfm/ft² of door area for nonresidential single doors (swinging and  sliding), and 1.0 cfm/ft² for nonresidential double doors (swinging), 0.4 cfm/ft² @ 75 Pa whole building</t>
  </si>
  <si>
    <t>Title24, 2025/Section 110.6(a)1 and 140.3(9)©</t>
  </si>
  <si>
    <t xml:space="preserve">Infiltration rate in the existing prototypes: </t>
  </si>
  <si>
    <t>Infiltration features</t>
  </si>
  <si>
    <t>Comstock</t>
  </si>
  <si>
    <t>Generally</t>
  </si>
  <si>
    <t>DOE2 Pre 1980</t>
  </si>
  <si>
    <t>NOR</t>
  </si>
  <si>
    <t>Method and Coefficients</t>
  </si>
  <si>
    <r>
      <t>Flow/ExteriorWallArea
Infiltration=</t>
    </r>
    <r>
      <rPr>
        <sz val="10"/>
        <color rgb="FF7030A0"/>
        <rFont val="Arial"/>
        <family val="2"/>
      </rPr>
      <t>Idesign</t>
    </r>
    <r>
      <rPr>
        <sz val="10"/>
        <color theme="1"/>
        <rFont val="Arial"/>
        <family val="2"/>
      </rPr>
      <t>*Fschedule*(A+B(Tzone-Todb)+C*WindSpd+D*WindSpd^2)
(0,0,0.224 for Velocity term,0)</t>
    </r>
  </si>
  <si>
    <t>Flow/ExteriorArea
HVAC ON: 0.0209 for constant term,0.0064 for temperature term,0 for velocity term,0.1297 for velocity squared term
HVAC OFF: 0,0.0179 for temperature term,0 ,0.1473 for velocity squared term</t>
  </si>
  <si>
    <r>
      <t xml:space="preserve">Flow/ExteriorArea  for Perimeter zones:
</t>
    </r>
    <r>
      <rPr>
        <sz val="8"/>
        <color theme="1"/>
        <rFont val="Arial"/>
        <family val="2"/>
      </rPr>
      <t xml:space="preserve">Constant coefficient=1 other=0 
</t>
    </r>
    <r>
      <rPr>
        <sz val="10"/>
        <color theme="1"/>
        <rFont val="Arial"/>
        <family val="2"/>
      </rPr>
      <t xml:space="preserve">ACH for Core zone:
</t>
    </r>
    <r>
      <rPr>
        <sz val="8"/>
        <color theme="1"/>
        <rFont val="Arial"/>
        <family val="2"/>
      </rPr>
      <t>Constant coefficient=1 other=0</t>
    </r>
  </si>
  <si>
    <t>Idesign (cfm/sf2)</t>
  </si>
  <si>
    <t>0.0392421041 
0.0423987889 (Attic)</t>
  </si>
  <si>
    <t xml:space="preserve">0.4881276 (Case 5307-5500sf-1979-wood)
0.3661 (case 13134-5500sf-2001-wood)
0.1627 (case 13157-5500sf-2004-Mass)
0.122 (Case 4389--5500sf-2000-wood)
0.244 (Case 6213--5500sf-2004-SteelF)
</t>
  </si>
  <si>
    <t xml:space="preserve">tight for vintage 4th and New construction:
1.5 cfm/sf from DOE pre-1980 model,
0.35: 1978-1997
0.2 1997-2008
0.1: 2008-2018 </t>
  </si>
  <si>
    <r>
      <rPr>
        <b/>
        <sz val="8"/>
        <color theme="1"/>
        <rFont val="Arial"/>
        <family val="2"/>
      </rPr>
      <t>Flow/Exterior wall:</t>
    </r>
    <r>
      <rPr>
        <sz val="8"/>
        <color theme="1"/>
        <rFont val="Arial"/>
        <family val="2"/>
      </rPr>
      <t xml:space="preserve">
Pre 1980/Post 1980: 0.223 (0.001133 m3/s-m2)
New 2004: 0.0594 (0.000302 m3/s-m2)
</t>
    </r>
    <r>
      <rPr>
        <b/>
        <sz val="8"/>
        <color theme="1"/>
        <rFont val="Arial"/>
        <family val="2"/>
      </rPr>
      <t xml:space="preserve"> ACH:</t>
    </r>
    <r>
      <rPr>
        <sz val="8"/>
        <color theme="1"/>
        <rFont val="Arial"/>
        <family val="2"/>
      </rPr>
      <t xml:space="preserve"> 0.36 per hour</t>
    </r>
  </si>
  <si>
    <t>Schedule</t>
  </si>
  <si>
    <t>Office space (Weekday/WD)</t>
  </si>
  <si>
    <t>0-5am 1
5am-12am 0.25</t>
  </si>
  <si>
    <t>0-7am 1
7am-7pm 0.25
7pm-12am 1</t>
  </si>
  <si>
    <t>0-6am 1
6am-10pm 0.25
10pm-12am 1</t>
  </si>
  <si>
    <t>Office space (Saturday)</t>
  </si>
  <si>
    <t>0-5am 1
6am-7pm 0.25
7pm-12am 1</t>
  </si>
  <si>
    <t>0-7am 1
7am-6pm 0.25
6pm-12am 1</t>
  </si>
  <si>
    <t>0-6am 1
6am-6pm 0.25
6pm-12am 1</t>
  </si>
  <si>
    <t>Office space (Sunday)</t>
  </si>
  <si>
    <t xml:space="preserve">one infiltration object  per perimeter zones (ONLY perimeter)  +one object for the entrance door </t>
  </si>
  <si>
    <t>one infiltration object per each zone</t>
  </si>
  <si>
    <t xml:space="preserve">Case 5307, year 1979: TWO objects per zone: one for HVAC Off and another when HAVC is on </t>
  </si>
  <si>
    <t>Four Inf objects for the perimeter spaces + Another Inf. object for the zone with Door : 0.129785425 ft3/min
(Same as PNNL)</t>
  </si>
  <si>
    <t xml:space="preserve">
0.12978 ft3/min: PNNL value for door infiltration flow/zone
</t>
  </si>
  <si>
    <t>the ON schedule is always 1 and the OFF one is always 0.</t>
  </si>
  <si>
    <t>Dodge 2023 Construction data</t>
  </si>
  <si>
    <t>Dodge 2023 data for new small offices</t>
  </si>
  <si>
    <t>vintage 1978-19997</t>
  </si>
  <si>
    <t>Year</t>
  </si>
  <si>
    <t>Small Office area</t>
  </si>
  <si>
    <t>Construction rate</t>
  </si>
  <si>
    <t>Total Constructed floor area</t>
  </si>
  <si>
    <t>Comstock 2023</t>
  </si>
  <si>
    <t>Exterior wall Type</t>
  </si>
  <si>
    <t>Steel Framed</t>
  </si>
  <si>
    <t>Wood Framed</t>
  </si>
  <si>
    <t>Mass</t>
  </si>
  <si>
    <t>Small Office</t>
  </si>
  <si>
    <t>Considering 1/3 for each category and having wood frame tilted roof, it's been decided to consider wood framed wall.</t>
  </si>
  <si>
    <t xml:space="preserve">Heating </t>
  </si>
  <si>
    <t>Cooling</t>
  </si>
  <si>
    <t>Air Distribution</t>
  </si>
  <si>
    <t>Source</t>
  </si>
  <si>
    <t xml:space="preserve">Existing  </t>
  </si>
  <si>
    <t xml:space="preserve">Furnace (Gas) </t>
  </si>
  <si>
    <t>Packaged (DX)</t>
  </si>
  <si>
    <t>Single Duct Constant Air Volume</t>
  </si>
  <si>
    <t xml:space="preserve">PTAC </t>
  </si>
  <si>
    <t>New Construction</t>
  </si>
  <si>
    <t>Packaged SZ HP</t>
  </si>
  <si>
    <t xml:space="preserve">Packaged SZ HP </t>
  </si>
  <si>
    <t>T24 2025</t>
  </si>
  <si>
    <t>PTHP</t>
  </si>
  <si>
    <t>Efficiency of HVAC system</t>
  </si>
  <si>
    <t>Upgrade Code</t>
  </si>
  <si>
    <t>COP</t>
  </si>
  <si>
    <t>R (Adjustment factor)</t>
  </si>
  <si>
    <t>Efficiency 80%</t>
  </si>
  <si>
    <t>EER=9.0</t>
  </si>
  <si>
    <t>T24, Part 6, 2007 /CFR Energy 2009 page 12074</t>
  </si>
  <si>
    <t>PNNL,2010,"Technical Support Document: 50% Energy Savings for Small Office Buildings"</t>
  </si>
  <si>
    <t>COP=3 / Efficiency 80%</t>
  </si>
  <si>
    <t xml:space="preserve">EER=9.0
SEER=13 </t>
  </si>
  <si>
    <t xml:space="preserve">CFR Energy 2010:Title 10- Table 9
10 CFR 2013 (431.97, Table 1) </t>
  </si>
  <si>
    <t>COP=3.3 / Efficiency 80%</t>
  </si>
  <si>
    <t>SEER2=13.4</t>
  </si>
  <si>
    <t xml:space="preserve">CFR Energy 2024:Title 10- Table 19 - § 431.97 </t>
  </si>
  <si>
    <t>Fan power</t>
  </si>
  <si>
    <t>Approach</t>
  </si>
  <si>
    <t>System</t>
  </si>
  <si>
    <t>Total Static Pressure (TSP)
(in w.c.)
[PNNL 20405, 2010, Table 5.11]</t>
  </si>
  <si>
    <t>Fan Efficiency
[ACM 2025]</t>
  </si>
  <si>
    <t>Fan Motor and Drive Efficiency 
[ACM 2025, Table 13]</t>
  </si>
  <si>
    <t>W/cfm
[ACM 2025, Table 14 and 15]</t>
  </si>
  <si>
    <t>Data Source</t>
  </si>
  <si>
    <t>Existing</t>
  </si>
  <si>
    <t>PNNL TSP</t>
  </si>
  <si>
    <t>CAV (system &lt; 7,437 cfm)</t>
  </si>
  <si>
    <t>~0.9 (The full-load efficiency of the motor serving the fan- will be determined based on ACM 2025, Table 13)</t>
  </si>
  <si>
    <t>PNNL 20405, 2010, Table 5.11</t>
  </si>
  <si>
    <t>Brake horse power (bhp)=(Supply cfm*TSP in w.c.)/(6356*Fan efficiency)</t>
  </si>
  <si>
    <t>Fan power (w/cfm) = bhp/motor and drive efficiency *746</t>
  </si>
  <si>
    <t>ACM 2025</t>
  </si>
  <si>
    <t>System 3b-SZHP, &lt;5000</t>
  </si>
  <si>
    <t xml:space="preserve"> ACM 2025</t>
  </si>
  <si>
    <t>PVAV System &gt;10,000 cfm</t>
  </si>
  <si>
    <t>* 0.9 is an average fan efficiency according to ACM 2025, Table 13</t>
  </si>
  <si>
    <t>Fan total eff (E+ input) = 0.65 x Motor_eff</t>
  </si>
  <si>
    <t>TSP (E+ input) in w.c. = Motor_eff/746 x (6356 x Fan_eff) x W/cfm</t>
  </si>
  <si>
    <t>Fan_eff=0.65</t>
  </si>
  <si>
    <t>Zone cooling design supply air temperature (F)</t>
  </si>
  <si>
    <t>Air distribution system</t>
  </si>
  <si>
    <t>CAV</t>
  </si>
  <si>
    <t xml:space="preserve">CAV </t>
  </si>
  <si>
    <t>VAV</t>
  </si>
  <si>
    <t>Max air flow rate</t>
  </si>
  <si>
    <t>Values</t>
  </si>
  <si>
    <t>Autosize</t>
  </si>
  <si>
    <t>Reference for Efficiency</t>
  </si>
  <si>
    <t>FCZ12</t>
  </si>
  <si>
    <t>10CFR 2024</t>
  </si>
  <si>
    <t>CFR 2025 (not for Hp which is New construction)</t>
  </si>
  <si>
    <t>74 FR 12058 : 2009</t>
  </si>
  <si>
    <t>FR-2009-03-23.pdf</t>
  </si>
  <si>
    <t>ASHRAE 2010 : SEER 13</t>
  </si>
  <si>
    <t>Referenced Ventilation</t>
  </si>
  <si>
    <t>Discussion behind HVAC system selection</t>
  </si>
  <si>
    <t xml:space="preserve">CEUS 2022 data </t>
  </si>
  <si>
    <t>Heating</t>
  </si>
  <si>
    <t>% of total impacted  floor area</t>
  </si>
  <si>
    <t>Dominated system</t>
  </si>
  <si>
    <t>Package System / Heat Pump</t>
  </si>
  <si>
    <t xml:space="preserve">Single Duct Constant Air Volume  in all vintage </t>
  </si>
  <si>
    <t>% of  impacted floor area covered by the dominant system</t>
  </si>
  <si>
    <t>Fuel and Share</t>
  </si>
  <si>
    <t>43.4% Electric and 55.5% Gas</t>
  </si>
  <si>
    <t>99.9% by Electric</t>
  </si>
  <si>
    <t>2% degradation for HVAC system per year</t>
  </si>
  <si>
    <r>
      <t xml:space="preserve"> A study measured losses of a median of </t>
    </r>
    <r>
      <rPr>
        <sz val="10"/>
        <color rgb="FFFF0000"/>
        <rFont val="Arial"/>
        <family val="2"/>
      </rPr>
      <t>1.2 W/m2</t>
    </r>
    <r>
      <rPr>
        <sz val="10"/>
        <color theme="1"/>
        <rFont val="Arial"/>
        <family val="2"/>
      </rPr>
      <t xml:space="preserve"> (of gross floor area) from the distribution piping in 7 large commercial buildings </t>
    </r>
  </si>
  <si>
    <t>Ref: P. Raftery, D. Vernon, R. Singla, M. Nakajima, Measured Space Heating Hot Water Distribution Losses in Large Commercial Buildings, ASHRAE Transactions 129 (1) (2023) 8.</t>
  </si>
  <si>
    <t>Systems operate far more frequently than expected − 81% of hours annually for the median building. Loads are lower and more skewed than expected, and oversizing is common even accounting for redundancy requirements.</t>
  </si>
  <si>
    <t>Notably, equipment sized to 30% of the maximum measured load could serve up 84% of the total heating energy consumption for the median building.</t>
  </si>
  <si>
    <t>boilers operate less efficiently than expected</t>
  </si>
  <si>
    <r>
      <t>Ref: Raftery, Paul, et al. "Insights from hydronic heating systems in 259 commercial buildings." </t>
    </r>
    <r>
      <rPr>
        <i/>
        <sz val="10"/>
        <color theme="7" tint="-0.499984740745262"/>
        <rFont val="Arial"/>
        <family val="2"/>
      </rPr>
      <t>Energy and Buildings</t>
    </r>
    <r>
      <rPr>
        <sz val="10"/>
        <color theme="7" tint="-0.499984740745262"/>
        <rFont val="Arial"/>
        <family val="2"/>
      </rPr>
      <t> 321 (2024): 114543.</t>
    </r>
  </si>
  <si>
    <t>file:///N:/Prj_SUS/2023/S23668%20SCE%20CA%20Prototypes%20Development/Technical/Database/Papers/Insights%20from%20hydronic%20heating%20systems%20in%20259%20commercial%20buildings/Insights%20from%20hydronic%20heating%20systems%20in%20259%20commercial%20buildings.pdf</t>
  </si>
  <si>
    <t>Discussion behind efficiency reference selection</t>
  </si>
  <si>
    <r>
      <t xml:space="preserve">For  pre-1978: </t>
    </r>
    <r>
      <rPr>
        <sz val="10"/>
        <color rgb="FF2F5597"/>
        <rFont val="Arial"/>
        <family val="2"/>
      </rPr>
      <t>T24, Part 6, version 2008</t>
    </r>
  </si>
  <si>
    <t xml:space="preserve">According to the Comstock dataset, over 50% of small offices that were constructed before 1978, replaced their system between 2003 and 2011 with the following distribution. I think 2008 is a good decision since over 60% of HVAC got replace after 2007.  </t>
  </si>
  <si>
    <t>Comstock dataset 2023: Floor area distribution of small offices built pre-1978 and updated HVAC in year …</t>
  </si>
  <si>
    <t>2014-15</t>
  </si>
  <si>
    <t xml:space="preserve">% of floor area </t>
  </si>
  <si>
    <r>
      <t>For 1978-1997</t>
    </r>
    <r>
      <rPr>
        <sz val="10"/>
        <color theme="1"/>
        <rFont val="Arial"/>
        <family val="2"/>
      </rPr>
      <t xml:space="preserve">: </t>
    </r>
    <r>
      <rPr>
        <sz val="10"/>
        <color rgb="FF2F5597"/>
        <rFont val="Arial"/>
        <family val="2"/>
      </rPr>
      <t>T24, Part 6, version 2008</t>
    </r>
  </si>
  <si>
    <t xml:space="preserve">Comstock shows that over 50% of these small offices have their HVAC system align with regulations passed between 2003 and 2011 with the following distribution. Although those buildings constructed between 1992 and1997, mainly updated their HVAC align with DEER 2011 code cycle (around T24 2010), most of the buildings in this vintage were bulti before 1992 and mainly upgraded their HVAC before 2011. </t>
  </si>
  <si>
    <t>Floor area distribution of small offices built 1978-1997 and their last HVAC align with code …</t>
  </si>
  <si>
    <t xml:space="preserve">Besides, Comstock shows that small offices in this vintage has an average HVAC replacement tie of 20 years .  </t>
  </si>
  <si>
    <t xml:space="preserve">However, if we consider 15 years for the average HVAC life cycle and consider year 1984 as a reference year (most of small offices in this vintage were constructed between 1978-1989 , and 1984 is almost in the middle of that), we will have T24, version 2013 as the reference code for efficiency selection.  1984+15+15=2014 which is close to Title 24 , 2013. </t>
  </si>
  <si>
    <r>
      <rPr>
        <b/>
        <sz val="10"/>
        <color theme="1"/>
        <rFont val="Arial"/>
        <family val="2"/>
      </rPr>
      <t>For 1998-2007 :</t>
    </r>
    <r>
      <rPr>
        <sz val="10"/>
        <color theme="1"/>
        <rFont val="Arial"/>
        <family val="2"/>
      </rPr>
      <t xml:space="preserve">  T24, </t>
    </r>
    <r>
      <rPr>
        <sz val="10"/>
        <color rgb="FFC00000"/>
        <rFont val="Arial"/>
        <family val="2"/>
      </rPr>
      <t>20051</t>
    </r>
    <r>
      <rPr>
        <sz val="10"/>
        <color theme="1"/>
        <rFont val="Arial"/>
        <family val="2"/>
      </rPr>
      <t xml:space="preserve">!  (shifted from 2001 to T24 2005 code to consider the impact of the upgraded HVA). However, later it's been decided to select 2008 code to align with the earlier vintages </t>
    </r>
  </si>
  <si>
    <t>There is no code between 2001 and 2005. Comstock show that about 70% of these HVAC haven’t been replaced. Those updated their HVAC, update that in an average 14 years mainly around 2015-2017)</t>
  </si>
  <si>
    <r>
      <rPr>
        <b/>
        <sz val="10"/>
        <color theme="1"/>
        <rFont val="Arial"/>
        <family val="2"/>
      </rPr>
      <t>For 2008-2018:</t>
    </r>
    <r>
      <rPr>
        <sz val="10"/>
        <color theme="1"/>
        <rFont val="Arial"/>
        <family val="2"/>
      </rPr>
      <t xml:space="preserve"> 2010!</t>
    </r>
  </si>
  <si>
    <t>According to Dodge 2023, over 68% of these  small office are between 2008 and 2013.</t>
  </si>
  <si>
    <t>Setpoint</t>
  </si>
  <si>
    <t>Heating Setpoint (F)</t>
  </si>
  <si>
    <t>Heating Setback (F)</t>
  </si>
  <si>
    <t>Cooling Setpoint (F)</t>
  </si>
  <si>
    <t>Cooling Setback (F)</t>
  </si>
  <si>
    <t>The Small Office prototypes by CEC and DEER both use the same setpoints.</t>
  </si>
  <si>
    <t>The Small Office prototype by PNNL also uses the same setpoints, except for one of the perimeter zones, which has a heating setpoint of 69 °F and a cooling setpoint of 76 °F during hours of 10:00-11:00, 12:00-13:00, and 14:00-15:00 .</t>
  </si>
  <si>
    <t>Weekday</t>
  </si>
  <si>
    <t>Saturday</t>
  </si>
  <si>
    <t>Sunday</t>
  </si>
  <si>
    <t xml:space="preserve">Weekday </t>
  </si>
  <si>
    <t>Heating  and Cooling setback schedule</t>
  </si>
  <si>
    <t>12:am-5:00 am</t>
  </si>
  <si>
    <t>0:00 to 5:00</t>
  </si>
  <si>
    <t>0:00 to 24:00</t>
  </si>
  <si>
    <t>7:00 pm-5:00 am</t>
  </si>
  <si>
    <t>All the day</t>
  </si>
  <si>
    <t>5:00 to 24:00</t>
  </si>
  <si>
    <t>5:00 to 19:00</t>
  </si>
  <si>
    <t>T24, Appendix JA5-4 : Occupant Controlled Smart Thermostat (OCST)</t>
  </si>
  <si>
    <t>The findings indicated that households engaged in teleworking raised their winter thermostat setpoints by an average of 0.66 °C and decreased their summer thermostat setpoint by an average of 1.62 °C compared to the period that their home was vacant during office hours</t>
  </si>
  <si>
    <t>2025, "Analyzing smart thermostat data to uncover trends in remote work behaviors"</t>
  </si>
  <si>
    <t>https://www.sciencedirect.com/science/article/pii/S0378778825000507</t>
  </si>
  <si>
    <t>Floor Area (ft²)</t>
  </si>
  <si>
    <t>cfm/person
(T24, 2025, Equation 120.1-F and Table 120.1-A)</t>
  </si>
  <si>
    <t>cfm/ft²  
(T24, 2025, Equation 120.1-F and Table 120.1-A)</t>
  </si>
  <si>
    <t>Required Exhaust Rate
 (T24,  2025, Table 120.1-B – Minimum Exhaust Rates)</t>
  </si>
  <si>
    <t>Total cfm 
Driven by People</t>
  </si>
  <si>
    <t>Total cfm 
Driven by Area</t>
  </si>
  <si>
    <t>Total cfm 
Driven by Exhaust</t>
  </si>
  <si>
    <t>Total cfm</t>
  </si>
  <si>
    <t>AHU</t>
  </si>
  <si>
    <t>cfm</t>
  </si>
  <si>
    <t>25/50 per unit</t>
  </si>
  <si>
    <t>CEUS 2022 Data shows that about 50% of the unconditioned floor area belongs to the first vintage bin (Pre-1978)</t>
  </si>
  <si>
    <t>Ref: CEUS 2022</t>
  </si>
  <si>
    <t>Ventilated</t>
  </si>
  <si>
    <t>Ventilated Only</t>
  </si>
  <si>
    <r>
      <t xml:space="preserve">Conditioned  - </t>
    </r>
    <r>
      <rPr>
        <sz val="10"/>
        <color theme="1"/>
        <rFont val="Arial"/>
        <family val="2"/>
      </rPr>
      <t xml:space="preserve"> Floorspace that is heated and/or cooled</t>
    </r>
  </si>
  <si>
    <t>Statewide/  Utility/ FCZ</t>
  </si>
  <si>
    <t>K SqFt</t>
  </si>
  <si>
    <t>% of Tot. Comm. Floorspace</t>
  </si>
  <si>
    <t>Total</t>
  </si>
  <si>
    <r>
      <t xml:space="preserve">Unconditioned  -  </t>
    </r>
    <r>
      <rPr>
        <sz val="10"/>
        <color theme="1"/>
        <rFont val="Arial"/>
        <family val="2"/>
      </rPr>
      <t xml:space="preserve">Floorspace that is not heated and/or cooled </t>
    </r>
  </si>
  <si>
    <t>Statewide</t>
  </si>
  <si>
    <r>
      <t xml:space="preserve">Ventilated  -  </t>
    </r>
    <r>
      <rPr>
        <sz val="10"/>
        <color theme="1"/>
        <rFont val="Arial"/>
        <family val="2"/>
      </rPr>
      <t>Total floorspace that is Conditioned (heated and/or cooled), plus unconditioned spaces that are Ventilated</t>
    </r>
  </si>
  <si>
    <t>FCZ01 Tot</t>
  </si>
  <si>
    <r>
      <t xml:space="preserve">Ventilated Only  - </t>
    </r>
    <r>
      <rPr>
        <sz val="10"/>
        <color theme="1"/>
        <rFont val="Arial"/>
        <family val="2"/>
      </rPr>
      <t xml:space="preserve"> Unconditioned floorspace that is ventilated</t>
    </r>
  </si>
  <si>
    <t>FCZ02 Tot</t>
  </si>
  <si>
    <r>
      <t xml:space="preserve">Refrigerated  -  </t>
    </r>
    <r>
      <rPr>
        <sz val="10"/>
        <color theme="1"/>
        <rFont val="Arial"/>
        <family val="2"/>
      </rPr>
      <t>Floorspace occupied by built-in commercial grade refrigerators (including walk-ins)</t>
    </r>
  </si>
  <si>
    <t>FCZ03 Tot</t>
  </si>
  <si>
    <r>
      <t xml:space="preserve">Frozen  -  </t>
    </r>
    <r>
      <rPr>
        <sz val="10"/>
        <color theme="1"/>
        <rFont val="Arial"/>
        <family val="2"/>
      </rPr>
      <t>Floorspace that is occupied by built-in commercial grade freezers (including walk-ins)</t>
    </r>
  </si>
  <si>
    <t>FCZ04 Tot</t>
  </si>
  <si>
    <r>
      <t xml:space="preserve">Refrigerated &amp; Frozen Combined  -  </t>
    </r>
    <r>
      <rPr>
        <sz val="10"/>
        <color theme="1"/>
        <rFont val="Arial"/>
        <family val="2"/>
      </rPr>
      <t>Refrigerated and/or Frozen floorspace</t>
    </r>
  </si>
  <si>
    <t>FCZ05 Tot</t>
  </si>
  <si>
    <t>FCZ06 Tot</t>
  </si>
  <si>
    <t>FCZ07 Tot</t>
  </si>
  <si>
    <t>FCZ08 Tot</t>
  </si>
  <si>
    <t>FCZ09 Tot</t>
  </si>
  <si>
    <t>FCZ10 Tot</t>
  </si>
  <si>
    <t>FCZ11 Tot</t>
  </si>
  <si>
    <t>FCZ12c Tot</t>
  </si>
  <si>
    <t>FCZ12i Tot</t>
  </si>
  <si>
    <t>FCZ13 Tot</t>
  </si>
  <si>
    <t>FCZ16 Tot</t>
  </si>
  <si>
    <t>FCZ17 Tot</t>
  </si>
  <si>
    <t>Ventilated (k SqFt)</t>
  </si>
  <si>
    <t>Ventilated-Only (k SqFt)</t>
  </si>
  <si>
    <t>Pre-1978</t>
  </si>
  <si>
    <t>Not Available</t>
  </si>
  <si>
    <t>Calculation Method</t>
  </si>
  <si>
    <t>0%</t>
  </si>
  <si>
    <t>0%&lt; X &lt;10%</t>
  </si>
  <si>
    <t>10%&lt;= X &lt;20%</t>
  </si>
  <si>
    <t>20%&lt;= X &lt;30%</t>
  </si>
  <si>
    <t>30%&lt;= X &lt;40%</t>
  </si>
  <si>
    <t>40%&lt;= X &lt;50%</t>
  </si>
  <si>
    <t>50%&lt;= X &lt;60%</t>
  </si>
  <si>
    <t>60%&lt;= X &lt;70%</t>
  </si>
  <si>
    <t>70%&lt;= X &lt;80%</t>
  </si>
  <si>
    <t>80%&lt;= X &lt;90%</t>
  </si>
  <si>
    <t>90%&lt;= X &lt;100%</t>
  </si>
  <si>
    <t>100%</t>
  </si>
  <si>
    <t>←   % Floorspace Conditioned</t>
  </si>
  <si>
    <t>Floorspace %</t>
  </si>
  <si>
    <t>Floorspace   (k SqFt)</t>
  </si>
  <si>
    <t>WH Type</t>
  </si>
  <si>
    <t>Efficiency</t>
  </si>
  <si>
    <t>Tank Volume (gal)</t>
  </si>
  <si>
    <t>Tank Loss</t>
  </si>
  <si>
    <t>Gas</t>
  </si>
  <si>
    <t>Btu/hr</t>
  </si>
  <si>
    <t>Loss per hour, 10 CFR 431.110(a) Table F-4</t>
  </si>
  <si>
    <t>Peak Hot Water Consumption</t>
  </si>
  <si>
    <t>Space Name</t>
  </si>
  <si>
    <t>Baseline WH Type 
[T24, 2022, Appendix 5.4A , sheet: "2022 SpaceFuncData-Input"]</t>
  </si>
  <si>
    <t>Total Area (ft²)</t>
  </si>
  <si>
    <t>Hot Water Usage Specification
(gal/hr per person)  
[T24, 2022, Appendix 5.4A , sheet: "2022 SpaceFuncData-Input"]</t>
  </si>
  <si>
    <t>Peak Hot Water Usage
(gal/hr)</t>
  </si>
  <si>
    <t>Peak Hot Water Usage
(gal/min)</t>
  </si>
  <si>
    <t xml:space="preserve">Water Heater Capacity, Tank Capacity, and Tank Loss </t>
  </si>
  <si>
    <t>Heat Output (Btu/hr)
[ACM, 2025, 5.9.2: Rated capacity section]</t>
  </si>
  <si>
    <t>WH Capacity (Btu/hr)
[ACM, 2025, 5.9.2: Rated capacity section]</t>
  </si>
  <si>
    <t>Required Energy Input (Btu/hr)</t>
  </si>
  <si>
    <t>Storage Volume (gal)</t>
  </si>
  <si>
    <t xml:space="preserve">Standby Loss </t>
  </si>
  <si>
    <t>Off/On Cycle Loss Coefficient to Ambient Temp (Btu/h-F)</t>
  </si>
  <si>
    <t>Gas Storage WH</t>
  </si>
  <si>
    <t>Standby loss equation: Title 20, §1605.1 Table F-4 
WH capacity equation: ACM, 2025, 5.9.2: Rated capacity section)</t>
  </si>
  <si>
    <t xml:space="preserve">Electric resistance WH </t>
  </si>
  <si>
    <t>%/hr</t>
  </si>
  <si>
    <t>Design supply temperature (F)</t>
  </si>
  <si>
    <t>Ref: T24 2022 - Appendix 5.4B</t>
  </si>
  <si>
    <t>Standby Loss for Existing</t>
  </si>
  <si>
    <t xml:space="preserve"> (Btu/hr)</t>
  </si>
  <si>
    <t>Cold Water supply temperature (F)</t>
  </si>
  <si>
    <t>Ref: ACM, 2025, 5.9.2: Rated capacity section</t>
  </si>
  <si>
    <t>WH system factor</t>
  </si>
  <si>
    <t>Reheat multiplier</t>
  </si>
  <si>
    <t>Ref: ACM, 2025, 5.9.2: Storage Volume</t>
  </si>
  <si>
    <t xml:space="preserve">* The 0.40 multiplier is a storage sizing factor used to account for the fact that the water heater doesn't need to store the full peak hour demand—it can reheat water during that time. This factor assumes that the heater will recover part of the hot water used during the peak hour, so only 40% of the peak hour demand needs to be stored at any given moment. </t>
  </si>
  <si>
    <t>Ambient temp</t>
  </si>
  <si>
    <t>Delta T</t>
  </si>
  <si>
    <t>Water use:</t>
  </si>
  <si>
    <t>PNNL (for Core zone)</t>
  </si>
  <si>
    <t>peak flow rate (gal/min)</t>
  </si>
  <si>
    <t>0.0322 for N&amp;S ZN - 0.0192 for E&amp;W ZN</t>
  </si>
  <si>
    <t>0.0242 for Core ZN- 0.0109 for two ZN - 0.0183 for two other ZN</t>
  </si>
  <si>
    <t>NOR Flow rate schedule follows CEC</t>
  </si>
  <si>
    <t>Target Temperature</t>
  </si>
  <si>
    <t>Sensible Fraction</t>
  </si>
  <si>
    <t>Latent Fraction</t>
  </si>
  <si>
    <t>Water Heater</t>
  </si>
  <si>
    <t xml:space="preserve">Fuel and Share </t>
  </si>
  <si>
    <t>49.9% Electric and 49.1% Gas</t>
  </si>
  <si>
    <t xml:space="preserve">New Construction </t>
  </si>
  <si>
    <t>LPD (W/ft²)</t>
  </si>
  <si>
    <t>Additional LPD for Portable Lighting (W/ft²)</t>
  </si>
  <si>
    <t xml:space="preserve">LPD (W/ft²) </t>
  </si>
  <si>
    <t>T24, part 6, 2025, Table 140.6 C
Technology : LED</t>
  </si>
  <si>
    <t>T24, part 6, 2013, Table 140.6 C
Technology: 59% LED, 31% halogen, 7% CFL (Comstock 2023)</t>
  </si>
  <si>
    <t>2013 LPD is for "Lounge" area</t>
  </si>
  <si>
    <t xml:space="preserve">According to CEUS, more than 80% of existing small office upgraded their lighting system between 2014-2018 and it conflicts the lighting generation considered by Comstock. </t>
  </si>
  <si>
    <t>Whole Building method</t>
  </si>
  <si>
    <t>LPD for Office Building ((W/ft²)</t>
  </si>
  <si>
    <t>Ref: T24, Table 140.6 B</t>
  </si>
  <si>
    <t>Background Data [To be deleted24:77 prior to publication]</t>
  </si>
  <si>
    <t>Ref: T24- Table 140.6-C (office area &gt;250nSF)</t>
  </si>
  <si>
    <t xml:space="preserve">T24 Code cycle </t>
  </si>
  <si>
    <t>Lighting density for office Buildings: (complete building Method)</t>
  </si>
  <si>
    <t xml:space="preserve"> Lighting density for office area &gt;250 sf Floor area Method</t>
  </si>
  <si>
    <t>Table</t>
  </si>
  <si>
    <t>0.6, 0.2 (additional)</t>
  </si>
  <si>
    <t>Table 140.6 C</t>
  </si>
  <si>
    <t>Table 146-E</t>
  </si>
  <si>
    <t xml:space="preserve">TBD: Review the CASE report on 2016 for lighting </t>
  </si>
  <si>
    <t>Lighting density for office area &gt;250 sf
(Watts/ft²)</t>
  </si>
  <si>
    <t>Additional lighting power for Table lighting (Watts/ft²)</t>
  </si>
  <si>
    <t>T24, part 6 2022</t>
  </si>
  <si>
    <t>file://carcgl.com/amer/NOR/Groups/CodesStds/Standards/California/2022%20Building%20Energy%20Efficiency%20Standards%20for%20Residential%20and%20Nonresidential%20Buildings.pdf</t>
  </si>
  <si>
    <t>Title 24, 2016</t>
  </si>
  <si>
    <t>T24, part 6 2019</t>
  </si>
  <si>
    <t>file://carcgl.com/amer/NOR/Groups/CodesStds/Standards/California/2016-CEC-400-2015-037-CMF.pdf</t>
  </si>
  <si>
    <t>0.75 (1 for office &lt;=250)</t>
  </si>
  <si>
    <t>T24, part 6 2016</t>
  </si>
  <si>
    <t>Review of existing prototype</t>
  </si>
  <si>
    <t>Prototype/Source</t>
  </si>
  <si>
    <t>Downloaded on</t>
  </si>
  <si>
    <t>Zone</t>
  </si>
  <si>
    <t>Light Intensity</t>
  </si>
  <si>
    <t>Total intensity multipliers</t>
  </si>
  <si>
    <t>Total lighting intensity</t>
  </si>
  <si>
    <t>Core/Perims area ratio</t>
  </si>
  <si>
    <t>Working days</t>
  </si>
  <si>
    <t xml:space="preserve">DEER </t>
  </si>
  <si>
    <t>Core</t>
  </si>
  <si>
    <t xml:space="preserve"> W/m2</t>
  </si>
  <si>
    <t>Perimeter zone</t>
  </si>
  <si>
    <t>All</t>
  </si>
  <si>
    <t>Holiday</t>
  </si>
  <si>
    <t>CEC (CBECC 2023)</t>
  </si>
  <si>
    <t>Interior lighting Schedules (existing prototypes extracted from the idf files (presented below)</t>
  </si>
  <si>
    <t>Hour</t>
  </si>
  <si>
    <t>CEC-Weekday</t>
  </si>
  <si>
    <t>CEC-Saturday</t>
  </si>
  <si>
    <t>CEC-Sunday</t>
  </si>
  <si>
    <t>DEER- Weekday</t>
  </si>
  <si>
    <t>DEER- Saturday</t>
  </si>
  <si>
    <t>DEER-Otherday</t>
  </si>
  <si>
    <t>PNNL-Weekday</t>
  </si>
  <si>
    <t>PNNL-Saturday</t>
  </si>
  <si>
    <t>PNNL-Otherday</t>
  </si>
  <si>
    <t>Sum of intensity multiplier</t>
  </si>
  <si>
    <t>gen5_led</t>
  </si>
  <si>
    <t>gen2_t8_halogen</t>
  </si>
  <si>
    <t>gen4_led</t>
  </si>
  <si>
    <t>gen3_t5_cfl</t>
  </si>
  <si>
    <t>gen1_t12_incandescent</t>
  </si>
  <si>
    <t>Lighting Generation</t>
  </si>
  <si>
    <t>lumen per w</t>
  </si>
  <si>
    <t>W/sf</t>
  </si>
  <si>
    <t>Floor area Fraction</t>
  </si>
  <si>
    <t>equivalent W/sf to provide lumen like LED gen 4</t>
  </si>
  <si>
    <t>CEUS 2022 ( Mostly gathered in 2018)</t>
  </si>
  <si>
    <t>% LED</t>
  </si>
  <si>
    <t>&lt;=10%</t>
  </si>
  <si>
    <t>&lt;=20%</t>
  </si>
  <si>
    <t>&lt;=30%</t>
  </si>
  <si>
    <t>&lt;=40%</t>
  </si>
  <si>
    <t>&lt;=50%</t>
  </si>
  <si>
    <t>&lt;=60%</t>
  </si>
  <si>
    <t>&lt;=70%</t>
  </si>
  <si>
    <t>&lt;=80%</t>
  </si>
  <si>
    <t>&lt;=90%</t>
  </si>
  <si>
    <t>&lt;100%</t>
  </si>
  <si>
    <t>Floorspace (statewide)</t>
  </si>
  <si>
    <t>%  Upgraded</t>
  </si>
  <si>
    <t>Before2004</t>
  </si>
  <si>
    <t>2004-2013</t>
  </si>
  <si>
    <t>2014-2018</t>
  </si>
  <si>
    <t>It shows lighting has been upgraded in less than 5 years</t>
  </si>
  <si>
    <t>Motion Controlled Luminaires (W)</t>
  </si>
  <si>
    <t>Non-motion Controlled Luminaires (W)</t>
  </si>
  <si>
    <t>Total (W)</t>
  </si>
  <si>
    <t>T24, 2022 &amp; 2025
2019 Outdoor Lighting CASE report 
 PNNL 90.1-2010 TSD</t>
  </si>
  <si>
    <t>Exterior Lighting</t>
  </si>
  <si>
    <t>Items (Assume LZ2)</t>
  </si>
  <si>
    <t>Assumptions
[2019 Outdoor Lighting CASE Report &amp; PNNL 90.1-2010 TSD]</t>
  </si>
  <si>
    <t>Lighting Power Allowance 
[T24, 2025, Table 140.7-A &amp; 140.7-B]</t>
  </si>
  <si>
    <t>Exterior Lighting Power (W)</t>
  </si>
  <si>
    <t>IWA (Initial Wage Allowance)</t>
  </si>
  <si>
    <t>(W)</t>
  </si>
  <si>
    <t>Parking area</t>
  </si>
  <si>
    <t xml:space="preserve">400 ft² for every parking space 
1 parking space per 250 ft² of gross building area </t>
  </si>
  <si>
    <t>(ft²)</t>
  </si>
  <si>
    <t>(W/ft²)</t>
  </si>
  <si>
    <t>Building Entrance</t>
  </si>
  <si>
    <t>2 building entrance (1 per 10,000 ft² footprint)</t>
  </si>
  <si>
    <t>(count)</t>
  </si>
  <si>
    <t>(W/ea)</t>
  </si>
  <si>
    <t>Hardscape Ornamental Light</t>
  </si>
  <si>
    <t>0.1 ft² per 1 ft² of gross building area for hardscape ornamental light</t>
  </si>
  <si>
    <t>Building façade</t>
  </si>
  <si>
    <t>0.1 W per ft² of facade area 
Façade Area* = Perimeter × 0.5 × height (30 ft is the max height that is lit) 
The 0.5 factor assumes that only half of the perimeter walls are lit.
-Formula ia developed based on the 2019 Outdoor Lighting CASE report</t>
  </si>
  <si>
    <t>Motion controlled Luminaires</t>
  </si>
  <si>
    <t>Non-motion-controlled Luminaires</t>
  </si>
  <si>
    <t>*Developed based on 2019 Outdoor Lighting CASE Report</t>
  </si>
  <si>
    <t>Perimeter (ft)</t>
  </si>
  <si>
    <t>Total floor area (ft²)</t>
  </si>
  <si>
    <t>Floors (above ground)</t>
  </si>
  <si>
    <t>NonMotion Control</t>
  </si>
  <si>
    <t>Motion Control</t>
  </si>
  <si>
    <t>from 6:00 am until 12 am: 1
Rest: 0</t>
  </si>
  <si>
    <t>from 6 am-until 7 pm: 1
Rest: 0.5</t>
  </si>
  <si>
    <t xml:space="preserve">Exterior Lighting </t>
  </si>
  <si>
    <t>Ref: T24- Table 140.6-C (office area &gt;250 SF)</t>
  </si>
  <si>
    <t>Lighting for parking area</t>
  </si>
  <si>
    <t>Daylight 
Adaptation Zones**</t>
  </si>
  <si>
    <t>**Daylight Adaptation Zones shall be no farther than 66 feet from the entrance to the parking garage</t>
  </si>
  <si>
    <t>Exterior Lighting - OfficeSmall (CEUS 2022 data)</t>
  </si>
  <si>
    <t>CZ</t>
  </si>
  <si>
    <t xml:space="preserve">Exterior Lighting  Saturation </t>
  </si>
  <si>
    <t>penetration for exterior lighting in small office is 83% according to CEUS 2022 (Appendix K). We set the schedule to fulfill something around 0.75 .</t>
  </si>
  <si>
    <r>
      <rPr>
        <b/>
        <sz val="10"/>
        <color theme="1"/>
        <rFont val="Arial"/>
        <family val="2"/>
      </rPr>
      <t xml:space="preserve">Ref: </t>
    </r>
    <r>
      <rPr>
        <sz val="10"/>
        <color theme="1"/>
        <rFont val="Arial"/>
        <family val="2"/>
      </rPr>
      <t>CEUS 2022 dataset</t>
    </r>
  </si>
  <si>
    <t xml:space="preserve">DEER  OFS Prototype -7/2024 </t>
  </si>
  <si>
    <t>PNNL OfficeSmall 02-2024</t>
  </si>
  <si>
    <t xml:space="preserve">CEC </t>
  </si>
  <si>
    <t>Comstock (Case 5307)</t>
  </si>
  <si>
    <t>Exterior Lights W</t>
  </si>
  <si>
    <t>None</t>
  </si>
  <si>
    <t>667.46 (Façade)</t>
  </si>
  <si>
    <t>264 (Main entry)</t>
  </si>
  <si>
    <t>88 (Doors)</t>
  </si>
  <si>
    <t>162.57 (parking area and drivers)</t>
  </si>
  <si>
    <t xml:space="preserve">Schedule </t>
  </si>
  <si>
    <t>0-6: 0.5</t>
  </si>
  <si>
    <t>0-5:0</t>
  </si>
  <si>
    <t>Always On</t>
  </si>
  <si>
    <t>6-19:1</t>
  </si>
  <si>
    <t>6-24: 1</t>
  </si>
  <si>
    <t>20-24: 0.5</t>
  </si>
  <si>
    <t>Plug load Power Density (W/ft²)</t>
  </si>
  <si>
    <t>Gas Power Density (Btu/hr-ft²)</t>
  </si>
  <si>
    <t>Refrigeration Power Density (W/ft²)</t>
  </si>
  <si>
    <t>Plug load and schedules project with CEC, 2025</t>
  </si>
  <si>
    <t>T24 2022 - Appendix 5.4A</t>
  </si>
  <si>
    <t>Type</t>
  </si>
  <si>
    <t>All zones</t>
  </si>
  <si>
    <t>Occupancy</t>
  </si>
  <si>
    <r>
      <t xml:space="preserve">T24 2022 - Appendix 5.4B, [Office]
</t>
    </r>
    <r>
      <rPr>
        <sz val="9"/>
        <color rgb="FF0070C0"/>
        <rFont val="Arial"/>
        <family val="2"/>
      </rPr>
      <t xml:space="preserve">
Updated base on Plug load and schedules project with CEC, 2025</t>
    </r>
  </si>
  <si>
    <t>Lights</t>
  </si>
  <si>
    <t>T24 2022 - Appendix 5.4B, [Office]</t>
  </si>
  <si>
    <t xml:space="preserve">ElecEquipment </t>
  </si>
  <si>
    <t xml:space="preserve">Plug load and schedules project with CEC, 2025 </t>
  </si>
  <si>
    <t>HVACAvail</t>
  </si>
  <si>
    <r>
      <t xml:space="preserve">T24 2022 - Appendix 5.4B, [Office]
</t>
    </r>
    <r>
      <rPr>
        <sz val="9"/>
        <color rgb="FF0070C0"/>
        <rFont val="Arial"/>
        <family val="2"/>
      </rPr>
      <t>Updated base on Plug load and schedules project with CEC, 202</t>
    </r>
  </si>
  <si>
    <t>ServiceHotWater</t>
  </si>
  <si>
    <t>HtgSetpt</t>
  </si>
  <si>
    <t>ClgSetpt</t>
  </si>
  <si>
    <t>Corridors</t>
  </si>
  <si>
    <t>HtgSetpt_Corridor</t>
  </si>
  <si>
    <t>ClgSetpt_Corridor</t>
  </si>
  <si>
    <t>Other</t>
  </si>
  <si>
    <t>Building</t>
  </si>
  <si>
    <t>ExtLightingNonMotionCtrl</t>
  </si>
  <si>
    <t>ExtLightingMotionCtrl</t>
  </si>
  <si>
    <t>FunctionalAreaPeopleActivityLevel</t>
  </si>
  <si>
    <t xml:space="preserve">Based on Activilty level schedules in  CEC Prototypes </t>
  </si>
  <si>
    <t>Conference room</t>
  </si>
  <si>
    <t>MeetingAreaPeopleActivityLevel</t>
  </si>
  <si>
    <t>Corridor, Lobby, Restroom, Mech, Storage, Break</t>
  </si>
  <si>
    <t>CommonAreaPeopleActivityLevel</t>
  </si>
  <si>
    <t>Equipment</t>
  </si>
  <si>
    <t xml:space="preserve">Office Zones		</t>
  </si>
  <si>
    <t>Operating Schedule</t>
  </si>
  <si>
    <t>System Capacity fraction</t>
  </si>
  <si>
    <t xml:space="preserve">Developed based on CEC and CEUS </t>
  </si>
  <si>
    <t>Office Zones</t>
  </si>
  <si>
    <t xml:space="preserve">Alternative HVAC System Operating	</t>
  </si>
  <si>
    <t xml:space="preserve">Alternative HVAC System Operating					</t>
  </si>
  <si>
    <t xml:space="preserve">Developed based on CEC schedules and CEUS operating hours					</t>
  </si>
  <si>
    <t>Office Closed Zones</t>
  </si>
  <si>
    <t>Office Open Zones</t>
  </si>
  <si>
    <t>ElecEquipment</t>
  </si>
  <si>
    <t>CEC Small Office</t>
  </si>
  <si>
    <t>PNNL Small Office</t>
  </si>
  <si>
    <t>DEER Small Office</t>
  </si>
  <si>
    <t>CalBEM Energy Consumption - OfficeSmall</t>
  </si>
  <si>
    <t>National Average (EnergyStar Portfolio Manager)</t>
  </si>
  <si>
    <t>CEUS Energy Consumption - OfficeSmall</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</si>
  <si>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</si>
  <si>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</si>
  <si>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</si>
  <si>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</si>
  <si>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</si>
  <si>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</si>
  <si>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</si>
  <si>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RangeRange (25% Higher)</t>
  </si>
  <si>
    <t>Acceptable RangeRange (25% Lower)</t>
  </si>
  <si>
    <t>National Average Acceptable Range</t>
  </si>
  <si>
    <t>Zip code</t>
  </si>
  <si>
    <t>Total Floorspace (Thousand of ft2)</t>
  </si>
  <si>
    <t>CEUS 2022 Electric Energy Intensity (kWh/ft²)</t>
  </si>
  <si>
    <t>CEUS 2022 Annual Gas Intensity (kWh/ft²)</t>
  </si>
  <si>
    <t>CEUS 2022 Total EUI (kBtu/ft²)</t>
  </si>
  <si>
    <t>Acceptable Range (25% Higher)</t>
  </si>
  <si>
    <t>Acceptable Range (25% Lower)</t>
  </si>
  <si>
    <t>CEUS 2022 Acceptable Range</t>
  </si>
  <si>
    <t>HotelSmall</t>
  </si>
  <si>
    <r>
      <rPr>
        <b/>
        <sz val="10"/>
        <color theme="1"/>
        <rFont val="Arial"/>
        <family val="2"/>
      </rPr>
      <t xml:space="preserve">Ref: </t>
    </r>
    <r>
      <rPr>
        <sz val="10"/>
        <color theme="1"/>
        <rFont val="Arial"/>
        <family val="2"/>
      </rPr>
      <t xml:space="preserve">CEUS 2022 Report </t>
    </r>
  </si>
  <si>
    <t xml:space="preserve">And converted FZ level data to CZ level </t>
  </si>
  <si>
    <t>Building-type</t>
  </si>
  <si>
    <t>Planning Area</t>
  </si>
  <si>
    <t>Floorspace (ksqft)</t>
  </si>
  <si>
    <t>Electric Energy Intensity (kWh/sqft)</t>
  </si>
  <si>
    <t>Electricity Usage (GWh)</t>
  </si>
  <si>
    <t>Percent of Total</t>
  </si>
  <si>
    <t>Annual Gas Intensity (kBTU/ft²)</t>
  </si>
  <si>
    <t>Gas Usage (Therms)</t>
  </si>
  <si>
    <t>Percent of Therms</t>
  </si>
  <si>
    <t>Office, Small</t>
  </si>
  <si>
    <t>FCZ1</t>
  </si>
  <si>
    <t>FCZ2</t>
  </si>
  <si>
    <t>FCZ3</t>
  </si>
  <si>
    <t>FCZ4</t>
  </si>
  <si>
    <t>FCZ5</t>
  </si>
  <si>
    <t>FCZ6</t>
  </si>
  <si>
    <t>FCZ7</t>
  </si>
  <si>
    <t>FCZ8</t>
  </si>
  <si>
    <t>FCZ9</t>
  </si>
  <si>
    <t>FCZ10</t>
  </si>
  <si>
    <t>FCZ11</t>
  </si>
  <si>
    <t>FCZ12c</t>
  </si>
  <si>
    <t>FCZ12i</t>
  </si>
  <si>
    <t>FCZ13</t>
  </si>
  <si>
    <t>FCZ16</t>
  </si>
  <si>
    <t>FCZ17</t>
  </si>
  <si>
    <t>Floor Stock (kft²)</t>
  </si>
  <si>
    <t>Annual Electric Usage (GWh)</t>
  </si>
  <si>
    <t>Annual Gas Usage (MTherms)</t>
  </si>
  <si>
    <t>Annual Electric Intensity (kWh/ft²)</t>
  </si>
  <si>
    <t>Planning Area
&amp;
Forecast Zone</t>
  </si>
  <si>
    <t>Participating Utilities Only</t>
  </si>
  <si>
    <t>Nonparticipating Utilities</t>
  </si>
  <si>
    <t>na</t>
  </si>
  <si>
    <t>End Use</t>
  </si>
  <si>
    <t>Planning Are</t>
  </si>
  <si>
    <t>Sector</t>
  </si>
  <si>
    <t>Percent Floorspace with End Use</t>
  </si>
  <si>
    <t>Electric Fuel Share</t>
  </si>
  <si>
    <t>Gas Fuel Share</t>
  </si>
  <si>
    <t>Other Fuel Share</t>
  </si>
  <si>
    <t>Saturation (Elect)</t>
  </si>
  <si>
    <t>Saturations (Gas)</t>
  </si>
  <si>
    <t>Saturations
(Other Fuels)</t>
  </si>
  <si>
    <t>&lt;= The saturations here are the % of total floorspace with for each combination of end-use and fuel type.</t>
  </si>
  <si>
    <t>Air Compressors</t>
  </si>
  <si>
    <t>NA</t>
  </si>
  <si>
    <t>Cooking, Major</t>
  </si>
  <si>
    <t>Cooking, Minor</t>
  </si>
  <si>
    <t>Freezers, Commercial</t>
  </si>
  <si>
    <t>Frozen Floor Space</t>
  </si>
  <si>
    <t>43=40/(40+51+1)</t>
  </si>
  <si>
    <t>Miscellaneous</t>
  </si>
  <si>
    <t>Motors</t>
  </si>
  <si>
    <t>Office Equipment</t>
  </si>
  <si>
    <t>Refrigerated Floor Space</t>
  </si>
  <si>
    <t>Refrigerators, Commercial</t>
  </si>
  <si>
    <t>Refrigerators, Residential</t>
  </si>
  <si>
    <t>Ventilation</t>
  </si>
  <si>
    <t>Water Heating</t>
  </si>
  <si>
    <t>Utility &amp; Forecast Zone</t>
  </si>
  <si>
    <t>2008-2017</t>
  </si>
  <si>
    <t xml:space="preserve">
Year-Built Not Available</t>
  </si>
  <si>
    <t>12c</t>
  </si>
  <si>
    <t>12i</t>
  </si>
  <si>
    <t>Elec</t>
  </si>
  <si>
    <t>EV Charger - OfficeSmall (TBD)</t>
  </si>
  <si>
    <t xml:space="preserve">According To CEUS 2022 and their survey around 2018-2020, almost 92% of small office buildings have no EV charger </t>
  </si>
  <si>
    <t>CEUS 2022 (Base on Survey 2018)</t>
  </si>
  <si>
    <t>The data presented in this worksheet represents the projected number of EV charger ports, or the number of cars that can be charged at the same time, for the year 2022 (last year of CEUC)</t>
  </si>
  <si>
    <t>Has EV Chargers</t>
  </si>
  <si>
    <t>Level 1,  120 volt Charger     (No. ports/SqFT)</t>
  </si>
  <si>
    <t>Level 2,  240 volt Charger    (No. ports/SqFT)</t>
  </si>
  <si>
    <t>Level 3,  DC fast     (No. ports/SqFT)</t>
  </si>
  <si>
    <t>Charger Type Unkown  (No. ports/SqFT)</t>
  </si>
  <si>
    <t>All Chargers Totals   (No. ports/SqFT)</t>
  </si>
  <si>
    <t xml:space="preserve">No </t>
  </si>
  <si>
    <t>Public Only</t>
  </si>
  <si>
    <t>Public &amp; Employee</t>
  </si>
  <si>
    <t>Public &amp; Fleet</t>
  </si>
  <si>
    <t>Employee Only</t>
  </si>
  <si>
    <t>Employee &amp; Fleet</t>
  </si>
  <si>
    <t>Fleet Only</t>
  </si>
  <si>
    <t>All 3 Types</t>
  </si>
  <si>
    <t>Unknown</t>
  </si>
  <si>
    <t>Level 1 Total</t>
  </si>
  <si>
    <t>Level 2 Total</t>
  </si>
  <si>
    <t>Level 3 Total</t>
  </si>
  <si>
    <t>Unkonwn Total</t>
  </si>
  <si>
    <t>Floorspace-Based</t>
  </si>
  <si>
    <t>% of floor area per CZ and vintage bin - OfficeSmall</t>
  </si>
  <si>
    <t>Vintage Bin</t>
  </si>
  <si>
    <t>Not available</t>
  </si>
  <si>
    <t>Ref: CEUS 2022 dataset</t>
  </si>
  <si>
    <t>FZ</t>
  </si>
  <si>
    <t>Total floor area of the CA stock (kft²)</t>
  </si>
  <si>
    <t>Floor area</t>
  </si>
  <si>
    <t>STC 7:305,405  
Area/Project&gt;&lt;25
Constructed after 1967 before 1978</t>
  </si>
  <si>
    <t xml:space="preserve">STC 7:305,405  
Area/Project&gt;&lt;25
Constructed after 1967 </t>
  </si>
  <si>
    <t>Total Floor are for small office(&lt;30 ksf)</t>
  </si>
  <si>
    <t>Total Floor area for small office (&lt;30 ksf) Pre-1978</t>
  </si>
  <si>
    <t>Small office (1967-1977)/All Pre 1878</t>
  </si>
  <si>
    <t>Conditioned (k SqFt)</t>
  </si>
  <si>
    <t>Unconditioned (k SqFt)</t>
  </si>
  <si>
    <t>PV - 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</si>
  <si>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</si>
  <si>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</si>
  <si>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</si>
  <si>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</si>
  <si>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</si>
  <si>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</si>
  <si>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</si>
  <si>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</si>
  <si>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</si>
  <si>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</si>
  <si>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</si>
  <si>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</si>
  <si>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</si>
  <si>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</si>
  <si>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</si>
  <si>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</si>
  <si>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</si>
  <si>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</si>
  <si>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Copy Room</t>
  </si>
  <si>
    <t>Dining Area (Bar/Lounge and Fine Dining)</t>
  </si>
  <si>
    <t>Dining Area (Cafeteria/Fast Food)</t>
  </si>
  <si>
    <t>Dining Area (Family and Leisure)</t>
  </si>
  <si>
    <t>Exercise/Fitness Center and Gymnasium Areas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</si>
  <si>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</si>
  <si>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</si>
  <si>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</si>
  <si>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</si>
  <si>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</si>
  <si>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</si>
  <si>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</si>
  <si>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</si>
  <si>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</si>
  <si>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</si>
  <si>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</si>
  <si>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Kitchen/Food Preparation Area</t>
  </si>
  <si>
    <t>Kitchenette or Residential Kitchen</t>
  </si>
  <si>
    <t>Laboratory, Scientific</t>
  </si>
  <si>
    <t xml:space="preserve">Laundry Area </t>
  </si>
  <si>
    <t>Library (Reading Area)</t>
  </si>
  <si>
    <t>Library (Stacks Area)</t>
  </si>
  <si>
    <t>Locker Room</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</si>
  <si>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</si>
  <si>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</si>
  <si>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</si>
  <si>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</si>
  <si>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</si>
  <si>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(&lt;250 square feet)</t>
  </si>
  <si>
    <t>Parking Garage Area (Parking Zone and Ramps)</t>
  </si>
  <si>
    <t>Parking Garage Area (Daylight Adaptation Zones)</t>
  </si>
  <si>
    <t>Pharmacy Area</t>
  </si>
  <si>
    <t>Retail Sales Area (Grocery Sales)</t>
  </si>
  <si>
    <t>Retail Sales Area (Retail Merchandise Sales)</t>
  </si>
  <si>
    <t>Retail Sales Area (Fitting Room)</t>
  </si>
  <si>
    <t>Religious Worship Area</t>
  </si>
  <si>
    <t>Stairwell</t>
  </si>
  <si>
    <t>Storage, Commercial/Industrial (Warehouse)</t>
  </si>
  <si>
    <t>Storage, Commercial/Industrial (Refrigerated)</t>
  </si>
  <si>
    <t>Storage, Commercial/Industrial (Shipping &amp; Handling)</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</si>
  <si>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</si>
  <si>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</si>
  <si>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</si>
  <si>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</si>
  <si>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</si>
  <si>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</si>
  <si>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</si>
  <si>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</si>
  <si>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</si>
  <si>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</si>
  <si>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</si>
  <si>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</si>
  <si>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Reception Area</t>
  </si>
  <si>
    <t>Elevator</t>
  </si>
  <si>
    <t>Plenum</t>
  </si>
  <si>
    <t>IT Room (EPD 12)</t>
  </si>
  <si>
    <t>Computer Room (EPD 20)</t>
  </si>
  <si>
    <t>Server Room (EPD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</si>
</sst>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3" formatCode="_(* #,##0.00_);_(* \(#,##0.00\);_(* &quot;-&quot;??_);_(@_)"/>
    <numFmt numFmtId="164" formatCode="0.0%"/>
    <numFmt numFmtId="165" formatCode="0.0"/>
    <numFmt numFmtId="166" formatCode="#,##0.0"/>
    <numFmt numFmtId="167" formatCode="0.0000"/>
    <numFmt numFmtId="168" formatCode="0.000"/>
    <numFmt numFmtId="169" formatCode="_(* #,##0_);_(* \(#,##0\);_(* &quot;-&quot;??_);_(@_)"/>
    <numFmt numFmtId="170" formatCode="0.0000000"/>
    <numFmt numFmtId="171" formatCode="#,##0;\-0;[Color15]0"/>
    <numFmt numFmtId="172" formatCode="_(* #,##0.0_);_(* \(#,##0.0\);_(* &quot;-&quot;?????_);_(@_)"/>
  </numFmts>
  <fonts count="64">
    <font>
      <sz val="11"/>
      <color theme="1"/>
      <name val="Calibri"/>
      <family val="2"/>
      <scheme val="minor"/>
    </font>
    <font>
      <sz val="10"/>
      <name val="Arial"/>
      <family val="2"/>
    </font>
    <font>
      <sz val="11"/>
      <color theme="1"/>
      <name val="Calibri"/>
      <family val="2"/>
      <scheme val="minor"/>
    </font>
    <font>
      <b/>
      <sz val="9"/>
      <color indexed="81"/>
      <name val="Tahoma"/>
      <family val="2"/>
    </font>
    <font>
      <b/>
      <sz val="12"/>
      <color indexed="81"/>
      <name val="Tahoma"/>
      <family val="2"/>
    </font>
    <font>
      <sz val="9"/>
      <color indexed="81"/>
      <name val="Tahoma"/>
      <family val="2"/>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2"/>
      <color theme="0"/>
      <name val="Calibri"/>
      <family val="2"/>
      <scheme val="minor"/>
    </font>
    <font>
      <sz val="10"/>
      <color indexed="8"/>
      <name val="Arial"/>
      <family val="2"/>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b/>
      <sz val="10"/>
      <color theme="0"/>
      <name val="Arial"/>
      <family val="2"/>
    </font>
    <font>
      <sz val="11"/>
      <color rgb="FF0070C0"/>
      <name val="Arial"/>
      <family val="2"/>
    </font>
    <font>
      <b/>
      <sz val="10"/>
      <name val="Arial"/>
      <family val="2"/>
    </font>
    <font>
      <b/>
      <sz val="10"/>
      <color indexed="8"/>
      <name val="Arial"/>
      <family val="2"/>
    </font>
    <font>
      <sz val="10"/>
      <color theme="4" tint="-0.499984740745262"/>
      <name val="Arial"/>
      <family val="2"/>
    </font>
    <font>
      <sz val="10"/>
      <color theme="0" tint="-0.249977111117893"/>
      <name val="Arial"/>
      <family val="2"/>
    </font>
    <font>
      <sz val="10"/>
      <color rgb="FFFF0000"/>
      <name val="Arial"/>
      <family val="2"/>
    </font>
    <font>
      <sz val="10"/>
      <color rgb="FFC00000"/>
      <name val="Arial"/>
      <family val="2"/>
    </font>
    <font>
      <sz val="9"/>
      <color theme="1"/>
      <name val="Arial"/>
      <family val="2"/>
    </font>
    <font>
      <sz val="10"/>
      <color rgb="FF000000"/>
      <name val="Arial"/>
      <family val="2"/>
    </font>
    <font>
      <sz val="10"/>
      <color theme="0"/>
      <name val="Arial"/>
      <family val="2"/>
    </font>
    <font>
      <b/>
      <sz val="10"/>
      <color rgb="FF000000"/>
      <name val="Arial"/>
      <family val="2"/>
    </font>
    <font>
      <sz val="10"/>
      <color theme="7" tint="-0.499984740745262"/>
      <name val="Arial"/>
      <family val="2"/>
    </font>
    <font>
      <i/>
      <sz val="10"/>
      <color theme="7" tint="-0.499984740745262"/>
      <name val="Arial"/>
      <family val="2"/>
    </font>
    <font>
      <sz val="10"/>
      <color rgb="FF2F5597"/>
      <name val="Arial"/>
      <family val="2"/>
    </font>
    <font>
      <b/>
      <sz val="9"/>
      <color theme="0"/>
      <name val="Arial"/>
      <family val="2"/>
    </font>
    <font>
      <sz val="9"/>
      <name val="Arial"/>
      <family val="2"/>
    </font>
    <font>
      <b/>
      <sz val="10"/>
      <color rgb="FF7030A0"/>
      <name val="Arial"/>
      <family val="2"/>
    </font>
    <font>
      <b/>
      <sz val="11"/>
      <color theme="1"/>
      <name val="Arial"/>
      <family val="2"/>
    </font>
    <font>
      <sz val="11"/>
      <color theme="1"/>
      <name val="Arial"/>
      <family val="2"/>
    </font>
    <font>
      <sz val="10"/>
      <color theme="1"/>
      <name val="Arial"/>
      <family val="2"/>
    </font>
    <font>
      <b/>
      <sz val="12"/>
      <color theme="1"/>
      <name val="Arial"/>
      <family val="2"/>
    </font>
    <font>
      <b/>
      <sz val="14"/>
      <color theme="1"/>
      <name val="Arial"/>
      <family val="2"/>
    </font>
    <font>
      <b/>
      <sz val="10"/>
      <color rgb="FF0070C0"/>
      <name val="Arial"/>
      <family val="2"/>
    </font>
    <font>
      <sz val="11"/>
      <color theme="0"/>
      <name val="Arial"/>
      <family val="2"/>
    </font>
    <font>
      <b/>
      <sz val="14"/>
      <color rgb="FF000000"/>
      <name val="Calibri"/>
      <family val="2"/>
      <scheme val="minor"/>
    </font>
    <font>
      <b/>
      <sz val="11"/>
      <color rgb="FF000000"/>
      <name val="Arial"/>
      <family val="2"/>
    </font>
    <font>
      <sz val="11"/>
      <color rgb="FF000000"/>
      <name val="Arial"/>
      <family val="2"/>
    </font>
    <font>
      <b/>
      <sz val="10"/>
      <color rgb="FF002F8E"/>
      <name val="Arial"/>
      <family val="2"/>
    </font>
    <font>
      <sz val="8"/>
      <color rgb="FF000000"/>
      <name val="Arial"/>
      <family val="2"/>
    </font>
    <font>
      <sz val="8"/>
      <color theme="1"/>
      <name val="Arial"/>
      <family val="2"/>
    </font>
    <font>
      <b/>
      <sz val="8"/>
      <color theme="1"/>
      <name val="Arial"/>
      <family val="2"/>
    </font>
    <font>
      <sz val="10"/>
      <color rgb="FF7030A0"/>
      <name val="Arial"/>
      <family val="2"/>
    </font>
    <font>
      <sz val="10"/>
      <color theme="5" tint="-0.249977111117893"/>
      <name val="Arial"/>
      <family val="2"/>
    </font>
    <font>
      <b/>
      <sz val="18"/>
      <color rgb="FF0070C0"/>
      <name val="Arial"/>
      <family val="2"/>
    </font>
    <font>
      <sz val="10"/>
      <color rgb="FF1F1F1F"/>
      <name val="Georgia"/>
      <family val="1"/>
    </font>
    <font>
      <b/>
      <sz val="10"/>
      <color rgb="FFC00000"/>
      <name val="Arial"/>
      <family val="2"/>
    </font>
    <font>
      <b/>
      <sz val="10"/>
      <color theme="4" tint="-0.499984740745262"/>
      <name val="Arial"/>
      <family val="2"/>
    </font>
    <font>
      <sz val="11"/>
      <name val="Arial"/>
      <family val="2"/>
    </font>
    <font>
      <b/>
      <sz val="12"/>
      <color rgb="FF002F8E"/>
      <name val="Arial"/>
      <family val="2"/>
    </font>
    <font>
      <b/>
      <sz val="12"/>
      <color rgb="FFFFFFFF"/>
      <name val="Arial"/>
      <family val="2"/>
    </font>
    <font>
      <sz val="10"/>
      <color rgb="FF0070C0"/>
      <name val="Arial"/>
      <family val="2"/>
    </font>
    <font>
      <sz val="5"/>
      <color rgb="FF000000"/>
      <name val="Verdana"/>
      <family val="2"/>
    </font>
    <font>
      <sz val="9"/>
      <color rgb="FF0070C0"/>
      <name val="Arial"/>
      <family val="2"/>
    </font>
    <font>
      <sz val="10"/>
      <color rgb="FF70AD47"/>
      <name val="Arial"/>
      <family val="2"/>
    </font>
    <font>
      <sz val="11"/>
      <color rgb="FF000000"/>
      <name val="Calibri"/>
      <family val="2"/>
    </font>
  </fonts>
  <fills count="30">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rgb="FFFFFF00"/>
        <bgColor indexed="64"/>
      </patternFill>
    </fill>
    <fill>
      <patternFill patternType="solid">
        <fgColor theme="0"/>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6795556505021"/>
        <bgColor indexed="64"/>
      </patternFill>
    </fill>
    <fill>
      <patternFill patternType="solid">
        <fgColor rgb="FFFFEBCD"/>
        <bgColor indexed="64"/>
      </patternFill>
    </fill>
    <fill>
      <patternFill patternType="solid">
        <fgColor rgb="FFCCCCFF"/>
        <bgColor indexed="64"/>
      </patternFill>
    </fill>
    <fill>
      <patternFill patternType="solid">
        <fgColor theme="4" tint="-0.499984740745262"/>
        <bgColor indexed="64"/>
      </patternFill>
    </fill>
    <fill>
      <patternFill patternType="solid">
        <fgColor rgb="FFFFFFFF"/>
        <bgColor indexed="64"/>
      </patternFill>
    </fill>
    <fill>
      <patternFill patternType="solid">
        <fgColor rgb="FFFFC000"/>
        <bgColor indexed="64"/>
      </patternFill>
    </fill>
    <fill>
      <patternFill patternType="solid">
        <fgColor rgb="FF00B0F0"/>
        <bgColor indexed="64"/>
      </patternFill>
    </fill>
    <fill>
      <patternFill patternType="solid">
        <fgColor rgb="FFD9E1F2"/>
        <bgColor rgb="FF000000"/>
      </patternFill>
    </fill>
    <fill>
      <patternFill patternType="solid">
        <fgColor rgb="FF203764"/>
        <bgColor rgb="FF000000"/>
      </patternFill>
    </fill>
    <fill>
      <patternFill patternType="lightUp"/>
    </fill>
    <fill>
      <patternFill patternType="solid">
        <fgColor theme="0" tint="-0.34998626667073579"/>
        <bgColor indexed="64"/>
      </patternFill>
    </fill>
    <fill>
      <patternFill patternType="solid">
        <fgColor rgb="FFFFFFFF"/>
        <bgColor rgb="FF000000"/>
      </patternFill>
    </fill>
    <fill>
      <patternFill patternType="solid">
        <fgColor rgb="FFD6DCE4"/>
        <bgColor rgb="FF000000"/>
      </patternFill>
    </fill>
    <fill>
      <patternFill patternType="solid">
        <fgColor theme="7" tint="0.79998168889431442"/>
        <bgColor rgb="FF000000"/>
      </patternFill>
    </fill>
    <fill>
      <patternFill patternType="solid">
        <fgColor rgb="FFD9E1F2"/>
        <bgColor indexed="64"/>
      </patternFill>
    </fill>
  </fills>
  <borders count="191">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rgb="FF808080"/>
      </left>
      <right style="medium">
        <color rgb="FF808080"/>
      </right>
      <top style="medium">
        <color rgb="FF808080"/>
      </top>
      <bottom style="medium">
        <color rgb="FF808080"/>
      </bottom>
      <diagonal/>
    </border>
    <border>
      <left style="medium">
        <color rgb="FF808080"/>
      </left>
      <right/>
      <top style="medium">
        <color rgb="FF808080"/>
      </top>
      <bottom style="medium">
        <color rgb="FF808080"/>
      </bottom>
      <diagonal/>
    </border>
    <border>
      <left/>
      <right/>
      <top style="medium">
        <color rgb="FF808080"/>
      </top>
      <bottom style="medium">
        <color rgb="FF808080"/>
      </bottom>
      <diagonal/>
    </border>
    <border>
      <left/>
      <right style="medium">
        <color rgb="FF808080"/>
      </right>
      <top style="medium">
        <color rgb="FF808080"/>
      </top>
      <bottom style="medium">
        <color rgb="FF808080"/>
      </bottom>
      <diagonal/>
    </border>
    <border>
      <left/>
      <right style="medium">
        <color rgb="FF808080"/>
      </right>
      <top/>
      <bottom style="medium">
        <color rgb="FF808080"/>
      </bottom>
      <diagonal/>
    </border>
    <border>
      <left style="medium">
        <color rgb="FF808080"/>
      </left>
      <right style="medium">
        <color rgb="FF808080"/>
      </right>
      <top/>
      <bottom style="medium">
        <color rgb="FF808080"/>
      </bottom>
      <diagonal/>
    </border>
    <border>
      <left/>
      <right/>
      <top style="medium">
        <color rgb="FF808080"/>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style="thin">
        <color rgb="FF000000"/>
      </left>
      <right style="thin">
        <color rgb="FF000000"/>
      </right>
      <top style="thin">
        <color rgb="FF000000"/>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style="medium">
        <color indexed="64"/>
      </top>
      <bottom/>
      <diagonal/>
    </border>
    <border>
      <left style="medium">
        <color indexed="64"/>
      </left>
      <right style="thin">
        <color rgb="FF000000"/>
      </right>
      <top/>
      <bottom/>
      <diagonal/>
    </border>
    <border>
      <left style="medium">
        <color indexed="64"/>
      </left>
      <right style="thin">
        <color rgb="FF000000"/>
      </right>
      <top/>
      <bottom style="medium">
        <color indexed="64"/>
      </bottom>
      <diagonal/>
    </border>
    <border>
      <left style="thin">
        <color indexed="64"/>
      </left>
      <right style="thin">
        <color indexed="64"/>
      </right>
      <top style="thin">
        <color indexed="64"/>
      </top>
      <bottom style="medium">
        <color indexed="64"/>
      </bottom>
      <diagonal/>
    </border>
    <border>
      <left/>
      <right/>
      <top/>
      <bottom style="thin">
        <color theme="0" tint="-0.499984740745262"/>
      </bottom>
      <diagonal/>
    </border>
    <border>
      <left style="thin">
        <color auto="1"/>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theme="0" tint="-0.499984740745262"/>
      </left>
      <right style="thin">
        <color theme="0" tint="-0.499984740745262"/>
      </right>
      <top style="thin">
        <color indexed="64"/>
      </top>
      <bottom/>
      <diagonal/>
    </border>
    <border>
      <left/>
      <right/>
      <top style="thin">
        <color theme="0" tint="-0.499984740745262"/>
      </top>
      <bottom/>
      <diagonal/>
    </border>
    <border>
      <left style="thin">
        <color rgb="FF000000"/>
      </left>
      <right style="thin">
        <color rgb="FF000000"/>
      </right>
      <top/>
      <bottom/>
      <diagonal/>
    </border>
    <border>
      <left style="thin">
        <color rgb="FF000000"/>
      </left>
      <right style="medium">
        <color indexed="64"/>
      </right>
      <top style="thin">
        <color rgb="FF000000"/>
      </top>
      <bottom style="thin">
        <color indexed="64"/>
      </bottom>
      <diagonal/>
    </border>
    <border>
      <left style="thin">
        <color rgb="FF000000"/>
      </left>
      <right style="thin">
        <color rgb="FF000000"/>
      </right>
      <top/>
      <bottom style="medium">
        <color indexed="64"/>
      </bottom>
      <diagonal/>
    </border>
    <border>
      <left style="thin">
        <color rgb="FF000000"/>
      </left>
      <right style="medium">
        <color indexed="64"/>
      </right>
      <top/>
      <bottom style="medium">
        <color indexed="64"/>
      </bottom>
      <diagonal/>
    </border>
    <border>
      <left style="thin">
        <color rgb="FF000000"/>
      </left>
      <right style="thin">
        <color rgb="FF000000"/>
      </right>
      <top style="thin">
        <color rgb="FF000000"/>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1" tint="0.499984740745262"/>
      </right>
      <top/>
      <bottom style="thin">
        <color theme="1" tint="0.499984740745262"/>
      </bottom>
      <diagonal/>
    </border>
    <border>
      <left style="thin">
        <color theme="1" tint="0.14999847407452621"/>
      </left>
      <right style="thin">
        <color theme="1" tint="0.14999847407452621"/>
      </right>
      <top style="thin">
        <color theme="1" tint="0.14999847407452621"/>
      </top>
      <bottom style="thin">
        <color theme="1" tint="0.149998474074526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style="thin">
        <color theme="0" tint="-0.499984740745262"/>
      </right>
      <top style="thin">
        <color theme="0" tint="-0.499984740745262"/>
      </top>
      <bottom/>
      <diagonal/>
    </border>
    <border>
      <left style="thin">
        <color theme="1" tint="0.34998626667073579"/>
      </left>
      <right/>
      <top/>
      <bottom/>
      <diagonal/>
    </border>
    <border>
      <left/>
      <right style="thin">
        <color theme="1" tint="0.34998626667073579"/>
      </right>
      <top/>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thin">
        <color theme="1" tint="0.34998626667073579"/>
      </right>
      <top/>
      <bottom style="thin">
        <color theme="1" tint="0.34998626667073579"/>
      </bottom>
      <diagonal/>
    </border>
    <border>
      <left style="medium">
        <color indexed="64"/>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medium">
        <color indexed="64"/>
      </top>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right style="thin">
        <color indexed="64"/>
      </right>
      <top style="medium">
        <color indexed="64"/>
      </top>
      <bottom style="thin">
        <color indexed="64"/>
      </bottom>
      <diagonal/>
    </border>
    <border>
      <left style="medium">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bottom/>
      <diagonal/>
    </border>
    <border>
      <left style="thin">
        <color theme="1" tint="0.34998626667073579"/>
      </left>
      <right style="medium">
        <color indexed="64"/>
      </right>
      <top style="thin">
        <color theme="1" tint="0.34998626667073579"/>
      </top>
      <bottom style="thin">
        <color theme="1" tint="0.34998626667073579"/>
      </bottom>
      <diagonal/>
    </border>
    <border>
      <left style="medium">
        <color indexed="64"/>
      </left>
      <right style="thin">
        <color theme="1" tint="0.34998626667073579"/>
      </right>
      <top style="thin">
        <color theme="1" tint="0.34998626667073579"/>
      </top>
      <bottom/>
      <diagonal/>
    </border>
    <border>
      <left style="thin">
        <color theme="1" tint="0.34998626667073579"/>
      </left>
      <right style="thin">
        <color theme="1" tint="0.34998626667073579"/>
      </right>
      <top/>
      <bottom style="medium">
        <color theme="1" tint="0.34998626667073579"/>
      </bottom>
      <diagonal/>
    </border>
    <border>
      <left style="thin">
        <color theme="1" tint="0.34998626667073579"/>
      </left>
      <right style="medium">
        <color indexed="64"/>
      </right>
      <top style="thin">
        <color theme="1" tint="0.34998626667073579"/>
      </top>
      <bottom/>
      <diagonal/>
    </border>
    <border>
      <left style="thin">
        <color indexed="64"/>
      </left>
      <right style="medium">
        <color indexed="64"/>
      </right>
      <top style="thin">
        <color indexed="64"/>
      </top>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right style="thin">
        <color theme="1" tint="0.34998626667073579"/>
      </right>
      <top style="medium">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right style="thin">
        <color theme="1" tint="0.34998626667073579"/>
      </right>
      <top style="thin">
        <color theme="1" tint="0.34998626667073579"/>
      </top>
      <bottom/>
      <diagonal/>
    </border>
    <border>
      <left style="thin">
        <color theme="1" tint="0.34998626667073579"/>
      </left>
      <right style="medium">
        <color indexed="64"/>
      </right>
      <top style="medium">
        <color theme="1" tint="0.34998626667073579"/>
      </top>
      <bottom style="thin">
        <color theme="1" tint="0.34998626667073579"/>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medium">
        <color indexed="64"/>
      </right>
      <top style="medium">
        <color indexed="64"/>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indexed="64"/>
      </right>
      <top style="thin">
        <color theme="1" tint="0.34998626667073579"/>
      </top>
      <bottom style="medium">
        <color theme="1" tint="0.34998626667073579"/>
      </bottom>
      <diagonal/>
    </border>
    <border>
      <left/>
      <right style="thin">
        <color theme="1" tint="0.34998626667073579"/>
      </right>
      <top style="thin">
        <color theme="1" tint="0.34998626667073579"/>
      </top>
      <bottom style="medium">
        <color theme="1" tint="0.34998626667073579"/>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thin">
        <color theme="1" tint="0.499984740745262"/>
      </top>
      <bottom style="medium">
        <color indexed="64"/>
      </bottom>
      <diagonal/>
    </border>
    <border>
      <left/>
      <right style="thin">
        <color theme="1" tint="0.34998626667073579"/>
      </right>
      <top/>
      <bottom style="thin">
        <color theme="1" tint="0.34998626667073579"/>
      </bottom>
      <diagonal/>
    </border>
    <border>
      <left style="thin">
        <color theme="1" tint="0.34998626667073579"/>
      </left>
      <right style="medium">
        <color theme="1" tint="0.34998626667073579"/>
      </right>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style="medium">
        <color indexed="64"/>
      </top>
      <bottom style="thin">
        <color indexed="64"/>
      </bottom>
      <diagonal/>
    </border>
    <border>
      <left style="thin">
        <color theme="1" tint="0.34998626667073579"/>
      </left>
      <right style="thin">
        <color theme="1" tint="0.34998626667073579"/>
      </right>
      <top style="thin">
        <color indexed="64"/>
      </top>
      <bottom style="thin">
        <color indexed="64"/>
      </bottom>
      <diagonal/>
    </border>
    <border>
      <left style="thin">
        <color theme="1" tint="0.34998626667073579"/>
      </left>
      <right style="thin">
        <color theme="1" tint="0.34998626667073579"/>
      </right>
      <top style="thin">
        <color indexed="64"/>
      </top>
      <bottom style="medium">
        <color indexed="64"/>
      </bottom>
      <diagonal/>
    </border>
    <border>
      <left style="medium">
        <color indexed="64"/>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bottom style="medium">
        <color indexed="64"/>
      </bottom>
      <diagonal/>
    </border>
    <border>
      <left style="thin">
        <color theme="1" tint="0.34998626667073579"/>
      </left>
      <right/>
      <top style="medium">
        <color indexed="64"/>
      </top>
      <bottom style="thin">
        <color indexed="64"/>
      </bottom>
      <diagonal/>
    </border>
    <border>
      <left style="thin">
        <color theme="1" tint="0.34998626667073579"/>
      </left>
      <right/>
      <top style="thin">
        <color indexed="64"/>
      </top>
      <bottom style="thin">
        <color indexed="64"/>
      </bottom>
      <diagonal/>
    </border>
    <border>
      <left style="thin">
        <color theme="1" tint="0.34998626667073579"/>
      </left>
      <right/>
      <top style="thin">
        <color indexed="64"/>
      </top>
      <bottom style="medium">
        <color indexed="64"/>
      </bottom>
      <diagonal/>
    </border>
    <border>
      <left style="medium">
        <color theme="1" tint="0.34998626667073579"/>
      </left>
      <right style="thin">
        <color theme="1" tint="0.34998626667073579"/>
      </right>
      <top/>
      <bottom style="thin">
        <color theme="1" tint="0.34998626667073579"/>
      </bottom>
      <diagonal/>
    </border>
    <border>
      <left style="thin">
        <color theme="1" tint="0.34998626667073579"/>
      </left>
      <right style="medium">
        <color indexed="64"/>
      </right>
      <top/>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indexed="64"/>
      </right>
      <top/>
      <bottom style="medium">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medium">
        <color indexed="64"/>
      </left>
      <right style="thin">
        <color theme="1" tint="0.34998626667073579"/>
      </right>
      <top style="medium">
        <color theme="1" tint="0.34998626667073579"/>
      </top>
      <bottom style="thin">
        <color theme="1" tint="0.34998626667073579"/>
      </bottom>
      <diagonal/>
    </border>
    <border>
      <left style="medium">
        <color indexed="64"/>
      </left>
      <right style="thin">
        <color theme="1" tint="0.34998626667073579"/>
      </right>
      <top/>
      <bottom/>
      <diagonal/>
    </border>
    <border>
      <left style="medium">
        <color indexed="64"/>
      </left>
      <right style="thin">
        <color theme="1" tint="0.34998626667073579"/>
      </right>
      <top/>
      <bottom style="medium">
        <color indexed="64"/>
      </bottom>
      <diagonal/>
    </border>
    <border>
      <left style="thin">
        <color theme="1" tint="0.34998626667073579"/>
      </left>
      <right style="medium">
        <color indexed="64"/>
      </right>
      <top style="medium">
        <color indexed="64"/>
      </top>
      <bottom style="thin">
        <color indexed="64"/>
      </bottom>
      <diagonal/>
    </border>
    <border>
      <left style="thin">
        <color theme="1" tint="0.34998626667073579"/>
      </left>
      <right style="medium">
        <color indexed="64"/>
      </right>
      <top style="thin">
        <color indexed="64"/>
      </top>
      <bottom style="thin">
        <color indexed="64"/>
      </bottom>
      <diagonal/>
    </border>
    <border>
      <left style="thin">
        <color theme="1" tint="0.34998626667073579"/>
      </left>
      <right style="medium">
        <color indexed="64"/>
      </right>
      <top style="medium">
        <color indexed="64"/>
      </top>
      <bottom/>
      <diagonal/>
    </border>
    <border>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bottom style="medium">
        <color indexed="64"/>
      </bottom>
      <diagonal/>
    </border>
    <border>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style="medium">
        <color indexed="64"/>
      </bottom>
      <diagonal/>
    </border>
    <border>
      <left style="thin">
        <color theme="1" tint="0.34998626667073579"/>
      </left>
      <right/>
      <top style="thin">
        <color theme="1" tint="0.34998626667073579"/>
      </top>
      <bottom style="thin">
        <color theme="1" tint="0.34998626667073579"/>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thin">
        <color theme="1" tint="0.34998626667073579"/>
      </bottom>
      <diagonal/>
    </border>
    <border>
      <left style="thin">
        <color rgb="FF595959"/>
      </left>
      <right style="thin">
        <color rgb="FF595959"/>
      </right>
      <top style="thin">
        <color rgb="FF595959"/>
      </top>
      <bottom style="thin">
        <color rgb="FF595959"/>
      </bottom>
      <diagonal/>
    </border>
    <border>
      <left style="thin">
        <color theme="1" tint="0.34998626667073579"/>
      </left>
      <right style="medium">
        <color indexed="64"/>
      </right>
      <top style="medium">
        <color theme="1" tint="0.34998626667073579"/>
      </top>
      <bottom/>
      <diagonal/>
    </border>
    <border>
      <left style="thin">
        <color theme="1" tint="0.34998626667073579"/>
      </left>
      <right style="medium">
        <color theme="1" tint="0.34998626667073579"/>
      </right>
      <top style="thin">
        <color theme="1" tint="0.34998626667073579"/>
      </top>
      <bottom/>
      <diagonal/>
    </border>
    <border>
      <left style="medium">
        <color rgb="FF000000"/>
      </left>
      <right style="thin">
        <color indexed="64"/>
      </right>
      <top style="medium">
        <color rgb="FF000000"/>
      </top>
      <bottom style="thin">
        <color indexed="64"/>
      </bottom>
      <diagonal/>
    </border>
    <border>
      <left/>
      <right style="medium">
        <color indexed="64"/>
      </right>
      <top style="medium">
        <color rgb="FF000000"/>
      </top>
      <bottom style="thin">
        <color indexed="64"/>
      </bottom>
      <diagonal/>
    </border>
    <border>
      <left/>
      <right style="thin">
        <color indexed="64"/>
      </right>
      <top style="medium">
        <color rgb="FF000000"/>
      </top>
      <bottom style="thin">
        <color indexed="64"/>
      </bottom>
      <diagonal/>
    </border>
    <border>
      <left style="thin">
        <color rgb="FF000000"/>
      </left>
      <right style="medium">
        <color rgb="FF000000"/>
      </right>
      <top style="medium">
        <color rgb="FF000000"/>
      </top>
      <bottom style="thin">
        <color rgb="FF000000"/>
      </bottom>
      <diagonal/>
    </border>
    <border>
      <left style="medium">
        <color rgb="FF000000"/>
      </left>
      <right style="thin">
        <color indexed="64"/>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indexed="64"/>
      </right>
      <top/>
      <bottom style="medium">
        <color rgb="FF000000"/>
      </bottom>
      <diagonal/>
    </border>
    <border>
      <left/>
      <right style="thin">
        <color indexed="64"/>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thin">
        <color rgb="FF000000"/>
      </bottom>
      <diagonal/>
    </border>
    <border>
      <left style="medium">
        <color rgb="FF000000"/>
      </left>
      <right style="thin">
        <color indexed="64"/>
      </right>
      <top style="medium">
        <color rgb="FF000000"/>
      </top>
      <bottom/>
      <diagonal/>
    </border>
    <border>
      <left style="thin">
        <color theme="0" tint="-0.499984740745262"/>
      </left>
      <right style="thin">
        <color theme="0" tint="-0.499984740745262"/>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thin">
        <color indexed="64"/>
      </right>
      <top style="medium">
        <color rgb="FF000000"/>
      </top>
      <bottom/>
      <diagonal/>
    </border>
    <border>
      <left style="thin">
        <color indexed="64"/>
      </left>
      <right style="thin">
        <color indexed="64"/>
      </right>
      <top style="medium">
        <color rgb="FF000000"/>
      </top>
      <bottom/>
      <diagonal/>
    </border>
    <border>
      <left/>
      <right/>
      <top/>
      <bottom style="medium">
        <color rgb="FF000000"/>
      </bottom>
      <diagonal/>
    </border>
    <border>
      <left/>
      <right/>
      <top style="medium">
        <color rgb="FF000000"/>
      </top>
      <bottom style="thin">
        <color indexed="64"/>
      </bottom>
      <diagonal/>
    </border>
    <border>
      <left style="thin">
        <color theme="1" tint="0.34998626667073579"/>
      </left>
      <right style="thin">
        <color theme="1" tint="0.34998626667073579"/>
      </right>
      <top style="thin">
        <color indexed="64"/>
      </top>
      <bottom/>
      <diagonal/>
    </border>
    <border>
      <left style="thin">
        <color theme="1" tint="0.34998626667073579"/>
      </left>
      <right style="medium">
        <color indexed="64"/>
      </right>
      <top style="thin">
        <color indexed="64"/>
      </top>
      <bottom/>
      <diagonal/>
    </border>
    <border>
      <left style="medium">
        <color indexed="64"/>
      </left>
      <right style="thin">
        <color indexed="64"/>
      </right>
      <top style="thin">
        <color indexed="64"/>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style="medium">
        <color rgb="FF000000"/>
      </top>
      <bottom style="thin">
        <color rgb="FF000000"/>
      </bottom>
      <diagonal/>
    </border>
    <border>
      <left style="thin">
        <color rgb="FF000000"/>
      </left>
      <right/>
      <top style="thin">
        <color rgb="FF000000"/>
      </top>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bottom style="thin">
        <color indexed="64"/>
      </bottom>
      <diagonal/>
    </border>
    <border>
      <left style="thin">
        <color indexed="64"/>
      </left>
      <right/>
      <top style="medium">
        <color rgb="FF000000"/>
      </top>
      <bottom/>
      <diagonal/>
    </border>
    <border>
      <left style="thin">
        <color rgb="FF000000"/>
      </left>
      <right style="medium">
        <color rgb="FF000000"/>
      </right>
      <top style="medium">
        <color indexed="64"/>
      </top>
      <bottom style="thin">
        <color rgb="FF000000"/>
      </bottom>
      <diagonal/>
    </border>
    <border>
      <left style="thin">
        <color rgb="FF000000"/>
      </left>
      <right/>
      <top style="thin">
        <color rgb="FF000000"/>
      </top>
      <bottom style="medium">
        <color indexed="64"/>
      </bottom>
      <diagonal/>
    </border>
    <border>
      <left style="thin">
        <color rgb="FF000000"/>
      </left>
      <right style="medium">
        <color rgb="FF000000"/>
      </right>
      <top style="thin">
        <color rgb="FF000000"/>
      </top>
      <bottom style="medium">
        <color indexed="64"/>
      </bottom>
      <diagonal/>
    </border>
  </borders>
  <cellStyleXfs count="14">
    <xf numFmtId="0" fontId="0" fillId="0" borderId="0"/>
    <xf numFmtId="0" fontId="1" fillId="0" borderId="0"/>
    <xf numFmtId="9" fontId="2" fillId="0" borderId="0" applyFont="0" applyFill="0" applyBorder="0" applyAlignment="0" applyProtection="0"/>
    <xf numFmtId="0" fontId="6" fillId="0" borderId="0" applyNumberFormat="0" applyFill="0" applyBorder="0" applyAlignment="0" applyProtection="0"/>
    <xf numFmtId="0" fontId="8" fillId="0" borderId="0"/>
    <xf numFmtId="0" fontId="10" fillId="0" borderId="0" applyNumberFormat="0" applyFill="0" applyBorder="0" applyAlignment="0" applyProtection="0"/>
    <xf numFmtId="43" fontId="2" fillId="0" borderId="0" applyFont="0" applyFill="0" applyBorder="0" applyAlignment="0" applyProtection="0"/>
    <xf numFmtId="0" fontId="2" fillId="0" borderId="0"/>
    <xf numFmtId="9" fontId="8" fillId="0" borderId="0" applyFont="0" applyFill="0" applyBorder="0" applyAlignment="0" applyProtection="0"/>
    <xf numFmtId="0" fontId="15" fillId="0" borderId="0"/>
    <xf numFmtId="0" fontId="17" fillId="0" borderId="0" applyNumberFormat="0" applyFill="0" applyBorder="0" applyAlignment="0" applyProtection="0"/>
    <xf numFmtId="0" fontId="8" fillId="0" borderId="0"/>
    <xf numFmtId="0" fontId="8" fillId="0" borderId="0"/>
    <xf numFmtId="0" fontId="2" fillId="0" borderId="0"/>
  </cellStyleXfs>
  <cellXfs count="998">
    <xf numFmtId="0" fontId="0" fillId="0" borderId="0" xfId="0"/>
    <xf numFmtId="0" fontId="0" fillId="0" borderId="2" xfId="0" applyBorder="1"/>
    <xf numFmtId="0" fontId="10" fillId="0" borderId="0" xfId="5"/>
    <xf numFmtId="0" fontId="0" fillId="0" borderId="0" xfId="0" applyAlignment="1">
      <alignment horizontal="left"/>
    </xf>
    <xf numFmtId="0" fontId="13" fillId="0" borderId="0" xfId="0" applyFont="1"/>
    <xf numFmtId="0" fontId="13" fillId="0" borderId="0" xfId="0" applyFont="1" applyAlignment="1">
      <alignment horizontal="center" vertical="center"/>
    </xf>
    <xf numFmtId="0" fontId="8" fillId="0" borderId="0" xfId="0" applyFont="1"/>
    <xf numFmtId="0" fontId="9" fillId="0" borderId="0" xfId="0" applyFont="1"/>
    <xf numFmtId="0" fontId="8" fillId="0" borderId="0" xfId="0" applyFont="1" applyAlignment="1">
      <alignment vertical="center"/>
    </xf>
    <xf numFmtId="165" fontId="8" fillId="0" borderId="0" xfId="0" applyNumberFormat="1" applyFont="1"/>
    <xf numFmtId="0" fontId="17" fillId="0" borderId="0" xfId="5" applyFont="1"/>
    <xf numFmtId="0" fontId="8" fillId="0" borderId="0" xfId="0" applyFont="1" applyAlignment="1">
      <alignment wrapText="1"/>
    </xf>
    <xf numFmtId="0" fontId="16" fillId="0" borderId="0" xfId="0" applyFont="1" applyAlignment="1">
      <alignment vertical="center"/>
    </xf>
    <xf numFmtId="0" fontId="1" fillId="0" borderId="2" xfId="1" applyBorder="1" applyAlignment="1">
      <alignment vertical="center" wrapText="1"/>
    </xf>
    <xf numFmtId="3" fontId="1" fillId="0" borderId="2" xfId="1" applyNumberFormat="1" applyBorder="1" applyAlignment="1">
      <alignment horizontal="center" vertical="center" wrapText="1"/>
    </xf>
    <xf numFmtId="0" fontId="1" fillId="0" borderId="2" xfId="1" applyBorder="1" applyAlignment="1">
      <alignment vertical="center"/>
    </xf>
    <xf numFmtId="0" fontId="1" fillId="0" borderId="2" xfId="1" applyBorder="1" applyAlignment="1">
      <alignment horizontal="center" vertical="center" wrapText="1"/>
    </xf>
    <xf numFmtId="0" fontId="8" fillId="0" borderId="2" xfId="0" applyFont="1" applyBorder="1" applyAlignment="1">
      <alignment vertical="center"/>
    </xf>
    <xf numFmtId="0" fontId="8" fillId="0" borderId="2" xfId="0" applyFont="1" applyBorder="1" applyAlignment="1">
      <alignment vertical="center" wrapText="1"/>
    </xf>
    <xf numFmtId="0" fontId="20" fillId="12" borderId="2" xfId="0" applyFont="1" applyFill="1" applyBorder="1" applyAlignment="1">
      <alignment vertical="center"/>
    </xf>
    <xf numFmtId="0" fontId="20" fillId="12" borderId="2" xfId="0" applyFont="1" applyFill="1" applyBorder="1" applyAlignment="1">
      <alignment horizontal="left" vertical="center"/>
    </xf>
    <xf numFmtId="3" fontId="8" fillId="0" borderId="2" xfId="7" applyNumberFormat="1" applyFont="1" applyBorder="1" applyAlignment="1">
      <alignment horizontal="center" vertical="center"/>
    </xf>
    <xf numFmtId="1" fontId="1" fillId="0" borderId="2" xfId="7" applyNumberFormat="1" applyFont="1" applyBorder="1" applyAlignment="1">
      <alignment horizontal="center" vertical="center"/>
    </xf>
    <xf numFmtId="1" fontId="22" fillId="0" borderId="2" xfId="7" quotePrefix="1" applyNumberFormat="1" applyFont="1" applyBorder="1" applyAlignment="1">
      <alignment horizontal="center" vertical="center"/>
    </xf>
    <xf numFmtId="1" fontId="1" fillId="0" borderId="2" xfId="7" quotePrefix="1" applyNumberFormat="1" applyFont="1" applyBorder="1" applyAlignment="1">
      <alignment horizontal="center" vertical="center"/>
    </xf>
    <xf numFmtId="0" fontId="12" fillId="0" borderId="2" xfId="3" applyFont="1" applyBorder="1" applyAlignment="1">
      <alignment horizontal="center" vertical="center" wrapText="1"/>
    </xf>
    <xf numFmtId="3" fontId="12" fillId="0" borderId="2" xfId="3" applyNumberFormat="1" applyFont="1" applyBorder="1" applyAlignment="1">
      <alignment horizontal="center" vertical="center" wrapText="1"/>
    </xf>
    <xf numFmtId="3" fontId="12" fillId="0" borderId="2" xfId="3" applyNumberFormat="1" applyFont="1" applyFill="1" applyBorder="1" applyAlignment="1">
      <alignment horizontal="center" vertical="center" wrapText="1"/>
    </xf>
    <xf numFmtId="9" fontId="8" fillId="0" borderId="2" xfId="2" applyFont="1" applyBorder="1" applyAlignment="1">
      <alignment horizontal="center"/>
    </xf>
    <xf numFmtId="165" fontId="8" fillId="0" borderId="0" xfId="0" applyNumberFormat="1" applyFont="1" applyAlignment="1">
      <alignment horizontal="center" vertical="center"/>
    </xf>
    <xf numFmtId="0" fontId="1" fillId="0" borderId="0" xfId="0" applyFont="1" applyAlignment="1">
      <alignment vertical="top"/>
    </xf>
    <xf numFmtId="0" fontId="8" fillId="0" borderId="0" xfId="0" applyFont="1" applyAlignment="1">
      <alignment horizontal="center" vertical="top" wrapText="1"/>
    </xf>
    <xf numFmtId="0" fontId="8" fillId="0" borderId="0" xfId="0" applyFont="1" applyAlignment="1">
      <alignment horizontal="left" vertical="top" wrapText="1"/>
    </xf>
    <xf numFmtId="0" fontId="9" fillId="0" borderId="0" xfId="0" applyFont="1" applyAlignment="1">
      <alignment horizontal="center" vertical="top" wrapText="1"/>
    </xf>
    <xf numFmtId="168" fontId="17" fillId="0" borderId="0" xfId="5" applyNumberFormat="1" applyFont="1" applyAlignment="1">
      <alignment horizontal="left" vertical="top"/>
    </xf>
    <xf numFmtId="0" fontId="9" fillId="2" borderId="0" xfId="0" applyFont="1" applyFill="1"/>
    <xf numFmtId="0" fontId="9" fillId="2" borderId="0" xfId="0" applyFont="1" applyFill="1" applyAlignment="1">
      <alignment wrapText="1"/>
    </xf>
    <xf numFmtId="0" fontId="9" fillId="2" borderId="0" xfId="0" applyFont="1" applyFill="1" applyAlignment="1">
      <alignment horizontal="left"/>
    </xf>
    <xf numFmtId="0" fontId="9" fillId="2" borderId="0" xfId="0" applyFont="1" applyFill="1" applyAlignment="1">
      <alignment horizontal="center"/>
    </xf>
    <xf numFmtId="0" fontId="21" fillId="12" borderId="2" xfId="0" applyFont="1" applyFill="1" applyBorder="1" applyAlignment="1">
      <alignment horizontal="center" vertical="center" wrapText="1"/>
    </xf>
    <xf numFmtId="0" fontId="20" fillId="12" borderId="2" xfId="0" applyFont="1" applyFill="1" applyBorder="1" applyAlignment="1">
      <alignment horizontal="center" vertical="center"/>
    </xf>
    <xf numFmtId="0" fontId="24" fillId="0" borderId="0" xfId="0" applyFont="1"/>
    <xf numFmtId="0" fontId="8" fillId="0" borderId="3" xfId="0" applyFont="1" applyBorder="1" applyAlignment="1">
      <alignment vertical="center"/>
    </xf>
    <xf numFmtId="0" fontId="8" fillId="0" borderId="2" xfId="0" applyFont="1" applyBorder="1" applyAlignment="1">
      <alignment horizontal="center" vertical="top" wrapText="1"/>
    </xf>
    <xf numFmtId="0" fontId="23" fillId="0" borderId="0" xfId="0" applyFont="1" applyAlignment="1">
      <alignment horizontal="left" vertical="top" wrapText="1"/>
    </xf>
    <xf numFmtId="0" fontId="8" fillId="0" borderId="22" xfId="0" applyFont="1" applyBorder="1" applyAlignment="1">
      <alignment vertical="center"/>
    </xf>
    <xf numFmtId="0" fontId="8" fillId="0" borderId="22" xfId="0" applyFont="1" applyBorder="1" applyAlignment="1">
      <alignment horizontal="left" vertical="center"/>
    </xf>
    <xf numFmtId="0" fontId="8" fillId="0" borderId="22" xfId="0" applyFont="1" applyBorder="1" applyAlignment="1">
      <alignment horizontal="left" vertical="center" wrapText="1"/>
    </xf>
    <xf numFmtId="2" fontId="8" fillId="0" borderId="2" xfId="0" applyNumberFormat="1" applyFont="1" applyBorder="1" applyAlignment="1">
      <alignment horizontal="left" vertical="center" wrapText="1"/>
    </xf>
    <xf numFmtId="169" fontId="8" fillId="0" borderId="2" xfId="6" applyNumberFormat="1" applyFont="1" applyBorder="1"/>
    <xf numFmtId="17" fontId="8" fillId="0" borderId="2" xfId="0" applyNumberFormat="1" applyFont="1" applyBorder="1" applyAlignment="1">
      <alignment horizontal="left" vertical="center"/>
    </xf>
    <xf numFmtId="2" fontId="8" fillId="0" borderId="2" xfId="0" applyNumberFormat="1" applyFont="1" applyBorder="1" applyAlignment="1">
      <alignment horizontal="left" vertical="center"/>
    </xf>
    <xf numFmtId="0" fontId="9" fillId="0" borderId="2" xfId="0" applyFont="1" applyBorder="1" applyAlignment="1">
      <alignment vertical="center"/>
    </xf>
    <xf numFmtId="0" fontId="1" fillId="0" borderId="2" xfId="0" applyFont="1" applyBorder="1" applyAlignment="1">
      <alignment horizontal="center" vertical="center" wrapText="1"/>
    </xf>
    <xf numFmtId="0" fontId="8" fillId="0" borderId="2" xfId="0" applyFont="1" applyBorder="1"/>
    <xf numFmtId="2" fontId="8" fillId="0" borderId="2" xfId="0" applyNumberFormat="1" applyFont="1" applyBorder="1"/>
    <xf numFmtId="0" fontId="8" fillId="0" borderId="3" xfId="0" applyFont="1" applyBorder="1"/>
    <xf numFmtId="9" fontId="8" fillId="14" borderId="2" xfId="2" applyFont="1" applyFill="1" applyBorder="1" applyAlignment="1">
      <alignment horizontal="center" vertical="center"/>
    </xf>
    <xf numFmtId="9" fontId="8" fillId="0" borderId="2" xfId="2" applyFont="1" applyFill="1" applyBorder="1" applyAlignment="1">
      <alignment horizontal="center" vertical="center"/>
    </xf>
    <xf numFmtId="2" fontId="8" fillId="0" borderId="2" xfId="0" applyNumberFormat="1" applyFont="1" applyBorder="1" applyAlignment="1">
      <alignment vertical="center"/>
    </xf>
    <xf numFmtId="2" fontId="8" fillId="0" borderId="2" xfId="0" applyNumberFormat="1" applyFont="1" applyBorder="1" applyAlignment="1">
      <alignment horizontal="center" vertical="center"/>
    </xf>
    <xf numFmtId="9" fontId="8" fillId="16" borderId="2" xfId="2" applyFont="1" applyFill="1" applyBorder="1" applyAlignment="1">
      <alignment horizontal="center" vertical="center"/>
    </xf>
    <xf numFmtId="9" fontId="8" fillId="16" borderId="2" xfId="2" applyFont="1" applyFill="1" applyBorder="1" applyAlignment="1">
      <alignment horizontal="center" vertical="center" wrapText="1"/>
    </xf>
    <xf numFmtId="9" fontId="8" fillId="0" borderId="0" xfId="2" applyFont="1" applyFill="1" applyBorder="1" applyAlignment="1">
      <alignment horizontal="center" vertical="center"/>
    </xf>
    <xf numFmtId="9" fontId="8" fillId="0" borderId="0" xfId="2" applyFont="1" applyFill="1" applyBorder="1" applyAlignment="1">
      <alignment horizontal="center" vertical="center" wrapText="1"/>
    </xf>
    <xf numFmtId="9" fontId="8" fillId="0" borderId="0" xfId="2" applyFont="1" applyBorder="1" applyAlignment="1">
      <alignment horizontal="center" vertical="center"/>
    </xf>
    <xf numFmtId="10" fontId="8" fillId="0" borderId="0" xfId="8" applyNumberFormat="1" applyFont="1" applyFill="1" applyBorder="1" applyAlignment="1"/>
    <xf numFmtId="0" fontId="25" fillId="0" borderId="0" xfId="0" applyFont="1" applyAlignment="1">
      <alignment horizontal="center" vertical="center" wrapText="1"/>
    </xf>
    <xf numFmtId="10" fontId="8" fillId="0" borderId="2" xfId="8" applyNumberFormat="1" applyFont="1" applyFill="1" applyBorder="1" applyAlignment="1">
      <alignment horizontal="center"/>
    </xf>
    <xf numFmtId="9" fontId="25" fillId="6" borderId="0" xfId="2" applyFont="1" applyFill="1" applyBorder="1" applyAlignment="1">
      <alignment horizontal="left" vertical="center"/>
    </xf>
    <xf numFmtId="9" fontId="8" fillId="6" borderId="0" xfId="2" applyFont="1" applyFill="1" applyBorder="1" applyAlignment="1">
      <alignment horizontal="center" vertical="center"/>
    </xf>
    <xf numFmtId="0" fontId="8" fillId="0" borderId="2" xfId="0" applyFont="1" applyBorder="1" applyAlignment="1">
      <alignment vertical="top" wrapText="1"/>
    </xf>
    <xf numFmtId="0" fontId="8" fillId="10" borderId="0" xfId="0" applyFont="1" applyFill="1"/>
    <xf numFmtId="0" fontId="9" fillId="0" borderId="0" xfId="0" applyFont="1" applyAlignment="1">
      <alignment wrapText="1"/>
    </xf>
    <xf numFmtId="0" fontId="9" fillId="0" borderId="0" xfId="0" applyFont="1" applyAlignment="1">
      <alignment horizontal="left"/>
    </xf>
    <xf numFmtId="0" fontId="8" fillId="10" borderId="0" xfId="0" applyFont="1" applyFill="1" applyAlignment="1">
      <alignment horizontal="left"/>
    </xf>
    <xf numFmtId="2" fontId="8" fillId="0" borderId="0" xfId="0" applyNumberFormat="1" applyFont="1" applyAlignment="1">
      <alignment vertical="center"/>
    </xf>
    <xf numFmtId="17" fontId="8" fillId="0" borderId="0" xfId="0" applyNumberFormat="1" applyFont="1" applyAlignment="1">
      <alignment horizontal="left" vertical="center"/>
    </xf>
    <xf numFmtId="2" fontId="8" fillId="0" borderId="0" xfId="0" applyNumberFormat="1" applyFont="1" applyAlignment="1">
      <alignment horizontal="left" vertical="center"/>
    </xf>
    <xf numFmtId="2" fontId="9" fillId="0" borderId="0" xfId="0" applyNumberFormat="1" applyFont="1" applyAlignment="1">
      <alignment horizontal="left" vertical="center"/>
    </xf>
    <xf numFmtId="0" fontId="20" fillId="12" borderId="38" xfId="0" applyFont="1" applyFill="1" applyBorder="1" applyAlignment="1">
      <alignment horizontal="center" vertical="center" wrapText="1"/>
    </xf>
    <xf numFmtId="0" fontId="20" fillId="9" borderId="38" xfId="0" applyFont="1" applyFill="1" applyBorder="1" applyAlignment="1">
      <alignment horizontal="left" vertical="center" wrapText="1"/>
    </xf>
    <xf numFmtId="0" fontId="20" fillId="9" borderId="38" xfId="0" applyFont="1" applyFill="1" applyBorder="1" applyAlignment="1">
      <alignment horizontal="center" vertical="center" wrapText="1"/>
    </xf>
    <xf numFmtId="0" fontId="8" fillId="9" borderId="3" xfId="0" applyFont="1" applyFill="1" applyBorder="1" applyAlignment="1">
      <alignment vertical="center" wrapText="1"/>
    </xf>
    <xf numFmtId="164" fontId="8" fillId="0" borderId="38" xfId="8" applyNumberFormat="1" applyFont="1" applyBorder="1" applyAlignment="1">
      <alignment horizontal="center"/>
    </xf>
    <xf numFmtId="0" fontId="8" fillId="18" borderId="0" xfId="0" applyFont="1" applyFill="1"/>
    <xf numFmtId="0" fontId="9" fillId="0" borderId="0" xfId="0" applyFont="1" applyAlignment="1">
      <alignment horizontal="left" vertical="center" wrapText="1"/>
    </xf>
    <xf numFmtId="9" fontId="8" fillId="0" borderId="0" xfId="2" applyFont="1" applyAlignment="1">
      <alignment horizontal="left"/>
    </xf>
    <xf numFmtId="1" fontId="8" fillId="0" borderId="0" xfId="2" applyNumberFormat="1" applyFont="1"/>
    <xf numFmtId="1" fontId="8" fillId="0" borderId="0" xfId="0" applyNumberFormat="1" applyFont="1"/>
    <xf numFmtId="9" fontId="8" fillId="0" borderId="0" xfId="2" applyFont="1" applyFill="1" applyBorder="1"/>
    <xf numFmtId="9" fontId="8" fillId="0" borderId="0" xfId="0" applyNumberFormat="1" applyFont="1"/>
    <xf numFmtId="0" fontId="9" fillId="3" borderId="2" xfId="0" applyFont="1" applyFill="1" applyBorder="1" applyAlignment="1">
      <alignment horizontal="left" vertical="center" wrapText="1"/>
    </xf>
    <xf numFmtId="0" fontId="29" fillId="15" borderId="2" xfId="0" applyFont="1" applyFill="1" applyBorder="1" applyAlignment="1">
      <alignment horizontal="left" vertical="center" wrapText="1"/>
    </xf>
    <xf numFmtId="0" fontId="29" fillId="15" borderId="2" xfId="0" applyFont="1" applyFill="1" applyBorder="1" applyAlignment="1">
      <alignment horizontal="left" vertical="center"/>
    </xf>
    <xf numFmtId="0" fontId="29" fillId="15" borderId="2" xfId="0" applyFont="1" applyFill="1" applyBorder="1" applyAlignment="1">
      <alignment horizontal="center" vertical="center" wrapText="1"/>
    </xf>
    <xf numFmtId="1" fontId="27" fillId="0" borderId="20" xfId="0" applyNumberFormat="1" applyFont="1" applyBorder="1" applyAlignment="1">
      <alignment horizontal="left"/>
    </xf>
    <xf numFmtId="0" fontId="27" fillId="0" borderId="20" xfId="0" applyFont="1" applyBorder="1" applyAlignment="1">
      <alignment horizontal="left"/>
    </xf>
    <xf numFmtId="0" fontId="8" fillId="0" borderId="20" xfId="0" applyFont="1" applyBorder="1" applyAlignment="1">
      <alignment horizontal="left"/>
    </xf>
    <xf numFmtId="10" fontId="8" fillId="0" borderId="20" xfId="8" applyNumberFormat="1" applyFont="1" applyBorder="1" applyAlignment="1">
      <alignment horizontal="center"/>
    </xf>
    <xf numFmtId="10" fontId="8" fillId="0" borderId="0" xfId="8" applyNumberFormat="1" applyFont="1" applyBorder="1" applyAlignment="1">
      <alignment horizontal="center"/>
    </xf>
    <xf numFmtId="10" fontId="8" fillId="0" borderId="21" xfId="8" applyNumberFormat="1" applyFont="1" applyBorder="1" applyAlignment="1">
      <alignment horizontal="center"/>
    </xf>
    <xf numFmtId="164" fontId="8" fillId="0" borderId="0" xfId="2" applyNumberFormat="1" applyFont="1"/>
    <xf numFmtId="9" fontId="9" fillId="0" borderId="0" xfId="2" applyFont="1" applyFill="1" applyBorder="1"/>
    <xf numFmtId="164" fontId="8" fillId="0" borderId="0" xfId="0" applyNumberFormat="1" applyFont="1"/>
    <xf numFmtId="0" fontId="30" fillId="0" borderId="0" xfId="0" applyFont="1"/>
    <xf numFmtId="0" fontId="1" fillId="0" borderId="2" xfId="0" applyFont="1" applyBorder="1" applyAlignment="1">
      <alignment horizontal="center" vertical="center"/>
    </xf>
    <xf numFmtId="0" fontId="9" fillId="12" borderId="38" xfId="0" applyFont="1" applyFill="1" applyBorder="1" applyAlignment="1">
      <alignment horizontal="center" vertical="center"/>
    </xf>
    <xf numFmtId="9" fontId="8" fillId="0" borderId="0" xfId="0" applyNumberFormat="1" applyFont="1" applyAlignment="1">
      <alignment vertical="center"/>
    </xf>
    <xf numFmtId="0" fontId="9" fillId="0" borderId="0" xfId="0" applyFont="1" applyAlignment="1">
      <alignment vertical="center"/>
    </xf>
    <xf numFmtId="0" fontId="17" fillId="0" borderId="0" xfId="5" applyFont="1" applyAlignment="1">
      <alignment vertical="center"/>
    </xf>
    <xf numFmtId="0" fontId="8" fillId="0" borderId="38" xfId="0" applyFont="1" applyBorder="1"/>
    <xf numFmtId="0" fontId="9" fillId="9" borderId="0" xfId="0" applyFont="1" applyFill="1"/>
    <xf numFmtId="0" fontId="25" fillId="0" borderId="0" xfId="0" applyFont="1"/>
    <xf numFmtId="164" fontId="8" fillId="0" borderId="2" xfId="2" applyNumberFormat="1" applyFont="1" applyBorder="1" applyAlignment="1">
      <alignment horizontal="center" vertical="center"/>
    </xf>
    <xf numFmtId="164" fontId="8" fillId="0" borderId="3" xfId="2" applyNumberFormat="1" applyFont="1" applyBorder="1" applyAlignment="1">
      <alignment horizontal="center" vertical="center"/>
    </xf>
    <xf numFmtId="164" fontId="8" fillId="0" borderId="0" xfId="2" applyNumberFormat="1" applyFont="1" applyBorder="1" applyAlignment="1">
      <alignment horizontal="center" vertical="center"/>
    </xf>
    <xf numFmtId="164" fontId="8" fillId="0" borderId="2" xfId="0" applyNumberFormat="1" applyFont="1" applyBorder="1" applyAlignment="1">
      <alignment horizontal="center" vertical="center"/>
    </xf>
    <xf numFmtId="164" fontId="8" fillId="0" borderId="3" xfId="2" applyNumberFormat="1" applyFont="1" applyFill="1" applyBorder="1" applyAlignment="1">
      <alignment horizontal="center" vertical="center"/>
    </xf>
    <xf numFmtId="164" fontId="8" fillId="0" borderId="2" xfId="0" applyNumberFormat="1" applyFont="1" applyBorder="1" applyAlignment="1">
      <alignment horizontal="center" vertical="center" wrapText="1"/>
    </xf>
    <xf numFmtId="0" fontId="8" fillId="0" borderId="23" xfId="0" applyFont="1" applyBorder="1" applyAlignment="1">
      <alignment horizontal="center" vertical="center" wrapText="1"/>
    </xf>
    <xf numFmtId="0" fontId="8" fillId="0" borderId="24" xfId="0" applyFont="1" applyBorder="1" applyAlignment="1">
      <alignment horizontal="center" vertical="center" wrapText="1"/>
    </xf>
    <xf numFmtId="0" fontId="8" fillId="7" borderId="0" xfId="0" applyFont="1" applyFill="1"/>
    <xf numFmtId="0" fontId="9" fillId="10" borderId="0" xfId="0" applyFont="1" applyFill="1" applyAlignment="1">
      <alignment vertical="center"/>
    </xf>
    <xf numFmtId="0" fontId="9" fillId="7" borderId="0" xfId="0" applyFont="1" applyFill="1"/>
    <xf numFmtId="0" fontId="27" fillId="7" borderId="39" xfId="0" applyFont="1" applyFill="1" applyBorder="1" applyAlignment="1">
      <alignment vertical="center"/>
    </xf>
    <xf numFmtId="0" fontId="27" fillId="0" borderId="43" xfId="0" applyFont="1" applyBorder="1" applyAlignment="1">
      <alignment horizontal="center" vertical="center"/>
    </xf>
    <xf numFmtId="0" fontId="27" fillId="7" borderId="44" xfId="0" applyFont="1" applyFill="1" applyBorder="1" applyAlignment="1">
      <alignment vertical="center"/>
    </xf>
    <xf numFmtId="9" fontId="27" fillId="0" borderId="43" xfId="0" applyNumberFormat="1" applyFont="1" applyBorder="1" applyAlignment="1">
      <alignment horizontal="center" vertical="center"/>
    </xf>
    <xf numFmtId="9" fontId="27" fillId="19" borderId="43" xfId="0" applyNumberFormat="1" applyFont="1" applyFill="1" applyBorder="1" applyAlignment="1">
      <alignment horizontal="center" vertical="center"/>
    </xf>
    <xf numFmtId="0" fontId="27" fillId="7" borderId="39" xfId="0" applyFont="1" applyFill="1" applyBorder="1" applyAlignment="1">
      <alignment horizontal="center" vertical="center"/>
    </xf>
    <xf numFmtId="0" fontId="27" fillId="7" borderId="43" xfId="0" applyFont="1" applyFill="1" applyBorder="1" applyAlignment="1">
      <alignment horizontal="center" vertical="center"/>
    </xf>
    <xf numFmtId="0" fontId="27" fillId="7" borderId="44" xfId="0" applyFont="1" applyFill="1" applyBorder="1" applyAlignment="1">
      <alignment horizontal="center" vertical="center"/>
    </xf>
    <xf numFmtId="9" fontId="27" fillId="7" borderId="43" xfId="0" applyNumberFormat="1" applyFont="1" applyFill="1" applyBorder="1" applyAlignment="1">
      <alignment horizontal="center" vertical="center"/>
    </xf>
    <xf numFmtId="0" fontId="8" fillId="10" borderId="0" xfId="0" applyFont="1" applyFill="1" applyAlignment="1">
      <alignment vertical="center"/>
    </xf>
    <xf numFmtId="0" fontId="25" fillId="10" borderId="0" xfId="0" applyFont="1" applyFill="1" applyAlignment="1">
      <alignment horizontal="left" wrapText="1"/>
    </xf>
    <xf numFmtId="0" fontId="8" fillId="7" borderId="0" xfId="0" applyFont="1" applyFill="1" applyAlignment="1">
      <alignment vertical="center"/>
    </xf>
    <xf numFmtId="0" fontId="25" fillId="0" borderId="0" xfId="0" applyFont="1" applyAlignment="1">
      <alignment horizontal="left" wrapText="1"/>
    </xf>
    <xf numFmtId="11" fontId="8" fillId="0" borderId="0" xfId="0" applyNumberFormat="1" applyFont="1"/>
    <xf numFmtId="0" fontId="8" fillId="0" borderId="38" xfId="4" applyBorder="1" applyAlignment="1">
      <alignment horizontal="center" vertical="center"/>
    </xf>
    <xf numFmtId="0" fontId="29" fillId="12" borderId="15" xfId="0" applyFont="1" applyFill="1" applyBorder="1" applyAlignment="1">
      <alignment horizontal="center" vertical="center" wrapText="1"/>
    </xf>
    <xf numFmtId="0" fontId="8" fillId="0" borderId="6" xfId="0" applyFont="1" applyBorder="1" applyAlignment="1">
      <alignment vertical="top" wrapText="1"/>
    </xf>
    <xf numFmtId="0" fontId="8" fillId="0" borderId="7" xfId="0" applyFont="1" applyBorder="1" applyAlignment="1">
      <alignment horizontal="center" vertical="top" wrapText="1"/>
    </xf>
    <xf numFmtId="0" fontId="29" fillId="12" borderId="15" xfId="0" applyFont="1" applyFill="1" applyBorder="1" applyAlignment="1">
      <alignment horizontal="center" vertical="center"/>
    </xf>
    <xf numFmtId="9" fontId="8" fillId="0" borderId="38" xfId="2" applyFont="1" applyFill="1" applyBorder="1" applyAlignment="1">
      <alignment horizontal="center" vertical="center"/>
    </xf>
    <xf numFmtId="0" fontId="1" fillId="17" borderId="3" xfId="0" applyFont="1" applyFill="1" applyBorder="1" applyAlignment="1">
      <alignment horizontal="center" wrapText="1"/>
    </xf>
    <xf numFmtId="11" fontId="8" fillId="0" borderId="14" xfId="0" applyNumberFormat="1" applyFont="1" applyBorder="1" applyAlignment="1">
      <alignment horizontal="center" vertical="center" wrapText="1"/>
    </xf>
    <xf numFmtId="0" fontId="8" fillId="0" borderId="18" xfId="0" applyFont="1" applyBorder="1"/>
    <xf numFmtId="0" fontId="8" fillId="0" borderId="21" xfId="0" applyFont="1" applyBorder="1"/>
    <xf numFmtId="0" fontId="8" fillId="0" borderId="25" xfId="0" applyFont="1" applyBorder="1"/>
    <xf numFmtId="3" fontId="8" fillId="0" borderId="2" xfId="0" applyNumberFormat="1" applyFont="1" applyBorder="1" applyAlignment="1">
      <alignment horizontal="center" vertical="center"/>
    </xf>
    <xf numFmtId="0" fontId="8" fillId="12" borderId="38" xfId="0" applyFont="1" applyFill="1" applyBorder="1" applyAlignment="1">
      <alignment horizontal="center" vertical="center"/>
    </xf>
    <xf numFmtId="2" fontId="8" fillId="0" borderId="38" xfId="0" applyNumberFormat="1" applyFont="1" applyBorder="1" applyAlignment="1">
      <alignment horizontal="center" vertical="center"/>
    </xf>
    <xf numFmtId="2" fontId="8" fillId="0" borderId="38" xfId="0" applyNumberFormat="1" applyFont="1" applyBorder="1" applyAlignment="1">
      <alignment horizontal="center" vertical="center" wrapText="1"/>
    </xf>
    <xf numFmtId="0" fontId="9" fillId="0" borderId="38" xfId="0" applyFont="1" applyBorder="1" applyAlignment="1">
      <alignment horizontal="center" vertical="center"/>
    </xf>
    <xf numFmtId="165" fontId="8" fillId="0" borderId="38" xfId="0" applyNumberFormat="1" applyFont="1" applyBorder="1" applyAlignment="1">
      <alignment horizontal="center" vertical="center"/>
    </xf>
    <xf numFmtId="0" fontId="26" fillId="0" borderId="0" xfId="0" applyFont="1" applyAlignment="1">
      <alignment horizontal="center" vertical="center"/>
    </xf>
    <xf numFmtId="168" fontId="26" fillId="0" borderId="54" xfId="0" applyNumberFormat="1" applyFont="1" applyBorder="1" applyAlignment="1">
      <alignment horizontal="center" vertical="center"/>
    </xf>
    <xf numFmtId="0" fontId="26" fillId="0" borderId="57" xfId="0" applyFont="1" applyBorder="1" applyAlignment="1">
      <alignment horizontal="center" vertical="center"/>
    </xf>
    <xf numFmtId="0" fontId="26" fillId="0" borderId="59" xfId="0" applyFont="1" applyBorder="1" applyAlignment="1">
      <alignment horizontal="center" vertical="center"/>
    </xf>
    <xf numFmtId="0" fontId="26" fillId="0" borderId="62" xfId="0" applyFont="1" applyBorder="1" applyAlignment="1">
      <alignment horizontal="center" vertical="center"/>
    </xf>
    <xf numFmtId="168" fontId="26" fillId="0" borderId="56" xfId="0" applyNumberFormat="1" applyFont="1" applyBorder="1" applyAlignment="1">
      <alignment horizontal="center" vertical="center"/>
    </xf>
    <xf numFmtId="168" fontId="26" fillId="0" borderId="57" xfId="0" applyNumberFormat="1" applyFont="1" applyBorder="1" applyAlignment="1">
      <alignment horizontal="center" vertical="center"/>
    </xf>
    <xf numFmtId="168" fontId="26" fillId="0" borderId="59" xfId="0" applyNumberFormat="1" applyFont="1" applyBorder="1" applyAlignment="1">
      <alignment horizontal="center" vertical="center"/>
    </xf>
    <xf numFmtId="168" fontId="26" fillId="0" borderId="61" xfId="0" applyNumberFormat="1" applyFont="1" applyBorder="1" applyAlignment="1">
      <alignment horizontal="center" vertical="center"/>
    </xf>
    <xf numFmtId="168" fontId="26" fillId="0" borderId="62" xfId="0" applyNumberFormat="1" applyFont="1" applyBorder="1" applyAlignment="1">
      <alignment horizontal="center" vertical="center"/>
    </xf>
    <xf numFmtId="0" fontId="33" fillId="7" borderId="0" xfId="0" applyFont="1" applyFill="1" applyAlignment="1">
      <alignment vertical="center" wrapText="1"/>
    </xf>
    <xf numFmtId="0" fontId="26" fillId="7" borderId="0" xfId="0" applyFont="1" applyFill="1" applyAlignment="1">
      <alignment horizontal="center" vertical="center"/>
    </xf>
    <xf numFmtId="165" fontId="26" fillId="7" borderId="0" xfId="0" applyNumberFormat="1" applyFont="1" applyFill="1" applyAlignment="1">
      <alignment horizontal="center" vertical="center"/>
    </xf>
    <xf numFmtId="0" fontId="8" fillId="0" borderId="35" xfId="0" applyFont="1" applyBorder="1" applyAlignment="1">
      <alignment horizontal="center" vertical="center" wrapText="1"/>
    </xf>
    <xf numFmtId="3" fontId="8" fillId="0" borderId="6" xfId="6" applyNumberFormat="1" applyFont="1" applyFill="1" applyBorder="1" applyAlignment="1">
      <alignment horizontal="center"/>
    </xf>
    <xf numFmtId="3" fontId="8" fillId="0" borderId="2" xfId="6" applyNumberFormat="1" applyFont="1" applyFill="1" applyBorder="1" applyAlignment="1">
      <alignment horizontal="center"/>
    </xf>
    <xf numFmtId="3" fontId="8" fillId="0" borderId="7" xfId="6" applyNumberFormat="1" applyFont="1" applyFill="1" applyBorder="1" applyAlignment="1">
      <alignment horizontal="center"/>
    </xf>
    <xf numFmtId="3" fontId="8" fillId="0" borderId="0" xfId="6" applyNumberFormat="1" applyFont="1" applyFill="1" applyBorder="1" applyAlignment="1">
      <alignment horizontal="center"/>
    </xf>
    <xf numFmtId="166" fontId="8" fillId="0" borderId="6" xfId="6" applyNumberFormat="1" applyFont="1" applyFill="1" applyBorder="1" applyAlignment="1">
      <alignment horizontal="center"/>
    </xf>
    <xf numFmtId="166" fontId="8" fillId="0" borderId="2" xfId="6" applyNumberFormat="1" applyFont="1" applyFill="1" applyBorder="1" applyAlignment="1">
      <alignment horizontal="center"/>
    </xf>
    <xf numFmtId="166" fontId="8" fillId="0" borderId="7" xfId="6" applyNumberFormat="1" applyFont="1" applyFill="1" applyBorder="1" applyAlignment="1">
      <alignment horizontal="center"/>
    </xf>
    <xf numFmtId="0" fontId="9" fillId="3" borderId="2" xfId="0" applyFont="1" applyFill="1" applyBorder="1" applyAlignment="1">
      <alignment horizontal="left" vertical="center"/>
    </xf>
    <xf numFmtId="0" fontId="9" fillId="5" borderId="2" xfId="0" applyFont="1" applyFill="1" applyBorder="1" applyAlignment="1">
      <alignment horizontal="left" vertical="center" wrapText="1"/>
    </xf>
    <xf numFmtId="3" fontId="8" fillId="0" borderId="2" xfId="0" applyNumberFormat="1" applyFont="1" applyBorder="1" applyAlignment="1">
      <alignment horizontal="left"/>
    </xf>
    <xf numFmtId="4" fontId="8" fillId="0" borderId="2" xfId="0" applyNumberFormat="1" applyFont="1" applyBorder="1" applyAlignment="1">
      <alignment horizontal="left"/>
    </xf>
    <xf numFmtId="164" fontId="8" fillId="0" borderId="2" xfId="2" applyNumberFormat="1" applyFont="1" applyBorder="1" applyAlignment="1">
      <alignment horizontal="left"/>
    </xf>
    <xf numFmtId="166" fontId="8" fillId="0" borderId="2" xfId="0" applyNumberFormat="1" applyFont="1" applyBorder="1" applyAlignment="1">
      <alignment horizontal="left"/>
    </xf>
    <xf numFmtId="3" fontId="8" fillId="0" borderId="0" xfId="0" applyNumberFormat="1" applyFont="1" applyAlignment="1">
      <alignment horizontal="left"/>
    </xf>
    <xf numFmtId="4" fontId="8" fillId="0" borderId="0" xfId="0" applyNumberFormat="1" applyFont="1" applyAlignment="1">
      <alignment horizontal="left"/>
    </xf>
    <xf numFmtId="164" fontId="8" fillId="0" borderId="0" xfId="2" applyNumberFormat="1" applyFont="1" applyFill="1" applyBorder="1" applyAlignment="1">
      <alignment horizontal="left"/>
    </xf>
    <xf numFmtId="166" fontId="8" fillId="0" borderId="0" xfId="0" applyNumberFormat="1" applyFont="1" applyAlignment="1">
      <alignment horizontal="left"/>
    </xf>
    <xf numFmtId="169" fontId="8" fillId="0" borderId="0" xfId="6" applyNumberFormat="1" applyFont="1"/>
    <xf numFmtId="0" fontId="9" fillId="7" borderId="0" xfId="0" applyFont="1" applyFill="1" applyAlignment="1">
      <alignment vertical="top" wrapText="1"/>
    </xf>
    <xf numFmtId="0" fontId="9" fillId="0" borderId="2" xfId="0" applyFont="1" applyBorder="1" applyAlignment="1">
      <alignment horizontal="center" vertical="center" wrapText="1"/>
    </xf>
    <xf numFmtId="0" fontId="9" fillId="0" borderId="3" xfId="0" applyFont="1" applyBorder="1" applyAlignment="1">
      <alignment vertical="center" wrapText="1"/>
    </xf>
    <xf numFmtId="0" fontId="9" fillId="0" borderId="35" xfId="0" applyFont="1" applyBorder="1" applyAlignment="1">
      <alignment horizontal="center" vertical="center" wrapText="1"/>
    </xf>
    <xf numFmtId="0" fontId="9" fillId="0" borderId="0" xfId="0" applyFont="1" applyAlignment="1">
      <alignment horizontal="left" vertical="center"/>
    </xf>
    <xf numFmtId="9" fontId="8" fillId="0" borderId="2" xfId="2" applyFont="1" applyBorder="1" applyAlignment="1">
      <alignment horizontal="left"/>
    </xf>
    <xf numFmtId="0" fontId="8" fillId="11" borderId="2" xfId="0" applyFont="1" applyFill="1" applyBorder="1" applyAlignment="1">
      <alignment horizontal="left"/>
    </xf>
    <xf numFmtId="9" fontId="8" fillId="4" borderId="2" xfId="2" applyFont="1" applyFill="1" applyBorder="1" applyAlignment="1">
      <alignment horizontal="left"/>
    </xf>
    <xf numFmtId="0" fontId="8" fillId="4" borderId="0" xfId="0" applyFont="1" applyFill="1"/>
    <xf numFmtId="0" fontId="29" fillId="15" borderId="2" xfId="0" applyFont="1" applyFill="1" applyBorder="1" applyAlignment="1">
      <alignment horizontal="left" wrapText="1"/>
    </xf>
    <xf numFmtId="0" fontId="29" fillId="15" borderId="2" xfId="0" applyFont="1" applyFill="1" applyBorder="1" applyAlignment="1">
      <alignment horizontal="left"/>
    </xf>
    <xf numFmtId="0" fontId="27" fillId="0" borderId="19" xfId="0" applyFont="1" applyBorder="1" applyAlignment="1">
      <alignment horizontal="left"/>
    </xf>
    <xf numFmtId="0" fontId="27" fillId="0" borderId="0" xfId="0" applyFont="1" applyAlignment="1">
      <alignment horizontal="left"/>
    </xf>
    <xf numFmtId="10" fontId="8" fillId="0" borderId="0" xfId="8" applyNumberFormat="1" applyFont="1" applyAlignment="1">
      <alignment horizontal="left"/>
    </xf>
    <xf numFmtId="0" fontId="29" fillId="15" borderId="2" xfId="0" applyFont="1" applyFill="1" applyBorder="1" applyAlignment="1">
      <alignment horizontal="center" vertical="center"/>
    </xf>
    <xf numFmtId="9" fontId="8" fillId="0" borderId="0" xfId="8" applyFont="1" applyAlignment="1">
      <alignment horizontal="left" vertical="center"/>
    </xf>
    <xf numFmtId="9" fontId="8" fillId="0" borderId="0" xfId="8" applyFont="1" applyAlignment="1">
      <alignment horizontal="left"/>
    </xf>
    <xf numFmtId="10" fontId="8" fillId="0" borderId="0" xfId="0" applyNumberFormat="1" applyFont="1"/>
    <xf numFmtId="3" fontId="8" fillId="0" borderId="38" xfId="0" applyNumberFormat="1" applyFont="1" applyBorder="1"/>
    <xf numFmtId="169" fontId="8" fillId="0" borderId="38" xfId="6" applyNumberFormat="1" applyFont="1" applyBorder="1"/>
    <xf numFmtId="3" fontId="8" fillId="0" borderId="38" xfId="0" applyNumberFormat="1" applyFont="1" applyBorder="1" applyAlignment="1">
      <alignment horizontal="left"/>
    </xf>
    <xf numFmtId="9" fontId="8" fillId="0" borderId="38" xfId="2" applyFont="1" applyBorder="1"/>
    <xf numFmtId="0" fontId="8" fillId="0" borderId="0" xfId="12"/>
    <xf numFmtId="0" fontId="29" fillId="0" borderId="0" xfId="0" applyFont="1" applyAlignment="1">
      <alignment horizontal="left" vertical="center" wrapText="1"/>
    </xf>
    <xf numFmtId="0" fontId="29" fillId="0" borderId="0" xfId="0" applyFont="1" applyAlignment="1">
      <alignment horizontal="left" vertical="center"/>
    </xf>
    <xf numFmtId="0" fontId="29" fillId="0" borderId="0" xfId="0" applyFont="1" applyAlignment="1">
      <alignment horizontal="center" vertical="center" wrapText="1"/>
    </xf>
    <xf numFmtId="10" fontId="8" fillId="0" borderId="0" xfId="8" applyNumberFormat="1" applyFont="1" applyFill="1" applyBorder="1" applyAlignment="1">
      <alignment horizontal="center"/>
    </xf>
    <xf numFmtId="0" fontId="18" fillId="18" borderId="0" xfId="0" applyFont="1" applyFill="1"/>
    <xf numFmtId="0" fontId="28" fillId="18" borderId="0" xfId="0" applyFont="1" applyFill="1"/>
    <xf numFmtId="0" fontId="29" fillId="0" borderId="0" xfId="12" applyFont="1"/>
    <xf numFmtId="0" fontId="29" fillId="15" borderId="22" xfId="0" applyFont="1" applyFill="1" applyBorder="1" applyAlignment="1">
      <alignment horizontal="center" vertical="center" wrapText="1"/>
    </xf>
    <xf numFmtId="0" fontId="29" fillId="15" borderId="2" xfId="12" applyFont="1" applyFill="1" applyBorder="1" applyAlignment="1">
      <alignment horizontal="left" vertical="center" wrapText="1"/>
    </xf>
    <xf numFmtId="0" fontId="29" fillId="15" borderId="3" xfId="12" applyFont="1" applyFill="1" applyBorder="1" applyAlignment="1">
      <alignment horizontal="left" vertical="center"/>
    </xf>
    <xf numFmtId="0" fontId="29" fillId="15" borderId="36" xfId="12" applyFont="1" applyFill="1" applyBorder="1" applyAlignment="1">
      <alignment horizontal="center" vertical="center" wrapText="1"/>
    </xf>
    <xf numFmtId="0" fontId="29" fillId="15" borderId="22" xfId="12" applyFont="1" applyFill="1" applyBorder="1" applyAlignment="1">
      <alignment horizontal="center" vertical="center" wrapText="1"/>
    </xf>
    <xf numFmtId="0" fontId="29" fillId="15" borderId="37" xfId="12" applyFont="1" applyFill="1" applyBorder="1" applyAlignment="1">
      <alignment horizontal="center" vertical="center" wrapText="1"/>
    </xf>
    <xf numFmtId="0" fontId="29" fillId="15" borderId="25" xfId="12" applyFont="1" applyFill="1" applyBorder="1" applyAlignment="1">
      <alignment horizontal="center" vertical="center" wrapText="1"/>
    </xf>
    <xf numFmtId="3" fontId="8" fillId="0" borderId="33" xfId="8" applyNumberFormat="1" applyFont="1" applyBorder="1" applyAlignment="1">
      <alignment horizontal="left"/>
    </xf>
    <xf numFmtId="3" fontId="8" fillId="0" borderId="0" xfId="8" applyNumberFormat="1" applyFont="1" applyBorder="1" applyAlignment="1">
      <alignment horizontal="left"/>
    </xf>
    <xf numFmtId="3" fontId="8" fillId="0" borderId="28" xfId="8" applyNumberFormat="1" applyFont="1" applyBorder="1" applyAlignment="1">
      <alignment horizontal="left"/>
    </xf>
    <xf numFmtId="9" fontId="8" fillId="0" borderId="38" xfId="0" applyNumberFormat="1" applyFont="1" applyBorder="1" applyAlignment="1">
      <alignment horizontal="center"/>
    </xf>
    <xf numFmtId="0" fontId="9" fillId="0" borderId="0" xfId="4" applyFont="1" applyAlignment="1">
      <alignment horizontal="center"/>
    </xf>
    <xf numFmtId="9" fontId="8" fillId="0" borderId="0" xfId="2" applyFont="1" applyFill="1" applyBorder="1" applyAlignment="1">
      <alignment horizontal="left"/>
    </xf>
    <xf numFmtId="1" fontId="8" fillId="0" borderId="0" xfId="2" applyNumberFormat="1" applyFont="1" applyFill="1" applyBorder="1"/>
    <xf numFmtId="9" fontId="8" fillId="0" borderId="0" xfId="0" applyNumberFormat="1" applyFont="1" applyAlignment="1">
      <alignment horizontal="center"/>
    </xf>
    <xf numFmtId="3" fontId="8" fillId="0" borderId="0" xfId="0" applyNumberFormat="1" applyFont="1" applyAlignment="1">
      <alignment horizontal="center" vertical="center"/>
    </xf>
    <xf numFmtId="3" fontId="8" fillId="0" borderId="0" xfId="0" applyNumberFormat="1" applyFont="1"/>
    <xf numFmtId="165" fontId="8" fillId="0" borderId="2" xfId="0" applyNumberFormat="1" applyFont="1" applyBorder="1" applyAlignment="1">
      <alignment horizontal="center" vertical="center"/>
    </xf>
    <xf numFmtId="2" fontId="8" fillId="0" borderId="49" xfId="0" applyNumberFormat="1" applyFont="1" applyBorder="1"/>
    <xf numFmtId="0" fontId="8" fillId="0" borderId="49" xfId="0" applyFont="1" applyBorder="1"/>
    <xf numFmtId="0" fontId="9" fillId="2" borderId="0" xfId="0" applyFont="1" applyFill="1" applyAlignment="1">
      <alignment horizontal="center" vertical="center"/>
    </xf>
    <xf numFmtId="168" fontId="26" fillId="0" borderId="0" xfId="0" applyNumberFormat="1" applyFont="1" applyAlignment="1">
      <alignment horizontal="center" vertical="center"/>
    </xf>
    <xf numFmtId="3" fontId="8" fillId="0" borderId="0" xfId="7" applyNumberFormat="1" applyFont="1" applyAlignment="1">
      <alignment horizontal="center" vertical="center"/>
    </xf>
    <xf numFmtId="0" fontId="8" fillId="12" borderId="2" xfId="0" applyFont="1" applyFill="1" applyBorder="1" applyAlignment="1">
      <alignment horizontal="center" vertical="center"/>
    </xf>
    <xf numFmtId="0" fontId="12" fillId="0" borderId="2" xfId="3" applyFont="1" applyFill="1" applyBorder="1" applyAlignment="1">
      <alignment horizontal="center" vertical="center" wrapText="1"/>
    </xf>
    <xf numFmtId="168" fontId="8" fillId="0" borderId="2" xfId="0" applyNumberFormat="1" applyFont="1" applyBorder="1" applyAlignment="1">
      <alignment horizontal="center" vertical="center"/>
    </xf>
    <xf numFmtId="9" fontId="8" fillId="0" borderId="47" xfId="2" applyFont="1" applyFill="1" applyBorder="1" applyAlignment="1">
      <alignment horizontal="center" vertical="center"/>
    </xf>
    <xf numFmtId="9" fontId="8" fillId="0" borderId="47" xfId="0" applyNumberFormat="1" applyFont="1" applyBorder="1" applyAlignment="1">
      <alignment horizontal="center"/>
    </xf>
    <xf numFmtId="0" fontId="37" fillId="0" borderId="0" xfId="0" applyFont="1"/>
    <xf numFmtId="9" fontId="39" fillId="0" borderId="0" xfId="2" applyFont="1"/>
    <xf numFmtId="0" fontId="40" fillId="2" borderId="0" xfId="0" applyFont="1" applyFill="1"/>
    <xf numFmtId="0" fontId="38" fillId="0" borderId="0" xfId="0" applyFont="1"/>
    <xf numFmtId="0" fontId="41" fillId="0" borderId="0" xfId="0" applyFont="1" applyAlignment="1">
      <alignment horizontal="left" vertical="center"/>
    </xf>
    <xf numFmtId="0" fontId="42" fillId="0" borderId="0" xfId="0" quotePrefix="1" applyFont="1"/>
    <xf numFmtId="0" fontId="40" fillId="0" borderId="0" xfId="0" applyFont="1"/>
    <xf numFmtId="0" fontId="37" fillId="0" borderId="0" xfId="0" applyFont="1" applyAlignment="1">
      <alignment wrapText="1"/>
    </xf>
    <xf numFmtId="0" fontId="37" fillId="0" borderId="0" xfId="0" applyFont="1" applyAlignment="1">
      <alignment horizontal="center"/>
    </xf>
    <xf numFmtId="166" fontId="1" fillId="0" borderId="2" xfId="1" applyNumberFormat="1" applyBorder="1" applyAlignment="1">
      <alignment horizontal="center" vertical="center" wrapText="1"/>
    </xf>
    <xf numFmtId="0" fontId="10" fillId="0" borderId="0" xfId="5" applyAlignment="1">
      <alignment vertical="center"/>
    </xf>
    <xf numFmtId="0" fontId="44" fillId="15" borderId="1" xfId="0" applyFont="1" applyFill="1" applyBorder="1" applyAlignment="1">
      <alignment horizontal="left" vertical="center" wrapText="1"/>
    </xf>
    <xf numFmtId="0" fontId="44" fillId="15" borderId="5" xfId="0" applyFont="1" applyFill="1" applyBorder="1" applyAlignment="1">
      <alignment horizontal="left" vertical="center"/>
    </xf>
    <xf numFmtId="0" fontId="44" fillId="15" borderId="29" xfId="0" applyFont="1" applyFill="1" applyBorder="1" applyAlignment="1">
      <alignment horizontal="left" vertical="center"/>
    </xf>
    <xf numFmtId="0" fontId="44" fillId="15" borderId="30" xfId="0" applyFont="1" applyFill="1" applyBorder="1" applyAlignment="1">
      <alignment horizontal="left" vertical="center"/>
    </xf>
    <xf numFmtId="0" fontId="44" fillId="15" borderId="30" xfId="0" applyFont="1" applyFill="1" applyBorder="1" applyAlignment="1">
      <alignment horizontal="center" vertical="center"/>
    </xf>
    <xf numFmtId="0" fontId="44" fillId="15" borderId="30" xfId="0" applyFont="1" applyFill="1" applyBorder="1" applyAlignment="1">
      <alignment horizontal="center" vertical="center" wrapText="1"/>
    </xf>
    <xf numFmtId="0" fontId="44" fillId="15" borderId="34" xfId="0" applyFont="1" applyFill="1" applyBorder="1" applyAlignment="1">
      <alignment horizontal="center" vertical="center" wrapText="1"/>
    </xf>
    <xf numFmtId="0" fontId="45" fillId="0" borderId="20" xfId="0" applyFont="1" applyBorder="1" applyAlignment="1">
      <alignment horizontal="left"/>
    </xf>
    <xf numFmtId="0" fontId="13" fillId="0" borderId="68" xfId="0" applyFont="1" applyBorder="1" applyAlignment="1">
      <alignment horizontal="left"/>
    </xf>
    <xf numFmtId="3" fontId="13" fillId="0" borderId="33" xfId="8" applyNumberFormat="1" applyFont="1" applyBorder="1" applyAlignment="1">
      <alignment horizontal="center"/>
    </xf>
    <xf numFmtId="3" fontId="13" fillId="0" borderId="0" xfId="8" applyNumberFormat="1" applyFont="1" applyBorder="1" applyAlignment="1">
      <alignment horizontal="center"/>
    </xf>
    <xf numFmtId="3" fontId="13" fillId="0" borderId="28" xfId="8" applyNumberFormat="1" applyFont="1" applyBorder="1" applyAlignment="1">
      <alignment horizontal="center"/>
    </xf>
    <xf numFmtId="0" fontId="8" fillId="0" borderId="69" xfId="0" applyFont="1" applyBorder="1"/>
    <xf numFmtId="0" fontId="8" fillId="0" borderId="70" xfId="0" applyFont="1" applyBorder="1"/>
    <xf numFmtId="0" fontId="8" fillId="0" borderId="0" xfId="4" applyAlignment="1">
      <alignment horizontal="center" vertical="center"/>
    </xf>
    <xf numFmtId="9" fontId="9" fillId="0" borderId="38" xfId="2" applyFont="1" applyFill="1" applyBorder="1" applyAlignment="1">
      <alignment horizontal="center" vertical="center"/>
    </xf>
    <xf numFmtId="0" fontId="9" fillId="0" borderId="47" xfId="4" applyFont="1" applyBorder="1" applyAlignment="1">
      <alignment horizontal="center" vertical="center"/>
    </xf>
    <xf numFmtId="0" fontId="9" fillId="0" borderId="38" xfId="4" applyFont="1" applyBorder="1" applyAlignment="1">
      <alignment horizontal="center" vertical="center"/>
    </xf>
    <xf numFmtId="9" fontId="9" fillId="0" borderId="38" xfId="0" applyNumberFormat="1" applyFont="1" applyBorder="1" applyAlignment="1">
      <alignment horizontal="center"/>
    </xf>
    <xf numFmtId="9" fontId="8" fillId="0" borderId="0" xfId="0" applyNumberFormat="1" applyFont="1" applyAlignment="1">
      <alignment horizontal="left"/>
    </xf>
    <xf numFmtId="0" fontId="1" fillId="0" borderId="2" xfId="0" applyFont="1" applyBorder="1" applyAlignment="1">
      <alignment horizontal="left" vertical="center" wrapText="1"/>
    </xf>
    <xf numFmtId="0" fontId="8" fillId="0" borderId="17" xfId="0" applyFont="1" applyBorder="1"/>
    <xf numFmtId="4" fontId="8" fillId="0" borderId="2" xfId="7" applyNumberFormat="1" applyFont="1" applyBorder="1" applyAlignment="1">
      <alignment horizontal="center" vertical="center"/>
    </xf>
    <xf numFmtId="3" fontId="8" fillId="0" borderId="2" xfId="0" applyNumberFormat="1" applyFont="1" applyBorder="1" applyAlignment="1">
      <alignment horizontal="center" vertical="center" wrapText="1"/>
    </xf>
    <xf numFmtId="0" fontId="8" fillId="0" borderId="0" xfId="0" applyFont="1" applyAlignment="1">
      <alignment vertical="top" wrapText="1"/>
    </xf>
    <xf numFmtId="0" fontId="8" fillId="0" borderId="0" xfId="0" applyFont="1" applyAlignment="1">
      <alignment vertical="top"/>
    </xf>
    <xf numFmtId="0" fontId="9" fillId="12" borderId="38"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8" fillId="9" borderId="2" xfId="0" applyFont="1" applyFill="1" applyBorder="1" applyAlignment="1">
      <alignment horizontal="left" vertical="center" wrapText="1"/>
    </xf>
    <xf numFmtId="0" fontId="8" fillId="9" borderId="2" xfId="0" applyFont="1" applyFill="1" applyBorder="1" applyAlignment="1">
      <alignment horizontal="left"/>
    </xf>
    <xf numFmtId="0" fontId="0" fillId="0" borderId="23" xfId="0" applyBorder="1"/>
    <xf numFmtId="0" fontId="0" fillId="0" borderId="24" xfId="0" applyBorder="1"/>
    <xf numFmtId="0" fontId="0" fillId="0" borderId="25" xfId="0" applyBorder="1"/>
    <xf numFmtId="0" fontId="27" fillId="0" borderId="0" xfId="0" applyFont="1" applyAlignment="1">
      <alignment horizontal="center" vertical="center" wrapText="1"/>
    </xf>
    <xf numFmtId="11" fontId="12" fillId="0" borderId="0" xfId="3" applyNumberFormat="1" applyFont="1" applyBorder="1" applyAlignment="1">
      <alignment horizontal="center" vertical="top" wrapText="1"/>
    </xf>
    <xf numFmtId="0" fontId="16" fillId="0" borderId="0" xfId="0" applyFont="1"/>
    <xf numFmtId="0" fontId="9" fillId="0" borderId="24" xfId="0" applyFont="1" applyBorder="1" applyAlignment="1">
      <alignment vertical="center"/>
    </xf>
    <xf numFmtId="0" fontId="24" fillId="0" borderId="0" xfId="0" applyFont="1" applyAlignment="1">
      <alignment wrapText="1"/>
    </xf>
    <xf numFmtId="11" fontId="24" fillId="0" borderId="0" xfId="0" applyNumberFormat="1" applyFont="1"/>
    <xf numFmtId="0" fontId="51" fillId="0" borderId="0" xfId="0" applyFont="1"/>
    <xf numFmtId="0" fontId="8" fillId="0" borderId="23" xfId="0" applyFont="1" applyBorder="1"/>
    <xf numFmtId="0" fontId="8" fillId="0" borderId="24" xfId="0" applyFont="1" applyBorder="1"/>
    <xf numFmtId="0" fontId="24" fillId="0" borderId="0" xfId="0" applyFont="1" applyAlignment="1">
      <alignment vertical="top"/>
    </xf>
    <xf numFmtId="0" fontId="1" fillId="0" borderId="0" xfId="0" applyFont="1"/>
    <xf numFmtId="0" fontId="13" fillId="0" borderId="0" xfId="0" applyFont="1" applyAlignment="1">
      <alignment wrapText="1"/>
    </xf>
    <xf numFmtId="0" fontId="8" fillId="0" borderId="20" xfId="0" applyFont="1" applyBorder="1"/>
    <xf numFmtId="0" fontId="8" fillId="0" borderId="3" xfId="0" applyFont="1" applyBorder="1" applyAlignment="1">
      <alignment wrapText="1"/>
    </xf>
    <xf numFmtId="0" fontId="8" fillId="0" borderId="13" xfId="0" applyFont="1" applyBorder="1" applyAlignment="1">
      <alignment wrapText="1"/>
    </xf>
    <xf numFmtId="0" fontId="8" fillId="0" borderId="14" xfId="0" applyFont="1" applyBorder="1" applyAlignment="1">
      <alignment wrapText="1"/>
    </xf>
    <xf numFmtId="170" fontId="8" fillId="0" borderId="0" xfId="0" applyNumberFormat="1" applyFont="1"/>
    <xf numFmtId="0" fontId="13" fillId="0" borderId="0" xfId="0" applyFont="1" applyAlignment="1">
      <alignment horizontal="left"/>
    </xf>
    <xf numFmtId="0" fontId="13" fillId="0" borderId="0" xfId="0" applyFont="1" applyAlignment="1">
      <alignment horizontal="center"/>
    </xf>
    <xf numFmtId="0" fontId="13" fillId="0" borderId="17" xfId="0" applyFont="1" applyBorder="1"/>
    <xf numFmtId="0" fontId="13" fillId="0" borderId="24" xfId="0" applyFont="1" applyBorder="1"/>
    <xf numFmtId="0" fontId="54" fillId="0" borderId="19" xfId="0" applyFont="1" applyBorder="1" applyAlignment="1">
      <alignment horizontal="left" vertical="center"/>
    </xf>
    <xf numFmtId="0" fontId="9" fillId="12" borderId="48" xfId="0" applyFont="1" applyFill="1" applyBorder="1" applyAlignment="1">
      <alignment horizontal="center" vertical="center" wrapText="1"/>
    </xf>
    <xf numFmtId="0" fontId="10" fillId="0" borderId="38" xfId="5" applyBorder="1" applyAlignment="1">
      <alignment horizontal="center" vertical="center"/>
    </xf>
    <xf numFmtId="0" fontId="8" fillId="0" borderId="0" xfId="0" applyFont="1" applyAlignment="1">
      <alignment horizontal="center" vertical="center" wrapText="1"/>
    </xf>
    <xf numFmtId="0" fontId="12" fillId="0" borderId="0" xfId="3" applyFont="1" applyBorder="1" applyAlignment="1">
      <alignment horizontal="center" vertical="top" wrapText="1"/>
    </xf>
    <xf numFmtId="0" fontId="13" fillId="0" borderId="0" xfId="0" applyFont="1" applyAlignment="1">
      <alignment vertical="center"/>
    </xf>
    <xf numFmtId="0" fontId="13" fillId="0" borderId="0" xfId="0" applyFont="1" applyAlignment="1">
      <alignment vertical="center" wrapText="1"/>
    </xf>
    <xf numFmtId="0" fontId="0" fillId="0" borderId="0" xfId="0" applyAlignment="1">
      <alignment horizontal="left" vertical="center"/>
    </xf>
    <xf numFmtId="0" fontId="13" fillId="0" borderId="0" xfId="0" applyFont="1" applyAlignment="1">
      <alignment horizontal="center" vertical="center" wrapText="1"/>
    </xf>
    <xf numFmtId="0" fontId="13" fillId="20" borderId="0" xfId="0" applyFont="1" applyFill="1" applyAlignment="1">
      <alignment horizontal="center" vertical="center"/>
    </xf>
    <xf numFmtId="0" fontId="13" fillId="21" borderId="0" xfId="0" applyFont="1" applyFill="1"/>
    <xf numFmtId="168" fontId="8" fillId="0" borderId="38" xfId="0" applyNumberFormat="1" applyFont="1" applyBorder="1" applyAlignment="1">
      <alignment horizontal="center" vertical="center"/>
    </xf>
    <xf numFmtId="0" fontId="8" fillId="7" borderId="38" xfId="0" applyFont="1" applyFill="1" applyBorder="1" applyAlignment="1">
      <alignment horizontal="center" vertical="center"/>
    </xf>
    <xf numFmtId="0" fontId="8" fillId="7" borderId="0" xfId="0" applyFont="1" applyFill="1" applyAlignment="1">
      <alignment horizontal="center"/>
    </xf>
    <xf numFmtId="0" fontId="16" fillId="2" borderId="0" xfId="0" applyFont="1" applyFill="1"/>
    <xf numFmtId="0" fontId="16" fillId="2" borderId="0" xfId="0" applyFont="1" applyFill="1" applyAlignment="1">
      <alignment wrapText="1"/>
    </xf>
    <xf numFmtId="0" fontId="16" fillId="2" borderId="0" xfId="0" applyFont="1" applyFill="1" applyAlignment="1">
      <alignment horizontal="left"/>
    </xf>
    <xf numFmtId="0" fontId="16" fillId="2" borderId="0" xfId="0" applyFont="1" applyFill="1" applyAlignment="1">
      <alignment horizontal="center"/>
    </xf>
    <xf numFmtId="0" fontId="16" fillId="0" borderId="0" xfId="0" applyFont="1" applyAlignment="1">
      <alignment wrapText="1"/>
    </xf>
    <xf numFmtId="0" fontId="16" fillId="0" borderId="0" xfId="0" applyFont="1" applyAlignment="1">
      <alignment horizontal="left"/>
    </xf>
    <xf numFmtId="0" fontId="16" fillId="0" borderId="0" xfId="0" applyFont="1" applyAlignment="1">
      <alignment horizontal="center"/>
    </xf>
    <xf numFmtId="0" fontId="29" fillId="15" borderId="8" xfId="0" applyFont="1" applyFill="1" applyBorder="1" applyAlignment="1">
      <alignment horizontal="center" vertical="center" wrapText="1"/>
    </xf>
    <xf numFmtId="0" fontId="29" fillId="15" borderId="9" xfId="0" applyFont="1" applyFill="1" applyBorder="1" applyAlignment="1">
      <alignment horizontal="center" vertical="center" wrapText="1"/>
    </xf>
    <xf numFmtId="3" fontId="29" fillId="0" borderId="0" xfId="0" applyNumberFormat="1" applyFont="1" applyAlignment="1">
      <alignment horizontal="left"/>
    </xf>
    <xf numFmtId="3" fontId="8" fillId="0" borderId="33" xfId="2" applyNumberFormat="1" applyFont="1" applyBorder="1" applyAlignment="1">
      <alignment horizontal="center"/>
    </xf>
    <xf numFmtId="10" fontId="8" fillId="0" borderId="28" xfId="2" applyNumberFormat="1" applyFont="1" applyBorder="1" applyAlignment="1">
      <alignment horizontal="center"/>
    </xf>
    <xf numFmtId="10" fontId="8" fillId="0" borderId="28" xfId="2" applyNumberFormat="1" applyFont="1" applyFill="1" applyBorder="1" applyAlignment="1">
      <alignment horizontal="center"/>
    </xf>
    <xf numFmtId="3" fontId="8" fillId="0" borderId="0" xfId="8" applyNumberFormat="1" applyFont="1" applyBorder="1" applyAlignment="1">
      <alignment horizontal="center"/>
    </xf>
    <xf numFmtId="3" fontId="8" fillId="0" borderId="33" xfId="8" applyNumberFormat="1" applyFont="1" applyBorder="1" applyAlignment="1">
      <alignment horizontal="center"/>
    </xf>
    <xf numFmtId="3" fontId="8" fillId="0" borderId="28" xfId="8" applyNumberFormat="1" applyFont="1" applyBorder="1" applyAlignment="1">
      <alignment horizontal="center"/>
    </xf>
    <xf numFmtId="3" fontId="8" fillId="0" borderId="20" xfId="8" applyNumberFormat="1" applyFont="1" applyBorder="1" applyAlignment="1">
      <alignment horizontal="left"/>
    </xf>
    <xf numFmtId="0" fontId="26" fillId="0" borderId="73" xfId="0" applyFont="1" applyBorder="1" applyAlignment="1">
      <alignment horizontal="center" vertical="center"/>
    </xf>
    <xf numFmtId="0" fontId="26" fillId="0" borderId="75" xfId="0" applyFont="1" applyBorder="1" applyAlignment="1">
      <alignment horizontal="center" vertical="center"/>
    </xf>
    <xf numFmtId="0" fontId="26" fillId="0" borderId="76" xfId="0" applyFont="1" applyBorder="1" applyAlignment="1">
      <alignment horizontal="center" vertical="center"/>
    </xf>
    <xf numFmtId="0" fontId="26" fillId="0" borderId="77" xfId="0" applyFont="1" applyBorder="1" applyAlignment="1">
      <alignment horizontal="center" vertical="center"/>
    </xf>
    <xf numFmtId="0" fontId="26" fillId="0" borderId="74" xfId="0" applyFont="1" applyBorder="1" applyAlignment="1">
      <alignment horizontal="center" vertical="center"/>
    </xf>
    <xf numFmtId="0" fontId="8" fillId="0" borderId="78" xfId="0" applyFont="1" applyBorder="1" applyAlignment="1">
      <alignment vertical="center" wrapText="1"/>
    </xf>
    <xf numFmtId="0" fontId="8" fillId="0" borderId="78" xfId="0" applyFont="1" applyBorder="1" applyAlignment="1">
      <alignment horizontal="center" vertical="center"/>
    </xf>
    <xf numFmtId="9" fontId="8" fillId="0" borderId="78" xfId="2" applyFont="1" applyFill="1" applyBorder="1" applyAlignment="1">
      <alignment horizontal="center" vertical="center"/>
    </xf>
    <xf numFmtId="0" fontId="8" fillId="0" borderId="79" xfId="0" applyFont="1" applyBorder="1" applyAlignment="1">
      <alignment vertical="center" wrapText="1"/>
    </xf>
    <xf numFmtId="0" fontId="8" fillId="0" borderId="80" xfId="0" applyFont="1" applyBorder="1" applyAlignment="1">
      <alignment horizontal="center"/>
    </xf>
    <xf numFmtId="11" fontId="8" fillId="0" borderId="80" xfId="0" applyNumberFormat="1" applyFont="1" applyBorder="1" applyAlignment="1">
      <alignment horizontal="center"/>
    </xf>
    <xf numFmtId="0" fontId="9" fillId="12" borderId="18" xfId="0" applyFont="1" applyFill="1" applyBorder="1" applyAlignment="1">
      <alignment horizontal="center" vertical="center"/>
    </xf>
    <xf numFmtId="0" fontId="9" fillId="9" borderId="80" xfId="0" applyFont="1" applyFill="1" applyBorder="1" applyAlignment="1">
      <alignment horizontal="center" vertical="center"/>
    </xf>
    <xf numFmtId="1" fontId="8" fillId="7" borderId="2" xfId="0" applyNumberFormat="1" applyFont="1" applyFill="1" applyBorder="1" applyAlignment="1">
      <alignment horizontal="left" vertical="center" wrapText="1"/>
    </xf>
    <xf numFmtId="3" fontId="8" fillId="7" borderId="2" xfId="6" applyNumberFormat="1" applyFont="1" applyFill="1" applyBorder="1" applyAlignment="1">
      <alignment horizontal="left"/>
    </xf>
    <xf numFmtId="0" fontId="55" fillId="0" borderId="20" xfId="0" applyFont="1" applyBorder="1" applyAlignment="1">
      <alignment vertical="center"/>
    </xf>
    <xf numFmtId="0" fontId="55" fillId="0" borderId="0" xfId="0" applyFont="1" applyAlignment="1">
      <alignment vertical="center"/>
    </xf>
    <xf numFmtId="0" fontId="29" fillId="22" borderId="81" xfId="0" applyFont="1" applyFill="1" applyBorder="1" applyAlignment="1">
      <alignment horizontal="center" vertical="center" wrapText="1"/>
    </xf>
    <xf numFmtId="9" fontId="12" fillId="0" borderId="2" xfId="3" applyNumberFormat="1" applyFont="1" applyBorder="1" applyAlignment="1">
      <alignment horizontal="center" vertical="center" wrapText="1"/>
    </xf>
    <xf numFmtId="0" fontId="56" fillId="0" borderId="0" xfId="0" applyFont="1" applyAlignment="1">
      <alignment horizontal="right"/>
    </xf>
    <xf numFmtId="0" fontId="8" fillId="0" borderId="16" xfId="0" applyFont="1" applyBorder="1"/>
    <xf numFmtId="0" fontId="8" fillId="0" borderId="25" xfId="0" applyFont="1" applyBorder="1" applyAlignment="1">
      <alignment wrapText="1"/>
    </xf>
    <xf numFmtId="0" fontId="8" fillId="0" borderId="38" xfId="0" applyFont="1" applyBorder="1" applyAlignment="1">
      <alignment horizontal="left" vertical="center"/>
    </xf>
    <xf numFmtId="0" fontId="8" fillId="0" borderId="38" xfId="0" applyFont="1" applyBorder="1" applyAlignment="1">
      <alignment horizontal="left" vertical="center" wrapText="1"/>
    </xf>
    <xf numFmtId="0" fontId="1" fillId="0" borderId="38" xfId="0" applyFont="1" applyBorder="1" applyAlignment="1">
      <alignment horizontal="left" vertical="center" wrapText="1"/>
    </xf>
    <xf numFmtId="0" fontId="24" fillId="0" borderId="0" xfId="0" applyFont="1" applyAlignment="1">
      <alignment horizontal="center"/>
    </xf>
    <xf numFmtId="0" fontId="9" fillId="12" borderId="48" xfId="0" applyFont="1" applyFill="1" applyBorder="1" applyAlignment="1">
      <alignment horizontal="center" vertical="center"/>
    </xf>
    <xf numFmtId="168" fontId="1" fillId="0" borderId="81" xfId="0" applyNumberFormat="1" applyFont="1" applyBorder="1" applyAlignment="1">
      <alignment horizontal="center" vertical="center" wrapText="1"/>
    </xf>
    <xf numFmtId="0" fontId="1" fillId="0" borderId="81" xfId="0" applyFont="1" applyBorder="1" applyAlignment="1">
      <alignment horizontal="center" vertical="center" wrapText="1"/>
    </xf>
    <xf numFmtId="0" fontId="12" fillId="0" borderId="81" xfId="3" applyFont="1" applyFill="1" applyBorder="1" applyAlignment="1">
      <alignment horizontal="center" vertical="top" wrapText="1"/>
    </xf>
    <xf numFmtId="0" fontId="57" fillId="0" borderId="0" xfId="0" applyFont="1" applyAlignment="1">
      <alignment vertical="center" wrapText="1"/>
    </xf>
    <xf numFmtId="0" fontId="57" fillId="0" borderId="0" xfId="0" applyFont="1" applyAlignment="1">
      <alignment vertical="center"/>
    </xf>
    <xf numFmtId="9" fontId="8" fillId="0" borderId="2" xfId="2" applyFont="1" applyBorder="1" applyAlignment="1">
      <alignment horizontal="left" vertical="center"/>
    </xf>
    <xf numFmtId="0" fontId="1" fillId="9" borderId="2" xfId="0" applyFont="1" applyFill="1" applyBorder="1" applyAlignment="1">
      <alignment horizontal="center" vertical="center" wrapText="1"/>
    </xf>
    <xf numFmtId="0" fontId="1" fillId="9" borderId="3" xfId="0" applyFont="1" applyFill="1" applyBorder="1" applyAlignment="1">
      <alignment horizontal="center" vertical="center" wrapText="1"/>
    </xf>
    <xf numFmtId="0" fontId="8" fillId="0" borderId="81" xfId="0" applyFont="1" applyBorder="1" applyAlignment="1">
      <alignment horizontal="left"/>
    </xf>
    <xf numFmtId="9" fontId="8" fillId="0" borderId="81" xfId="0" applyNumberFormat="1" applyFont="1" applyBorder="1" applyAlignment="1">
      <alignment horizontal="left"/>
    </xf>
    <xf numFmtId="0" fontId="8" fillId="9" borderId="81" xfId="0" applyFont="1" applyFill="1" applyBorder="1" applyAlignment="1">
      <alignment horizontal="left"/>
    </xf>
    <xf numFmtId="9" fontId="8" fillId="9" borderId="81" xfId="0" applyNumberFormat="1" applyFont="1" applyFill="1" applyBorder="1" applyAlignment="1">
      <alignment horizontal="left"/>
    </xf>
    <xf numFmtId="0" fontId="1" fillId="9" borderId="81" xfId="5" applyFont="1" applyFill="1" applyBorder="1" applyAlignment="1">
      <alignment wrapText="1"/>
    </xf>
    <xf numFmtId="0" fontId="9" fillId="12" borderId="81" xfId="0" applyFont="1" applyFill="1" applyBorder="1" applyAlignment="1">
      <alignment horizontal="center" vertical="center"/>
    </xf>
    <xf numFmtId="0" fontId="9" fillId="22" borderId="81" xfId="0" applyFont="1" applyFill="1" applyBorder="1" applyAlignment="1">
      <alignment horizontal="center" vertical="center" wrapText="1"/>
    </xf>
    <xf numFmtId="0" fontId="9" fillId="22" borderId="81" xfId="0" applyFont="1" applyFill="1" applyBorder="1" applyAlignment="1">
      <alignment horizontal="center" vertical="center"/>
    </xf>
    <xf numFmtId="0" fontId="8" fillId="0" borderId="81" xfId="0" applyFont="1" applyBorder="1" applyAlignment="1">
      <alignment vertical="center"/>
    </xf>
    <xf numFmtId="0" fontId="27" fillId="0" borderId="81" xfId="0" applyFont="1" applyBorder="1" applyAlignment="1">
      <alignment horizontal="center" vertical="center"/>
    </xf>
    <xf numFmtId="0" fontId="8" fillId="0" borderId="81" xfId="0" applyFont="1" applyBorder="1" applyAlignment="1">
      <alignment vertical="center" wrapText="1"/>
    </xf>
    <xf numFmtId="0" fontId="8" fillId="24" borderId="81" xfId="0" quotePrefix="1" applyFont="1" applyFill="1" applyBorder="1" applyAlignment="1">
      <alignment vertical="center" wrapText="1"/>
    </xf>
    <xf numFmtId="0" fontId="59" fillId="7" borderId="83" xfId="0" applyFont="1" applyFill="1" applyBorder="1" applyAlignment="1">
      <alignment horizontal="left" vertical="center"/>
    </xf>
    <xf numFmtId="0" fontId="27" fillId="7" borderId="0" xfId="0" applyFont="1" applyFill="1" applyAlignment="1">
      <alignment horizontal="center" vertical="center"/>
    </xf>
    <xf numFmtId="0" fontId="8" fillId="7" borderId="0" xfId="0" applyFont="1" applyFill="1" applyAlignment="1">
      <alignment vertical="center" wrapText="1"/>
    </xf>
    <xf numFmtId="0" fontId="27" fillId="7" borderId="84" xfId="0" applyFont="1" applyFill="1" applyBorder="1" applyAlignment="1">
      <alignment horizontal="center" vertical="center"/>
    </xf>
    <xf numFmtId="0" fontId="27" fillId="0" borderId="81" xfId="0" applyFont="1" applyBorder="1" applyAlignment="1">
      <alignment horizontal="center" vertical="center" wrapText="1"/>
    </xf>
    <xf numFmtId="0" fontId="27" fillId="0" borderId="0" xfId="0" applyFont="1" applyAlignment="1">
      <alignment horizontal="center" vertical="center"/>
    </xf>
    <xf numFmtId="2" fontId="8" fillId="0" borderId="0" xfId="0" applyNumberFormat="1" applyFont="1" applyAlignment="1">
      <alignment horizontal="center" vertical="center"/>
    </xf>
    <xf numFmtId="0" fontId="27" fillId="0" borderId="0" xfId="0" applyFont="1"/>
    <xf numFmtId="2" fontId="8" fillId="0" borderId="0" xfId="0" applyNumberFormat="1" applyFont="1" applyAlignment="1">
      <alignment horizontal="center"/>
    </xf>
    <xf numFmtId="2" fontId="8" fillId="0" borderId="0" xfId="0" applyNumberFormat="1" applyFont="1"/>
    <xf numFmtId="0" fontId="8" fillId="0" borderId="0" xfId="0" quotePrefix="1" applyFont="1" applyAlignment="1">
      <alignment vertical="center" wrapText="1"/>
    </xf>
    <xf numFmtId="0" fontId="10" fillId="0" borderId="81" xfId="5" applyBorder="1" applyAlignment="1">
      <alignment horizontal="center" vertical="center"/>
    </xf>
    <xf numFmtId="9" fontId="13" fillId="0" borderId="0" xfId="2" applyFont="1" applyBorder="1"/>
    <xf numFmtId="0" fontId="1" fillId="25" borderId="38" xfId="0" applyFont="1" applyFill="1" applyBorder="1" applyAlignment="1">
      <alignment horizontal="center" vertical="center"/>
    </xf>
    <xf numFmtId="0" fontId="8" fillId="3" borderId="38" xfId="0" applyFont="1" applyFill="1" applyBorder="1" applyAlignment="1">
      <alignment horizontal="center" vertical="center"/>
    </xf>
    <xf numFmtId="0" fontId="8" fillId="25" borderId="38" xfId="0" applyFont="1" applyFill="1" applyBorder="1" applyAlignment="1">
      <alignment horizontal="center" vertical="center"/>
    </xf>
    <xf numFmtId="0" fontId="8" fillId="9" borderId="38" xfId="0" applyFont="1" applyFill="1" applyBorder="1" applyAlignment="1">
      <alignment horizontal="center" vertical="center"/>
    </xf>
    <xf numFmtId="0" fontId="8" fillId="9" borderId="48" xfId="0" applyFont="1" applyFill="1" applyBorder="1" applyAlignment="1">
      <alignment vertical="center"/>
    </xf>
    <xf numFmtId="0" fontId="8" fillId="9" borderId="48" xfId="0" applyFont="1" applyFill="1" applyBorder="1" applyAlignment="1">
      <alignment horizontal="center" vertical="center"/>
    </xf>
    <xf numFmtId="0" fontId="8" fillId="13" borderId="38" xfId="0" applyFont="1" applyFill="1" applyBorder="1" applyAlignment="1">
      <alignment horizontal="center" vertical="center"/>
    </xf>
    <xf numFmtId="0" fontId="8" fillId="13" borderId="38" xfId="0" applyFont="1" applyFill="1" applyBorder="1" applyAlignment="1">
      <alignment horizontal="center" vertical="center" wrapText="1"/>
    </xf>
    <xf numFmtId="168" fontId="8" fillId="13" borderId="38" xfId="0" applyNumberFormat="1" applyFont="1" applyFill="1" applyBorder="1" applyAlignment="1">
      <alignment horizontal="center" vertical="center"/>
    </xf>
    <xf numFmtId="1" fontId="59" fillId="0" borderId="2" xfId="7" applyNumberFormat="1" applyFont="1" applyBorder="1" applyAlignment="1">
      <alignment horizontal="center" vertical="center"/>
    </xf>
    <xf numFmtId="10" fontId="59" fillId="0" borderId="0" xfId="2" applyNumberFormat="1" applyFont="1" applyBorder="1" applyAlignment="1">
      <alignment horizontal="left" vertical="center" wrapText="1"/>
    </xf>
    <xf numFmtId="1" fontId="8" fillId="0" borderId="2" xfId="7" quotePrefix="1" applyNumberFormat="1" applyFont="1" applyBorder="1" applyAlignment="1">
      <alignment horizontal="center" vertical="center"/>
    </xf>
    <xf numFmtId="0" fontId="60" fillId="0" borderId="0" xfId="0" applyFont="1"/>
    <xf numFmtId="0" fontId="26" fillId="0" borderId="91" xfId="0" applyFont="1" applyBorder="1" applyAlignment="1">
      <alignment horizontal="center" vertical="center"/>
    </xf>
    <xf numFmtId="2" fontId="26" fillId="0" borderId="1" xfId="0" applyNumberFormat="1" applyFont="1" applyBorder="1" applyAlignment="1">
      <alignment horizontal="center" vertical="center"/>
    </xf>
    <xf numFmtId="2" fontId="26" fillId="0" borderId="5" xfId="0" applyNumberFormat="1" applyFont="1" applyBorder="1" applyAlignment="1">
      <alignment horizontal="center" vertical="center"/>
    </xf>
    <xf numFmtId="0" fontId="26" fillId="0" borderId="14" xfId="0" applyFont="1" applyBorder="1" applyAlignment="1">
      <alignment horizontal="center" vertical="center"/>
    </xf>
    <xf numFmtId="2" fontId="26" fillId="0" borderId="2" xfId="0" applyNumberFormat="1" applyFont="1" applyBorder="1" applyAlignment="1">
      <alignment horizontal="center" vertical="center"/>
    </xf>
    <xf numFmtId="2" fontId="61" fillId="0" borderId="15" xfId="0" applyNumberFormat="1" applyFont="1" applyBorder="1" applyAlignment="1">
      <alignment horizontal="center" vertical="center"/>
    </xf>
    <xf numFmtId="2" fontId="61" fillId="0" borderId="2" xfId="0" applyNumberFormat="1" applyFont="1" applyBorder="1" applyAlignment="1">
      <alignment horizontal="center" vertical="center"/>
    </xf>
    <xf numFmtId="2" fontId="26" fillId="0" borderId="7" xfId="0" applyNumberFormat="1" applyFont="1" applyBorder="1" applyAlignment="1">
      <alignment horizontal="center" vertical="center"/>
    </xf>
    <xf numFmtId="0" fontId="26" fillId="0" borderId="18" xfId="0" applyFont="1" applyBorder="1" applyAlignment="1">
      <alignment horizontal="center" vertical="center"/>
    </xf>
    <xf numFmtId="2" fontId="26" fillId="0" borderId="15" xfId="0" applyNumberFormat="1" applyFont="1" applyBorder="1" applyAlignment="1">
      <alignment horizontal="center" vertical="center"/>
    </xf>
    <xf numFmtId="2" fontId="26" fillId="0" borderId="98" xfId="0" applyNumberFormat="1" applyFont="1" applyBorder="1" applyAlignment="1">
      <alignment horizontal="center" vertical="center"/>
    </xf>
    <xf numFmtId="0" fontId="26" fillId="0" borderId="100" xfId="0" applyFont="1" applyBorder="1" applyAlignment="1">
      <alignment horizontal="center" vertical="center"/>
    </xf>
    <xf numFmtId="0" fontId="26" fillId="0" borderId="101" xfId="0" applyFont="1" applyBorder="1" applyAlignment="1">
      <alignment horizontal="center" vertical="center"/>
    </xf>
    <xf numFmtId="0" fontId="26" fillId="0" borderId="102" xfId="0" applyFont="1" applyBorder="1" applyAlignment="1">
      <alignment horizontal="center" vertical="center"/>
    </xf>
    <xf numFmtId="2" fontId="26" fillId="0" borderId="66" xfId="0" applyNumberFormat="1" applyFont="1" applyBorder="1" applyAlignment="1">
      <alignment horizontal="center" vertical="center"/>
    </xf>
    <xf numFmtId="2" fontId="26" fillId="0" borderId="9" xfId="0" applyNumberFormat="1" applyFont="1" applyBorder="1" applyAlignment="1">
      <alignment horizontal="center" vertical="center"/>
    </xf>
    <xf numFmtId="2" fontId="61" fillId="0" borderId="104" xfId="0" applyNumberFormat="1" applyFont="1" applyBorder="1" applyAlignment="1">
      <alignment horizontal="center" vertical="center"/>
    </xf>
    <xf numFmtId="2" fontId="61" fillId="0" borderId="105" xfId="0" applyNumberFormat="1" applyFont="1" applyBorder="1" applyAlignment="1">
      <alignment horizontal="center" vertical="center"/>
    </xf>
    <xf numFmtId="2" fontId="61" fillId="0" borderId="78" xfId="0" applyNumberFormat="1" applyFont="1" applyBorder="1" applyAlignment="1">
      <alignment horizontal="center" vertical="center"/>
    </xf>
    <xf numFmtId="2" fontId="61" fillId="0" borderId="106" xfId="0" applyNumberFormat="1" applyFont="1" applyBorder="1" applyAlignment="1">
      <alignment horizontal="center" vertical="center"/>
    </xf>
    <xf numFmtId="0" fontId="26" fillId="0" borderId="109" xfId="0" applyFont="1" applyBorder="1" applyAlignment="1">
      <alignment horizontal="center" vertical="center"/>
    </xf>
    <xf numFmtId="2" fontId="61" fillId="0" borderId="110" xfId="0" applyNumberFormat="1" applyFont="1" applyBorder="1" applyAlignment="1">
      <alignment horizontal="center" vertical="center"/>
    </xf>
    <xf numFmtId="2" fontId="61" fillId="0" borderId="111" xfId="0" applyNumberFormat="1" applyFont="1" applyBorder="1" applyAlignment="1">
      <alignment horizontal="center" vertical="center"/>
    </xf>
    <xf numFmtId="0" fontId="26" fillId="0" borderId="112" xfId="0" applyFont="1" applyBorder="1" applyAlignment="1">
      <alignment horizontal="center" vertical="center"/>
    </xf>
    <xf numFmtId="2" fontId="26" fillId="0" borderId="22" xfId="0" applyNumberFormat="1" applyFont="1" applyBorder="1" applyAlignment="1">
      <alignment horizontal="center" vertical="center"/>
    </xf>
    <xf numFmtId="2" fontId="26" fillId="0" borderId="37" xfId="0" applyNumberFormat="1" applyFont="1" applyBorder="1" applyAlignment="1">
      <alignment horizontal="center" vertical="center"/>
    </xf>
    <xf numFmtId="2" fontId="26" fillId="0" borderId="86" xfId="0" applyNumberFormat="1" applyFont="1" applyBorder="1" applyAlignment="1">
      <alignment horizontal="center" vertical="center"/>
    </xf>
    <xf numFmtId="2" fontId="26" fillId="0" borderId="113" xfId="0" applyNumberFormat="1" applyFont="1" applyBorder="1" applyAlignment="1">
      <alignment horizontal="center" vertical="center"/>
    </xf>
    <xf numFmtId="2" fontId="26" fillId="0" borderId="81" xfId="0" applyNumberFormat="1" applyFont="1" applyBorder="1" applyAlignment="1">
      <alignment horizontal="center" vertical="center"/>
    </xf>
    <xf numFmtId="2" fontId="26" fillId="0" borderId="114" xfId="0" applyNumberFormat="1" applyFont="1" applyBorder="1" applyAlignment="1">
      <alignment horizontal="center" vertical="center"/>
    </xf>
    <xf numFmtId="2" fontId="26" fillId="0" borderId="107" xfId="0" applyNumberFormat="1" applyFont="1" applyBorder="1" applyAlignment="1">
      <alignment horizontal="center" vertical="center"/>
    </xf>
    <xf numFmtId="2" fontId="26" fillId="0" borderId="115" xfId="0" applyNumberFormat="1" applyFont="1" applyBorder="1" applyAlignment="1">
      <alignment horizontal="center" vertical="center"/>
    </xf>
    <xf numFmtId="1" fontId="26" fillId="0" borderId="2" xfId="0" applyNumberFormat="1" applyFont="1" applyBorder="1" applyAlignment="1">
      <alignment horizontal="center" vertical="center"/>
    </xf>
    <xf numFmtId="1" fontId="26" fillId="0" borderId="1" xfId="0" applyNumberFormat="1" applyFont="1" applyBorder="1" applyAlignment="1">
      <alignment horizontal="center" vertical="center"/>
    </xf>
    <xf numFmtId="1" fontId="26" fillId="0" borderId="5" xfId="0" applyNumberFormat="1" applyFont="1" applyBorder="1" applyAlignment="1">
      <alignment horizontal="center" vertical="center"/>
    </xf>
    <xf numFmtId="1" fontId="26" fillId="0" borderId="7" xfId="0" applyNumberFormat="1" applyFont="1" applyBorder="1" applyAlignment="1">
      <alignment horizontal="center" vertical="center"/>
    </xf>
    <xf numFmtId="1" fontId="26" fillId="0" borderId="66" xfId="0" applyNumberFormat="1" applyFont="1" applyBorder="1" applyAlignment="1">
      <alignment horizontal="center" vertical="center"/>
    </xf>
    <xf numFmtId="1" fontId="26" fillId="0" borderId="9" xfId="0" applyNumberFormat="1" applyFont="1" applyBorder="1" applyAlignment="1">
      <alignment horizontal="center" vertical="center"/>
    </xf>
    <xf numFmtId="1" fontId="26" fillId="0" borderId="22" xfId="0" applyNumberFormat="1" applyFont="1" applyBorder="1" applyAlignment="1">
      <alignment horizontal="center" vertical="center"/>
    </xf>
    <xf numFmtId="1" fontId="26" fillId="0" borderId="37" xfId="0" applyNumberFormat="1" applyFont="1" applyBorder="1" applyAlignment="1">
      <alignment horizontal="center" vertical="center"/>
    </xf>
    <xf numFmtId="1" fontId="26" fillId="0" borderId="99" xfId="0" applyNumberFormat="1" applyFont="1" applyBorder="1" applyAlignment="1">
      <alignment horizontal="center" vertical="center"/>
    </xf>
    <xf numFmtId="1" fontId="26" fillId="0" borderId="129" xfId="0" applyNumberFormat="1" applyFont="1" applyBorder="1" applyAlignment="1">
      <alignment horizontal="center" vertical="center"/>
    </xf>
    <xf numFmtId="1" fontId="26" fillId="0" borderId="81" xfId="0" applyNumberFormat="1" applyFont="1" applyBorder="1" applyAlignment="1">
      <alignment horizontal="center" vertical="center"/>
    </xf>
    <xf numFmtId="1" fontId="26" fillId="0" borderId="114" xfId="0" applyNumberFormat="1" applyFont="1" applyBorder="1" applyAlignment="1">
      <alignment horizontal="center" vertical="center"/>
    </xf>
    <xf numFmtId="1" fontId="26" fillId="0" borderId="107" xfId="0" applyNumberFormat="1" applyFont="1" applyBorder="1" applyAlignment="1">
      <alignment horizontal="center" vertical="center"/>
    </xf>
    <xf numFmtId="1" fontId="26" fillId="0" borderId="115" xfId="0" applyNumberFormat="1" applyFont="1" applyBorder="1" applyAlignment="1">
      <alignment horizontal="center" vertical="center"/>
    </xf>
    <xf numFmtId="0" fontId="26" fillId="0" borderId="136" xfId="0" applyFont="1" applyBorder="1" applyAlignment="1">
      <alignment horizontal="center" vertical="center"/>
    </xf>
    <xf numFmtId="0" fontId="26" fillId="0" borderId="139" xfId="0" applyFont="1" applyBorder="1" applyAlignment="1">
      <alignment horizontal="center" vertical="center"/>
    </xf>
    <xf numFmtId="0" fontId="9" fillId="2" borderId="0" xfId="0" applyFont="1" applyFill="1" applyAlignment="1">
      <alignment vertical="center"/>
    </xf>
    <xf numFmtId="0" fontId="9" fillId="0" borderId="0" xfId="0" applyFont="1" applyAlignment="1">
      <alignment horizontal="center" vertical="center"/>
    </xf>
    <xf numFmtId="0" fontId="1" fillId="0" borderId="2" xfId="3" applyFont="1" applyFill="1" applyBorder="1" applyAlignment="1">
      <alignment horizontal="center" vertical="center" wrapText="1"/>
    </xf>
    <xf numFmtId="0" fontId="29" fillId="12" borderId="15" xfId="0" applyFont="1" applyFill="1" applyBorder="1" applyAlignment="1">
      <alignment horizontal="left" vertical="center" wrapText="1"/>
    </xf>
    <xf numFmtId="0" fontId="29" fillId="12" borderId="81" xfId="0" applyFont="1" applyFill="1" applyBorder="1" applyAlignment="1">
      <alignment horizontal="center" vertical="center" wrapText="1"/>
    </xf>
    <xf numFmtId="0" fontId="8" fillId="0" borderId="2" xfId="0" applyFont="1" applyBorder="1" applyAlignment="1">
      <alignment horizontal="right" vertical="center"/>
    </xf>
    <xf numFmtId="171" fontId="8" fillId="0" borderId="2" xfId="0" applyNumberFormat="1" applyFont="1" applyBorder="1" applyAlignment="1">
      <alignment vertical="center"/>
    </xf>
    <xf numFmtId="169" fontId="8" fillId="0" borderId="2" xfId="6" applyNumberFormat="1" applyFont="1" applyBorder="1" applyAlignment="1">
      <alignment horizontal="right" vertical="center" wrapText="1"/>
    </xf>
    <xf numFmtId="0" fontId="8" fillId="0" borderId="14" xfId="0" applyFont="1" applyBorder="1" applyAlignment="1">
      <alignment vertical="center" wrapText="1"/>
    </xf>
    <xf numFmtId="0" fontId="8" fillId="0" borderId="14" xfId="0" applyFont="1" applyBorder="1" applyAlignment="1">
      <alignment horizontal="right" vertical="center"/>
    </xf>
    <xf numFmtId="169" fontId="8" fillId="0" borderId="14" xfId="6" applyNumberFormat="1" applyFont="1" applyBorder="1" applyAlignment="1">
      <alignment horizontal="right" vertical="center"/>
    </xf>
    <xf numFmtId="171" fontId="1" fillId="0" borderId="2" xfId="0" applyNumberFormat="1" applyFont="1" applyBorder="1" applyAlignment="1">
      <alignment vertical="center"/>
    </xf>
    <xf numFmtId="171" fontId="1" fillId="13" borderId="14" xfId="0" applyNumberFormat="1" applyFont="1" applyFill="1" applyBorder="1" applyAlignment="1">
      <alignment vertical="center"/>
    </xf>
    <xf numFmtId="0" fontId="8" fillId="0" borderId="2" xfId="0" applyFont="1" applyBorder="1" applyAlignment="1">
      <alignment wrapText="1"/>
    </xf>
    <xf numFmtId="0" fontId="29" fillId="0" borderId="0" xfId="0" applyFont="1"/>
    <xf numFmtId="0" fontId="18" fillId="0" borderId="0" xfId="0" applyFont="1"/>
    <xf numFmtId="0" fontId="28" fillId="0" borderId="0" xfId="0" applyFont="1"/>
    <xf numFmtId="0" fontId="25" fillId="0" borderId="0" xfId="0" applyFont="1" applyAlignment="1">
      <alignment vertical="center" wrapText="1"/>
    </xf>
    <xf numFmtId="0" fontId="29" fillId="15" borderId="142" xfId="0" applyFont="1" applyFill="1" applyBorder="1" applyAlignment="1">
      <alignment horizontal="left" vertical="center" wrapText="1"/>
    </xf>
    <xf numFmtId="0" fontId="29" fillId="15" borderId="143" xfId="0" applyFont="1" applyFill="1" applyBorder="1" applyAlignment="1">
      <alignment horizontal="left" vertical="center"/>
    </xf>
    <xf numFmtId="0" fontId="29" fillId="15" borderId="142" xfId="0" applyFont="1" applyFill="1" applyBorder="1" applyAlignment="1">
      <alignment horizontal="left" vertical="center"/>
    </xf>
    <xf numFmtId="0" fontId="29" fillId="15" borderId="142" xfId="0" applyFont="1" applyFill="1" applyBorder="1" applyAlignment="1">
      <alignment horizontal="center" vertical="center"/>
    </xf>
    <xf numFmtId="0" fontId="29" fillId="15" borderId="142" xfId="0" applyFont="1" applyFill="1" applyBorder="1" applyAlignment="1">
      <alignment horizontal="center" vertical="center" wrapText="1"/>
    </xf>
    <xf numFmtId="0" fontId="29" fillId="15" borderId="144" xfId="0" applyFont="1" applyFill="1" applyBorder="1" applyAlignment="1">
      <alignment horizontal="center" vertical="center" wrapText="1"/>
    </xf>
    <xf numFmtId="0" fontId="27" fillId="0" borderId="145" xfId="0" applyFont="1" applyBorder="1" applyAlignment="1">
      <alignment horizontal="left"/>
    </xf>
    <xf numFmtId="3" fontId="8" fillId="0" borderId="145" xfId="8" applyNumberFormat="1" applyFont="1" applyBorder="1" applyAlignment="1">
      <alignment horizontal="center"/>
    </xf>
    <xf numFmtId="3" fontId="8" fillId="0" borderId="146" xfId="8" applyNumberFormat="1" applyFont="1" applyBorder="1" applyAlignment="1">
      <alignment horizontal="center"/>
    </xf>
    <xf numFmtId="3" fontId="8" fillId="0" borderId="147" xfId="8" applyNumberFormat="1" applyFont="1" applyBorder="1" applyAlignment="1">
      <alignment horizontal="center"/>
    </xf>
    <xf numFmtId="0" fontId="27" fillId="0" borderId="33" xfId="0" applyFont="1" applyBorder="1" applyAlignment="1">
      <alignment horizontal="left"/>
    </xf>
    <xf numFmtId="0" fontId="27" fillId="0" borderId="148" xfId="0" applyFont="1" applyBorder="1" applyAlignment="1">
      <alignment horizontal="left"/>
    </xf>
    <xf numFmtId="3" fontId="8" fillId="0" borderId="148" xfId="8" applyNumberFormat="1" applyFont="1" applyBorder="1" applyAlignment="1">
      <alignment horizontal="center"/>
    </xf>
    <xf numFmtId="3" fontId="8" fillId="0" borderId="69" xfId="8" applyNumberFormat="1" applyFont="1" applyBorder="1" applyAlignment="1">
      <alignment horizontal="center"/>
    </xf>
    <xf numFmtId="3" fontId="8" fillId="0" borderId="70" xfId="8" applyNumberFormat="1" applyFont="1" applyBorder="1" applyAlignment="1">
      <alignment horizontal="center"/>
    </xf>
    <xf numFmtId="3" fontId="8" fillId="0" borderId="148" xfId="2" applyNumberFormat="1" applyFont="1" applyBorder="1" applyAlignment="1">
      <alignment horizontal="center"/>
    </xf>
    <xf numFmtId="10" fontId="8" fillId="0" borderId="70" xfId="2" applyNumberFormat="1" applyFont="1" applyBorder="1" applyAlignment="1">
      <alignment horizontal="center"/>
    </xf>
    <xf numFmtId="0" fontId="29" fillId="22" borderId="81" xfId="0" applyFont="1" applyFill="1" applyBorder="1" applyAlignment="1">
      <alignment horizontal="center" vertical="center"/>
    </xf>
    <xf numFmtId="0" fontId="9" fillId="12" borderId="81" xfId="0" applyFont="1" applyFill="1" applyBorder="1" applyAlignment="1">
      <alignment horizontal="center" vertical="center" wrapText="1"/>
    </xf>
    <xf numFmtId="3" fontId="8" fillId="0" borderId="81" xfId="0" applyNumberFormat="1" applyFont="1" applyBorder="1" applyAlignment="1">
      <alignment horizontal="center" vertical="center"/>
    </xf>
    <xf numFmtId="165" fontId="8" fillId="0" borderId="81" xfId="0" applyNumberFormat="1" applyFont="1" applyBorder="1" applyAlignment="1">
      <alignment horizontal="center" vertical="center" wrapText="1"/>
    </xf>
    <xf numFmtId="165" fontId="8" fillId="0" borderId="81" xfId="0" applyNumberFormat="1" applyFont="1" applyBorder="1" applyAlignment="1">
      <alignment horizontal="center" vertical="center"/>
    </xf>
    <xf numFmtId="169" fontId="8" fillId="0" borderId="81" xfId="6" applyNumberFormat="1" applyFont="1" applyBorder="1" applyAlignment="1">
      <alignment horizontal="center" vertical="center"/>
    </xf>
    <xf numFmtId="0" fontId="0" fillId="0" borderId="20" xfId="0" applyBorder="1" applyAlignment="1">
      <alignment horizontal="left"/>
    </xf>
    <xf numFmtId="0" fontId="0" fillId="0" borderId="21" xfId="0" applyBorder="1" applyAlignment="1">
      <alignment horizontal="left"/>
    </xf>
    <xf numFmtId="16" fontId="0" fillId="0" borderId="20" xfId="0" applyNumberFormat="1"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5" xfId="0" applyBorder="1" applyAlignment="1">
      <alignment horizontal="left"/>
    </xf>
    <xf numFmtId="0" fontId="20" fillId="12" borderId="81" xfId="0" applyFont="1" applyFill="1" applyBorder="1" applyAlignment="1">
      <alignment horizontal="center" vertical="center" wrapText="1"/>
    </xf>
    <xf numFmtId="169" fontId="8" fillId="0" borderId="78" xfId="6" applyNumberFormat="1" applyFont="1" applyBorder="1" applyAlignment="1">
      <alignment horizontal="left" vertical="center"/>
    </xf>
    <xf numFmtId="169" fontId="12" fillId="0" borderId="2" xfId="6" applyNumberFormat="1" applyFont="1" applyFill="1" applyBorder="1" applyAlignment="1">
      <alignment horizontal="center" vertical="center" wrapText="1"/>
    </xf>
    <xf numFmtId="169" fontId="8" fillId="0" borderId="2" xfId="6" applyNumberFormat="1" applyFont="1" applyBorder="1" applyAlignment="1">
      <alignment horizontal="left" vertical="center" wrapText="1"/>
    </xf>
    <xf numFmtId="169" fontId="8" fillId="0" borderId="2" xfId="6" applyNumberFormat="1" applyFont="1" applyBorder="1" applyAlignment="1">
      <alignment horizontal="left" vertical="center"/>
    </xf>
    <xf numFmtId="43" fontId="8" fillId="0" borderId="2" xfId="6" applyFont="1" applyFill="1" applyBorder="1"/>
    <xf numFmtId="43" fontId="8" fillId="0" borderId="2" xfId="6" applyFont="1" applyBorder="1"/>
    <xf numFmtId="2" fontId="1" fillId="0" borderId="2" xfId="0" applyNumberFormat="1" applyFont="1" applyBorder="1" applyAlignment="1">
      <alignment horizontal="center" vertical="center" wrapText="1"/>
    </xf>
    <xf numFmtId="43" fontId="8" fillId="0" borderId="78" xfId="0" applyNumberFormat="1" applyFont="1" applyBorder="1"/>
    <xf numFmtId="0" fontId="20" fillId="12" borderId="78" xfId="0" applyFont="1" applyFill="1" applyBorder="1" applyAlignment="1">
      <alignment horizontal="left" vertical="center" wrapText="1"/>
    </xf>
    <xf numFmtId="0" fontId="20" fillId="12" borderId="78" xfId="0" applyFont="1" applyFill="1" applyBorder="1" applyAlignment="1">
      <alignment vertical="center" wrapText="1"/>
    </xf>
    <xf numFmtId="0" fontId="8" fillId="0" borderId="78" xfId="0" applyFont="1" applyBorder="1" applyAlignment="1">
      <alignment horizontal="left" vertical="center" wrapText="1"/>
    </xf>
    <xf numFmtId="169" fontId="8" fillId="0" borderId="78" xfId="0" applyNumberFormat="1" applyFont="1" applyBorder="1" applyAlignment="1">
      <alignment vertical="center"/>
    </xf>
    <xf numFmtId="1" fontId="8" fillId="0" borderId="78" xfId="0" applyNumberFormat="1" applyFont="1" applyBorder="1" applyAlignment="1">
      <alignment horizontal="right" vertical="center"/>
    </xf>
    <xf numFmtId="169" fontId="8" fillId="7" borderId="78" xfId="6" applyNumberFormat="1" applyFont="1" applyFill="1" applyBorder="1" applyAlignment="1">
      <alignment horizontal="right" vertical="center"/>
    </xf>
    <xf numFmtId="0" fontId="8" fillId="7" borderId="78" xfId="0" applyFont="1" applyFill="1" applyBorder="1" applyAlignment="1">
      <alignment vertical="center"/>
    </xf>
    <xf numFmtId="172" fontId="27" fillId="26" borderId="2" xfId="0" applyNumberFormat="1" applyFont="1" applyFill="1" applyBorder="1" applyAlignment="1">
      <alignment vertical="center"/>
    </xf>
    <xf numFmtId="1" fontId="8" fillId="7" borderId="78" xfId="0" applyNumberFormat="1" applyFont="1" applyFill="1" applyBorder="1" applyAlignment="1">
      <alignment horizontal="right" vertical="center"/>
    </xf>
    <xf numFmtId="172" fontId="8" fillId="0" borderId="2" xfId="0" applyNumberFormat="1" applyFont="1" applyBorder="1"/>
    <xf numFmtId="0" fontId="12" fillId="0" borderId="78" xfId="3" applyFont="1" applyBorder="1" applyAlignment="1">
      <alignment horizontal="left" vertical="center" wrapText="1"/>
    </xf>
    <xf numFmtId="0" fontId="8" fillId="0" borderId="78" xfId="0" applyFont="1" applyBorder="1" applyAlignment="1">
      <alignment vertical="center"/>
    </xf>
    <xf numFmtId="2" fontId="8" fillId="7" borderId="78" xfId="0" applyNumberFormat="1" applyFont="1" applyFill="1" applyBorder="1" applyAlignment="1">
      <alignment horizontal="center" vertical="center"/>
    </xf>
    <xf numFmtId="169" fontId="8" fillId="0" borderId="0" xfId="0" applyNumberFormat="1" applyFont="1"/>
    <xf numFmtId="3" fontId="27" fillId="0" borderId="2" xfId="0" applyNumberFormat="1" applyFont="1" applyBorder="1" applyAlignment="1">
      <alignment vertical="center"/>
    </xf>
    <xf numFmtId="0" fontId="27" fillId="0" borderId="2" xfId="0" applyFont="1" applyBorder="1" applyAlignment="1">
      <alignment vertical="center"/>
    </xf>
    <xf numFmtId="0" fontId="20" fillId="22" borderId="2" xfId="0" applyFont="1" applyFill="1" applyBorder="1" applyAlignment="1">
      <alignment horizontal="center" vertical="center" wrapText="1"/>
    </xf>
    <xf numFmtId="1" fontId="8" fillId="0" borderId="2" xfId="0" applyNumberFormat="1" applyFont="1" applyBorder="1" applyAlignment="1">
      <alignment horizontal="center" vertical="center" wrapText="1"/>
    </xf>
    <xf numFmtId="169" fontId="8" fillId="0" borderId="2" xfId="0" applyNumberFormat="1" applyFont="1" applyBorder="1" applyAlignment="1">
      <alignment horizontal="center" vertical="center" wrapText="1"/>
    </xf>
    <xf numFmtId="0" fontId="8" fillId="7" borderId="2" xfId="0" applyFont="1" applyFill="1" applyBorder="1" applyAlignment="1">
      <alignment vertical="center"/>
    </xf>
    <xf numFmtId="3" fontId="8" fillId="0" borderId="2" xfId="0" applyNumberFormat="1" applyFont="1" applyBorder="1" applyAlignment="1">
      <alignment horizontal="right" vertical="center" wrapText="1"/>
    </xf>
    <xf numFmtId="0" fontId="27" fillId="0" borderId="150" xfId="0" applyFont="1" applyBorder="1" applyAlignment="1">
      <alignment vertical="center" wrapText="1"/>
    </xf>
    <xf numFmtId="169" fontId="8" fillId="0" borderId="2" xfId="6" applyNumberFormat="1" applyFont="1" applyBorder="1" applyAlignment="1">
      <alignment vertical="center"/>
    </xf>
    <xf numFmtId="0" fontId="24" fillId="0" borderId="2" xfId="0" applyFont="1" applyBorder="1"/>
    <xf numFmtId="1" fontId="8" fillId="0" borderId="81" xfId="0" applyNumberFormat="1" applyFont="1" applyBorder="1" applyAlignment="1">
      <alignment horizontal="center" vertical="center"/>
    </xf>
    <xf numFmtId="168" fontId="8" fillId="0" borderId="2" xfId="0" applyNumberFormat="1" applyFont="1" applyBorder="1"/>
    <xf numFmtId="0" fontId="8" fillId="0" borderId="1" xfId="0" applyFont="1" applyBorder="1"/>
    <xf numFmtId="0" fontId="8" fillId="0" borderId="66" xfId="0" applyFont="1" applyBorder="1"/>
    <xf numFmtId="168" fontId="8" fillId="0" borderId="1" xfId="0" applyNumberFormat="1" applyFont="1" applyBorder="1"/>
    <xf numFmtId="0" fontId="8" fillId="0" borderId="22" xfId="0" applyFont="1" applyBorder="1"/>
    <xf numFmtId="168" fontId="8" fillId="0" borderId="66" xfId="0" applyNumberFormat="1" applyFont="1" applyBorder="1"/>
    <xf numFmtId="2" fontId="26" fillId="0" borderId="142" xfId="0" applyNumberFormat="1" applyFont="1" applyBorder="1" applyAlignment="1">
      <alignment horizontal="center" vertical="center"/>
    </xf>
    <xf numFmtId="1" fontId="26" fillId="0" borderId="85" xfId="0" applyNumberFormat="1" applyFont="1" applyBorder="1" applyAlignment="1">
      <alignment horizontal="center" vertical="center"/>
    </xf>
    <xf numFmtId="1" fontId="26" fillId="0" borderId="152" xfId="0" applyNumberFormat="1" applyFont="1" applyBorder="1" applyAlignment="1">
      <alignment horizontal="center" vertical="center"/>
    </xf>
    <xf numFmtId="1" fontId="26" fillId="0" borderId="89" xfId="0" applyNumberFormat="1" applyFont="1" applyBorder="1" applyAlignment="1">
      <alignment horizontal="center" vertical="center"/>
    </xf>
    <xf numFmtId="1" fontId="26" fillId="0" borderId="90" xfId="0" applyNumberFormat="1" applyFont="1" applyBorder="1" applyAlignment="1">
      <alignment horizontal="center" vertical="center"/>
    </xf>
    <xf numFmtId="1" fontId="26" fillId="0" borderId="94" xfId="0" applyNumberFormat="1" applyFont="1" applyBorder="1" applyAlignment="1">
      <alignment horizontal="center" vertical="center"/>
    </xf>
    <xf numFmtId="1" fontId="26" fillId="0" borderId="137" xfId="0" applyNumberFormat="1" applyFont="1" applyBorder="1" applyAlignment="1">
      <alignment horizontal="center" vertical="center"/>
    </xf>
    <xf numFmtId="1" fontId="26" fillId="0" borderId="140" xfId="0" applyNumberFormat="1" applyFont="1" applyBorder="1" applyAlignment="1">
      <alignment horizontal="center" vertical="center"/>
    </xf>
    <xf numFmtId="0" fontId="62" fillId="0" borderId="0" xfId="0" applyFont="1" applyAlignment="1">
      <alignment vertical="center" wrapText="1"/>
    </xf>
    <xf numFmtId="0" fontId="29" fillId="22" borderId="153" xfId="0" applyFont="1" applyFill="1" applyBorder="1" applyAlignment="1">
      <alignment horizontal="center" vertical="center" wrapText="1"/>
    </xf>
    <xf numFmtId="0" fontId="20" fillId="27" borderId="155" xfId="0" applyFont="1" applyFill="1" applyBorder="1" applyAlignment="1">
      <alignment horizontal="center" vertical="center" wrapText="1"/>
    </xf>
    <xf numFmtId="0" fontId="20" fillId="27" borderId="154" xfId="0" applyFont="1" applyFill="1" applyBorder="1" applyAlignment="1">
      <alignment horizontal="center" vertical="center" wrapText="1"/>
    </xf>
    <xf numFmtId="2" fontId="8" fillId="0" borderId="54" xfId="0" applyNumberFormat="1" applyFont="1" applyBorder="1"/>
    <xf numFmtId="0" fontId="8" fillId="0" borderId="54" xfId="4" applyBorder="1" applyAlignment="1">
      <alignment horizontal="center" vertical="center"/>
    </xf>
    <xf numFmtId="169" fontId="8" fillId="0" borderId="54" xfId="6" applyNumberFormat="1" applyFont="1" applyBorder="1" applyAlignment="1">
      <alignment horizontal="center" vertical="center"/>
    </xf>
    <xf numFmtId="2" fontId="8" fillId="0" borderId="54" xfId="0" applyNumberFormat="1" applyFont="1" applyBorder="1" applyAlignment="1">
      <alignment horizontal="center" vertical="center"/>
    </xf>
    <xf numFmtId="165" fontId="63" fillId="0" borderId="162" xfId="0" applyNumberFormat="1" applyFont="1" applyBorder="1"/>
    <xf numFmtId="0" fontId="8" fillId="0" borderId="158" xfId="0" applyFont="1" applyBorder="1"/>
    <xf numFmtId="2" fontId="8" fillId="0" borderId="162" xfId="0" applyNumberFormat="1" applyFont="1" applyBorder="1"/>
    <xf numFmtId="0" fontId="29" fillId="12" borderId="163" xfId="0" applyFont="1" applyFill="1" applyBorder="1" applyAlignment="1">
      <alignment horizontal="center" vertical="center"/>
    </xf>
    <xf numFmtId="0" fontId="20" fillId="12" borderId="164" xfId="0" applyFont="1" applyFill="1" applyBorder="1" applyAlignment="1">
      <alignment horizontal="center" vertical="center" wrapText="1"/>
    </xf>
    <xf numFmtId="0" fontId="9" fillId="29" borderId="165" xfId="0" applyFont="1" applyFill="1" applyBorder="1" applyAlignment="1">
      <alignment horizontal="center" vertical="center" wrapText="1"/>
    </xf>
    <xf numFmtId="0" fontId="9" fillId="29" borderId="166" xfId="0" applyFont="1" applyFill="1" applyBorder="1" applyAlignment="1">
      <alignment horizontal="center" vertical="center" wrapText="1"/>
    </xf>
    <xf numFmtId="0" fontId="9" fillId="12" borderId="156" xfId="0" applyFont="1" applyFill="1" applyBorder="1" applyAlignment="1">
      <alignment horizontal="center" vertical="center" wrapText="1"/>
    </xf>
    <xf numFmtId="2" fontId="8" fillId="0" borderId="158" xfId="0" applyNumberFormat="1" applyFont="1" applyBorder="1"/>
    <xf numFmtId="0" fontId="8" fillId="0" borderId="161" xfId="4" applyBorder="1" applyAlignment="1">
      <alignment horizontal="center" vertical="center"/>
    </xf>
    <xf numFmtId="169" fontId="8" fillId="0" borderId="161" xfId="6" applyNumberFormat="1" applyFont="1" applyBorder="1" applyAlignment="1">
      <alignment horizontal="center" vertical="center"/>
    </xf>
    <xf numFmtId="2" fontId="8" fillId="0" borderId="161" xfId="0" applyNumberFormat="1" applyFont="1" applyBorder="1" applyAlignment="1">
      <alignment horizontal="center" vertical="center"/>
    </xf>
    <xf numFmtId="2" fontId="8" fillId="0" borderId="161" xfId="0" applyNumberFormat="1" applyFont="1" applyBorder="1"/>
    <xf numFmtId="2" fontId="8" fillId="0" borderId="169" xfId="0" applyNumberFormat="1" applyFont="1" applyBorder="1"/>
    <xf numFmtId="2" fontId="8" fillId="0" borderId="170" xfId="0" applyNumberFormat="1" applyFont="1" applyBorder="1"/>
    <xf numFmtId="0" fontId="27" fillId="0" borderId="14" xfId="0" applyFont="1" applyBorder="1"/>
    <xf numFmtId="0" fontId="27" fillId="0" borderId="25" xfId="0" applyFont="1" applyBorder="1"/>
    <xf numFmtId="0" fontId="63" fillId="0" borderId="54" xfId="0" applyFont="1" applyBorder="1"/>
    <xf numFmtId="0" fontId="27" fillId="0" borderId="13" xfId="0" applyFont="1" applyBorder="1"/>
    <xf numFmtId="0" fontId="27" fillId="0" borderId="24" xfId="0" applyFont="1" applyBorder="1"/>
    <xf numFmtId="0" fontId="20" fillId="27" borderId="171" xfId="0" applyFont="1" applyFill="1" applyBorder="1" applyAlignment="1">
      <alignment horizontal="center" vertical="center" wrapText="1"/>
    </xf>
    <xf numFmtId="0" fontId="20" fillId="27" borderId="172" xfId="0" applyFont="1" applyFill="1" applyBorder="1" applyAlignment="1">
      <alignment horizontal="center" vertical="center" wrapText="1"/>
    </xf>
    <xf numFmtId="0" fontId="27" fillId="0" borderId="160" xfId="0" applyFont="1" applyBorder="1"/>
    <xf numFmtId="0" fontId="27" fillId="0" borderId="173" xfId="0" applyFont="1" applyBorder="1"/>
    <xf numFmtId="0" fontId="63" fillId="0" borderId="161" xfId="0" applyFont="1" applyBorder="1"/>
    <xf numFmtId="165" fontId="63" fillId="0" borderId="169" xfId="0" applyNumberFormat="1" applyFont="1" applyBorder="1"/>
    <xf numFmtId="0" fontId="20" fillId="22" borderId="174" xfId="0" applyFont="1" applyFill="1" applyBorder="1" applyAlignment="1">
      <alignment horizontal="center" vertical="center" wrapText="1"/>
    </xf>
    <xf numFmtId="0" fontId="27" fillId="0" borderId="24" xfId="0" applyFont="1" applyBorder="1" applyAlignment="1">
      <alignment horizontal="center" vertical="center"/>
    </xf>
    <xf numFmtId="0" fontId="27" fillId="0" borderId="173" xfId="0" applyFont="1" applyBorder="1" applyAlignment="1">
      <alignment horizontal="center" vertical="center"/>
    </xf>
    <xf numFmtId="165" fontId="63" fillId="0" borderId="0" xfId="0" applyNumberFormat="1" applyFont="1"/>
    <xf numFmtId="167" fontId="13" fillId="0" borderId="0" xfId="0" applyNumberFormat="1" applyFont="1"/>
    <xf numFmtId="2" fontId="13" fillId="0" borderId="0" xfId="0" applyNumberFormat="1" applyFont="1"/>
    <xf numFmtId="168" fontId="13" fillId="0" borderId="0" xfId="0" applyNumberFormat="1" applyFont="1"/>
    <xf numFmtId="0" fontId="26" fillId="0" borderId="177" xfId="0" applyFont="1" applyBorder="1" applyAlignment="1">
      <alignment horizontal="center" vertical="center"/>
    </xf>
    <xf numFmtId="1" fontId="26" fillId="0" borderId="15" xfId="0" applyNumberFormat="1" applyFont="1" applyBorder="1" applyAlignment="1">
      <alignment horizontal="center" vertical="center"/>
    </xf>
    <xf numFmtId="1" fontId="26" fillId="0" borderId="98" xfId="0" applyNumberFormat="1" applyFont="1" applyBorder="1" applyAlignment="1">
      <alignment horizontal="center" vertical="center"/>
    </xf>
    <xf numFmtId="1" fontId="26" fillId="0" borderId="54" xfId="0" applyNumberFormat="1" applyFont="1" applyBorder="1" applyAlignment="1">
      <alignment horizontal="center" vertical="center"/>
    </xf>
    <xf numFmtId="1" fontId="26" fillId="0" borderId="179" xfId="0" applyNumberFormat="1" applyFont="1" applyBorder="1" applyAlignment="1">
      <alignment horizontal="center" vertical="center"/>
    </xf>
    <xf numFmtId="1" fontId="26" fillId="0" borderId="156" xfId="0" applyNumberFormat="1" applyFont="1" applyBorder="1" applyAlignment="1">
      <alignment horizontal="center" vertical="center"/>
    </xf>
    <xf numFmtId="1" fontId="26" fillId="0" borderId="158" xfId="0" applyNumberFormat="1" applyFont="1" applyBorder="1" applyAlignment="1">
      <alignment horizontal="center" vertical="center"/>
    </xf>
    <xf numFmtId="1" fontId="26" fillId="0" borderId="161" xfId="0" applyNumberFormat="1" applyFont="1" applyBorder="1" applyAlignment="1">
      <alignment horizontal="center" vertical="center"/>
    </xf>
    <xf numFmtId="1" fontId="26" fillId="0" borderId="170" xfId="0" applyNumberFormat="1" applyFont="1" applyBorder="1" applyAlignment="1">
      <alignment horizontal="center" vertical="center"/>
    </xf>
    <xf numFmtId="1" fontId="26" fillId="0" borderId="181" xfId="0" applyNumberFormat="1" applyFont="1" applyBorder="1" applyAlignment="1">
      <alignment horizontal="center" vertical="center"/>
    </xf>
    <xf numFmtId="1" fontId="26" fillId="0" borderId="182" xfId="0" applyNumberFormat="1" applyFont="1" applyBorder="1" applyAlignment="1">
      <alignment horizontal="center" vertical="center"/>
    </xf>
    <xf numFmtId="0" fontId="26" fillId="0" borderId="183" xfId="0" applyFont="1" applyBorder="1" applyAlignment="1">
      <alignment horizontal="center" vertical="center"/>
    </xf>
    <xf numFmtId="0" fontId="26" fillId="0" borderId="162" xfId="0" applyFont="1" applyBorder="1" applyAlignment="1">
      <alignment horizontal="center" vertical="center"/>
    </xf>
    <xf numFmtId="0" fontId="26" fillId="0" borderId="184" xfId="0" applyFont="1" applyBorder="1" applyAlignment="1">
      <alignment horizontal="center" vertical="center"/>
    </xf>
    <xf numFmtId="0" fontId="26" fillId="0" borderId="169" xfId="0" applyFont="1" applyBorder="1" applyAlignment="1">
      <alignment horizontal="center" vertical="center"/>
    </xf>
    <xf numFmtId="0" fontId="20" fillId="0" borderId="0" xfId="0" applyFont="1" applyAlignment="1">
      <alignment horizontal="center" vertical="center" wrapText="1"/>
    </xf>
    <xf numFmtId="0" fontId="9" fillId="0" borderId="0" xfId="0" applyFont="1" applyAlignment="1">
      <alignment horizontal="center" vertical="center" wrapText="1"/>
    </xf>
    <xf numFmtId="0" fontId="20" fillId="27" borderId="153" xfId="0" applyFont="1" applyFill="1" applyBorder="1" applyAlignment="1">
      <alignment horizontal="center" vertical="center" wrapText="1"/>
    </xf>
    <xf numFmtId="0" fontId="27" fillId="0" borderId="185" xfId="0" applyFont="1" applyBorder="1"/>
    <xf numFmtId="0" fontId="27" fillId="0" borderId="186" xfId="0" applyFont="1" applyBorder="1"/>
    <xf numFmtId="0" fontId="27" fillId="0" borderId="159" xfId="0" applyFont="1" applyBorder="1"/>
    <xf numFmtId="0" fontId="8" fillId="0" borderId="0" xfId="0" applyFont="1" applyAlignment="1">
      <alignment vertical="center" wrapText="1"/>
    </xf>
    <xf numFmtId="0" fontId="10" fillId="0" borderId="0" xfId="5" applyAlignment="1">
      <alignment horizontal="left"/>
    </xf>
    <xf numFmtId="0" fontId="8" fillId="0" borderId="0" xfId="0" applyFont="1" applyAlignment="1">
      <alignment horizontal="left"/>
    </xf>
    <xf numFmtId="0" fontId="8" fillId="0" borderId="0" xfId="0" applyFont="1" applyAlignment="1">
      <alignment horizontal="center"/>
    </xf>
    <xf numFmtId="0" fontId="8" fillId="0" borderId="0" xfId="0" applyFont="1" applyAlignment="1">
      <alignment horizontal="left" vertical="center"/>
    </xf>
    <xf numFmtId="0" fontId="8" fillId="0" borderId="0" xfId="0" applyFont="1" applyAlignment="1">
      <alignment horizontal="center" vertical="center"/>
    </xf>
    <xf numFmtId="0" fontId="8" fillId="0" borderId="2" xfId="0" applyFont="1" applyBorder="1" applyAlignment="1">
      <alignment horizontal="center"/>
    </xf>
    <xf numFmtId="1" fontId="8" fillId="7" borderId="22" xfId="0" applyNumberFormat="1" applyFont="1" applyFill="1" applyBorder="1" applyAlignment="1">
      <alignment horizontal="left" vertical="center" wrapText="1"/>
    </xf>
    <xf numFmtId="0" fontId="0" fillId="0" borderId="0" xfId="0" applyAlignment="1">
      <alignment horizontal="left" vertical="center" wrapText="1"/>
    </xf>
    <xf numFmtId="0" fontId="13" fillId="0" borderId="0" xfId="0" applyFont="1" applyAlignment="1">
      <alignment horizontal="left" wrapText="1"/>
    </xf>
    <xf numFmtId="0" fontId="12" fillId="0" borderId="81" xfId="3" applyFont="1" applyBorder="1" applyAlignment="1">
      <alignment horizontal="left" vertical="top" wrapText="1"/>
    </xf>
    <xf numFmtId="0" fontId="8" fillId="0" borderId="2" xfId="0" applyFont="1" applyBorder="1" applyAlignment="1">
      <alignment horizontal="left" vertical="center"/>
    </xf>
    <xf numFmtId="0" fontId="8" fillId="0" borderId="38" xfId="0" applyFont="1" applyBorder="1" applyAlignment="1">
      <alignment horizontal="center" vertical="center" wrapText="1"/>
    </xf>
    <xf numFmtId="0" fontId="8" fillId="0" borderId="38" xfId="0" applyFont="1" applyBorder="1" applyAlignment="1">
      <alignment horizontal="center" vertical="center"/>
    </xf>
    <xf numFmtId="0" fontId="8" fillId="0" borderId="2" xfId="0" applyFont="1" applyBorder="1" applyAlignment="1">
      <alignment horizontal="left"/>
    </xf>
    <xf numFmtId="0" fontId="8" fillId="0" borderId="2" xfId="0" applyFont="1" applyBorder="1" applyAlignment="1">
      <alignment horizontal="left" vertical="center" wrapText="1"/>
    </xf>
    <xf numFmtId="0" fontId="8" fillId="0" borderId="81" xfId="3" applyFont="1" applyBorder="1" applyAlignment="1">
      <alignment horizontal="center" vertical="top" wrapText="1"/>
    </xf>
    <xf numFmtId="0" fontId="12" fillId="0" borderId="81" xfId="3" applyFont="1" applyBorder="1" applyAlignment="1">
      <alignment horizontal="center" vertical="top" wrapText="1"/>
    </xf>
    <xf numFmtId="0" fontId="8" fillId="0" borderId="81" xfId="0" applyFont="1" applyBorder="1" applyAlignment="1">
      <alignment horizontal="center" vertical="center"/>
    </xf>
    <xf numFmtId="0" fontId="8" fillId="0" borderId="2" xfId="0" applyFont="1" applyBorder="1" applyAlignment="1">
      <alignment horizontal="center" vertical="center"/>
    </xf>
    <xf numFmtId="0" fontId="8" fillId="7" borderId="0" xfId="0" applyFont="1" applyFill="1" applyAlignment="1">
      <alignment horizontal="left" wrapText="1"/>
    </xf>
    <xf numFmtId="0" fontId="8" fillId="7" borderId="0" xfId="0" applyFont="1" applyFill="1" applyAlignment="1">
      <alignment horizontal="left" vertical="center" wrapText="1"/>
    </xf>
    <xf numFmtId="0" fontId="8" fillId="0" borderId="15" xfId="0" applyFont="1" applyBorder="1" applyAlignment="1">
      <alignment horizontal="center" vertical="center"/>
    </xf>
    <xf numFmtId="0" fontId="25" fillId="7" borderId="0" xfId="0" applyFont="1" applyFill="1" applyAlignment="1">
      <alignment horizontal="left" wrapText="1"/>
    </xf>
    <xf numFmtId="0" fontId="8" fillId="0" borderId="47" xfId="0" applyFont="1" applyBorder="1" applyAlignment="1">
      <alignment horizontal="center" vertical="center"/>
    </xf>
    <xf numFmtId="0" fontId="27" fillId="0" borderId="0" xfId="0" applyFont="1" applyAlignment="1">
      <alignment horizontal="left" vertical="center"/>
    </xf>
    <xf numFmtId="0" fontId="8" fillId="0" borderId="0" xfId="0" applyFont="1" applyAlignment="1">
      <alignment horizontal="left" vertical="center" wrapText="1"/>
    </xf>
    <xf numFmtId="0" fontId="27" fillId="0" borderId="2" xfId="0" applyFont="1" applyBorder="1" applyAlignment="1">
      <alignment horizontal="center" vertical="center" wrapText="1"/>
    </xf>
    <xf numFmtId="0" fontId="9" fillId="0" borderId="0" xfId="0" applyFont="1" applyAlignment="1">
      <alignment horizontal="center"/>
    </xf>
    <xf numFmtId="0" fontId="8" fillId="0" borderId="0" xfId="0" applyFont="1" applyAlignment="1">
      <alignment horizontal="left" wrapText="1"/>
    </xf>
    <xf numFmtId="0" fontId="9" fillId="0" borderId="2" xfId="0" applyFont="1" applyBorder="1" applyAlignment="1">
      <alignment horizontal="left" vertical="center" wrapText="1"/>
    </xf>
    <xf numFmtId="9" fontId="8" fillId="0" borderId="2" xfId="2" applyFont="1" applyBorder="1" applyAlignment="1">
      <alignment horizontal="center" vertical="center"/>
    </xf>
    <xf numFmtId="0" fontId="8" fillId="0" borderId="2" xfId="0" applyFont="1" applyBorder="1" applyAlignment="1">
      <alignment horizontal="center" vertical="center" wrapText="1"/>
    </xf>
    <xf numFmtId="0" fontId="9" fillId="12" borderId="2" xfId="0" applyFont="1" applyFill="1" applyBorder="1" applyAlignment="1">
      <alignment horizontal="center" vertical="center"/>
    </xf>
    <xf numFmtId="0" fontId="9" fillId="12" borderId="2" xfId="0" applyFont="1" applyFill="1" applyBorder="1" applyAlignment="1">
      <alignment horizontal="center" vertical="center" wrapText="1"/>
    </xf>
    <xf numFmtId="0" fontId="8" fillId="0" borderId="15" xfId="0" applyFont="1" applyBorder="1" applyAlignment="1">
      <alignment horizontal="center"/>
    </xf>
    <xf numFmtId="0" fontId="8" fillId="0" borderId="19" xfId="0" applyFont="1" applyBorder="1" applyAlignment="1">
      <alignment horizontal="center"/>
    </xf>
    <xf numFmtId="0" fontId="8" fillId="0" borderId="22" xfId="0" applyFont="1" applyBorder="1" applyAlignment="1">
      <alignment horizontal="center"/>
    </xf>
    <xf numFmtId="0" fontId="26" fillId="0" borderId="54" xfId="0" applyFont="1" applyBorder="1" applyAlignment="1">
      <alignment horizontal="center" vertical="center"/>
    </xf>
    <xf numFmtId="0" fontId="26" fillId="0" borderId="1" xfId="0" applyFont="1" applyBorder="1" applyAlignment="1">
      <alignment horizontal="center" vertical="center"/>
    </xf>
    <xf numFmtId="0" fontId="26" fillId="0" borderId="2" xfId="0" applyFont="1" applyBorder="1" applyAlignment="1">
      <alignment horizontal="center" vertical="center"/>
    </xf>
    <xf numFmtId="0" fontId="26" fillId="0" borderId="66" xfId="0" applyFont="1" applyBorder="1" applyAlignment="1">
      <alignment horizontal="center" vertical="center"/>
    </xf>
    <xf numFmtId="0" fontId="26" fillId="0" borderId="4" xfId="0" applyFont="1" applyBorder="1" applyAlignment="1">
      <alignment horizontal="center" vertical="center"/>
    </xf>
    <xf numFmtId="0" fontId="26" fillId="0" borderId="6" xfId="0" applyFont="1" applyBorder="1" applyAlignment="1">
      <alignment horizontal="center" vertical="center"/>
    </xf>
    <xf numFmtId="0" fontId="26" fillId="0" borderId="8" xfId="0" applyFont="1" applyBorder="1" applyAlignment="1">
      <alignment horizontal="center" vertical="center"/>
    </xf>
    <xf numFmtId="0" fontId="26" fillId="0" borderId="36" xfId="0" applyFont="1" applyBorder="1" applyAlignment="1">
      <alignment horizontal="center" vertical="center"/>
    </xf>
    <xf numFmtId="0" fontId="26" fillId="0" borderId="22" xfId="0" applyFont="1" applyBorder="1" applyAlignment="1">
      <alignment horizontal="center" vertical="center"/>
    </xf>
    <xf numFmtId="0" fontId="20" fillId="12" borderId="2" xfId="0" applyFont="1" applyFill="1" applyBorder="1" applyAlignment="1">
      <alignment horizontal="center" vertical="center" wrapText="1"/>
    </xf>
    <xf numFmtId="0" fontId="9" fillId="12" borderId="15" xfId="0" applyFont="1" applyFill="1" applyBorder="1" applyAlignment="1">
      <alignment horizontal="center" vertical="center"/>
    </xf>
    <xf numFmtId="0" fontId="26" fillId="0" borderId="56" xfId="0" applyFont="1" applyBorder="1" applyAlignment="1">
      <alignment horizontal="center" vertical="center"/>
    </xf>
    <xf numFmtId="0" fontId="26" fillId="0" borderId="61" xfId="0" applyFont="1" applyBorder="1" applyAlignment="1">
      <alignment horizontal="center" vertical="center"/>
    </xf>
    <xf numFmtId="0" fontId="9" fillId="12" borderId="0" xfId="0" applyFont="1" applyFill="1" applyAlignment="1">
      <alignment horizontal="center" vertical="center"/>
    </xf>
    <xf numFmtId="0" fontId="29" fillId="12" borderId="2" xfId="0" applyFont="1" applyFill="1" applyBorder="1" applyAlignment="1">
      <alignment horizontal="center" vertical="center"/>
    </xf>
    <xf numFmtId="0" fontId="8" fillId="0" borderId="3" xfId="0" applyFont="1" applyBorder="1" applyAlignment="1">
      <alignment horizontal="center" vertical="center" wrapText="1"/>
    </xf>
    <xf numFmtId="0" fontId="9" fillId="0" borderId="0" xfId="0" applyFont="1" applyAlignment="1">
      <alignment horizontal="center" vertical="center"/>
    </xf>
    <xf numFmtId="0" fontId="20" fillId="27" borderId="187" xfId="0" applyFont="1" applyFill="1" applyBorder="1" applyAlignment="1">
      <alignment horizontal="center" vertical="center" wrapText="1"/>
    </xf>
    <xf numFmtId="0" fontId="63" fillId="0" borderId="162" xfId="0" applyFont="1" applyBorder="1"/>
    <xf numFmtId="0" fontId="20" fillId="28" borderId="55" xfId="0" applyFont="1" applyFill="1" applyBorder="1" applyAlignment="1">
      <alignment horizontal="center" vertical="center" wrapText="1"/>
    </xf>
    <xf numFmtId="0" fontId="20" fillId="28" borderId="188" xfId="0" applyFont="1" applyFill="1" applyBorder="1" applyAlignment="1">
      <alignment horizontal="center" vertical="center" wrapText="1"/>
    </xf>
    <xf numFmtId="0" fontId="9" fillId="10" borderId="147" xfId="0" applyFont="1" applyFill="1" applyBorder="1" applyAlignment="1">
      <alignment horizontal="center" vertical="center" wrapText="1"/>
    </xf>
    <xf numFmtId="165" fontId="63" fillId="0" borderId="58" xfId="0" applyNumberFormat="1" applyFont="1" applyBorder="1"/>
    <xf numFmtId="165" fontId="8" fillId="0" borderId="59" xfId="0" applyNumberFormat="1" applyFont="1" applyBorder="1"/>
    <xf numFmtId="165" fontId="63" fillId="0" borderId="60" xfId="0" applyNumberFormat="1" applyFont="1" applyBorder="1"/>
    <xf numFmtId="165" fontId="63" fillId="0" borderId="189" xfId="0" applyNumberFormat="1" applyFont="1" applyBorder="1"/>
    <xf numFmtId="0" fontId="8" fillId="0" borderId="190" xfId="0" applyFont="1" applyBorder="1"/>
    <xf numFmtId="165" fontId="8" fillId="0" borderId="62" xfId="0" applyNumberFormat="1" applyFont="1" applyBorder="1"/>
    <xf numFmtId="0" fontId="34" fillId="0" borderId="136" xfId="0" applyFont="1" applyFill="1" applyBorder="1" applyAlignment="1">
      <alignment horizontal="center" vertical="center"/>
    </xf>
    <xf numFmtId="1" fontId="34" fillId="0" borderId="89" xfId="0" applyNumberFormat="1" applyFont="1" applyFill="1" applyBorder="1" applyAlignment="1">
      <alignment horizontal="center" vertical="center"/>
    </xf>
    <xf numFmtId="1" fontId="34" fillId="0" borderId="90" xfId="0" applyNumberFormat="1" applyFont="1" applyFill="1" applyBorder="1" applyAlignment="1">
      <alignment horizontal="center" vertical="center"/>
    </xf>
    <xf numFmtId="0" fontId="34" fillId="0" borderId="101" xfId="0" applyFont="1" applyFill="1" applyBorder="1" applyAlignment="1">
      <alignment horizontal="center" vertical="center"/>
    </xf>
    <xf numFmtId="1" fontId="34" fillId="0" borderId="81" xfId="0" applyNumberFormat="1" applyFont="1" applyFill="1" applyBorder="1" applyAlignment="1">
      <alignment horizontal="center" vertical="center"/>
    </xf>
    <xf numFmtId="1" fontId="34" fillId="0" borderId="94" xfId="0" applyNumberFormat="1" applyFont="1" applyFill="1" applyBorder="1" applyAlignment="1">
      <alignment horizontal="center" vertical="center"/>
    </xf>
    <xf numFmtId="0" fontId="34" fillId="0" borderId="139" xfId="0" applyFont="1" applyFill="1" applyBorder="1" applyAlignment="1">
      <alignment horizontal="center" vertical="center"/>
    </xf>
    <xf numFmtId="1" fontId="34" fillId="0" borderId="137" xfId="0" applyNumberFormat="1" applyFont="1" applyFill="1" applyBorder="1" applyAlignment="1">
      <alignment horizontal="center" vertical="center"/>
    </xf>
    <xf numFmtId="1" fontId="34" fillId="0" borderId="140" xfId="0" applyNumberFormat="1" applyFont="1" applyFill="1" applyBorder="1" applyAlignment="1">
      <alignment horizontal="center" vertical="center"/>
    </xf>
    <xf numFmtId="0" fontId="34" fillId="0" borderId="112" xfId="0" applyFont="1" applyFill="1" applyBorder="1" applyAlignment="1">
      <alignment horizontal="center" vertical="center"/>
    </xf>
    <xf numFmtId="1" fontId="34" fillId="0" borderId="86" xfId="0" applyNumberFormat="1" applyFont="1" applyFill="1" applyBorder="1" applyAlignment="1">
      <alignment horizontal="center" vertical="center"/>
    </xf>
    <xf numFmtId="1" fontId="34" fillId="0" borderId="113" xfId="0" applyNumberFormat="1" applyFont="1" applyFill="1" applyBorder="1" applyAlignment="1">
      <alignment horizontal="center" vertical="center"/>
    </xf>
    <xf numFmtId="1" fontId="34" fillId="0" borderId="114" xfId="0" applyNumberFormat="1" applyFont="1" applyFill="1" applyBorder="1" applyAlignment="1">
      <alignment horizontal="center" vertical="center"/>
    </xf>
    <xf numFmtId="0" fontId="34" fillId="0" borderId="109" xfId="0" applyFont="1" applyFill="1" applyBorder="1" applyAlignment="1">
      <alignment horizontal="center" vertical="center"/>
    </xf>
    <xf numFmtId="1" fontId="34" fillId="0" borderId="107" xfId="0" applyNumberFormat="1" applyFont="1" applyFill="1" applyBorder="1" applyAlignment="1">
      <alignment horizontal="center" vertical="center"/>
    </xf>
    <xf numFmtId="1" fontId="34" fillId="0" borderId="115" xfId="0" applyNumberFormat="1" applyFont="1" applyFill="1" applyBorder="1" applyAlignment="1">
      <alignment horizontal="center" vertical="center"/>
    </xf>
    <xf numFmtId="0" fontId="8" fillId="0" borderId="2" xfId="0" applyFont="1" applyFill="1" applyBorder="1" applyAlignment="1">
      <alignment horizontal="center" vertical="center" wrapText="1"/>
    </xf>
    <xf numFmtId="0" fontId="8" fillId="0" borderId="0" xfId="0" applyFont="1" applyAlignment="1">
      <alignment horizontal="left" vertical="center"/>
    </xf>
    <xf numFmtId="0" fontId="14" fillId="18" borderId="0" xfId="0" applyFont="1" applyFill="1" applyAlignment="1">
      <alignment horizontal="center" vertical="center"/>
    </xf>
    <xf numFmtId="0" fontId="8" fillId="0" borderId="0" xfId="0" applyFont="1" applyAlignment="1">
      <alignment horizontal="center"/>
    </xf>
    <xf numFmtId="0" fontId="10" fillId="0" borderId="0" xfId="5" applyAlignment="1">
      <alignment horizontal="left"/>
    </xf>
    <xf numFmtId="0" fontId="8" fillId="0" borderId="0" xfId="0" applyFont="1" applyAlignment="1">
      <alignment horizontal="left"/>
    </xf>
    <xf numFmtId="0" fontId="8" fillId="0" borderId="0" xfId="0" applyFont="1" applyAlignment="1">
      <alignment horizontal="center" vertical="center"/>
    </xf>
    <xf numFmtId="0" fontId="8" fillId="0" borderId="0" xfId="0" applyFont="1" applyAlignment="1">
      <alignment vertical="center" wrapText="1"/>
    </xf>
    <xf numFmtId="0" fontId="18" fillId="18" borderId="0" xfId="0" applyFont="1" applyFill="1" applyAlignment="1">
      <alignment horizontal="center" vertical="center" wrapText="1"/>
    </xf>
    <xf numFmtId="0" fontId="8" fillId="12" borderId="52" xfId="0" applyFont="1" applyFill="1" applyBorder="1" applyAlignment="1">
      <alignment horizontal="center" vertical="center"/>
    </xf>
    <xf numFmtId="0" fontId="8" fillId="12" borderId="0" xfId="0" applyFont="1" applyFill="1" applyAlignment="1">
      <alignment horizontal="center" vertical="center"/>
    </xf>
    <xf numFmtId="0" fontId="8" fillId="0" borderId="2" xfId="0" applyFont="1" applyBorder="1" applyAlignment="1">
      <alignment horizontal="center" wrapText="1"/>
    </xf>
    <xf numFmtId="0" fontId="8" fillId="0" borderId="2" xfId="0" applyFont="1" applyBorder="1" applyAlignment="1">
      <alignment horizontal="center"/>
    </xf>
    <xf numFmtId="0" fontId="19" fillId="0" borderId="24" xfId="0" applyFont="1" applyBorder="1" applyAlignment="1">
      <alignment horizontal="left" vertical="center"/>
    </xf>
    <xf numFmtId="0" fontId="14" fillId="18" borderId="3" xfId="1" applyFont="1" applyFill="1" applyBorder="1" applyAlignment="1">
      <alignment horizontal="center" vertical="center" wrapText="1"/>
    </xf>
    <xf numFmtId="0" fontId="14" fillId="18" borderId="13" xfId="1" applyFont="1" applyFill="1" applyBorder="1" applyAlignment="1">
      <alignment horizontal="center" vertical="center" wrapText="1"/>
    </xf>
    <xf numFmtId="0" fontId="8" fillId="0" borderId="80" xfId="0" applyFont="1" applyBorder="1" applyAlignment="1">
      <alignment horizontal="left"/>
    </xf>
    <xf numFmtId="1" fontId="8" fillId="7" borderId="15" xfId="0" applyNumberFormat="1" applyFont="1" applyFill="1" applyBorder="1" applyAlignment="1">
      <alignment horizontal="left" vertical="center" wrapText="1"/>
    </xf>
    <xf numFmtId="1" fontId="8" fillId="7" borderId="19" xfId="0" applyNumberFormat="1" applyFont="1" applyFill="1" applyBorder="1" applyAlignment="1">
      <alignment horizontal="left" vertical="center" wrapText="1"/>
    </xf>
    <xf numFmtId="1" fontId="8" fillId="7" borderId="22" xfId="0" applyNumberFormat="1" applyFont="1" applyFill="1" applyBorder="1" applyAlignment="1">
      <alignment horizontal="left" vertical="center" wrapText="1"/>
    </xf>
    <xf numFmtId="0" fontId="52" fillId="0" borderId="0" xfId="0" applyFont="1" applyAlignment="1">
      <alignment horizontal="center"/>
    </xf>
    <xf numFmtId="0" fontId="0" fillId="0" borderId="0" xfId="0" applyAlignment="1">
      <alignment horizontal="left" wrapText="1"/>
    </xf>
    <xf numFmtId="0" fontId="8" fillId="0" borderId="81" xfId="0" applyFont="1" applyBorder="1" applyAlignment="1">
      <alignment horizontal="center" wrapText="1"/>
    </xf>
    <xf numFmtId="0" fontId="0" fillId="0" borderId="0" xfId="0" applyAlignment="1">
      <alignment horizontal="left" vertical="center" wrapText="1"/>
    </xf>
    <xf numFmtId="0" fontId="9" fillId="12" borderId="53" xfId="0" applyFont="1" applyFill="1" applyBorder="1" applyAlignment="1">
      <alignment horizontal="center" vertical="center"/>
    </xf>
    <xf numFmtId="0" fontId="9" fillId="12" borderId="72" xfId="0" applyFont="1" applyFill="1" applyBorder="1" applyAlignment="1">
      <alignment horizontal="center" vertical="center"/>
    </xf>
    <xf numFmtId="0" fontId="9" fillId="12" borderId="82" xfId="0" applyFont="1" applyFill="1" applyBorder="1" applyAlignment="1">
      <alignment horizontal="center" vertical="center"/>
    </xf>
    <xf numFmtId="0" fontId="8" fillId="0" borderId="81" xfId="0" applyFont="1" applyBorder="1" applyAlignment="1">
      <alignment horizontal="center" vertical="center"/>
    </xf>
    <xf numFmtId="0" fontId="48" fillId="0" borderId="81" xfId="0" applyFont="1" applyBorder="1" applyAlignment="1">
      <alignment horizontal="center" vertical="center" wrapText="1"/>
    </xf>
    <xf numFmtId="0" fontId="8" fillId="0" borderId="81" xfId="0" applyFont="1" applyBorder="1" applyAlignment="1">
      <alignment horizontal="center" vertical="center" wrapText="1"/>
    </xf>
    <xf numFmtId="0" fontId="27" fillId="0" borderId="81" xfId="0" applyFont="1" applyBorder="1" applyAlignment="1">
      <alignment horizontal="left" vertical="center" wrapText="1"/>
    </xf>
    <xf numFmtId="0" fontId="50" fillId="0" borderId="81" xfId="0" applyFont="1" applyBorder="1" applyAlignment="1">
      <alignment horizontal="left" vertical="center" wrapText="1"/>
    </xf>
    <xf numFmtId="0" fontId="1" fillId="0" borderId="81" xfId="0" applyFont="1" applyBorder="1" applyAlignment="1">
      <alignment horizontal="left" vertical="center" wrapText="1"/>
    </xf>
    <xf numFmtId="0" fontId="8" fillId="0" borderId="81" xfId="3" applyFont="1" applyBorder="1" applyAlignment="1">
      <alignment horizontal="center" vertical="top" wrapText="1"/>
    </xf>
    <xf numFmtId="0" fontId="12" fillId="0" borderId="81" xfId="3" applyFont="1" applyBorder="1" applyAlignment="1">
      <alignment horizontal="center" vertical="top" wrapText="1"/>
    </xf>
    <xf numFmtId="167" fontId="12" fillId="0" borderId="81" xfId="3" applyNumberFormat="1" applyFont="1" applyBorder="1" applyAlignment="1">
      <alignment horizontal="center" vertical="top" wrapText="1"/>
    </xf>
    <xf numFmtId="0" fontId="8" fillId="0" borderId="38" xfId="0" applyFont="1" applyBorder="1" applyAlignment="1">
      <alignment horizontal="center" vertical="center"/>
    </xf>
    <xf numFmtId="0" fontId="8" fillId="0" borderId="38" xfId="0" applyFont="1" applyBorder="1" applyAlignment="1">
      <alignment horizontal="center" vertical="center" wrapText="1"/>
    </xf>
    <xf numFmtId="0" fontId="8" fillId="0" borderId="48" xfId="0" applyFont="1" applyBorder="1" applyAlignment="1">
      <alignment horizontal="center" vertical="center" wrapText="1"/>
    </xf>
    <xf numFmtId="0" fontId="8" fillId="0" borderId="47" xfId="0" applyFont="1" applyBorder="1" applyAlignment="1">
      <alignment horizontal="center" vertical="center" wrapText="1"/>
    </xf>
    <xf numFmtId="0" fontId="1" fillId="0" borderId="38"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51" xfId="0" applyFont="1" applyBorder="1" applyAlignment="1">
      <alignment horizontal="center" vertical="center" wrapText="1"/>
    </xf>
    <xf numFmtId="0" fontId="8" fillId="0" borderId="48" xfId="0" applyFont="1" applyBorder="1" applyAlignment="1">
      <alignment horizontal="left" vertical="center"/>
    </xf>
    <xf numFmtId="0" fontId="8" fillId="0" borderId="46" xfId="0" applyFont="1" applyBorder="1" applyAlignment="1">
      <alignment horizontal="left" vertical="center"/>
    </xf>
    <xf numFmtId="0" fontId="8" fillId="0" borderId="47" xfId="0" applyFont="1" applyBorder="1" applyAlignment="1">
      <alignment horizontal="left" vertical="center"/>
    </xf>
    <xf numFmtId="0" fontId="9" fillId="12" borderId="49" xfId="0" applyFont="1" applyFill="1" applyBorder="1" applyAlignment="1">
      <alignment horizontal="center" vertical="center" wrapText="1"/>
    </xf>
    <xf numFmtId="0" fontId="9" fillId="12" borderId="50" xfId="0" applyFont="1" applyFill="1" applyBorder="1" applyAlignment="1">
      <alignment horizontal="center" vertical="center" wrapText="1"/>
    </xf>
    <xf numFmtId="0" fontId="9" fillId="12" borderId="51" xfId="0" applyFont="1" applyFill="1" applyBorder="1" applyAlignment="1">
      <alignment horizontal="center" vertical="center" wrapText="1"/>
    </xf>
    <xf numFmtId="0" fontId="14" fillId="18" borderId="67" xfId="0" applyFont="1" applyFill="1" applyBorder="1" applyAlignment="1">
      <alignment horizontal="center" vertical="center"/>
    </xf>
    <xf numFmtId="0" fontId="14" fillId="18" borderId="0" xfId="0" applyFont="1" applyFill="1" applyAlignment="1">
      <alignment horizontal="center" vertical="center" wrapText="1"/>
    </xf>
    <xf numFmtId="0" fontId="8" fillId="0" borderId="2" xfId="0" applyFont="1" applyBorder="1" applyAlignment="1">
      <alignment horizontal="left" vertical="center"/>
    </xf>
    <xf numFmtId="0" fontId="8" fillId="0" borderId="2" xfId="0" applyFont="1" applyBorder="1" applyAlignment="1">
      <alignment horizontal="left"/>
    </xf>
    <xf numFmtId="0" fontId="8" fillId="0" borderId="2" xfId="0" applyFont="1" applyBorder="1" applyAlignment="1">
      <alignment horizontal="left" vertical="center" wrapText="1"/>
    </xf>
    <xf numFmtId="0" fontId="41" fillId="0" borderId="21" xfId="0" applyFont="1" applyBorder="1" applyAlignment="1">
      <alignment horizontal="center" vertical="center"/>
    </xf>
    <xf numFmtId="0" fontId="20" fillId="0" borderId="3" xfId="0" applyFont="1" applyBorder="1" applyAlignment="1">
      <alignment horizontal="center"/>
    </xf>
    <xf numFmtId="0" fontId="20" fillId="0" borderId="13" xfId="0" applyFont="1" applyBorder="1" applyAlignment="1">
      <alignment horizontal="center"/>
    </xf>
    <xf numFmtId="0" fontId="20" fillId="0" borderId="14" xfId="0" applyFont="1" applyBorder="1" applyAlignment="1">
      <alignment horizontal="center"/>
    </xf>
    <xf numFmtId="0" fontId="13" fillId="0" borderId="0" xfId="0" applyFont="1" applyAlignment="1">
      <alignment horizontal="left" wrapText="1"/>
    </xf>
    <xf numFmtId="0" fontId="13" fillId="0" borderId="0" xfId="0" applyFont="1" applyAlignment="1">
      <alignment horizontal="center" wrapText="1"/>
    </xf>
    <xf numFmtId="0" fontId="36" fillId="0" borderId="0" xfId="0" applyFont="1" applyAlignment="1">
      <alignment horizontal="center" vertical="center"/>
    </xf>
    <xf numFmtId="0" fontId="8" fillId="0" borderId="49" xfId="0" applyFont="1" applyBorder="1" applyAlignment="1">
      <alignment horizontal="left" vertical="center"/>
    </xf>
    <xf numFmtId="0" fontId="8" fillId="0" borderId="50" xfId="0" applyFont="1" applyBorder="1" applyAlignment="1">
      <alignment horizontal="left" vertical="center"/>
    </xf>
    <xf numFmtId="0" fontId="8" fillId="0" borderId="51" xfId="0" applyFont="1" applyBorder="1" applyAlignment="1">
      <alignment horizontal="left" vertical="center"/>
    </xf>
    <xf numFmtId="0" fontId="8" fillId="0" borderId="49" xfId="0" applyFont="1" applyBorder="1" applyAlignment="1">
      <alignment horizontal="left" vertical="center" wrapText="1"/>
    </xf>
    <xf numFmtId="0" fontId="8" fillId="0" borderId="50" xfId="0" applyFont="1" applyBorder="1" applyAlignment="1">
      <alignment horizontal="left" vertical="center" wrapText="1"/>
    </xf>
    <xf numFmtId="0" fontId="8" fillId="0" borderId="51" xfId="0" applyFont="1" applyBorder="1" applyAlignment="1">
      <alignment horizontal="left" vertical="center" wrapText="1"/>
    </xf>
    <xf numFmtId="0" fontId="12" fillId="0" borderId="81" xfId="3" applyFont="1" applyBorder="1" applyAlignment="1">
      <alignment horizontal="left" vertical="top" wrapText="1"/>
    </xf>
    <xf numFmtId="168" fontId="47" fillId="0" borderId="81" xfId="0" applyNumberFormat="1" applyFont="1" applyBorder="1" applyAlignment="1">
      <alignment horizontal="center" vertical="center" wrapText="1"/>
    </xf>
    <xf numFmtId="0" fontId="25" fillId="7" borderId="0" xfId="0" applyFont="1" applyFill="1" applyAlignment="1">
      <alignment horizontal="left" wrapText="1"/>
    </xf>
    <xf numFmtId="0" fontId="8" fillId="7" borderId="45" xfId="0" applyFont="1" applyFill="1" applyBorder="1" applyAlignment="1">
      <alignment horizontal="left" vertical="center"/>
    </xf>
    <xf numFmtId="0" fontId="8" fillId="7" borderId="0" xfId="0" applyFont="1" applyFill="1" applyAlignment="1">
      <alignment horizontal="left" wrapText="1"/>
    </xf>
    <xf numFmtId="0" fontId="8" fillId="0" borderId="48" xfId="0" applyFont="1" applyBorder="1" applyAlignment="1">
      <alignment horizontal="center" vertical="center"/>
    </xf>
    <xf numFmtId="0" fontId="8" fillId="0" borderId="46" xfId="0" applyFont="1" applyBorder="1" applyAlignment="1">
      <alignment horizontal="center" vertical="center"/>
    </xf>
    <xf numFmtId="0" fontId="8" fillId="0" borderId="47" xfId="0" applyFont="1" applyBorder="1" applyAlignment="1">
      <alignment horizontal="center" vertical="center"/>
    </xf>
    <xf numFmtId="0" fontId="8" fillId="0" borderId="71" xfId="0" applyFont="1" applyBorder="1" applyAlignment="1">
      <alignment horizontal="center" vertical="center" wrapText="1"/>
    </xf>
    <xf numFmtId="0" fontId="8" fillId="0" borderId="46" xfId="0" applyFont="1" applyBorder="1" applyAlignment="1">
      <alignment horizontal="center" vertical="center" wrapText="1"/>
    </xf>
    <xf numFmtId="0" fontId="58" fillId="23" borderId="81" xfId="0" applyFont="1" applyFill="1" applyBorder="1" applyAlignment="1">
      <alignment horizontal="center" vertical="center"/>
    </xf>
    <xf numFmtId="0" fontId="8" fillId="0" borderId="15" xfId="0" applyFont="1" applyBorder="1" applyAlignment="1">
      <alignment horizontal="center" vertical="center"/>
    </xf>
    <xf numFmtId="0" fontId="8" fillId="0" borderId="22" xfId="0" applyFont="1" applyBorder="1" applyAlignment="1">
      <alignment horizontal="center" vertical="center"/>
    </xf>
    <xf numFmtId="0" fontId="8" fillId="0" borderId="2" xfId="0" applyFont="1" applyBorder="1" applyAlignment="1">
      <alignment horizontal="center" vertical="center"/>
    </xf>
    <xf numFmtId="0" fontId="14" fillId="18" borderId="24" xfId="0" applyFont="1" applyFill="1" applyBorder="1" applyAlignment="1">
      <alignment horizontal="center" vertical="center" wrapText="1"/>
    </xf>
    <xf numFmtId="0" fontId="27" fillId="7" borderId="40" xfId="0" applyFont="1" applyFill="1" applyBorder="1" applyAlignment="1">
      <alignment horizontal="center" vertical="center"/>
    </xf>
    <xf numFmtId="0" fontId="27" fillId="7" borderId="41" xfId="0" applyFont="1" applyFill="1" applyBorder="1" applyAlignment="1">
      <alignment horizontal="center" vertical="center"/>
    </xf>
    <xf numFmtId="0" fontId="27" fillId="7" borderId="42" xfId="0" applyFont="1" applyFill="1" applyBorder="1" applyAlignment="1">
      <alignment horizontal="center" vertical="center"/>
    </xf>
    <xf numFmtId="0" fontId="27" fillId="0" borderId="40" xfId="0" applyFont="1" applyBorder="1" applyAlignment="1">
      <alignment horizontal="center" vertical="center"/>
    </xf>
    <xf numFmtId="0" fontId="27" fillId="0" borderId="41" xfId="0" applyFont="1" applyBorder="1" applyAlignment="1">
      <alignment horizontal="center" vertical="center"/>
    </xf>
    <xf numFmtId="0" fontId="27" fillId="0" borderId="42" xfId="0" applyFont="1" applyBorder="1" applyAlignment="1">
      <alignment horizontal="center" vertical="center"/>
    </xf>
    <xf numFmtId="0" fontId="8" fillId="7" borderId="0" xfId="0" applyFont="1" applyFill="1" applyAlignment="1">
      <alignment horizontal="left" vertical="center" wrapText="1"/>
    </xf>
    <xf numFmtId="0" fontId="8" fillId="0" borderId="85" xfId="0" applyFont="1" applyBorder="1" applyAlignment="1">
      <alignment horizontal="center" vertical="center"/>
    </xf>
    <xf numFmtId="0" fontId="8" fillId="0" borderId="86" xfId="0" applyFont="1" applyBorder="1" applyAlignment="1">
      <alignment horizontal="center" vertical="center"/>
    </xf>
    <xf numFmtId="0" fontId="10" fillId="0" borderId="2" xfId="5" applyBorder="1" applyAlignment="1">
      <alignment horizontal="center" vertical="center" wrapText="1"/>
    </xf>
    <xf numFmtId="0" fontId="53" fillId="0" borderId="0" xfId="0" applyFont="1" applyAlignment="1">
      <alignment horizontal="left" wrapText="1"/>
    </xf>
    <xf numFmtId="0" fontId="0" fillId="0" borderId="21" xfId="0" applyBorder="1" applyAlignment="1">
      <alignment horizontal="center" vertical="center"/>
    </xf>
    <xf numFmtId="0" fontId="46" fillId="0" borderId="0" xfId="0" applyFont="1" applyAlignment="1">
      <alignment horizontal="left" vertical="center" wrapText="1"/>
    </xf>
    <xf numFmtId="0" fontId="0" fillId="0" borderId="2" xfId="0" applyBorder="1" applyAlignment="1">
      <alignment horizontal="center" vertical="center" wrapText="1"/>
    </xf>
    <xf numFmtId="0" fontId="27" fillId="0" borderId="0" xfId="0" applyFont="1" applyAlignment="1">
      <alignment horizontal="left" vertical="center"/>
    </xf>
    <xf numFmtId="0" fontId="27" fillId="0" borderId="0" xfId="0" applyFont="1" applyAlignment="1">
      <alignment horizontal="left" vertical="center" wrapText="1"/>
    </xf>
    <xf numFmtId="0" fontId="8" fillId="0" borderId="0" xfId="0" applyFont="1" applyAlignment="1">
      <alignment horizontal="left" vertical="center" wrapText="1"/>
    </xf>
    <xf numFmtId="0" fontId="9" fillId="2" borderId="0" xfId="0" applyFont="1" applyFill="1" applyAlignment="1">
      <alignment horizontal="left" vertical="center"/>
    </xf>
    <xf numFmtId="0" fontId="0" fillId="0" borderId="2" xfId="0" applyBorder="1" applyAlignment="1">
      <alignment horizontal="center"/>
    </xf>
    <xf numFmtId="0" fontId="0" fillId="0" borderId="3" xfId="0" applyBorder="1" applyAlignment="1">
      <alignment horizontal="left"/>
    </xf>
    <xf numFmtId="0" fontId="0" fillId="0" borderId="14" xfId="0" applyBorder="1" applyAlignment="1">
      <alignment horizontal="left"/>
    </xf>
    <xf numFmtId="0" fontId="29" fillId="0" borderId="10" xfId="0" applyFont="1" applyBorder="1" applyAlignment="1">
      <alignment horizontal="center"/>
    </xf>
    <xf numFmtId="0" fontId="29" fillId="0" borderId="11" xfId="0" applyFont="1" applyBorder="1" applyAlignment="1">
      <alignment horizontal="center"/>
    </xf>
    <xf numFmtId="0" fontId="29" fillId="0" borderId="12" xfId="0" applyFont="1" applyBorder="1" applyAlignment="1">
      <alignment horizontal="center"/>
    </xf>
    <xf numFmtId="0" fontId="29" fillId="15" borderId="31" xfId="0" applyFont="1" applyFill="1" applyBorder="1" applyAlignment="1">
      <alignment horizontal="center" vertical="center" wrapText="1"/>
    </xf>
    <xf numFmtId="0" fontId="29" fillId="15" borderId="32" xfId="0" applyFont="1" applyFill="1" applyBorder="1" applyAlignment="1">
      <alignment horizontal="center" vertical="center" wrapText="1"/>
    </xf>
    <xf numFmtId="0" fontId="14" fillId="18" borderId="149" xfId="0" applyFont="1" applyFill="1" applyBorder="1" applyAlignment="1">
      <alignment horizontal="center" vertical="center" wrapText="1"/>
    </xf>
    <xf numFmtId="0" fontId="1" fillId="0" borderId="78" xfId="0" applyFont="1" applyBorder="1" applyAlignment="1">
      <alignment horizontal="left" vertical="center" wrapText="1"/>
    </xf>
    <xf numFmtId="0" fontId="1" fillId="0" borderId="78" xfId="0" applyFont="1" applyBorder="1" applyAlignment="1">
      <alignment horizontal="left" vertical="center"/>
    </xf>
    <xf numFmtId="0" fontId="8" fillId="0" borderId="0" xfId="0" applyFont="1" applyAlignment="1">
      <alignment horizontal="left" wrapText="1"/>
    </xf>
    <xf numFmtId="0" fontId="27" fillId="0" borderId="2" xfId="0" applyFont="1" applyBorder="1" applyAlignment="1">
      <alignment horizontal="center" vertical="center" wrapText="1"/>
    </xf>
    <xf numFmtId="0" fontId="14" fillId="18" borderId="23" xfId="0" applyFont="1" applyFill="1" applyBorder="1" applyAlignment="1">
      <alignment horizontal="center" vertical="center" wrapText="1"/>
    </xf>
    <xf numFmtId="0" fontId="20" fillId="12" borderId="78" xfId="0" applyFont="1" applyFill="1" applyBorder="1" applyAlignment="1">
      <alignment horizontal="center" vertical="center" wrapText="1"/>
    </xf>
    <xf numFmtId="0" fontId="9" fillId="0" borderId="24" xfId="0" applyFont="1" applyBorder="1" applyAlignment="1">
      <alignment horizontal="center"/>
    </xf>
    <xf numFmtId="0" fontId="8" fillId="0" borderId="2" xfId="0" applyFont="1" applyBorder="1" applyAlignment="1">
      <alignment horizontal="center" vertical="center" wrapText="1"/>
    </xf>
    <xf numFmtId="0" fontId="14" fillId="18" borderId="20" xfId="0" applyFont="1" applyFill="1" applyBorder="1" applyAlignment="1">
      <alignment horizontal="center" vertical="center" wrapText="1"/>
    </xf>
    <xf numFmtId="0" fontId="9" fillId="12" borderId="2" xfId="0" applyFont="1" applyFill="1" applyBorder="1" applyAlignment="1">
      <alignment horizontal="center" vertical="center"/>
    </xf>
    <xf numFmtId="0" fontId="9" fillId="12" borderId="2" xfId="0" applyFont="1" applyFill="1" applyBorder="1" applyAlignment="1">
      <alignment horizontal="center" vertical="center" wrapText="1"/>
    </xf>
    <xf numFmtId="0" fontId="17" fillId="0" borderId="22" xfId="5" applyFont="1" applyBorder="1" applyAlignment="1">
      <alignment horizontal="left" vertical="center"/>
    </xf>
    <xf numFmtId="0" fontId="17" fillId="0" borderId="23" xfId="5" applyFont="1" applyBorder="1" applyAlignment="1">
      <alignment horizontal="left" vertical="center"/>
    </xf>
    <xf numFmtId="10" fontId="9" fillId="0" borderId="16" xfId="8" applyNumberFormat="1" applyFont="1" applyFill="1" applyBorder="1" applyAlignment="1">
      <alignment horizontal="center"/>
    </xf>
    <xf numFmtId="10" fontId="9" fillId="0" borderId="17" xfId="8" applyNumberFormat="1" applyFont="1" applyFill="1" applyBorder="1" applyAlignment="1">
      <alignment horizontal="center"/>
    </xf>
    <xf numFmtId="10" fontId="9" fillId="0" borderId="18" xfId="8" applyNumberFormat="1" applyFont="1" applyFill="1" applyBorder="1" applyAlignment="1">
      <alignment horizontal="center"/>
    </xf>
    <xf numFmtId="0" fontId="8" fillId="0" borderId="24" xfId="0" applyFont="1" applyBorder="1" applyAlignment="1">
      <alignment horizontal="left" vertical="center" wrapText="1"/>
    </xf>
    <xf numFmtId="0" fontId="9" fillId="0" borderId="13" xfId="0" applyFont="1" applyBorder="1" applyAlignment="1">
      <alignment horizontal="center" vertical="center"/>
    </xf>
    <xf numFmtId="0" fontId="9" fillId="9" borderId="2" xfId="0" applyFont="1" applyFill="1" applyBorder="1" applyAlignment="1">
      <alignment horizontal="center"/>
    </xf>
    <xf numFmtId="0" fontId="20" fillId="0" borderId="2" xfId="0" applyFont="1" applyBorder="1" applyAlignment="1">
      <alignment horizontal="center"/>
    </xf>
    <xf numFmtId="0" fontId="9" fillId="0" borderId="21" xfId="0" applyFont="1" applyBorder="1" applyAlignment="1">
      <alignment horizontal="left" wrapText="1"/>
    </xf>
    <xf numFmtId="0" fontId="9" fillId="0" borderId="25" xfId="0" applyFont="1" applyBorder="1" applyAlignment="1">
      <alignment horizontal="left" wrapText="1"/>
    </xf>
    <xf numFmtId="0" fontId="9" fillId="0" borderId="2" xfId="0" applyFont="1" applyBorder="1" applyAlignment="1">
      <alignment horizontal="left" vertical="center" wrapText="1"/>
    </xf>
    <xf numFmtId="17" fontId="8" fillId="0" borderId="15" xfId="0" applyNumberFormat="1" applyFont="1" applyBorder="1" applyAlignment="1">
      <alignment horizontal="left" vertical="center"/>
    </xf>
    <xf numFmtId="17" fontId="8" fillId="0" borderId="22" xfId="0" applyNumberFormat="1" applyFont="1" applyBorder="1" applyAlignment="1">
      <alignment horizontal="left" vertical="center"/>
    </xf>
    <xf numFmtId="0" fontId="9" fillId="9" borderId="0" xfId="0" applyFont="1" applyFill="1" applyAlignment="1">
      <alignment horizontal="center" vertical="center"/>
    </xf>
    <xf numFmtId="0" fontId="9" fillId="0" borderId="0" xfId="0" applyFont="1" applyAlignment="1">
      <alignment horizontal="center"/>
    </xf>
    <xf numFmtId="9" fontId="8" fillId="0" borderId="2" xfId="2" applyFont="1" applyBorder="1" applyAlignment="1">
      <alignment horizontal="center" vertical="center"/>
    </xf>
    <xf numFmtId="0" fontId="8" fillId="0" borderId="15" xfId="0" applyFont="1" applyBorder="1" applyAlignment="1">
      <alignment horizontal="center"/>
    </xf>
    <xf numFmtId="0" fontId="8" fillId="0" borderId="19" xfId="0" applyFont="1" applyBorder="1" applyAlignment="1">
      <alignment horizontal="center"/>
    </xf>
    <xf numFmtId="0" fontId="8" fillId="0" borderId="22" xfId="0" applyFont="1" applyBorder="1" applyAlignment="1">
      <alignment horizontal="center"/>
    </xf>
    <xf numFmtId="0" fontId="21" fillId="8" borderId="4" xfId="0" applyFont="1" applyFill="1" applyBorder="1" applyAlignment="1">
      <alignment horizontal="center" vertical="top" wrapText="1"/>
    </xf>
    <xf numFmtId="0" fontId="21" fillId="8" borderId="1" xfId="0" applyFont="1" applyFill="1" applyBorder="1" applyAlignment="1">
      <alignment horizontal="center" vertical="top" wrapText="1"/>
    </xf>
    <xf numFmtId="0" fontId="21" fillId="8" borderId="5" xfId="0" applyFont="1" applyFill="1" applyBorder="1" applyAlignment="1">
      <alignment horizontal="center" vertical="top" wrapText="1"/>
    </xf>
    <xf numFmtId="0" fontId="17" fillId="0" borderId="27" xfId="5" applyFont="1" applyBorder="1" applyAlignment="1">
      <alignment horizontal="left" vertical="center"/>
    </xf>
    <xf numFmtId="0" fontId="17" fillId="0" borderId="13" xfId="5" applyFont="1" applyBorder="1" applyAlignment="1">
      <alignment horizontal="left" vertical="center"/>
    </xf>
    <xf numFmtId="0" fontId="17" fillId="0" borderId="26" xfId="5" applyFont="1" applyBorder="1" applyAlignment="1">
      <alignment horizontal="left" vertical="center"/>
    </xf>
    <xf numFmtId="0" fontId="8" fillId="11" borderId="3" xfId="0" applyFont="1" applyFill="1" applyBorder="1" applyAlignment="1">
      <alignment horizontal="center" vertical="center" wrapText="1"/>
    </xf>
    <xf numFmtId="0" fontId="8" fillId="11" borderId="13" xfId="0" applyFont="1" applyFill="1" applyBorder="1" applyAlignment="1">
      <alignment horizontal="center" vertical="center" wrapText="1"/>
    </xf>
    <xf numFmtId="0" fontId="8" fillId="11" borderId="14" xfId="0" applyFont="1" applyFill="1" applyBorder="1" applyAlignment="1">
      <alignment horizontal="center" vertical="center" wrapText="1"/>
    </xf>
    <xf numFmtId="0" fontId="14" fillId="18" borderId="24" xfId="0" applyFont="1" applyFill="1" applyBorder="1" applyAlignment="1">
      <alignment horizontal="center" vertical="center"/>
    </xf>
    <xf numFmtId="0" fontId="18" fillId="18" borderId="24" xfId="0" applyFont="1" applyFill="1" applyBorder="1" applyAlignment="1">
      <alignment horizontal="center" vertical="center"/>
    </xf>
    <xf numFmtId="0" fontId="29" fillId="12" borderId="141" xfId="0" applyFont="1" applyFill="1" applyBorder="1" applyAlignment="1">
      <alignment horizontal="center" vertical="center" wrapText="1"/>
    </xf>
    <xf numFmtId="0" fontId="29" fillId="12" borderId="101" xfId="0" applyFont="1" applyFill="1" applyBorder="1" applyAlignment="1">
      <alignment horizontal="center" vertical="center" wrapText="1"/>
    </xf>
    <xf numFmtId="0" fontId="8" fillId="13" borderId="2" xfId="0" applyFont="1" applyFill="1" applyBorder="1" applyAlignment="1">
      <alignment horizontal="left" vertical="center"/>
    </xf>
    <xf numFmtId="0" fontId="11" fillId="18" borderId="0" xfId="0" applyFont="1" applyFill="1" applyAlignment="1">
      <alignment horizontal="center" vertical="center" wrapText="1"/>
    </xf>
    <xf numFmtId="0" fontId="14" fillId="18" borderId="2" xfId="0" applyFont="1" applyFill="1" applyBorder="1" applyAlignment="1">
      <alignment horizontal="center" vertical="center"/>
    </xf>
    <xf numFmtId="0" fontId="8" fillId="0" borderId="15" xfId="0" applyFont="1" applyBorder="1" applyAlignment="1">
      <alignment horizontal="center" vertical="center" wrapText="1"/>
    </xf>
    <xf numFmtId="0" fontId="8" fillId="0" borderId="19" xfId="0" applyFont="1" applyBorder="1" applyAlignment="1">
      <alignment horizontal="center" vertical="center" wrapText="1"/>
    </xf>
    <xf numFmtId="0" fontId="8" fillId="0" borderId="22" xfId="0" applyFont="1" applyBorder="1" applyAlignment="1">
      <alignment horizontal="center" vertical="center" wrapText="1"/>
    </xf>
    <xf numFmtId="0" fontId="26" fillId="0" borderId="87" xfId="0" applyFont="1" applyBorder="1" applyAlignment="1">
      <alignment horizontal="center" vertical="center" wrapText="1"/>
    </xf>
    <xf numFmtId="0" fontId="26" fillId="0" borderId="92" xfId="0" applyFont="1" applyBorder="1" applyAlignment="1">
      <alignment horizontal="center" vertical="center" wrapText="1"/>
    </xf>
    <xf numFmtId="0" fontId="26" fillId="0" borderId="95" xfId="0" applyFont="1" applyBorder="1" applyAlignment="1">
      <alignment horizontal="center" vertical="center" wrapText="1"/>
    </xf>
    <xf numFmtId="0" fontId="14" fillId="18" borderId="25" xfId="0" applyFont="1" applyFill="1" applyBorder="1" applyAlignment="1">
      <alignment horizontal="center" vertical="center" wrapText="1"/>
    </xf>
    <xf numFmtId="0" fontId="9" fillId="12" borderId="15" xfId="0" applyFont="1" applyFill="1" applyBorder="1" applyAlignment="1">
      <alignment horizontal="center" vertical="center"/>
    </xf>
    <xf numFmtId="0" fontId="26" fillId="0" borderId="135" xfId="0" applyFont="1" applyBorder="1" applyAlignment="1">
      <alignment horizontal="center" vertical="center" wrapText="1"/>
    </xf>
    <xf numFmtId="0" fontId="26" fillId="0" borderId="125" xfId="0" applyFont="1" applyBorder="1" applyAlignment="1">
      <alignment horizontal="center" vertical="center" wrapText="1"/>
    </xf>
    <xf numFmtId="0" fontId="26" fillId="0" borderId="128" xfId="0" applyFont="1" applyBorder="1" applyAlignment="1">
      <alignment horizontal="center" vertical="center" wrapText="1"/>
    </xf>
    <xf numFmtId="0" fontId="26" fillId="0" borderId="88" xfId="0" applyFont="1" applyBorder="1" applyAlignment="1">
      <alignment horizontal="center" vertical="center"/>
    </xf>
    <xf numFmtId="0" fontId="26" fillId="0" borderId="93" xfId="0" applyFont="1" applyBorder="1" applyAlignment="1">
      <alignment horizontal="center" vertical="center"/>
    </xf>
    <xf numFmtId="0" fontId="26" fillId="0" borderId="96" xfId="0" applyFont="1" applyBorder="1" applyAlignment="1">
      <alignment horizontal="center" vertical="center"/>
    </xf>
    <xf numFmtId="0" fontId="61" fillId="0" borderId="151" xfId="0" applyFont="1" applyBorder="1" applyAlignment="1">
      <alignment horizontal="center" vertical="center" wrapText="1"/>
    </xf>
    <xf numFmtId="0" fontId="61" fillId="0" borderId="125" xfId="0" applyFont="1" applyBorder="1" applyAlignment="1">
      <alignment horizontal="center" vertical="center" wrapText="1"/>
    </xf>
    <xf numFmtId="0" fontId="61" fillId="0" borderId="138" xfId="0" applyFont="1" applyBorder="1" applyAlignment="1">
      <alignment horizontal="center" vertical="center" wrapText="1"/>
    </xf>
    <xf numFmtId="0" fontId="26" fillId="0" borderId="99" xfId="0" applyFont="1" applyBorder="1" applyAlignment="1">
      <alignment horizontal="center" vertical="center" wrapText="1"/>
    </xf>
    <xf numFmtId="0" fontId="26" fillId="0" borderId="81" xfId="0" applyFont="1" applyBorder="1" applyAlignment="1">
      <alignment horizontal="center" vertical="center" wrapText="1"/>
    </xf>
    <xf numFmtId="0" fontId="26" fillId="0" borderId="107" xfId="0" applyFont="1" applyBorder="1" applyAlignment="1">
      <alignment horizontal="center" vertical="center" wrapText="1"/>
    </xf>
    <xf numFmtId="0" fontId="26" fillId="0" borderId="85" xfId="0" applyFont="1" applyBorder="1" applyAlignment="1">
      <alignment horizontal="center" vertical="center" wrapText="1"/>
    </xf>
    <xf numFmtId="0" fontId="26" fillId="0" borderId="116" xfId="0" applyFont="1" applyBorder="1" applyAlignment="1">
      <alignment horizontal="center" vertical="center" wrapText="1"/>
    </xf>
    <xf numFmtId="0" fontId="26" fillId="0" borderId="117" xfId="0" applyFont="1" applyBorder="1" applyAlignment="1">
      <alignment horizontal="center" vertical="center" wrapText="1"/>
    </xf>
    <xf numFmtId="0" fontId="26" fillId="0" borderId="118" xfId="0" applyFont="1" applyBorder="1" applyAlignment="1">
      <alignment horizontal="center" vertical="center" wrapText="1"/>
    </xf>
    <xf numFmtId="0" fontId="26" fillId="0" borderId="121" xfId="0" applyFont="1" applyBorder="1" applyAlignment="1">
      <alignment horizontal="center" vertical="center" wrapText="1"/>
    </xf>
    <xf numFmtId="0" fontId="26" fillId="0" borderId="122" xfId="0" applyFont="1" applyBorder="1" applyAlignment="1">
      <alignment horizontal="center" vertical="center" wrapText="1"/>
    </xf>
    <xf numFmtId="0" fontId="26" fillId="0" borderId="123" xfId="0" applyFont="1" applyBorder="1" applyAlignment="1">
      <alignment horizontal="center" vertical="center" wrapText="1"/>
    </xf>
    <xf numFmtId="0" fontId="26" fillId="0" borderId="175" xfId="0" applyFont="1" applyBorder="1" applyAlignment="1">
      <alignment horizontal="center" vertical="center" wrapText="1"/>
    </xf>
    <xf numFmtId="0" fontId="26" fillId="0" borderId="133" xfId="0" applyFont="1" applyBorder="1" applyAlignment="1">
      <alignment horizontal="center" vertical="center" wrapText="1"/>
    </xf>
    <xf numFmtId="0" fontId="26" fillId="0" borderId="134" xfId="0" applyFont="1" applyBorder="1" applyAlignment="1">
      <alignment horizontal="center" vertical="center" wrapText="1"/>
    </xf>
    <xf numFmtId="0" fontId="26" fillId="0" borderId="176" xfId="0" applyFont="1" applyBorder="1" applyAlignment="1">
      <alignment horizontal="center" vertical="center" wrapText="1"/>
    </xf>
    <xf numFmtId="0" fontId="26" fillId="0" borderId="179" xfId="0" applyFont="1" applyBorder="1" applyAlignment="1">
      <alignment horizontal="center" vertical="center" wrapText="1"/>
    </xf>
    <xf numFmtId="0" fontId="26" fillId="0" borderId="54" xfId="0" applyFont="1" applyBorder="1" applyAlignment="1">
      <alignment horizontal="center" vertical="center" wrapText="1"/>
    </xf>
    <xf numFmtId="0" fontId="26" fillId="0" borderId="161" xfId="0" applyFont="1" applyBorder="1" applyAlignment="1">
      <alignment horizontal="center" vertical="center" wrapText="1"/>
    </xf>
    <xf numFmtId="0" fontId="26" fillId="0" borderId="93" xfId="0" applyFont="1" applyBorder="1" applyAlignment="1">
      <alignment horizontal="center" vertical="center" wrapText="1"/>
    </xf>
    <xf numFmtId="0" fontId="26" fillId="0" borderId="120" xfId="0" applyFont="1" applyBorder="1" applyAlignment="1">
      <alignment horizontal="center" vertical="center" wrapText="1"/>
    </xf>
    <xf numFmtId="0" fontId="26" fillId="0" borderId="103" xfId="0" applyFont="1" applyBorder="1" applyAlignment="1">
      <alignment horizontal="center" vertical="center" wrapText="1"/>
    </xf>
    <xf numFmtId="0" fontId="26" fillId="0" borderId="94" xfId="0" applyFont="1" applyBorder="1" applyAlignment="1">
      <alignment horizontal="center" vertical="center" wrapText="1"/>
    </xf>
    <xf numFmtId="0" fontId="26" fillId="0" borderId="108" xfId="0" applyFont="1" applyBorder="1" applyAlignment="1">
      <alignment horizontal="center" vertical="center" wrapText="1"/>
    </xf>
    <xf numFmtId="0" fontId="9" fillId="12" borderId="83" xfId="0" applyFont="1" applyFill="1" applyBorder="1" applyAlignment="1">
      <alignment horizontal="center" vertical="center"/>
    </xf>
    <xf numFmtId="0" fontId="9" fillId="12" borderId="0" xfId="0" applyFont="1" applyFill="1" applyAlignment="1">
      <alignment horizontal="center" vertical="center"/>
    </xf>
    <xf numFmtId="0" fontId="9" fillId="12" borderId="84" xfId="0" applyFont="1" applyFill="1" applyBorder="1" applyAlignment="1">
      <alignment horizontal="center" vertical="center"/>
    </xf>
    <xf numFmtId="0" fontId="26" fillId="0" borderId="119" xfId="0" applyFont="1" applyBorder="1" applyAlignment="1">
      <alignment horizontal="center" vertical="center" wrapText="1"/>
    </xf>
    <xf numFmtId="0" fontId="26" fillId="0" borderId="89" xfId="0" applyFont="1" applyBorder="1" applyAlignment="1">
      <alignment horizontal="center" vertical="center"/>
    </xf>
    <xf numFmtId="0" fontId="26" fillId="0" borderId="81" xfId="0" applyFont="1" applyBorder="1" applyAlignment="1">
      <alignment horizontal="center" vertical="center"/>
    </xf>
    <xf numFmtId="0" fontId="26" fillId="0" borderId="137" xfId="0" applyFont="1" applyBorder="1" applyAlignment="1">
      <alignment horizontal="center" vertical="center"/>
    </xf>
    <xf numFmtId="0" fontId="34" fillId="0" borderId="89" xfId="0" applyFont="1" applyFill="1" applyBorder="1" applyAlignment="1">
      <alignment horizontal="center" vertical="center" wrapText="1"/>
    </xf>
    <xf numFmtId="0" fontId="34" fillId="0" borderId="93" xfId="0" applyFont="1" applyFill="1" applyBorder="1" applyAlignment="1">
      <alignment horizontal="center" vertical="center" wrapText="1"/>
    </xf>
    <xf numFmtId="0" fontId="34" fillId="0" borderId="120" xfId="0" applyFont="1" applyFill="1" applyBorder="1" applyAlignment="1">
      <alignment horizontal="center" vertical="center" wrapText="1"/>
    </xf>
    <xf numFmtId="0" fontId="34" fillId="0" borderId="135" xfId="0" applyFont="1" applyFill="1" applyBorder="1" applyAlignment="1">
      <alignment horizontal="center" vertical="center" wrapText="1"/>
    </xf>
    <xf numFmtId="0" fontId="34" fillId="0" borderId="125" xfId="0" applyFont="1" applyFill="1" applyBorder="1" applyAlignment="1">
      <alignment horizontal="center" vertical="center" wrapText="1"/>
    </xf>
    <xf numFmtId="0" fontId="34" fillId="0" borderId="138" xfId="0" applyFont="1" applyFill="1" applyBorder="1" applyAlignment="1">
      <alignment horizontal="center" vertical="center" wrapText="1"/>
    </xf>
    <xf numFmtId="0" fontId="34" fillId="0" borderId="63" xfId="0" applyFont="1" applyBorder="1" applyAlignment="1">
      <alignment horizontal="center" vertical="center" wrapText="1"/>
    </xf>
    <xf numFmtId="0" fontId="34" fillId="0" borderId="64" xfId="0" applyFont="1" applyBorder="1" applyAlignment="1">
      <alignment horizontal="center" vertical="center" wrapText="1"/>
    </xf>
    <xf numFmtId="0" fontId="34" fillId="0" borderId="65" xfId="0" applyFont="1" applyBorder="1" applyAlignment="1">
      <alignment horizontal="center" vertical="center" wrapText="1"/>
    </xf>
    <xf numFmtId="0" fontId="26" fillId="0" borderId="56" xfId="0" applyFont="1" applyBorder="1" applyAlignment="1">
      <alignment horizontal="center" vertical="center" wrapText="1"/>
    </xf>
    <xf numFmtId="0" fontId="26" fillId="0" borderId="86" xfId="0" applyFont="1" applyBorder="1" applyAlignment="1">
      <alignment horizontal="center" vertical="center" wrapText="1"/>
    </xf>
    <xf numFmtId="0" fontId="26" fillId="0" borderId="138" xfId="0" applyFont="1" applyBorder="1" applyAlignment="1">
      <alignment horizontal="center" vertical="center" wrapText="1"/>
    </xf>
    <xf numFmtId="0" fontId="35" fillId="0" borderId="11" xfId="0" applyFont="1" applyBorder="1" applyAlignment="1">
      <alignment horizontal="center" vertical="center"/>
    </xf>
    <xf numFmtId="0" fontId="26" fillId="0" borderId="90" xfId="0" applyFont="1" applyBorder="1" applyAlignment="1">
      <alignment horizontal="center" vertical="center" wrapText="1"/>
    </xf>
    <xf numFmtId="0" fontId="26" fillId="0" borderId="97" xfId="0" applyFont="1" applyBorder="1" applyAlignment="1">
      <alignment horizontal="center" vertical="center" wrapText="1"/>
    </xf>
    <xf numFmtId="0" fontId="26" fillId="0" borderId="55" xfId="0" applyFont="1" applyBorder="1" applyAlignment="1">
      <alignment horizontal="center" vertical="center" wrapText="1"/>
    </xf>
    <xf numFmtId="0" fontId="26" fillId="0" borderId="64" xfId="0" applyFont="1" applyBorder="1" applyAlignment="1">
      <alignment horizontal="center" vertical="center" wrapText="1"/>
    </xf>
    <xf numFmtId="0" fontId="26" fillId="0" borderId="60" xfId="0" applyFont="1" applyBorder="1" applyAlignment="1">
      <alignment horizontal="center" vertical="center" wrapText="1"/>
    </xf>
    <xf numFmtId="0" fontId="26" fillId="0" borderId="55" xfId="0" applyFont="1" applyBorder="1" applyAlignment="1">
      <alignment horizontal="center" vertical="center"/>
    </xf>
    <xf numFmtId="0" fontId="26" fillId="0" borderId="58" xfId="0" applyFont="1" applyBorder="1" applyAlignment="1">
      <alignment horizontal="center" vertical="center"/>
    </xf>
    <xf numFmtId="0" fontId="26" fillId="0" borderId="60" xfId="0" applyFont="1" applyBorder="1" applyAlignment="1">
      <alignment horizontal="center" vertical="center"/>
    </xf>
    <xf numFmtId="0" fontId="26" fillId="0" borderId="56" xfId="0" applyFont="1" applyBorder="1" applyAlignment="1">
      <alignment horizontal="center" vertical="center"/>
    </xf>
    <xf numFmtId="0" fontId="26" fillId="0" borderId="54" xfId="0" applyFont="1" applyBorder="1" applyAlignment="1">
      <alignment horizontal="center" vertical="center"/>
    </xf>
    <xf numFmtId="0" fontId="26" fillId="0" borderId="61" xfId="0" applyFont="1" applyBorder="1" applyAlignment="1">
      <alignment horizontal="center" vertical="center"/>
    </xf>
    <xf numFmtId="0" fontId="26" fillId="0" borderId="61" xfId="0" applyFont="1" applyBorder="1" applyAlignment="1">
      <alignment horizontal="center" vertical="center" wrapText="1"/>
    </xf>
    <xf numFmtId="0" fontId="26" fillId="0" borderId="73" xfId="0" applyFont="1" applyBorder="1" applyAlignment="1">
      <alignment horizontal="center" vertical="center" wrapText="1"/>
    </xf>
    <xf numFmtId="0" fontId="9" fillId="12" borderId="10" xfId="0" applyFont="1" applyFill="1" applyBorder="1" applyAlignment="1">
      <alignment horizontal="center" vertical="center"/>
    </xf>
    <xf numFmtId="0" fontId="9" fillId="12" borderId="11" xfId="0" applyFont="1" applyFill="1" applyBorder="1" applyAlignment="1">
      <alignment horizontal="center" vertical="center"/>
    </xf>
    <xf numFmtId="0" fontId="9" fillId="12" borderId="12" xfId="0" applyFont="1" applyFill="1" applyBorder="1" applyAlignment="1">
      <alignment horizontal="center" vertical="center"/>
    </xf>
    <xf numFmtId="0" fontId="26" fillId="0" borderId="131" xfId="0" applyFont="1" applyBorder="1" applyAlignment="1">
      <alignment horizontal="center" vertical="center" wrapText="1"/>
    </xf>
    <xf numFmtId="0" fontId="26" fillId="0" borderId="132" xfId="0" applyFont="1" applyBorder="1" applyAlignment="1">
      <alignment horizontal="center" vertical="center" wrapText="1"/>
    </xf>
    <xf numFmtId="0" fontId="26" fillId="0" borderId="89" xfId="0" applyFont="1" applyBorder="1" applyAlignment="1">
      <alignment horizontal="center" vertical="center" wrapText="1"/>
    </xf>
    <xf numFmtId="0" fontId="26" fillId="0" borderId="140" xfId="0" applyFont="1" applyBorder="1" applyAlignment="1">
      <alignment horizontal="center" vertical="center" wrapText="1"/>
    </xf>
    <xf numFmtId="0" fontId="20" fillId="12" borderId="2" xfId="0" applyFont="1" applyFill="1" applyBorder="1" applyAlignment="1">
      <alignment horizontal="center" vertical="center" wrapText="1"/>
    </xf>
    <xf numFmtId="0" fontId="26" fillId="0" borderId="181" xfId="0" applyFont="1" applyBorder="1" applyAlignment="1">
      <alignment horizontal="center" vertical="center" wrapText="1"/>
    </xf>
    <xf numFmtId="0" fontId="34" fillId="0" borderId="86" xfId="0" applyFont="1" applyFill="1" applyBorder="1" applyAlignment="1">
      <alignment horizontal="center" vertical="center" wrapText="1"/>
    </xf>
    <xf numFmtId="0" fontId="34" fillId="0" borderId="96" xfId="0" applyFont="1" applyFill="1" applyBorder="1" applyAlignment="1">
      <alignment horizontal="center" vertical="center" wrapText="1"/>
    </xf>
    <xf numFmtId="0" fontId="34" fillId="0" borderId="128"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2" xfId="0" applyFont="1" applyBorder="1" applyAlignment="1">
      <alignment horizontal="center" vertical="center"/>
    </xf>
    <xf numFmtId="0" fontId="26" fillId="0" borderId="66" xfId="0" applyFont="1" applyBorder="1" applyAlignment="1">
      <alignment horizontal="center" vertical="center"/>
    </xf>
    <xf numFmtId="0" fontId="34" fillId="0" borderId="56" xfId="0" applyFont="1" applyBorder="1" applyAlignment="1">
      <alignment horizontal="center" vertical="center" wrapText="1"/>
    </xf>
    <xf numFmtId="0" fontId="34" fillId="0" borderId="54" xfId="0" applyFont="1" applyBorder="1" applyAlignment="1">
      <alignment horizontal="center" vertical="center" wrapText="1"/>
    </xf>
    <xf numFmtId="0" fontId="34" fillId="0" borderId="61" xfId="0" applyFont="1" applyBorder="1" applyAlignment="1">
      <alignment horizontal="center" vertical="center" wrapText="1"/>
    </xf>
    <xf numFmtId="0" fontId="26" fillId="0" borderId="4" xfId="0" applyFont="1" applyBorder="1" applyAlignment="1">
      <alignment horizontal="center" vertical="center"/>
    </xf>
    <xf numFmtId="0" fontId="26" fillId="0" borderId="6" xfId="0" applyFont="1" applyBorder="1" applyAlignment="1">
      <alignment horizontal="center" vertical="center"/>
    </xf>
    <xf numFmtId="0" fontId="26" fillId="0" borderId="8" xfId="0" applyFont="1" applyBorder="1" applyAlignment="1">
      <alignment horizontal="center" vertical="center"/>
    </xf>
    <xf numFmtId="0" fontId="26" fillId="0" borderId="36" xfId="0" applyFont="1" applyBorder="1" applyAlignment="1">
      <alignment horizontal="center" vertical="center"/>
    </xf>
    <xf numFmtId="0" fontId="26" fillId="0" borderId="22" xfId="0" applyFont="1" applyBorder="1" applyAlignment="1">
      <alignment horizontal="center" vertical="center"/>
    </xf>
    <xf numFmtId="0" fontId="26" fillId="0" borderId="178" xfId="0" applyFont="1" applyBorder="1" applyAlignment="1">
      <alignment horizontal="center" vertical="center" wrapText="1"/>
    </xf>
    <xf numFmtId="0" fontId="26" fillId="0" borderId="167" xfId="0" applyFont="1" applyBorder="1" applyAlignment="1">
      <alignment horizontal="center" vertical="center" wrapText="1"/>
    </xf>
    <xf numFmtId="0" fontId="26" fillId="0" borderId="180" xfId="0" applyFont="1" applyBorder="1" applyAlignment="1">
      <alignment horizontal="center" vertical="center" wrapText="1"/>
    </xf>
    <xf numFmtId="0" fontId="26" fillId="0" borderId="179" xfId="0" applyFont="1" applyBorder="1" applyAlignment="1">
      <alignment horizontal="center" vertical="center"/>
    </xf>
    <xf numFmtId="0" fontId="26" fillId="0" borderId="181" xfId="0" applyFont="1" applyBorder="1" applyAlignment="1">
      <alignment horizontal="center" vertical="center"/>
    </xf>
    <xf numFmtId="0" fontId="26" fillId="0" borderId="168" xfId="0" applyFont="1" applyBorder="1" applyAlignment="1">
      <alignment horizontal="center" vertical="center" wrapText="1"/>
    </xf>
    <xf numFmtId="0" fontId="26" fillId="0" borderId="161" xfId="0" applyFont="1" applyBorder="1" applyAlignment="1">
      <alignment horizontal="center" vertical="center"/>
    </xf>
    <xf numFmtId="0" fontId="26" fillId="0" borderId="130" xfId="0" applyFont="1" applyBorder="1" applyAlignment="1">
      <alignment horizontal="center" vertical="center" wrapText="1"/>
    </xf>
    <xf numFmtId="0" fontId="26" fillId="0" borderId="96" xfId="0" applyFont="1" applyBorder="1" applyAlignment="1">
      <alignment horizontal="center" vertical="center" wrapText="1"/>
    </xf>
    <xf numFmtId="0" fontId="26" fillId="0" borderId="124" xfId="0" applyFont="1" applyBorder="1" applyAlignment="1">
      <alignment horizontal="center" vertical="center" wrapText="1"/>
    </xf>
    <xf numFmtId="0" fontId="26" fillId="0" borderId="126" xfId="0" applyFont="1" applyBorder="1" applyAlignment="1">
      <alignment horizontal="center" vertical="center" wrapText="1"/>
    </xf>
    <xf numFmtId="0" fontId="26" fillId="0" borderId="127" xfId="0" applyFont="1" applyBorder="1" applyAlignment="1">
      <alignment horizontal="center" vertical="center" wrapText="1"/>
    </xf>
    <xf numFmtId="0" fontId="26" fillId="0" borderId="86" xfId="0" applyFont="1" applyBorder="1" applyAlignment="1">
      <alignment horizontal="center" vertical="center"/>
    </xf>
    <xf numFmtId="0" fontId="26" fillId="0" borderId="107" xfId="0" applyFont="1" applyBorder="1" applyAlignment="1">
      <alignment horizontal="center" vertical="center"/>
    </xf>
    <xf numFmtId="0" fontId="27" fillId="0" borderId="157" xfId="0" applyFont="1" applyBorder="1" applyAlignment="1">
      <alignment horizontal="center" vertical="center"/>
    </xf>
    <xf numFmtId="0" fontId="27" fillId="0" borderId="159" xfId="0" applyFont="1" applyBorder="1" applyAlignment="1">
      <alignment horizontal="center" vertical="center"/>
    </xf>
    <xf numFmtId="0" fontId="8" fillId="0" borderId="167" xfId="0" applyFont="1" applyBorder="1" applyAlignment="1">
      <alignment horizontal="center" vertical="center"/>
    </xf>
    <xf numFmtId="0" fontId="8" fillId="0" borderId="168" xfId="0" applyFont="1" applyBorder="1" applyAlignment="1">
      <alignment horizontal="center" vertical="center"/>
    </xf>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2" xfId="0" applyFont="1" applyBorder="1" applyAlignment="1">
      <alignment horizontal="center" vertical="center" wrapText="1"/>
    </xf>
    <xf numFmtId="0" fontId="58" fillId="23" borderId="0" xfId="0" applyFont="1" applyFill="1" applyAlignment="1">
      <alignment horizontal="center" vertical="center"/>
    </xf>
    <xf numFmtId="0" fontId="58" fillId="23" borderId="173" xfId="0" applyFont="1" applyFill="1" applyBorder="1" applyAlignment="1">
      <alignment horizontal="center" vertical="center"/>
    </xf>
    <xf numFmtId="10" fontId="9" fillId="0" borderId="10" xfId="8" applyNumberFormat="1" applyFont="1" applyBorder="1" applyAlignment="1">
      <alignment horizontal="center"/>
    </xf>
    <xf numFmtId="10" fontId="9" fillId="0" borderId="11" xfId="8" applyNumberFormat="1" applyFont="1" applyBorder="1" applyAlignment="1">
      <alignment horizontal="center"/>
    </xf>
    <xf numFmtId="10" fontId="9" fillId="0" borderId="12" xfId="8" applyNumberFormat="1" applyFont="1" applyBorder="1" applyAlignment="1">
      <alignment horizontal="center"/>
    </xf>
    <xf numFmtId="0" fontId="9" fillId="9" borderId="3" xfId="0" applyFont="1" applyFill="1" applyBorder="1" applyAlignment="1">
      <alignment horizontal="center" vertical="center"/>
    </xf>
    <xf numFmtId="0" fontId="9" fillId="9" borderId="13" xfId="0" applyFont="1" applyFill="1" applyBorder="1" applyAlignment="1">
      <alignment horizontal="center" vertical="center"/>
    </xf>
    <xf numFmtId="0" fontId="9" fillId="9" borderId="14" xfId="0" applyFont="1" applyFill="1" applyBorder="1" applyAlignment="1">
      <alignment horizontal="center" vertical="center"/>
    </xf>
    <xf numFmtId="0" fontId="43" fillId="0" borderId="10" xfId="0" applyFont="1" applyBorder="1" applyAlignment="1">
      <alignment horizontal="center"/>
    </xf>
    <xf numFmtId="0" fontId="43" fillId="0" borderId="11" xfId="0" applyFont="1" applyBorder="1" applyAlignment="1">
      <alignment horizontal="center"/>
    </xf>
    <xf numFmtId="0" fontId="43" fillId="0" borderId="12" xfId="0" applyFont="1" applyBorder="1" applyAlignment="1">
      <alignment horizontal="center"/>
    </xf>
    <xf numFmtId="9" fontId="9" fillId="0" borderId="71" xfId="2" applyFont="1" applyFill="1" applyBorder="1" applyAlignment="1">
      <alignment horizontal="center" vertical="center"/>
    </xf>
    <xf numFmtId="9" fontId="9" fillId="0" borderId="46" xfId="2" applyFont="1" applyFill="1" applyBorder="1" applyAlignment="1">
      <alignment horizontal="center" vertical="center"/>
    </xf>
    <xf numFmtId="9" fontId="9" fillId="0" borderId="47" xfId="2" applyFont="1" applyFill="1" applyBorder="1" applyAlignment="1">
      <alignment horizontal="center" vertical="center"/>
    </xf>
    <xf numFmtId="0" fontId="8" fillId="0" borderId="3" xfId="0" applyFont="1" applyBorder="1" applyAlignment="1">
      <alignment horizontal="center" vertical="center" wrapText="1"/>
    </xf>
    <xf numFmtId="0" fontId="8" fillId="0" borderId="3" xfId="0" applyFont="1" applyBorder="1" applyAlignment="1">
      <alignment horizontal="center" wrapText="1"/>
    </xf>
    <xf numFmtId="0" fontId="8" fillId="0" borderId="38" xfId="0" applyFont="1" applyBorder="1" applyAlignment="1">
      <alignment horizontal="center" wrapText="1"/>
    </xf>
    <xf numFmtId="0" fontId="9" fillId="0" borderId="17" xfId="0" applyFont="1" applyBorder="1" applyAlignment="1">
      <alignment horizontal="center" vertical="center"/>
    </xf>
    <xf numFmtId="0" fontId="9" fillId="0" borderId="0" xfId="0" applyFont="1" applyAlignment="1">
      <alignment horizontal="center" vertical="center"/>
    </xf>
    <xf numFmtId="0" fontId="29" fillId="12" borderId="2" xfId="0" applyFont="1" applyFill="1" applyBorder="1" applyAlignment="1">
      <alignment horizontal="center" vertical="center"/>
    </xf>
    <xf numFmtId="0" fontId="0" fillId="0" borderId="0" xfId="0" applyAlignment="1">
      <alignment horizontal="center"/>
    </xf>
  </cellXfs>
  <cellStyles count="14">
    <cellStyle name="Comma" xfId="6" builtinId="3"/>
    <cellStyle name="Hyperlink" xfId="5" builtinId="8"/>
    <cellStyle name="Hyperlink 2" xfId="10" xr:uid="{10C1E3C0-F46B-4E25-BD9A-EE5D62F88FF2}"/>
    <cellStyle name="Normal" xfId="0" builtinId="0"/>
    <cellStyle name="Normal 2" xfId="3" xr:uid="{E38C2638-0821-4BB2-9C33-A89D3950ADA6}"/>
    <cellStyle name="Normal 2 2" xfId="4" xr:uid="{7604919E-E68F-4366-A693-6A7B8B8DA661}"/>
    <cellStyle name="Normal 2 3" xfId="9" xr:uid="{8A1E39CD-7ABA-4D79-A464-67010D1209C1}"/>
    <cellStyle name="Normal 3" xfId="7" xr:uid="{1C10DAE4-4F9C-4E19-81E4-5574511A6741}"/>
    <cellStyle name="Normal 4" xfId="11" xr:uid="{43272557-B37F-4996-BC18-AA3EDEAFA379}"/>
    <cellStyle name="Normal 5" xfId="12" xr:uid="{642BE191-BE2F-4847-8420-1C59B95E270E}"/>
    <cellStyle name="Normal 6" xfId="13" xr:uid="{BAB312D4-555E-4D72-AB50-C5257AC183B1}"/>
    <cellStyle name="Normal_Prototype_Scorecard-LgOffice-2008-03-13" xfId="1" xr:uid="{F839F8A1-86E5-4008-9801-0F032E8A3317}"/>
    <cellStyle name="Percent" xfId="2" builtinId="5"/>
    <cellStyle name="Percent 2" xfId="8" xr:uid="{CB789C3E-741F-4464-8065-385A956411E6}"/>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002F8E"/>
      <color rgb="FFFF9900"/>
      <color rgb="FFCCCCFF"/>
      <color rgb="FF8238BA"/>
      <color rgb="FFFFEBCD"/>
      <color rgb="FF0000CC"/>
      <color rgb="FF2E9F17"/>
      <color rgb="FFFFFAF3"/>
      <color rgb="FF2DC8FF"/>
      <color rgb="FF0011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CEC</a:t>
            </a:r>
            <a:r>
              <a:rPr lang="en-US" sz="1100" b="0">
                <a:solidFill>
                  <a:sysClr val="windowText" lastClr="000000"/>
                </a:solidFill>
              </a:rPr>
              <a:t>: </a:t>
            </a:r>
            <a:r>
              <a:rPr lang="en-US" sz="1100"/>
              <a:t>Lights schedule- Small office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'Interior Lights'!$B$76</c:f>
            </c:strRef>
          </c:tx>
          <c:spPr>
            <a:ln w="28575" cap="rnd">
              <a:solidFill>
                <a:schemeClr val="accent1"/>
              </a:solidFill>
              <a:round/>
            </a:ln>
            <a:effectLst/>
          </c:spPr>
          <c:marker>
            <c:symbol val="none"/>
          </c:marker>
          <c:cat>
            <c:strRef>
              <c:f>'Interior Lights'!$A$77:$A$100</c:f>
            </c:strRef>
          </c:cat>
          <c:val>
            <c:numRef>
              <c:f>'Interior Lights'!$B$77:$B$100</c:f>
            </c:numRef>
          </c:val>
          <c:smooth val="0"/>
          <c:extLst>
            <c:ext xmlns:c16="http://schemas.microsoft.com/office/drawing/2014/chart" uri="{C3380CC4-5D6E-409C-BE32-E72D297353CC}">
              <c16:uniqueId val="{00000000-36A0-4A6C-A608-3C0A3AD60E08}"/>
            </c:ext>
          </c:extLst>
        </c:ser>
        <c:ser>
          <c:idx val="1"/>
          <c:order val="1"/>
          <c:tx>
            <c:strRef>
              <c:f>'Interior Lights'!$C$76</c:f>
            </c:strRef>
          </c:tx>
          <c:spPr>
            <a:ln w="28575" cap="rnd">
              <a:solidFill>
                <a:schemeClr val="accent2"/>
              </a:solidFill>
              <a:round/>
            </a:ln>
            <a:effectLst/>
          </c:spPr>
          <c:marker>
            <c:symbol val="none"/>
          </c:marker>
          <c:cat>
            <c:strRef>
              <c:f>'Interior Lights'!$A$77:$A$100</c:f>
            </c:strRef>
          </c:cat>
          <c:val>
            <c:numRef>
              <c:f>'Interior Lights'!$C$77:$C$100</c:f>
            </c:numRef>
          </c:val>
          <c:smooth val="0"/>
          <c:extLst>
            <c:ext xmlns:c16="http://schemas.microsoft.com/office/drawing/2014/chart" uri="{C3380CC4-5D6E-409C-BE32-E72D297353CC}">
              <c16:uniqueId val="{00000001-36A0-4A6C-A608-3C0A3AD60E08}"/>
            </c:ext>
          </c:extLst>
        </c:ser>
        <c:ser>
          <c:idx val="2"/>
          <c:order val="2"/>
          <c:tx>
            <c:strRef>
              <c:f>'Interior Lights'!$D$76</c:f>
            </c:strRef>
          </c:tx>
          <c:spPr>
            <a:ln w="28575" cap="rnd">
              <a:solidFill>
                <a:schemeClr val="accent3"/>
              </a:solidFill>
              <a:round/>
            </a:ln>
            <a:effectLst/>
          </c:spPr>
          <c:marker>
            <c:symbol val="none"/>
          </c:marker>
          <c:cat>
            <c:strRef>
              <c:f>'Interior Lights'!$A$77:$A$100</c:f>
            </c:strRef>
          </c:cat>
          <c:val>
            <c:numRef>
              <c:f>'Interior Lights'!$D$77:$D$100</c:f>
            </c:numRef>
          </c:val>
          <c:smooth val="0"/>
          <c:extLst>
            <c:ext xmlns:c16="http://schemas.microsoft.com/office/drawing/2014/chart" uri="{C3380CC4-5D6E-409C-BE32-E72D297353CC}">
              <c16:uniqueId val="{00000002-36A0-4A6C-A608-3C0A3AD60E08}"/>
            </c:ext>
          </c:extLst>
        </c:ser>
        <c:ser>
          <c:idx val="4"/>
          <c:order val="3"/>
          <c:tx>
            <c:strRef>
              <c:f>'Interior Lights'!$F$76</c:f>
              <c:extLst xmlns:c15="http://schemas.microsoft.com/office/drawing/2012/chart"/>
            </c:strRef>
          </c:tx>
          <c:spPr>
            <a:ln w="28575" cap="rnd">
              <a:solidFill>
                <a:schemeClr val="accent5"/>
              </a:solidFill>
              <a:round/>
            </a:ln>
            <a:effectLst/>
          </c:spPr>
          <c:marker>
            <c:symbol val="none"/>
          </c:marker>
          <c:cat>
            <c:strRef>
              <c:f>'Interior Lights'!$A$77:$A$100</c:f>
            </c:strRef>
          </c:cat>
          <c:val>
            <c:numRef>
              <c:f>'Interior Lights'!$F$77:$F$100</c:f>
              <c:extLst xmlns:c15="http://schemas.microsoft.com/office/drawing/2012/chart"/>
            </c:numRef>
          </c:val>
          <c:smooth val="0"/>
          <c:extLst xmlns:c15="http://schemas.microsoft.com/office/drawing/2012/chart">
            <c:ext xmlns:c16="http://schemas.microsoft.com/office/drawing/2014/chart" uri="{C3380CC4-5D6E-409C-BE32-E72D297353CC}">
              <c16:uniqueId val="{00000004-36A0-4A6C-A608-3C0A3AD60E08}"/>
            </c:ext>
          </c:extLst>
        </c:ser>
        <c:ser>
          <c:idx val="5"/>
          <c:order val="4"/>
          <c:tx>
            <c:strRef>
              <c:f>'Interior Lights'!$G$76</c:f>
              <c:extLst xmlns:c15="http://schemas.microsoft.com/office/drawing/2012/chart"/>
            </c:strRef>
          </c:tx>
          <c:spPr>
            <a:ln w="28575" cap="rnd">
              <a:solidFill>
                <a:schemeClr val="accent6"/>
              </a:solidFill>
              <a:round/>
            </a:ln>
            <a:effectLst/>
          </c:spPr>
          <c:marker>
            <c:symbol val="none"/>
          </c:marker>
          <c:cat>
            <c:strRef>
              <c:f>'Interior Lights'!$A$77:$A$100</c:f>
            </c:strRef>
          </c:cat>
          <c:val>
            <c:numRef>
              <c:f>'Interior Lights'!$G$77:$G$100</c:f>
              <c:extLst xmlns:c15="http://schemas.microsoft.com/office/drawing/2012/chart"/>
            </c:numRef>
          </c:val>
          <c:smooth val="0"/>
          <c:extLst xmlns:c15="http://schemas.microsoft.com/office/drawing/2012/chart">
            <c:ext xmlns:c16="http://schemas.microsoft.com/office/drawing/2014/chart" uri="{C3380CC4-5D6E-409C-BE32-E72D297353CC}">
              <c16:uniqueId val="{00000005-36A0-4A6C-A608-3C0A3AD60E08}"/>
            </c:ext>
          </c:extLst>
        </c:ser>
        <c:ser>
          <c:idx val="6"/>
          <c:order val="5"/>
          <c:tx>
            <c:strRef>
              <c:f>'Interior Lights'!$H$76</c:f>
              <c:extLst xmlns:c15="http://schemas.microsoft.com/office/drawing/2012/chart"/>
            </c:strRef>
          </c:tx>
          <c:spPr>
            <a:ln w="28575" cap="rnd">
              <a:solidFill>
                <a:schemeClr val="accent1">
                  <a:lumMod val="60000"/>
                </a:schemeClr>
              </a:solidFill>
              <a:round/>
            </a:ln>
            <a:effectLst/>
          </c:spPr>
          <c:marker>
            <c:symbol val="none"/>
          </c:marker>
          <c:cat>
            <c:strRef>
              <c:f>'Interior Lights'!$A$77:$A$100</c:f>
            </c:strRef>
          </c:cat>
          <c:val>
            <c:numRef>
              <c:f>'Interior Lights'!$H$77:$H$100</c:f>
              <c:extLst xmlns:c15="http://schemas.microsoft.com/office/drawing/2012/chart"/>
            </c:numRef>
          </c:val>
          <c:smooth val="0"/>
          <c:extLst xmlns:c15="http://schemas.microsoft.com/office/drawing/2012/chart">
            <c:ext xmlns:c16="http://schemas.microsoft.com/office/drawing/2014/chart" uri="{C3380CC4-5D6E-409C-BE32-E72D297353CC}">
              <c16:uniqueId val="{00000006-36A0-4A6C-A608-3C0A3AD60E08}"/>
            </c:ext>
          </c:extLst>
        </c:ser>
        <c:ser>
          <c:idx val="8"/>
          <c:order val="6"/>
          <c:tx>
            <c:strRef>
              <c:f>'Interior Lights'!$J$76</c:f>
              <c:extLst xmlns:c15="http://schemas.microsoft.com/office/drawing/2012/chart"/>
            </c:strRef>
          </c:tx>
          <c:spPr>
            <a:ln w="28575" cap="rnd">
              <a:solidFill>
                <a:schemeClr val="accent3">
                  <a:lumMod val="60000"/>
                </a:schemeClr>
              </a:solidFill>
              <a:round/>
            </a:ln>
            <a:effectLst/>
          </c:spPr>
          <c:marker>
            <c:symbol val="none"/>
          </c:marker>
          <c:cat>
            <c:strRef>
              <c:f>'Interior Lights'!$A$77:$A$100</c:f>
            </c:strRef>
          </c:cat>
          <c:val>
            <c:numRef>
              <c:f>'Interior Lights'!$J$77:$J$100</c:f>
              <c:extLst xmlns:c15="http://schemas.microsoft.com/office/drawing/2012/chart"/>
            </c:numRef>
          </c:val>
          <c:smooth val="0"/>
          <c:extLst xmlns:c15="http://schemas.microsoft.com/office/drawing/2012/chart">
            <c:ext xmlns:c16="http://schemas.microsoft.com/office/drawing/2014/chart" uri="{C3380CC4-5D6E-409C-BE32-E72D297353CC}">
              <c16:uniqueId val="{00000008-36A0-4A6C-A608-3C0A3AD60E08}"/>
            </c:ext>
          </c:extLst>
        </c:ser>
        <c:ser>
          <c:idx val="9"/>
          <c:order val="7"/>
          <c:tx>
            <c:strRef>
              <c:f>'Interior Lights'!$K$76</c:f>
              <c:extLst xmlns:c15="http://schemas.microsoft.com/office/drawing/2012/chart"/>
            </c:strRef>
          </c:tx>
          <c:spPr>
            <a:ln w="28575" cap="rnd">
              <a:solidFill>
                <a:schemeClr val="accent4">
                  <a:lumMod val="60000"/>
                </a:schemeClr>
              </a:solidFill>
              <a:round/>
            </a:ln>
            <a:effectLst/>
          </c:spPr>
          <c:marker>
            <c:symbol val="none"/>
          </c:marker>
          <c:cat>
            <c:strRef>
              <c:f>'Interior Lights'!$A$77:$A$100</c:f>
            </c:strRef>
          </c:cat>
          <c:val>
            <c:numRef>
              <c:f>'Interior Lights'!$K$77:$K$100</c:f>
              <c:extLst xmlns:c15="http://schemas.microsoft.com/office/drawing/2012/chart"/>
            </c:numRef>
          </c:val>
          <c:smooth val="0"/>
          <c:extLst xmlns:c15="http://schemas.microsoft.com/office/drawing/2012/chart">
            <c:ext xmlns:c16="http://schemas.microsoft.com/office/drawing/2014/chart" uri="{C3380CC4-5D6E-409C-BE32-E72D297353CC}">
              <c16:uniqueId val="{00000009-36A0-4A6C-A608-3C0A3AD60E08}"/>
            </c:ext>
          </c:extLst>
        </c:ser>
        <c:ser>
          <c:idx val="10"/>
          <c:order val="8"/>
          <c:tx>
            <c:strRef>
              <c:f>'Interior Lights'!$L$76</c:f>
              <c:extLst xmlns:c15="http://schemas.microsoft.com/office/drawing/2012/chart"/>
            </c:strRef>
          </c:tx>
          <c:spPr>
            <a:ln w="28575" cap="rnd">
              <a:solidFill>
                <a:schemeClr val="accent5">
                  <a:lumMod val="60000"/>
                </a:schemeClr>
              </a:solidFill>
              <a:round/>
            </a:ln>
            <a:effectLst/>
          </c:spPr>
          <c:marker>
            <c:symbol val="none"/>
          </c:marker>
          <c:cat>
            <c:strRef>
              <c:f>'Interior Lights'!$A$77:$A$100</c:f>
            </c:strRef>
          </c:cat>
          <c:val>
            <c:numRef>
              <c:f>'Interior Lights'!$L$77:$L$100</c:f>
              <c:extLst xmlns:c15="http://schemas.microsoft.com/office/drawing/2012/chart"/>
            </c:numRef>
          </c:val>
          <c:smooth val="0"/>
          <c:extLst xmlns:c15="http://schemas.microsoft.com/office/drawing/2012/chart">
            <c:ext xmlns:c16="http://schemas.microsoft.com/office/drawing/2014/chart" uri="{C3380CC4-5D6E-409C-BE32-E72D297353CC}">
              <c16:uniqueId val="{0000000A-36A0-4A6C-A608-3C0A3AD60E08}"/>
            </c:ext>
          </c:extLst>
        </c:ser>
        <c:dLbls>
          <c:showLegendKey val="0"/>
          <c:showVal val="0"/>
          <c:showCatName val="0"/>
          <c:showSerName val="0"/>
          <c:showPercent val="0"/>
          <c:showBubbleSize val="0"/>
        </c:dLbls>
        <c:marker val="1"/>
        <c:smooth val="0"/>
        <c:axId val="787384271"/>
        <c:axId val="787381871"/>
        <c:extLst/>
      </c:lineChart>
      <c:catAx>
        <c:axId val="78738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81871"/>
        <c:crosses val="autoZero"/>
        <c:auto val="1"/>
        <c:lblAlgn val="ctr"/>
        <c:lblOffset val="100"/>
        <c:noMultiLvlLbl val="0"/>
      </c:catAx>
      <c:valAx>
        <c:axId val="787381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842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PNNL</a:t>
            </a:r>
            <a:r>
              <a:rPr lang="en-US" sz="1100" b="0">
                <a:solidFill>
                  <a:sysClr val="windowText" lastClr="000000"/>
                </a:solidFill>
              </a:rPr>
              <a:t>: </a:t>
            </a:r>
            <a:r>
              <a:rPr lang="en-US" sz="1100"/>
              <a:t>Lights schedule- Small office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'Interior Lights'!$B$76</c:f>
              <c:extLst xmlns:c15="http://schemas.microsoft.com/office/drawing/2012/chart"/>
            </c:strRef>
          </c:tx>
          <c:spPr>
            <a:ln w="28575" cap="rnd">
              <a:solidFill>
                <a:schemeClr val="accent1"/>
              </a:solidFill>
              <a:round/>
            </a:ln>
            <a:effectLst/>
          </c:spPr>
          <c:marker>
            <c:symbol val="none"/>
          </c:marker>
          <c:cat>
            <c:strRef>
              <c:f>'Interior Lights'!$A$77:$A$100</c:f>
            </c:strRef>
          </c:cat>
          <c:val>
            <c:numRef>
              <c:f>'Interior Lights'!$B$77:$B$100</c:f>
              <c:extLst xmlns:c15="http://schemas.microsoft.com/office/drawing/2012/chart"/>
            </c:numRef>
          </c:val>
          <c:smooth val="0"/>
          <c:extLst xmlns:c15="http://schemas.microsoft.com/office/drawing/2012/chart">
            <c:ext xmlns:c16="http://schemas.microsoft.com/office/drawing/2014/chart" uri="{C3380CC4-5D6E-409C-BE32-E72D297353CC}">
              <c16:uniqueId val="{00000000-5672-49DA-9D73-0943382CB52C}"/>
            </c:ext>
          </c:extLst>
        </c:ser>
        <c:ser>
          <c:idx val="1"/>
          <c:order val="1"/>
          <c:tx>
            <c:strRef>
              <c:f>'Interior Lights'!$C$76</c:f>
              <c:extLst xmlns:c15="http://schemas.microsoft.com/office/drawing/2012/chart"/>
            </c:strRef>
          </c:tx>
          <c:spPr>
            <a:ln w="28575" cap="rnd">
              <a:solidFill>
                <a:schemeClr val="accent2"/>
              </a:solidFill>
              <a:round/>
            </a:ln>
            <a:effectLst/>
          </c:spPr>
          <c:marker>
            <c:symbol val="none"/>
          </c:marker>
          <c:cat>
            <c:strRef>
              <c:f>'Interior Lights'!$A$77:$A$100</c:f>
            </c:strRef>
          </c:cat>
          <c:val>
            <c:numRef>
              <c:f>'Interior Lights'!$C$77:$C$100</c:f>
              <c:extLst xmlns:c15="http://schemas.microsoft.com/office/drawing/2012/chart"/>
            </c:numRef>
          </c:val>
          <c:smooth val="0"/>
          <c:extLst xmlns:c15="http://schemas.microsoft.com/office/drawing/2012/chart">
            <c:ext xmlns:c16="http://schemas.microsoft.com/office/drawing/2014/chart" uri="{C3380CC4-5D6E-409C-BE32-E72D297353CC}">
              <c16:uniqueId val="{00000001-5672-49DA-9D73-0943382CB52C}"/>
            </c:ext>
          </c:extLst>
        </c:ser>
        <c:ser>
          <c:idx val="2"/>
          <c:order val="2"/>
          <c:tx>
            <c:strRef>
              <c:f>'Interior Lights'!$D$76</c:f>
              <c:extLst xmlns:c15="http://schemas.microsoft.com/office/drawing/2012/chart"/>
            </c:strRef>
          </c:tx>
          <c:spPr>
            <a:ln w="28575" cap="rnd">
              <a:solidFill>
                <a:schemeClr val="accent3"/>
              </a:solidFill>
              <a:round/>
            </a:ln>
            <a:effectLst/>
          </c:spPr>
          <c:marker>
            <c:symbol val="none"/>
          </c:marker>
          <c:cat>
            <c:strRef>
              <c:f>'Interior Lights'!$A$77:$A$100</c:f>
            </c:strRef>
          </c:cat>
          <c:val>
            <c:numRef>
              <c:f>'Interior Lights'!$D$77:$D$100</c:f>
              <c:extLst xmlns:c15="http://schemas.microsoft.com/office/drawing/2012/chart"/>
            </c:numRef>
          </c:val>
          <c:smooth val="0"/>
          <c:extLst xmlns:c15="http://schemas.microsoft.com/office/drawing/2012/chart">
            <c:ext xmlns:c16="http://schemas.microsoft.com/office/drawing/2014/chart" uri="{C3380CC4-5D6E-409C-BE32-E72D297353CC}">
              <c16:uniqueId val="{00000002-5672-49DA-9D73-0943382CB52C}"/>
            </c:ext>
          </c:extLst>
        </c:ser>
        <c:ser>
          <c:idx val="4"/>
          <c:order val="3"/>
          <c:tx>
            <c:strRef>
              <c:f>'Interior Lights'!$F$76</c:f>
              <c:extLst xmlns:c15="http://schemas.microsoft.com/office/drawing/2012/chart"/>
            </c:strRef>
          </c:tx>
          <c:spPr>
            <a:ln w="28575" cap="rnd">
              <a:solidFill>
                <a:schemeClr val="accent5"/>
              </a:solidFill>
              <a:round/>
            </a:ln>
            <a:effectLst/>
          </c:spPr>
          <c:marker>
            <c:symbol val="none"/>
          </c:marker>
          <c:cat>
            <c:strRef>
              <c:f>'Interior Lights'!$A$77:$A$100</c:f>
            </c:strRef>
          </c:cat>
          <c:val>
            <c:numRef>
              <c:f>'Interior Lights'!$F$77:$F$100</c:f>
              <c:extLst xmlns:c15="http://schemas.microsoft.com/office/drawing/2012/chart"/>
            </c:numRef>
          </c:val>
          <c:smooth val="0"/>
          <c:extLst xmlns:c15="http://schemas.microsoft.com/office/drawing/2012/chart">
            <c:ext xmlns:c16="http://schemas.microsoft.com/office/drawing/2014/chart" uri="{C3380CC4-5D6E-409C-BE32-E72D297353CC}">
              <c16:uniqueId val="{00000003-5672-49DA-9D73-0943382CB52C}"/>
            </c:ext>
          </c:extLst>
        </c:ser>
        <c:ser>
          <c:idx val="5"/>
          <c:order val="4"/>
          <c:tx>
            <c:strRef>
              <c:f>'Interior Lights'!$G$76</c:f>
              <c:extLst xmlns:c15="http://schemas.microsoft.com/office/drawing/2012/chart"/>
            </c:strRef>
          </c:tx>
          <c:spPr>
            <a:ln w="28575" cap="rnd">
              <a:solidFill>
                <a:schemeClr val="accent6"/>
              </a:solidFill>
              <a:round/>
            </a:ln>
            <a:effectLst/>
          </c:spPr>
          <c:marker>
            <c:symbol val="none"/>
          </c:marker>
          <c:cat>
            <c:strRef>
              <c:f>'Interior Lights'!$A$77:$A$100</c:f>
            </c:strRef>
          </c:cat>
          <c:val>
            <c:numRef>
              <c:f>'Interior Lights'!$G$77:$G$100</c:f>
              <c:extLst xmlns:c15="http://schemas.microsoft.com/office/drawing/2012/chart"/>
            </c:numRef>
          </c:val>
          <c:smooth val="0"/>
          <c:extLst xmlns:c15="http://schemas.microsoft.com/office/drawing/2012/chart">
            <c:ext xmlns:c16="http://schemas.microsoft.com/office/drawing/2014/chart" uri="{C3380CC4-5D6E-409C-BE32-E72D297353CC}">
              <c16:uniqueId val="{00000004-5672-49DA-9D73-0943382CB52C}"/>
            </c:ext>
          </c:extLst>
        </c:ser>
        <c:ser>
          <c:idx val="6"/>
          <c:order val="5"/>
          <c:tx>
            <c:strRef>
              <c:f>'Interior Lights'!$H$76</c:f>
              <c:extLst xmlns:c15="http://schemas.microsoft.com/office/drawing/2012/chart"/>
            </c:strRef>
          </c:tx>
          <c:spPr>
            <a:ln w="28575" cap="rnd">
              <a:solidFill>
                <a:schemeClr val="accent1">
                  <a:lumMod val="60000"/>
                </a:schemeClr>
              </a:solidFill>
              <a:round/>
            </a:ln>
            <a:effectLst/>
          </c:spPr>
          <c:marker>
            <c:symbol val="none"/>
          </c:marker>
          <c:cat>
            <c:strRef>
              <c:f>'Interior Lights'!$A$77:$A$100</c:f>
            </c:strRef>
          </c:cat>
          <c:val>
            <c:numRef>
              <c:f>'Interior Lights'!$H$77:$H$100</c:f>
              <c:extLst xmlns:c15="http://schemas.microsoft.com/office/drawing/2012/chart"/>
            </c:numRef>
          </c:val>
          <c:smooth val="0"/>
          <c:extLst xmlns:c15="http://schemas.microsoft.com/office/drawing/2012/chart">
            <c:ext xmlns:c16="http://schemas.microsoft.com/office/drawing/2014/chart" uri="{C3380CC4-5D6E-409C-BE32-E72D297353CC}">
              <c16:uniqueId val="{00000005-5672-49DA-9D73-0943382CB52C}"/>
            </c:ext>
          </c:extLst>
        </c:ser>
        <c:ser>
          <c:idx val="8"/>
          <c:order val="6"/>
          <c:tx>
            <c:strRef>
              <c:f>'Interior Lights'!$J$76</c:f>
              <c:extLst xmlns:c15="http://schemas.microsoft.com/office/drawing/2012/chart"/>
            </c:strRef>
          </c:tx>
          <c:spPr>
            <a:ln w="28575" cap="rnd">
              <a:solidFill>
                <a:schemeClr val="accent3">
                  <a:lumMod val="60000"/>
                </a:schemeClr>
              </a:solidFill>
              <a:round/>
            </a:ln>
            <a:effectLst/>
          </c:spPr>
          <c:marker>
            <c:symbol val="none"/>
          </c:marker>
          <c:cat>
            <c:strRef>
              <c:f>'Interior Lights'!$A$77:$A$100</c:f>
            </c:strRef>
          </c:cat>
          <c:val>
            <c:numRef>
              <c:f>'Interior Lights'!$J$77:$J$100</c:f>
              <c:extLst xmlns:c15="http://schemas.microsoft.com/office/drawing/2012/chart"/>
            </c:numRef>
          </c:val>
          <c:smooth val="0"/>
          <c:extLst>
            <c:ext xmlns:c16="http://schemas.microsoft.com/office/drawing/2014/chart" uri="{C3380CC4-5D6E-409C-BE32-E72D297353CC}">
              <c16:uniqueId val="{00000006-5672-49DA-9D73-0943382CB52C}"/>
            </c:ext>
          </c:extLst>
        </c:ser>
        <c:ser>
          <c:idx val="9"/>
          <c:order val="7"/>
          <c:tx>
            <c:strRef>
              <c:f>'Interior Lights'!$K$76</c:f>
              <c:extLst xmlns:c15="http://schemas.microsoft.com/office/drawing/2012/chart"/>
            </c:strRef>
          </c:tx>
          <c:spPr>
            <a:ln w="28575" cap="rnd">
              <a:solidFill>
                <a:schemeClr val="accent4">
                  <a:lumMod val="60000"/>
                </a:schemeClr>
              </a:solidFill>
              <a:round/>
            </a:ln>
            <a:effectLst/>
          </c:spPr>
          <c:marker>
            <c:symbol val="none"/>
          </c:marker>
          <c:cat>
            <c:strRef>
              <c:f>'Interior Lights'!$A$77:$A$100</c:f>
            </c:strRef>
          </c:cat>
          <c:val>
            <c:numRef>
              <c:f>'Interior Lights'!$K$77:$K$100</c:f>
              <c:extLst xmlns:c15="http://schemas.microsoft.com/office/drawing/2012/chart"/>
            </c:numRef>
          </c:val>
          <c:smooth val="0"/>
          <c:extLst>
            <c:ext xmlns:c16="http://schemas.microsoft.com/office/drawing/2014/chart" uri="{C3380CC4-5D6E-409C-BE32-E72D297353CC}">
              <c16:uniqueId val="{00000007-5672-49DA-9D73-0943382CB52C}"/>
            </c:ext>
          </c:extLst>
        </c:ser>
        <c:ser>
          <c:idx val="10"/>
          <c:order val="8"/>
          <c:tx>
            <c:strRef>
              <c:f>'Interior Lights'!$L$76</c:f>
              <c:extLst xmlns:c15="http://schemas.microsoft.com/office/drawing/2012/chart"/>
            </c:strRef>
          </c:tx>
          <c:spPr>
            <a:ln w="28575" cap="rnd">
              <a:solidFill>
                <a:schemeClr val="accent5">
                  <a:lumMod val="60000"/>
                </a:schemeClr>
              </a:solidFill>
              <a:round/>
            </a:ln>
            <a:effectLst/>
          </c:spPr>
          <c:marker>
            <c:symbol val="none"/>
          </c:marker>
          <c:cat>
            <c:strRef>
              <c:f>'Interior Lights'!$A$77:$A$100</c:f>
            </c:strRef>
          </c:cat>
          <c:val>
            <c:numRef>
              <c:f>'Interior Lights'!$L$77:$L$100</c:f>
              <c:extLst xmlns:c15="http://schemas.microsoft.com/office/drawing/2012/chart"/>
            </c:numRef>
          </c:val>
          <c:smooth val="0"/>
          <c:extLst>
            <c:ext xmlns:c16="http://schemas.microsoft.com/office/drawing/2014/chart" uri="{C3380CC4-5D6E-409C-BE32-E72D297353CC}">
              <c16:uniqueId val="{00000008-5672-49DA-9D73-0943382CB52C}"/>
            </c:ext>
          </c:extLst>
        </c:ser>
        <c:dLbls>
          <c:showLegendKey val="0"/>
          <c:showVal val="0"/>
          <c:showCatName val="0"/>
          <c:showSerName val="0"/>
          <c:showPercent val="0"/>
          <c:showBubbleSize val="0"/>
        </c:dLbls>
        <c:marker val="1"/>
        <c:smooth val="0"/>
        <c:axId val="787384271"/>
        <c:axId val="787381871"/>
        <c:extLst/>
      </c:lineChart>
      <c:catAx>
        <c:axId val="78738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81871"/>
        <c:crosses val="autoZero"/>
        <c:auto val="1"/>
        <c:lblAlgn val="ctr"/>
        <c:lblOffset val="100"/>
        <c:noMultiLvlLbl val="0"/>
      </c:catAx>
      <c:valAx>
        <c:axId val="787381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842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DEER</a:t>
            </a:r>
            <a:r>
              <a:rPr lang="en-US" sz="1100" b="0">
                <a:solidFill>
                  <a:sysClr val="windowText" lastClr="000000"/>
                </a:solidFill>
              </a:rPr>
              <a:t>: </a:t>
            </a:r>
            <a:r>
              <a:rPr lang="en-US" sz="1100"/>
              <a:t>Lights schedule- Small office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'Interior Lights'!$B$76</c:f>
              <c:extLst xmlns:c15="http://schemas.microsoft.com/office/drawing/2012/chart"/>
            </c:strRef>
          </c:tx>
          <c:spPr>
            <a:ln w="28575" cap="rnd">
              <a:solidFill>
                <a:schemeClr val="accent1"/>
              </a:solidFill>
              <a:round/>
            </a:ln>
            <a:effectLst/>
          </c:spPr>
          <c:marker>
            <c:symbol val="none"/>
          </c:marker>
          <c:cat>
            <c:strRef>
              <c:f>'Interior Lights'!$A$77:$A$100</c:f>
            </c:strRef>
          </c:cat>
          <c:val>
            <c:numRef>
              <c:f>'Interior Lights'!$B$77:$B$100</c:f>
              <c:extLst xmlns:c15="http://schemas.microsoft.com/office/drawing/2012/chart"/>
            </c:numRef>
          </c:val>
          <c:smooth val="0"/>
          <c:extLst xmlns:c15="http://schemas.microsoft.com/office/drawing/2012/chart">
            <c:ext xmlns:c16="http://schemas.microsoft.com/office/drawing/2014/chart" uri="{C3380CC4-5D6E-409C-BE32-E72D297353CC}">
              <c16:uniqueId val="{00000003-2114-4653-AB87-DCE79D7B2F87}"/>
            </c:ext>
          </c:extLst>
        </c:ser>
        <c:ser>
          <c:idx val="1"/>
          <c:order val="1"/>
          <c:tx>
            <c:strRef>
              <c:f>'Interior Lights'!$C$76</c:f>
              <c:extLst xmlns:c15="http://schemas.microsoft.com/office/drawing/2012/chart"/>
            </c:strRef>
          </c:tx>
          <c:spPr>
            <a:ln w="28575" cap="rnd">
              <a:solidFill>
                <a:schemeClr val="accent2"/>
              </a:solidFill>
              <a:round/>
            </a:ln>
            <a:effectLst/>
          </c:spPr>
          <c:marker>
            <c:symbol val="none"/>
          </c:marker>
          <c:cat>
            <c:strRef>
              <c:f>'Interior Lights'!$A$77:$A$100</c:f>
            </c:strRef>
          </c:cat>
          <c:val>
            <c:numRef>
              <c:f>'Interior Lights'!$C$77:$C$100</c:f>
              <c:extLst xmlns:c15="http://schemas.microsoft.com/office/drawing/2012/chart"/>
            </c:numRef>
          </c:val>
          <c:smooth val="0"/>
          <c:extLst xmlns:c15="http://schemas.microsoft.com/office/drawing/2012/chart">
            <c:ext xmlns:c16="http://schemas.microsoft.com/office/drawing/2014/chart" uri="{C3380CC4-5D6E-409C-BE32-E72D297353CC}">
              <c16:uniqueId val="{00000004-2114-4653-AB87-DCE79D7B2F87}"/>
            </c:ext>
          </c:extLst>
        </c:ser>
        <c:ser>
          <c:idx val="2"/>
          <c:order val="2"/>
          <c:tx>
            <c:strRef>
              <c:f>'Interior Lights'!$D$76</c:f>
              <c:extLst xmlns:c15="http://schemas.microsoft.com/office/drawing/2012/chart"/>
            </c:strRef>
          </c:tx>
          <c:spPr>
            <a:ln w="28575" cap="rnd">
              <a:solidFill>
                <a:schemeClr val="accent3"/>
              </a:solidFill>
              <a:round/>
            </a:ln>
            <a:effectLst/>
          </c:spPr>
          <c:marker>
            <c:symbol val="none"/>
          </c:marker>
          <c:cat>
            <c:strRef>
              <c:f>'Interior Lights'!$A$77:$A$100</c:f>
            </c:strRef>
          </c:cat>
          <c:val>
            <c:numRef>
              <c:f>'Interior Lights'!$D$77:$D$100</c:f>
              <c:extLst xmlns:c15="http://schemas.microsoft.com/office/drawing/2012/chart"/>
            </c:numRef>
          </c:val>
          <c:smooth val="0"/>
          <c:extLst xmlns:c15="http://schemas.microsoft.com/office/drawing/2012/chart">
            <c:ext xmlns:c16="http://schemas.microsoft.com/office/drawing/2014/chart" uri="{C3380CC4-5D6E-409C-BE32-E72D297353CC}">
              <c16:uniqueId val="{00000005-2114-4653-AB87-DCE79D7B2F87}"/>
            </c:ext>
          </c:extLst>
        </c:ser>
        <c:ser>
          <c:idx val="4"/>
          <c:order val="3"/>
          <c:tx>
            <c:strRef>
              <c:f>'Interior Lights'!$F$76</c:f>
              <c:extLst xmlns:c15="http://schemas.microsoft.com/office/drawing/2012/chart"/>
            </c:strRef>
          </c:tx>
          <c:spPr>
            <a:ln w="28575" cap="rnd">
              <a:solidFill>
                <a:schemeClr val="accent5"/>
              </a:solidFill>
              <a:round/>
            </a:ln>
            <a:effectLst/>
          </c:spPr>
          <c:marker>
            <c:symbol val="none"/>
          </c:marker>
          <c:cat>
            <c:strRef>
              <c:f>'Interior Lights'!$A$77:$A$100</c:f>
            </c:strRef>
          </c:cat>
          <c:val>
            <c:numRef>
              <c:f>'Interior Lights'!$F$77:$F$100</c:f>
              <c:extLst xmlns:c15="http://schemas.microsoft.com/office/drawing/2012/chart"/>
            </c:numRef>
          </c:val>
          <c:smooth val="0"/>
          <c:extLst>
            <c:ext xmlns:c16="http://schemas.microsoft.com/office/drawing/2014/chart" uri="{C3380CC4-5D6E-409C-BE32-E72D297353CC}">
              <c16:uniqueId val="{00000006-2114-4653-AB87-DCE79D7B2F87}"/>
            </c:ext>
          </c:extLst>
        </c:ser>
        <c:ser>
          <c:idx val="5"/>
          <c:order val="4"/>
          <c:tx>
            <c:strRef>
              <c:f>'Interior Lights'!$G$76</c:f>
              <c:extLst xmlns:c15="http://schemas.microsoft.com/office/drawing/2012/chart"/>
            </c:strRef>
          </c:tx>
          <c:spPr>
            <a:ln w="28575" cap="rnd">
              <a:solidFill>
                <a:schemeClr val="accent6"/>
              </a:solidFill>
              <a:round/>
            </a:ln>
            <a:effectLst/>
          </c:spPr>
          <c:marker>
            <c:symbol val="none"/>
          </c:marker>
          <c:cat>
            <c:strRef>
              <c:f>'Interior Lights'!$A$77:$A$100</c:f>
            </c:strRef>
          </c:cat>
          <c:val>
            <c:numRef>
              <c:f>'Interior Lights'!$G$77:$G$100</c:f>
              <c:extLst xmlns:c15="http://schemas.microsoft.com/office/drawing/2012/chart"/>
            </c:numRef>
          </c:val>
          <c:smooth val="0"/>
          <c:extLst>
            <c:ext xmlns:c16="http://schemas.microsoft.com/office/drawing/2014/chart" uri="{C3380CC4-5D6E-409C-BE32-E72D297353CC}">
              <c16:uniqueId val="{00000007-2114-4653-AB87-DCE79D7B2F87}"/>
            </c:ext>
          </c:extLst>
        </c:ser>
        <c:ser>
          <c:idx val="6"/>
          <c:order val="5"/>
          <c:tx>
            <c:strRef>
              <c:f>'Interior Lights'!$H$76</c:f>
              <c:extLst xmlns:c15="http://schemas.microsoft.com/office/drawing/2012/chart"/>
            </c:strRef>
          </c:tx>
          <c:spPr>
            <a:ln w="28575" cap="rnd">
              <a:solidFill>
                <a:schemeClr val="accent1">
                  <a:lumMod val="60000"/>
                </a:schemeClr>
              </a:solidFill>
              <a:round/>
            </a:ln>
            <a:effectLst/>
          </c:spPr>
          <c:marker>
            <c:symbol val="none"/>
          </c:marker>
          <c:cat>
            <c:strRef>
              <c:f>'Interior Lights'!$A$77:$A$100</c:f>
            </c:strRef>
          </c:cat>
          <c:val>
            <c:numRef>
              <c:f>'Interior Lights'!$H$77:$H$100</c:f>
              <c:extLst xmlns:c15="http://schemas.microsoft.com/office/drawing/2012/chart"/>
            </c:numRef>
          </c:val>
          <c:smooth val="0"/>
          <c:extLst>
            <c:ext xmlns:c16="http://schemas.microsoft.com/office/drawing/2014/chart" uri="{C3380CC4-5D6E-409C-BE32-E72D297353CC}">
              <c16:uniqueId val="{00000008-2114-4653-AB87-DCE79D7B2F87}"/>
            </c:ext>
          </c:extLst>
        </c:ser>
        <c:ser>
          <c:idx val="8"/>
          <c:order val="6"/>
          <c:tx>
            <c:strRef>
              <c:f>'Interior Lights'!$J$76</c:f>
              <c:extLst xmlns:c15="http://schemas.microsoft.com/office/drawing/2012/chart"/>
            </c:strRef>
          </c:tx>
          <c:spPr>
            <a:ln w="28575" cap="rnd">
              <a:solidFill>
                <a:schemeClr val="accent3">
                  <a:lumMod val="60000"/>
                </a:schemeClr>
              </a:solidFill>
              <a:round/>
            </a:ln>
            <a:effectLst/>
          </c:spPr>
          <c:marker>
            <c:symbol val="none"/>
          </c:marker>
          <c:cat>
            <c:strRef>
              <c:f>'Interior Lights'!$A$77:$A$100</c:f>
            </c:strRef>
          </c:cat>
          <c:val>
            <c:numRef>
              <c:f>'Interior Lights'!$J$77:$J$100</c:f>
              <c:extLst xmlns:c15="http://schemas.microsoft.com/office/drawing/2012/chart"/>
            </c:numRef>
          </c:val>
          <c:smooth val="0"/>
          <c:extLst xmlns:c15="http://schemas.microsoft.com/office/drawing/2012/chart">
            <c:ext xmlns:c16="http://schemas.microsoft.com/office/drawing/2014/chart" uri="{C3380CC4-5D6E-409C-BE32-E72D297353CC}">
              <c16:uniqueId val="{00000000-2114-4653-AB87-DCE79D7B2F87}"/>
            </c:ext>
          </c:extLst>
        </c:ser>
        <c:ser>
          <c:idx val="9"/>
          <c:order val="7"/>
          <c:tx>
            <c:strRef>
              <c:f>'Interior Lights'!$K$76</c:f>
              <c:extLst xmlns:c15="http://schemas.microsoft.com/office/drawing/2012/chart"/>
            </c:strRef>
          </c:tx>
          <c:spPr>
            <a:ln w="28575" cap="rnd">
              <a:solidFill>
                <a:schemeClr val="accent4">
                  <a:lumMod val="60000"/>
                </a:schemeClr>
              </a:solidFill>
              <a:round/>
            </a:ln>
            <a:effectLst/>
          </c:spPr>
          <c:marker>
            <c:symbol val="none"/>
          </c:marker>
          <c:cat>
            <c:strRef>
              <c:f>'Interior Lights'!$A$77:$A$100</c:f>
            </c:strRef>
          </c:cat>
          <c:val>
            <c:numRef>
              <c:f>'Interior Lights'!$K$77:$K$100</c:f>
              <c:extLst xmlns:c15="http://schemas.microsoft.com/office/drawing/2012/chart"/>
            </c:numRef>
          </c:val>
          <c:smooth val="0"/>
          <c:extLst xmlns:c15="http://schemas.microsoft.com/office/drawing/2012/chart">
            <c:ext xmlns:c16="http://schemas.microsoft.com/office/drawing/2014/chart" uri="{C3380CC4-5D6E-409C-BE32-E72D297353CC}">
              <c16:uniqueId val="{00000001-2114-4653-AB87-DCE79D7B2F87}"/>
            </c:ext>
          </c:extLst>
        </c:ser>
        <c:ser>
          <c:idx val="10"/>
          <c:order val="8"/>
          <c:tx>
            <c:strRef>
              <c:f>'Interior Lights'!$L$76</c:f>
              <c:extLst xmlns:c15="http://schemas.microsoft.com/office/drawing/2012/chart"/>
            </c:strRef>
          </c:tx>
          <c:spPr>
            <a:ln w="28575" cap="rnd">
              <a:solidFill>
                <a:schemeClr val="accent5">
                  <a:lumMod val="60000"/>
                </a:schemeClr>
              </a:solidFill>
              <a:round/>
            </a:ln>
            <a:effectLst/>
          </c:spPr>
          <c:marker>
            <c:symbol val="none"/>
          </c:marker>
          <c:cat>
            <c:strRef>
              <c:f>'Interior Lights'!$A$77:$A$100</c:f>
            </c:strRef>
          </c:cat>
          <c:val>
            <c:numRef>
              <c:f>'Interior Lights'!$L$77:$L$100</c:f>
              <c:extLst xmlns:c15="http://schemas.microsoft.com/office/drawing/2012/chart"/>
            </c:numRef>
          </c:val>
          <c:smooth val="0"/>
          <c:extLst xmlns:c15="http://schemas.microsoft.com/office/drawing/2012/chart">
            <c:ext xmlns:c16="http://schemas.microsoft.com/office/drawing/2014/chart" uri="{C3380CC4-5D6E-409C-BE32-E72D297353CC}">
              <c16:uniqueId val="{00000002-2114-4653-AB87-DCE79D7B2F87}"/>
            </c:ext>
          </c:extLst>
        </c:ser>
        <c:dLbls>
          <c:showLegendKey val="0"/>
          <c:showVal val="0"/>
          <c:showCatName val="0"/>
          <c:showSerName val="0"/>
          <c:showPercent val="0"/>
          <c:showBubbleSize val="0"/>
        </c:dLbls>
        <c:marker val="1"/>
        <c:smooth val="0"/>
        <c:axId val="787384271"/>
        <c:axId val="787381871"/>
        <c:extLst/>
      </c:lineChart>
      <c:catAx>
        <c:axId val="78738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81871"/>
        <c:crosses val="autoZero"/>
        <c:auto val="1"/>
        <c:lblAlgn val="ctr"/>
        <c:lblOffset val="100"/>
        <c:noMultiLvlLbl val="0"/>
      </c:catAx>
      <c:valAx>
        <c:axId val="787381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842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c:v>
                </c:pt>
                <c:pt idx="1">
                  <c:v>0</c:v>
                </c:pt>
                <c:pt idx="2">
                  <c:v>0</c:v>
                </c:pt>
                <c:pt idx="3">
                  <c:v>0</c:v>
                </c:pt>
                <c:pt idx="4">
                  <c:v>0</c:v>
                </c:pt>
                <c:pt idx="5">
                  <c:v>0</c:v>
                </c:pt>
                <c:pt idx="6">
                  <c:v>0.1</c:v>
                </c:pt>
                <c:pt idx="7">
                  <c:v>0.2</c:v>
                </c:pt>
                <c:pt idx="8">
                  <c:v>0.95</c:v>
                </c:pt>
                <c:pt idx="9">
                  <c:v>0.95</c:v>
                </c:pt>
                <c:pt idx="10">
                  <c:v>0.95</c:v>
                </c:pt>
                <c:pt idx="11">
                  <c:v>0.95</c:v>
                </c:pt>
                <c:pt idx="12">
                  <c:v>0.5</c:v>
                </c:pt>
                <c:pt idx="13">
                  <c:v>0.95</c:v>
                </c:pt>
                <c:pt idx="14">
                  <c:v>0.95</c:v>
                </c:pt>
                <c:pt idx="15">
                  <c:v>0.95</c:v>
                </c:pt>
                <c:pt idx="16">
                  <c:v>0.95</c:v>
                </c:pt>
                <c:pt idx="17">
                  <c:v>0.3</c:v>
                </c:pt>
                <c:pt idx="18">
                  <c:v>0.1</c:v>
                </c:pt>
                <c:pt idx="19">
                  <c:v>0.1</c:v>
                </c:pt>
                <c:pt idx="20">
                  <c:v>0.1</c:v>
                </c:pt>
                <c:pt idx="21">
                  <c:v>0.1</c:v>
                </c:pt>
                <c:pt idx="22">
                  <c:v>0.05</c:v>
                </c:pt>
                <c:pt idx="23">
                  <c:v>0.05</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0.05</c:v>
                </c:pt>
                <c:pt idx="5">
                  <c:v>0.1</c:v>
                </c:pt>
                <c:pt idx="6">
                  <c:v>0.1</c:v>
                </c:pt>
                <c:pt idx="7">
                  <c:v>0.3</c:v>
                </c:pt>
                <c:pt idx="8">
                  <c:v>0.65</c:v>
                </c:pt>
                <c:pt idx="9">
                  <c:v>0.65</c:v>
                </c:pt>
                <c:pt idx="10">
                  <c:v>0.65</c:v>
                </c:pt>
                <c:pt idx="11">
                  <c:v>0.65</c:v>
                </c:pt>
                <c:pt idx="12">
                  <c:v>0.65</c:v>
                </c:pt>
                <c:pt idx="13">
                  <c:v>0.65</c:v>
                </c:pt>
                <c:pt idx="14">
                  <c:v>0.65</c:v>
                </c:pt>
                <c:pt idx="15">
                  <c:v>0.65</c:v>
                </c:pt>
                <c:pt idx="16">
                  <c:v>0.65</c:v>
                </c:pt>
                <c:pt idx="17">
                  <c:v>0.35</c:v>
                </c:pt>
                <c:pt idx="18">
                  <c:v>0.3</c:v>
                </c:pt>
                <c:pt idx="19">
                  <c:v>0.3</c:v>
                </c:pt>
                <c:pt idx="20">
                  <c:v>0.2</c:v>
                </c:pt>
                <c:pt idx="21">
                  <c:v>0.2</c:v>
                </c:pt>
                <c:pt idx="22">
                  <c:v>0.1</c:v>
                </c:pt>
                <c:pt idx="23">
                  <c:v>0.05</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 </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0.45</c:v>
                </c:pt>
                <c:pt idx="1">
                  <c:v>0.45</c:v>
                </c:pt>
                <c:pt idx="2">
                  <c:v>0.45</c:v>
                </c:pt>
                <c:pt idx="3">
                  <c:v>0.45</c:v>
                </c:pt>
                <c:pt idx="4">
                  <c:v>0.45</c:v>
                </c:pt>
                <c:pt idx="5">
                  <c:v>0.45</c:v>
                </c:pt>
                <c:pt idx="6">
                  <c:v>0.45</c:v>
                </c:pt>
                <c:pt idx="7">
                  <c:v>0.74</c:v>
                </c:pt>
                <c:pt idx="8">
                  <c:v>0.87</c:v>
                </c:pt>
                <c:pt idx="9">
                  <c:v>0.9</c:v>
                </c:pt>
                <c:pt idx="10">
                  <c:v>0.9</c:v>
                </c:pt>
                <c:pt idx="11">
                  <c:v>0.9</c:v>
                </c:pt>
                <c:pt idx="12">
                  <c:v>0.9</c:v>
                </c:pt>
                <c:pt idx="13">
                  <c:v>0.9</c:v>
                </c:pt>
                <c:pt idx="14">
                  <c:v>0.9</c:v>
                </c:pt>
                <c:pt idx="15">
                  <c:v>0.9</c:v>
                </c:pt>
                <c:pt idx="16">
                  <c:v>0.9</c:v>
                </c:pt>
                <c:pt idx="17">
                  <c:v>0.7</c:v>
                </c:pt>
                <c:pt idx="18">
                  <c:v>0.5</c:v>
                </c:pt>
                <c:pt idx="19">
                  <c:v>0.5</c:v>
                </c:pt>
                <c:pt idx="20">
                  <c:v>0.5</c:v>
                </c:pt>
                <c:pt idx="21">
                  <c:v>0.45</c:v>
                </c:pt>
                <c:pt idx="22">
                  <c:v>0.45</c:v>
                </c:pt>
                <c:pt idx="23">
                  <c:v>0.45</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Schedules!$C$13</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44659783335143166"/>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Schedules!$F$13:$AC$13</c:f>
              <c:numCache>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8C2E-4FDC-8DAB-7FCF7BC63644}"/>
            </c:ext>
          </c:extLst>
        </c:ser>
        <c:ser>
          <c:idx val="1"/>
          <c:order val="1"/>
          <c:tx>
            <c:strRef>
              <c:f>Schedules!$E$14</c:f>
              <c:strCache>
                <c:ptCount val="1"/>
                <c:pt idx="0">
                  <c:v>Saturday</c:v>
                </c:pt>
              </c:strCache>
            </c:strRef>
          </c:tx>
          <c:spPr>
            <a:ln w="28575" cap="rnd">
              <a:solidFill>
                <a:schemeClr val="accent2"/>
              </a:solidFill>
              <a:round/>
            </a:ln>
            <a:effectLst/>
          </c:spPr>
          <c:marker>
            <c:symbol val="none"/>
          </c:marker>
          <c:val>
            <c:numRef>
              <c:f>Schedules!$F$14:$AC$14</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8C2E-4FDC-8DAB-7FCF7BC63644}"/>
            </c:ext>
          </c:extLst>
        </c:ser>
        <c:ser>
          <c:idx val="2"/>
          <c:order val="2"/>
          <c:tx>
            <c:strRef>
              <c:f>Schedules!$E$15</c:f>
              <c:strCache>
                <c:ptCount val="1"/>
                <c:pt idx="0">
                  <c:v>Sunday</c:v>
                </c:pt>
              </c:strCache>
            </c:strRef>
          </c:tx>
          <c:spPr>
            <a:ln w="28575" cap="rnd">
              <a:solidFill>
                <a:schemeClr val="accent3"/>
              </a:solidFill>
              <a:round/>
            </a:ln>
            <a:effectLst/>
          </c:spPr>
          <c:marker>
            <c:symbol val="none"/>
          </c:marker>
          <c:val>
            <c:numRef>
              <c:f>Schedules!$F$15:$AC$15</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BD0A-4098-AF5D-6CDFEC7547B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542468504397248"/>
          <c:y val="8.0678413630311113E-2"/>
          <c:w val="0.29044487156313686"/>
          <c:h val="0.295854895492878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rPr>
              <a:t>HVAC System Operating- Closed Office Zones</a:t>
            </a:r>
          </a:p>
          <a:p>
            <a:pPr marL="0" marR="0" lvl="0" indent="0" algn="ctr" defTabSz="914400" rtl="0" eaLnBrk="1" fontAlgn="auto" latinLnBrk="0" hangingPunct="1">
              <a:lnSpc>
                <a:spcPct val="100000"/>
              </a:lnSpc>
              <a:spcBef>
                <a:spcPts val="0"/>
              </a:spcBef>
              <a:spcAft>
                <a:spcPts val="0"/>
              </a:spcAft>
              <a:buClrTx/>
              <a:buSzTx/>
              <a:buFontTx/>
              <a:buNone/>
              <a:tabLst/>
              <a:defRPr sz="1000">
                <a:solidFill>
                  <a:sysClr val="windowText" lastClr="000000">
                    <a:lumMod val="65000"/>
                    <a:lumOff val="35000"/>
                  </a:sysClr>
                </a:solidFill>
                <a:latin typeface="Arial" panose="020B0604020202020204" pitchFamily="34" charset="0"/>
                <a:cs typeface="Arial" panose="020B0604020202020204" pitchFamily="34" charset="0"/>
              </a:defRPr>
            </a:pPr>
            <a:endParaRPr lang="en-US" sz="1000" b="1" i="0" u="none" strike="noStrike" kern="1200" spc="0" baseline="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Schedules!$E$65</c:f>
            </c:strRef>
          </c:tx>
          <c:spPr>
            <a:ln w="28575" cap="rnd">
              <a:solidFill>
                <a:schemeClr val="accent1"/>
              </a:solidFill>
              <a:round/>
            </a:ln>
            <a:effectLst/>
          </c:spPr>
          <c:marker>
            <c:symbol val="none"/>
          </c:marker>
          <c:val>
            <c:numRef>
              <c:f>Schedules!$F$65:$AC$65</c:f>
            </c:numRef>
          </c:val>
          <c:smooth val="0"/>
          <c:extLst>
            <c:ext xmlns:c16="http://schemas.microsoft.com/office/drawing/2014/chart" uri="{C3380CC4-5D6E-409C-BE32-E72D297353CC}">
              <c16:uniqueId val="{00000000-08C4-4E32-A5AC-4CF15D51F2DA}"/>
            </c:ext>
          </c:extLst>
        </c:ser>
        <c:ser>
          <c:idx val="1"/>
          <c:order val="1"/>
          <c:tx>
            <c:strRef>
              <c:f>Schedules!$E$66</c:f>
            </c:strRef>
          </c:tx>
          <c:spPr>
            <a:ln w="28575" cap="rnd">
              <a:solidFill>
                <a:schemeClr val="accent2"/>
              </a:solidFill>
              <a:round/>
            </a:ln>
            <a:effectLst/>
          </c:spPr>
          <c:marker>
            <c:symbol val="none"/>
          </c:marker>
          <c:val>
            <c:numRef>
              <c:f>Schedules!$F$66:$AC$66</c:f>
            </c:numRef>
          </c:val>
          <c:smooth val="0"/>
          <c:extLst>
            <c:ext xmlns:c16="http://schemas.microsoft.com/office/drawing/2014/chart" uri="{C3380CC4-5D6E-409C-BE32-E72D297353CC}">
              <c16:uniqueId val="{00000001-08C4-4E32-A5AC-4CF15D51F2DA}"/>
            </c:ext>
          </c:extLst>
        </c:ser>
        <c:ser>
          <c:idx val="2"/>
          <c:order val="2"/>
          <c:tx>
            <c:strRef>
              <c:f>Schedules!$E$67</c:f>
            </c:strRef>
          </c:tx>
          <c:spPr>
            <a:ln w="28575" cap="rnd">
              <a:solidFill>
                <a:schemeClr val="accent3"/>
              </a:solidFill>
              <a:round/>
            </a:ln>
            <a:effectLst/>
          </c:spPr>
          <c:marker>
            <c:symbol val="none"/>
          </c:marker>
          <c:val>
            <c:numRef>
              <c:f>Schedules!$F$67:$AC$67</c:f>
            </c:numRef>
          </c:val>
          <c:smooth val="0"/>
          <c:extLst>
            <c:ext xmlns:c16="http://schemas.microsoft.com/office/drawing/2014/chart" uri="{C3380CC4-5D6E-409C-BE32-E72D297353CC}">
              <c16:uniqueId val="{00000002-08C4-4E32-A5AC-4CF15D51F2DA}"/>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
          <c:y val="0.90720805818114503"/>
          <c:w val="1"/>
          <c:h val="9.13431634279527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rPr>
              <a:t>HVAC System Operating- Open Office Zones</a:t>
            </a:r>
          </a:p>
          <a:p>
            <a:pPr marL="0" marR="0" lvl="0" indent="0" algn="ctr" defTabSz="914400" rtl="0" eaLnBrk="1" fontAlgn="auto" latinLnBrk="0" hangingPunct="1">
              <a:lnSpc>
                <a:spcPct val="100000"/>
              </a:lnSpc>
              <a:spcBef>
                <a:spcPts val="0"/>
              </a:spcBef>
              <a:spcAft>
                <a:spcPts val="0"/>
              </a:spcAft>
              <a:buClrTx/>
              <a:buSzTx/>
              <a:buFontTx/>
              <a:buNone/>
              <a:tabLst/>
              <a:defRPr sz="1000">
                <a:solidFill>
                  <a:sysClr val="windowText" lastClr="000000">
                    <a:lumMod val="65000"/>
                    <a:lumOff val="35000"/>
                  </a:sysClr>
                </a:solidFill>
                <a:latin typeface="Arial" panose="020B0604020202020204" pitchFamily="34" charset="0"/>
                <a:cs typeface="Arial" panose="020B0604020202020204" pitchFamily="34" charset="0"/>
              </a:defRPr>
            </a:pPr>
            <a:endParaRPr lang="en-US" sz="1000" b="1" i="0" u="none" strike="noStrike" kern="1200" spc="0" baseline="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Schedules!$E$68</c:f>
            </c:strRef>
          </c:tx>
          <c:spPr>
            <a:ln w="28575" cap="rnd">
              <a:solidFill>
                <a:schemeClr val="accent1"/>
              </a:solidFill>
              <a:round/>
            </a:ln>
            <a:effectLst/>
          </c:spPr>
          <c:marker>
            <c:symbol val="none"/>
          </c:marker>
          <c:val>
            <c:numRef>
              <c:f>Schedules!$F$68:$AC$68</c:f>
            </c:numRef>
          </c:val>
          <c:smooth val="0"/>
          <c:extLst>
            <c:ext xmlns:c16="http://schemas.microsoft.com/office/drawing/2014/chart" uri="{C3380CC4-5D6E-409C-BE32-E72D297353CC}">
              <c16:uniqueId val="{00000000-690D-477B-BACF-FEC0B523E134}"/>
            </c:ext>
          </c:extLst>
        </c:ser>
        <c:ser>
          <c:idx val="1"/>
          <c:order val="1"/>
          <c:tx>
            <c:strRef>
              <c:f>Schedules!$E$69</c:f>
            </c:strRef>
          </c:tx>
          <c:spPr>
            <a:ln w="28575" cap="rnd">
              <a:solidFill>
                <a:schemeClr val="accent2"/>
              </a:solidFill>
              <a:round/>
            </a:ln>
            <a:effectLst/>
          </c:spPr>
          <c:marker>
            <c:symbol val="none"/>
          </c:marker>
          <c:val>
            <c:numRef>
              <c:f>Schedules!$F$69:$AC$69</c:f>
            </c:numRef>
          </c:val>
          <c:smooth val="0"/>
          <c:extLst>
            <c:ext xmlns:c16="http://schemas.microsoft.com/office/drawing/2014/chart" uri="{C3380CC4-5D6E-409C-BE32-E72D297353CC}">
              <c16:uniqueId val="{00000001-690D-477B-BACF-FEC0B523E134}"/>
            </c:ext>
          </c:extLst>
        </c:ser>
        <c:ser>
          <c:idx val="2"/>
          <c:order val="2"/>
          <c:tx>
            <c:strRef>
              <c:f>Schedules!$E$70</c:f>
            </c:strRef>
          </c:tx>
          <c:spPr>
            <a:ln w="28575" cap="rnd">
              <a:solidFill>
                <a:schemeClr val="accent3"/>
              </a:solidFill>
              <a:round/>
            </a:ln>
            <a:effectLst/>
          </c:spPr>
          <c:marker>
            <c:symbol val="none"/>
          </c:marker>
          <c:val>
            <c:numRef>
              <c:f>Schedules!$F$70:$AC$70</c:f>
            </c:numRef>
          </c:val>
          <c:smooth val="0"/>
          <c:extLst>
            <c:ext xmlns:c16="http://schemas.microsoft.com/office/drawing/2014/chart" uri="{C3380CC4-5D6E-409C-BE32-E72D297353CC}">
              <c16:uniqueId val="{00000002-690D-477B-BACF-FEC0B523E134}"/>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
          <c:y val="0.90720805818114503"/>
          <c:w val="1"/>
          <c:h val="9.13431634279527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Schedules!$E$56</c:f>
            </c:strRef>
          </c:tx>
          <c:spPr>
            <a:ln w="28575" cap="rnd">
              <a:solidFill>
                <a:schemeClr val="accent1"/>
              </a:solidFill>
              <a:round/>
            </a:ln>
            <a:effectLst/>
          </c:spPr>
          <c:marker>
            <c:symbol val="none"/>
          </c:marker>
          <c:val>
            <c:numRef>
              <c:f>Schedules!$F$56:$AC$56</c:f>
            </c:numRef>
          </c:val>
          <c:smooth val="0"/>
          <c:extLst>
            <c:ext xmlns:c16="http://schemas.microsoft.com/office/drawing/2014/chart" uri="{C3380CC4-5D6E-409C-BE32-E72D297353CC}">
              <c16:uniqueId val="{00000000-3B57-4713-B0CD-EB5944F38800}"/>
            </c:ext>
          </c:extLst>
        </c:ser>
        <c:ser>
          <c:idx val="1"/>
          <c:order val="1"/>
          <c:tx>
            <c:strRef>
              <c:f>Schedules!$E$57</c:f>
            </c:strRef>
          </c:tx>
          <c:spPr>
            <a:ln w="28575" cap="rnd">
              <a:solidFill>
                <a:schemeClr val="accent2"/>
              </a:solidFill>
              <a:round/>
            </a:ln>
            <a:effectLst/>
          </c:spPr>
          <c:marker>
            <c:symbol val="none"/>
          </c:marker>
          <c:val>
            <c:numRef>
              <c:f>Schedules!$F$57:$AC$57</c:f>
            </c:numRef>
          </c:val>
          <c:smooth val="0"/>
          <c:extLst>
            <c:ext xmlns:c16="http://schemas.microsoft.com/office/drawing/2014/chart" uri="{C3380CC4-5D6E-409C-BE32-E72D297353CC}">
              <c16:uniqueId val="{00000001-3B57-4713-B0CD-EB5944F38800}"/>
            </c:ext>
          </c:extLst>
        </c:ser>
        <c:ser>
          <c:idx val="2"/>
          <c:order val="2"/>
          <c:tx>
            <c:strRef>
              <c:f>Schedules!$E$58</c:f>
            </c:strRef>
          </c:tx>
          <c:spPr>
            <a:ln w="28575" cap="rnd">
              <a:solidFill>
                <a:schemeClr val="accent3"/>
              </a:solidFill>
              <a:round/>
            </a:ln>
            <a:effectLst/>
          </c:spPr>
          <c:marker>
            <c:symbol val="none"/>
          </c:marker>
          <c:val>
            <c:numRef>
              <c:f>Schedules!$F$58:$AC$58</c:f>
            </c:numRef>
          </c:val>
          <c:smooth val="0"/>
          <c:extLst>
            <c:ext xmlns:c16="http://schemas.microsoft.com/office/drawing/2014/chart" uri="{C3380CC4-5D6E-409C-BE32-E72D297353CC}">
              <c16:uniqueId val="{00000002-3B57-4713-B0CD-EB5944F38800}"/>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Schedules!$C$16</c:f>
          <c:strCache>
            <c:ptCount val="1"/>
            <c:pt idx="0">
              <c:v>ServiceHotWater</c:v>
            </c:pt>
          </c:strCache>
        </c:strRef>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Schedules!$E$16</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0.05</c:v>
                </c:pt>
                <c:pt idx="1">
                  <c:v>0.05</c:v>
                </c:pt>
                <c:pt idx="2">
                  <c:v>0.05</c:v>
                </c:pt>
                <c:pt idx="3">
                  <c:v>0.05</c:v>
                </c:pt>
                <c:pt idx="4">
                  <c:v>0.05</c:v>
                </c:pt>
                <c:pt idx="5">
                  <c:v>0.08</c:v>
                </c:pt>
                <c:pt idx="6">
                  <c:v>7.0000000000000007E-2</c:v>
                </c:pt>
                <c:pt idx="7">
                  <c:v>0.19</c:v>
                </c:pt>
                <c:pt idx="8">
                  <c:v>0.35</c:v>
                </c:pt>
                <c:pt idx="9">
                  <c:v>0.38</c:v>
                </c:pt>
                <c:pt idx="10">
                  <c:v>0.39</c:v>
                </c:pt>
                <c:pt idx="11">
                  <c:v>0.47</c:v>
                </c:pt>
                <c:pt idx="12">
                  <c:v>0.56999999999999995</c:v>
                </c:pt>
                <c:pt idx="13">
                  <c:v>0.54</c:v>
                </c:pt>
                <c:pt idx="14">
                  <c:v>0.34</c:v>
                </c:pt>
                <c:pt idx="15">
                  <c:v>0.33</c:v>
                </c:pt>
                <c:pt idx="16">
                  <c:v>0.44</c:v>
                </c:pt>
                <c:pt idx="17">
                  <c:v>0.26</c:v>
                </c:pt>
                <c:pt idx="18">
                  <c:v>0.21</c:v>
                </c:pt>
                <c:pt idx="19">
                  <c:v>0.15</c:v>
                </c:pt>
                <c:pt idx="20">
                  <c:v>0.17</c:v>
                </c:pt>
                <c:pt idx="21">
                  <c:v>0.08</c:v>
                </c:pt>
                <c:pt idx="22">
                  <c:v>0.05</c:v>
                </c:pt>
                <c:pt idx="23">
                  <c:v>0.05</c:v>
                </c:pt>
              </c:numCache>
            </c:numRef>
          </c:val>
          <c:smooth val="0"/>
          <c:extLst>
            <c:ext xmlns:c16="http://schemas.microsoft.com/office/drawing/2014/chart" uri="{C3380CC4-5D6E-409C-BE32-E72D297353CC}">
              <c16:uniqueId val="{00000000-0D38-48D2-B658-BA53753E1DF1}"/>
            </c:ext>
          </c:extLst>
        </c:ser>
        <c:ser>
          <c:idx val="1"/>
          <c:order val="1"/>
          <c:tx>
            <c:strRef>
              <c:f>Schedules!$E$17</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0.05</c:v>
                </c:pt>
                <c:pt idx="1">
                  <c:v>0.05</c:v>
                </c:pt>
                <c:pt idx="2">
                  <c:v>0.05</c:v>
                </c:pt>
                <c:pt idx="3">
                  <c:v>0.05</c:v>
                </c:pt>
                <c:pt idx="4">
                  <c:v>0.05</c:v>
                </c:pt>
                <c:pt idx="5">
                  <c:v>0.08</c:v>
                </c:pt>
                <c:pt idx="6">
                  <c:v>7.0000000000000007E-2</c:v>
                </c:pt>
                <c:pt idx="7">
                  <c:v>0.11</c:v>
                </c:pt>
                <c:pt idx="8">
                  <c:v>0.15</c:v>
                </c:pt>
                <c:pt idx="9">
                  <c:v>0.21</c:v>
                </c:pt>
                <c:pt idx="10">
                  <c:v>0.19</c:v>
                </c:pt>
                <c:pt idx="11">
                  <c:v>0.23</c:v>
                </c:pt>
                <c:pt idx="12">
                  <c:v>0.2</c:v>
                </c:pt>
                <c:pt idx="13">
                  <c:v>0.19</c:v>
                </c:pt>
                <c:pt idx="14">
                  <c:v>0.15</c:v>
                </c:pt>
                <c:pt idx="15">
                  <c:v>0.12</c:v>
                </c:pt>
                <c:pt idx="16">
                  <c:v>0.14000000000000001</c:v>
                </c:pt>
                <c:pt idx="17">
                  <c:v>7.0000000000000007E-2</c:v>
                </c:pt>
                <c:pt idx="18">
                  <c:v>7.0000000000000007E-2</c:v>
                </c:pt>
                <c:pt idx="19">
                  <c:v>7.0000000000000007E-2</c:v>
                </c:pt>
                <c:pt idx="20">
                  <c:v>7.0000000000000007E-2</c:v>
                </c:pt>
                <c:pt idx="21">
                  <c:v>0.09</c:v>
                </c:pt>
                <c:pt idx="22">
                  <c:v>0.05</c:v>
                </c:pt>
                <c:pt idx="23">
                  <c:v>0.05</c:v>
                </c:pt>
              </c:numCache>
            </c:numRef>
          </c:val>
          <c:smooth val="0"/>
          <c:extLst>
            <c:ext xmlns:c16="http://schemas.microsoft.com/office/drawing/2014/chart" uri="{C3380CC4-5D6E-409C-BE32-E72D297353CC}">
              <c16:uniqueId val="{00000001-0D38-48D2-B658-BA53753E1DF1}"/>
            </c:ext>
          </c:extLst>
        </c:ser>
        <c:ser>
          <c:idx val="2"/>
          <c:order val="2"/>
          <c:tx>
            <c:strRef>
              <c:f>Schedules!$E$18</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0.04</c:v>
                </c:pt>
                <c:pt idx="1">
                  <c:v>0.04</c:v>
                </c:pt>
                <c:pt idx="2">
                  <c:v>0.04</c:v>
                </c:pt>
                <c:pt idx="3">
                  <c:v>0.04</c:v>
                </c:pt>
                <c:pt idx="4">
                  <c:v>0.04</c:v>
                </c:pt>
                <c:pt idx="5">
                  <c:v>7.0000000000000007E-2</c:v>
                </c:pt>
                <c:pt idx="6">
                  <c:v>0.04</c:v>
                </c:pt>
                <c:pt idx="7">
                  <c:v>0.04</c:v>
                </c:pt>
                <c:pt idx="8">
                  <c:v>0.04</c:v>
                </c:pt>
                <c:pt idx="9">
                  <c:v>0.04</c:v>
                </c:pt>
                <c:pt idx="10">
                  <c:v>0.04</c:v>
                </c:pt>
                <c:pt idx="11">
                  <c:v>0.06</c:v>
                </c:pt>
                <c:pt idx="12">
                  <c:v>0.06</c:v>
                </c:pt>
                <c:pt idx="13">
                  <c:v>0.09</c:v>
                </c:pt>
                <c:pt idx="14">
                  <c:v>0.06</c:v>
                </c:pt>
                <c:pt idx="15">
                  <c:v>0.04</c:v>
                </c:pt>
                <c:pt idx="16">
                  <c:v>0.04</c:v>
                </c:pt>
                <c:pt idx="17">
                  <c:v>0.04</c:v>
                </c:pt>
                <c:pt idx="18">
                  <c:v>0.04</c:v>
                </c:pt>
                <c:pt idx="19">
                  <c:v>0.04</c:v>
                </c:pt>
                <c:pt idx="20">
                  <c:v>0.04</c:v>
                </c:pt>
                <c:pt idx="21">
                  <c:v>7.0000000000000007E-2</c:v>
                </c:pt>
                <c:pt idx="22">
                  <c:v>0.04</c:v>
                </c:pt>
                <c:pt idx="23">
                  <c:v>0.04</c:v>
                </c:pt>
              </c:numCache>
            </c:numRef>
          </c:val>
          <c:smooth val="0"/>
          <c:extLst>
            <c:ext xmlns:c16="http://schemas.microsoft.com/office/drawing/2014/chart" uri="{C3380CC4-5D6E-409C-BE32-E72D297353CC}">
              <c16:uniqueId val="{00000002-0D38-48D2-B658-BA53753E1DF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7377519234143699"/>
          <c:y val="0.13776199426227489"/>
          <c:w val="0.26224807658563015"/>
          <c:h val="0.336551066618996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c:f>
          <c:strCache>
            <c:ptCount val="1"/>
            <c:pt idx="0">
              <c:v>Infiltration</c:v>
            </c:pt>
          </c:strCache>
        </c:strRef>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Schedules!$E$19</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1</c:v>
                </c:pt>
                <c:pt idx="1">
                  <c:v>1</c:v>
                </c:pt>
                <c:pt idx="2">
                  <c:v>1</c:v>
                </c:pt>
                <c:pt idx="3">
                  <c:v>1</c:v>
                </c:pt>
                <c:pt idx="4">
                  <c:v>1</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0-BDF1-4DC1-A424-186F547FB1D0}"/>
            </c:ext>
          </c:extLst>
        </c:ser>
        <c:ser>
          <c:idx val="1"/>
          <c:order val="1"/>
          <c:tx>
            <c:strRef>
              <c:f>Schedules!$E$20</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BDF1-4DC1-A424-186F547FB1D0}"/>
            </c:ext>
          </c:extLst>
        </c:ser>
        <c:ser>
          <c:idx val="2"/>
          <c:order val="2"/>
          <c:tx>
            <c:strRef>
              <c:f>Schedules!$E$21</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BDF1-4DC1-A424-186F547FB1D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76214041675038213"/>
          <c:y val="0.17396471785195017"/>
          <c:w val="0.23785958324961798"/>
          <c:h val="0.332776629713468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HVAC System Operation</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Schedules!$E$61</c:f>
            </c:strRef>
          </c:tx>
          <c:spPr>
            <a:ln w="28575" cap="rnd">
              <a:solidFill>
                <a:schemeClr val="accent1"/>
              </a:solidFill>
              <a:round/>
            </a:ln>
            <a:effectLst/>
          </c:spPr>
          <c:marker>
            <c:symbol val="none"/>
          </c:marker>
          <c:val>
            <c:numRef>
              <c:f>Schedules!$F$61:$AC$61</c:f>
            </c:numRef>
          </c:val>
          <c:smooth val="0"/>
          <c:extLst>
            <c:ext xmlns:c16="http://schemas.microsoft.com/office/drawing/2014/chart" uri="{C3380CC4-5D6E-409C-BE32-E72D297353CC}">
              <c16:uniqueId val="{00000000-CCB9-430B-9456-23FFBAD245FD}"/>
            </c:ext>
          </c:extLst>
        </c:ser>
        <c:ser>
          <c:idx val="1"/>
          <c:order val="1"/>
          <c:tx>
            <c:strRef>
              <c:f>Schedules!$E$62</c:f>
            </c:strRef>
          </c:tx>
          <c:spPr>
            <a:ln w="28575" cap="rnd">
              <a:solidFill>
                <a:schemeClr val="accent2"/>
              </a:solidFill>
              <a:round/>
            </a:ln>
            <a:effectLst/>
          </c:spPr>
          <c:marker>
            <c:symbol val="none"/>
          </c:marker>
          <c:val>
            <c:numRef>
              <c:f>Schedules!$F$62:$AC$62</c:f>
            </c:numRef>
          </c:val>
          <c:smooth val="0"/>
          <c:extLst>
            <c:ext xmlns:c16="http://schemas.microsoft.com/office/drawing/2014/chart" uri="{C3380CC4-5D6E-409C-BE32-E72D297353CC}">
              <c16:uniqueId val="{00000001-CCB9-430B-9456-23FFBAD245FD}"/>
            </c:ext>
          </c:extLst>
        </c:ser>
        <c:ser>
          <c:idx val="2"/>
          <c:order val="2"/>
          <c:tx>
            <c:strRef>
              <c:f>Schedules!$E$63</c:f>
            </c:strRef>
          </c:tx>
          <c:spPr>
            <a:ln w="28575" cap="rnd">
              <a:solidFill>
                <a:schemeClr val="accent3"/>
              </a:solidFill>
              <a:round/>
            </a:ln>
            <a:effectLst/>
          </c:spPr>
          <c:marker>
            <c:symbol val="none"/>
          </c:marker>
          <c:val>
            <c:numRef>
              <c:f>Schedules!$F$63:$AC$63</c:f>
            </c:numRef>
          </c:val>
          <c:smooth val="0"/>
          <c:extLst>
            <c:ext xmlns:c16="http://schemas.microsoft.com/office/drawing/2014/chart" uri="{C3380CC4-5D6E-409C-BE32-E72D297353CC}">
              <c16:uniqueId val="{00000002-CCB9-430B-9456-23FFBAD245FD}"/>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87662302904"/>
          <c:h val="0.113380739732376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Schedules!$C$22</c:f>
          <c:strCache>
            <c:ptCount val="1"/>
            <c:pt idx="0">
              <c:v>HtgSetpt</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Schedules!$E$22</c:f>
              <c:strCache>
                <c:ptCount val="1"/>
                <c:pt idx="0">
                  <c:v>Weekday</c:v>
                </c:pt>
              </c:strCache>
            </c:strRef>
          </c:tx>
          <c:spPr>
            <a:ln w="28575" cap="rnd">
              <a:solidFill>
                <a:schemeClr val="accent1"/>
              </a:solidFill>
              <a:round/>
            </a:ln>
            <a:effectLst/>
          </c:spPr>
          <c:marker>
            <c:symbol val="none"/>
          </c:marker>
          <c:val>
            <c:numRef>
              <c:f>Schedules!$F$22:$AC$22</c:f>
              <c:numCache>
                <c:formatCode>0</c:formatCode>
                <c:ptCount val="24"/>
                <c:pt idx="0">
                  <c:v>60</c:v>
                </c:pt>
                <c:pt idx="1">
                  <c:v>60</c:v>
                </c:pt>
                <c:pt idx="2">
                  <c:v>60</c:v>
                </c:pt>
                <c:pt idx="3">
                  <c:v>60</c:v>
                </c:pt>
                <c:pt idx="4">
                  <c:v>60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70</c:v>
                </c:pt>
              </c:numCache>
            </c:numRef>
          </c:val>
          <c:smooth val="0"/>
          <c:extLst>
            <c:ext xmlns:c16="http://schemas.microsoft.com/office/drawing/2014/chart" uri="{C3380CC4-5D6E-409C-BE32-E72D297353CC}">
              <c16:uniqueId val="{00000000-5EE7-4A46-B42C-60B8E54BD1ED}"/>
            </c:ext>
          </c:extLst>
        </c:ser>
        <c:ser>
          <c:idx val="1"/>
          <c:order val="1"/>
          <c:tx>
            <c:strRef>
              <c:f>Schedules!$E$23</c:f>
              <c:strCache>
                <c:ptCount val="1"/>
                <c:pt idx="0">
                  <c:v>Saturday</c:v>
                </c:pt>
              </c:strCache>
            </c:strRef>
          </c:tx>
          <c:spPr>
            <a:ln w="28575" cap="rnd">
              <a:solidFill>
                <a:schemeClr val="accent2"/>
              </a:solidFill>
              <a:round/>
            </a:ln>
            <a:effectLst/>
          </c:spPr>
          <c:marker>
            <c:symbol val="none"/>
          </c:marker>
          <c:val>
            <c:numRef>
              <c:f>Schedules!$F$23:$AC$23</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1-5EE7-4A46-B42C-60B8E54BD1ED}"/>
            </c:ext>
          </c:extLst>
        </c:ser>
        <c:ser>
          <c:idx val="2"/>
          <c:order val="2"/>
          <c:tx>
            <c:strRef>
              <c:f>Schedules!$E$24</c:f>
              <c:strCache>
                <c:ptCount val="1"/>
                <c:pt idx="0">
                  <c:v>Sunday</c:v>
                </c:pt>
              </c:strCache>
            </c:strRef>
          </c:tx>
          <c:spPr>
            <a:ln w="28575" cap="rnd">
              <a:solidFill>
                <a:schemeClr val="accent3"/>
              </a:solidFill>
              <a:round/>
            </a:ln>
            <a:effectLst/>
          </c:spPr>
          <c:marker>
            <c:symbol val="none"/>
          </c:marker>
          <c:val>
            <c:numRef>
              <c:f>Schedules!$F$24:$AC$24</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2-5EE7-4A46-B42C-60B8E54BD1E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5"/>
        <c:minorUnit val="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Schedules!$C$25</c:f>
          <c:strCache>
            <c:ptCount val="1"/>
            <c:pt idx="0">
              <c:v>ClgSetpt</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Schedules!$E$25</c:f>
              <c:strCache>
                <c:ptCount val="1"/>
                <c:pt idx="0">
                  <c:v>Weekday</c:v>
                </c:pt>
              </c:strCache>
            </c:strRef>
          </c:tx>
          <c:spPr>
            <a:ln w="28575" cap="rnd">
              <a:solidFill>
                <a:schemeClr val="accent1"/>
              </a:solidFill>
              <a:round/>
            </a:ln>
            <a:effectLst/>
          </c:spPr>
          <c:marker>
            <c:symbol val="none"/>
          </c:marker>
          <c:val>
            <c:numRef>
              <c:f>Schedules!$F$25:$AC$25</c:f>
              <c:numCache>
                <c:formatCode>0</c:formatCode>
                <c:ptCount val="24"/>
                <c:pt idx="0">
                  <c:v>85</c:v>
                </c:pt>
                <c:pt idx="1">
                  <c:v>85</c:v>
                </c:pt>
                <c:pt idx="2">
                  <c:v>85</c:v>
                </c:pt>
                <c:pt idx="3">
                  <c:v>85</c:v>
                </c:pt>
                <c:pt idx="4">
                  <c:v>85</c:v>
                </c:pt>
                <c:pt idx="5">
                  <c:v>75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75</c:v>
                </c:pt>
              </c:numCache>
            </c:numRef>
          </c:val>
          <c:smooth val="0"/>
          <c:extLst>
            <c:ext xmlns:c16="http://schemas.microsoft.com/office/drawing/2014/chart" uri="{C3380CC4-5D6E-409C-BE32-E72D297353CC}">
              <c16:uniqueId val="{00000000-9932-4BDA-AC66-454F8274F881}"/>
            </c:ext>
          </c:extLst>
        </c:ser>
        <c:ser>
          <c:idx val="1"/>
          <c:order val="1"/>
          <c:tx>
            <c:strRef>
              <c:f>Schedules!$E$26</c:f>
              <c:strCache>
                <c:ptCount val="1"/>
                <c:pt idx="0">
                  <c:v>Saturday</c:v>
                </c:pt>
              </c:strCache>
            </c:strRef>
          </c:tx>
          <c:spPr>
            <a:ln w="28575" cap="rnd">
              <a:solidFill>
                <a:schemeClr val="accent2"/>
              </a:solidFill>
              <a:round/>
            </a:ln>
            <a:effectLst/>
          </c:spPr>
          <c:marker>
            <c:symbol val="none"/>
          </c:marker>
          <c:val>
            <c:numRef>
              <c:f>Schedules!$F$26:$AC$26</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1-9932-4BDA-AC66-454F8274F881}"/>
            </c:ext>
          </c:extLst>
        </c:ser>
        <c:ser>
          <c:idx val="2"/>
          <c:order val="2"/>
          <c:tx>
            <c:strRef>
              <c:f>Schedules!$E$27</c:f>
              <c:strCache>
                <c:ptCount val="1"/>
                <c:pt idx="0">
                  <c:v>Sunday</c:v>
                </c:pt>
              </c:strCache>
            </c:strRef>
          </c:tx>
          <c:spPr>
            <a:ln w="28575" cap="rnd">
              <a:solidFill>
                <a:schemeClr val="accent3"/>
              </a:solidFill>
              <a:round/>
            </a:ln>
            <a:effectLst/>
          </c:spPr>
          <c:marker>
            <c:symbol val="none"/>
          </c:marker>
          <c:val>
            <c:numRef>
              <c:f>Schedules!$F$27:$AC$27</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2-9932-4BDA-AC66-454F8274F88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5"/>
        <c:minorUnit val="2"/>
      </c:valAx>
      <c:spPr>
        <a:noFill/>
        <a:ln>
          <a:noFill/>
        </a:ln>
        <a:effectLst/>
      </c:spPr>
    </c:plotArea>
    <c:legend>
      <c:legendPos val="b"/>
      <c:layout>
        <c:manualLayout>
          <c:xMode val="edge"/>
          <c:yMode val="edge"/>
          <c:x val="0.19081515552398717"/>
          <c:y val="0.52565747119424466"/>
          <c:w val="0.72584928779999403"/>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Schedules!$D$80</c:f>
        </c:strRef>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Schedules!$E$80</c:f>
            </c:strRef>
          </c:tx>
          <c:spPr>
            <a:ln w="28575" cap="rnd">
              <a:solidFill>
                <a:schemeClr val="accent1"/>
              </a:solidFill>
              <a:round/>
            </a:ln>
            <a:effectLst/>
          </c:spPr>
          <c:marker>
            <c:symbol val="none"/>
          </c:marker>
          <c:val>
            <c:numRef>
              <c:f>Schedules!$F$80:$AC$80</c:f>
            </c:numRef>
          </c:val>
          <c:smooth val="0"/>
          <c:extLst>
            <c:ext xmlns:c16="http://schemas.microsoft.com/office/drawing/2014/chart" uri="{C3380CC4-5D6E-409C-BE32-E72D297353CC}">
              <c16:uniqueId val="{00000000-0CFB-4DC8-9D13-AA8FBAB0AEBD}"/>
            </c:ext>
          </c:extLst>
        </c:ser>
        <c:ser>
          <c:idx val="1"/>
          <c:order val="1"/>
          <c:tx>
            <c:strRef>
              <c:f>Schedules!$E$81</c:f>
            </c:strRef>
          </c:tx>
          <c:spPr>
            <a:ln w="28575" cap="rnd">
              <a:solidFill>
                <a:schemeClr val="accent2"/>
              </a:solidFill>
              <a:round/>
            </a:ln>
            <a:effectLst/>
          </c:spPr>
          <c:marker>
            <c:symbol val="none"/>
          </c:marker>
          <c:val>
            <c:numRef>
              <c:f>Schedules!$F$81:$AC$81</c:f>
            </c:numRef>
          </c:val>
          <c:smooth val="0"/>
          <c:extLst>
            <c:ext xmlns:c16="http://schemas.microsoft.com/office/drawing/2014/chart" uri="{C3380CC4-5D6E-409C-BE32-E72D297353CC}">
              <c16:uniqueId val="{00000001-0CFB-4DC8-9D13-AA8FBAB0AEBD}"/>
            </c:ext>
          </c:extLst>
        </c:ser>
        <c:ser>
          <c:idx val="2"/>
          <c:order val="2"/>
          <c:tx>
            <c:strRef>
              <c:f>Schedules!$E$82</c:f>
            </c:strRef>
          </c:tx>
          <c:spPr>
            <a:ln w="28575" cap="rnd">
              <a:solidFill>
                <a:schemeClr val="accent3"/>
              </a:solidFill>
              <a:round/>
            </a:ln>
            <a:effectLst/>
          </c:spPr>
          <c:marker>
            <c:symbol val="none"/>
          </c:marker>
          <c:val>
            <c:numRef>
              <c:f>Schedules!$F$82:$AC$82</c:f>
            </c:numRef>
          </c:val>
          <c:smooth val="0"/>
          <c:extLst>
            <c:ext xmlns:c16="http://schemas.microsoft.com/office/drawing/2014/chart" uri="{C3380CC4-5D6E-409C-BE32-E72D297353CC}">
              <c16:uniqueId val="{00000003-0CFB-4DC8-9D13-AA8FBAB0AEBD}"/>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70097773501551652"/>
          <c:y val="7.0852116585053485E-2"/>
          <c:w val="0.26206608834364853"/>
          <c:h val="0.519231179160460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Schedules!$D$83</c:f>
        </c:strRef>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Schedules!$E$83</c:f>
            </c:strRef>
          </c:tx>
          <c:spPr>
            <a:ln w="28575" cap="rnd">
              <a:solidFill>
                <a:schemeClr val="accent1"/>
              </a:solidFill>
              <a:round/>
            </a:ln>
            <a:effectLst/>
          </c:spPr>
          <c:marker>
            <c:symbol val="none"/>
          </c:marker>
          <c:val>
            <c:numRef>
              <c:f>Schedules!$F$83:$AC$83</c:f>
            </c:numRef>
          </c:val>
          <c:smooth val="0"/>
          <c:extLst>
            <c:ext xmlns:c16="http://schemas.microsoft.com/office/drawing/2014/chart" uri="{C3380CC4-5D6E-409C-BE32-E72D297353CC}">
              <c16:uniqueId val="{00000000-AF02-44E6-B797-8D12F409C02B}"/>
            </c:ext>
          </c:extLst>
        </c:ser>
        <c:ser>
          <c:idx val="1"/>
          <c:order val="1"/>
          <c:tx>
            <c:strRef>
              <c:f>Schedules!$E$84</c:f>
            </c:strRef>
          </c:tx>
          <c:spPr>
            <a:ln w="28575" cap="rnd">
              <a:solidFill>
                <a:schemeClr val="accent2"/>
              </a:solidFill>
              <a:round/>
            </a:ln>
            <a:effectLst/>
          </c:spPr>
          <c:marker>
            <c:symbol val="none"/>
          </c:marker>
          <c:val>
            <c:numRef>
              <c:f>Schedules!$F$84:$AC$84</c:f>
            </c:numRef>
          </c:val>
          <c:smooth val="0"/>
          <c:extLst>
            <c:ext xmlns:c16="http://schemas.microsoft.com/office/drawing/2014/chart" uri="{C3380CC4-5D6E-409C-BE32-E72D297353CC}">
              <c16:uniqueId val="{00000001-AF02-44E6-B797-8D12F409C02B}"/>
            </c:ext>
          </c:extLst>
        </c:ser>
        <c:ser>
          <c:idx val="2"/>
          <c:order val="2"/>
          <c:tx>
            <c:strRef>
              <c:f>Schedules!$E$85</c:f>
            </c:strRef>
          </c:tx>
          <c:spPr>
            <a:ln w="28575" cap="rnd">
              <a:solidFill>
                <a:schemeClr val="accent3"/>
              </a:solidFill>
              <a:round/>
            </a:ln>
            <a:effectLst/>
          </c:spPr>
          <c:marker>
            <c:symbol val="none"/>
          </c:marker>
          <c:val>
            <c:numRef>
              <c:f>Schedules!$F$85:$AC$85</c:f>
            </c:numRef>
          </c:val>
          <c:smooth val="0"/>
          <c:extLst>
            <c:ext xmlns:c16="http://schemas.microsoft.com/office/drawing/2014/chart" uri="{C3380CC4-5D6E-409C-BE32-E72D297353CC}">
              <c16:uniqueId val="{00000002-AF02-44E6-B797-8D12F409C02B}"/>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70097773501551652"/>
          <c:y val="7.0852116585053485E-2"/>
          <c:w val="0.26206608834364853"/>
          <c:h val="0.519231179160460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Schedules!$D$77</c:f>
        </c:strRef>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Schedules!$E$77</c:f>
            </c:strRef>
          </c:tx>
          <c:spPr>
            <a:ln w="28575" cap="rnd">
              <a:solidFill>
                <a:schemeClr val="accent1"/>
              </a:solidFill>
              <a:round/>
            </a:ln>
            <a:effectLst/>
          </c:spPr>
          <c:marker>
            <c:symbol val="none"/>
          </c:marker>
          <c:val>
            <c:numRef>
              <c:f>Schedules!$F$77:$AC$77</c:f>
            </c:numRef>
          </c:val>
          <c:smooth val="0"/>
          <c:extLst>
            <c:ext xmlns:c16="http://schemas.microsoft.com/office/drawing/2014/chart" uri="{C3380CC4-5D6E-409C-BE32-E72D297353CC}">
              <c16:uniqueId val="{00000000-EBC6-4E8D-B208-3363DE6361D9}"/>
            </c:ext>
          </c:extLst>
        </c:ser>
        <c:ser>
          <c:idx val="1"/>
          <c:order val="1"/>
          <c:tx>
            <c:strRef>
              <c:f>Schedules!$E$78</c:f>
            </c:strRef>
          </c:tx>
          <c:spPr>
            <a:ln w="28575" cap="rnd">
              <a:solidFill>
                <a:schemeClr val="accent2"/>
              </a:solidFill>
              <a:round/>
            </a:ln>
            <a:effectLst/>
          </c:spPr>
          <c:marker>
            <c:symbol val="none"/>
          </c:marker>
          <c:val>
            <c:numRef>
              <c:f>Schedules!$F$78:$AC$78</c:f>
            </c:numRef>
          </c:val>
          <c:smooth val="0"/>
          <c:extLst>
            <c:ext xmlns:c16="http://schemas.microsoft.com/office/drawing/2014/chart" uri="{C3380CC4-5D6E-409C-BE32-E72D297353CC}">
              <c16:uniqueId val="{00000001-EBC6-4E8D-B208-3363DE6361D9}"/>
            </c:ext>
          </c:extLst>
        </c:ser>
        <c:ser>
          <c:idx val="2"/>
          <c:order val="2"/>
          <c:tx>
            <c:strRef>
              <c:f>Schedules!$E$79</c:f>
            </c:strRef>
          </c:tx>
          <c:spPr>
            <a:ln w="28575" cap="rnd">
              <a:solidFill>
                <a:schemeClr val="accent3"/>
              </a:solidFill>
              <a:round/>
            </a:ln>
            <a:effectLst/>
          </c:spPr>
          <c:marker>
            <c:symbol val="none"/>
          </c:marker>
          <c:val>
            <c:numRef>
              <c:f>Schedules!$F$79:$AC$79</c:f>
            </c:numRef>
          </c:val>
          <c:smooth val="0"/>
          <c:extLst>
            <c:ext xmlns:c16="http://schemas.microsoft.com/office/drawing/2014/chart" uri="{C3380CC4-5D6E-409C-BE32-E72D297353CC}">
              <c16:uniqueId val="{00000002-EBC6-4E8D-B208-3363DE6361D9}"/>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70097773501551652"/>
          <c:y val="7.0852116585053485E-2"/>
          <c:w val="0.26206608834364853"/>
          <c:h val="0.519231179160460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r>
              <a:rPr lang="en-US"/>
              <a:t>Small Office CalBEM Prototype vs. CEUS 2022</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7.2194751528742593E-2"/>
          <c:y val="0.1915794882709351"/>
          <c:w val="0.91451824433117146"/>
          <c:h val="0.6270254789121612"/>
        </c:manualLayout>
      </c:layout>
      <c:barChart>
        <c:barDir val="col"/>
        <c:grouping val="stacked"/>
        <c:varyColors val="0"/>
        <c:ser>
          <c:idx val="1"/>
          <c:order val="0"/>
          <c:tx>
            <c:strRef>
              <c:f>'Energy Usage'!$U$2</c:f>
              <c:strCache>
                <c:ptCount val="1"/>
                <c:pt idx="0">
                  <c:v>Acceptable Range (25% Lower)</c:v>
                </c:pt>
              </c:strCache>
            </c:strRef>
          </c:tx>
          <c:spPr>
            <a:noFill/>
            <a:ln>
              <a:noFill/>
            </a:ln>
            <a:effectLst/>
          </c:spPr>
          <c:invertIfNegative val="0"/>
          <c:val>
            <c:numRef>
              <c:f>'Energy Usage'!$U$3:$U$18</c:f>
              <c:numCache>
                <c:formatCode>0.00</c:formatCode>
                <c:ptCount val="16"/>
                <c:pt idx="0">
                  <c:v>37.489349999999995</c:v>
                </c:pt>
                <c:pt idx="1">
                  <c:v>33.522899999999993</c:v>
                </c:pt>
                <c:pt idx="2">
                  <c:v>41.174309999999998</c:v>
                </c:pt>
                <c:pt idx="3">
                  <c:v>41.097539999999995</c:v>
                </c:pt>
                <c:pt idx="4">
                  <c:v>44.449830000000006</c:v>
                </c:pt>
                <c:pt idx="5">
                  <c:v>30.682410000000001</c:v>
                </c:pt>
                <c:pt idx="6">
                  <c:v>44.552190000000003</c:v>
                </c:pt>
                <c:pt idx="7">
                  <c:v>29.914710000000007</c:v>
                </c:pt>
                <c:pt idx="8">
                  <c:v>31.88514</c:v>
                </c:pt>
                <c:pt idx="9">
                  <c:v>33.932339999999996</c:v>
                </c:pt>
                <c:pt idx="10">
                  <c:v>41.37903</c:v>
                </c:pt>
                <c:pt idx="11">
                  <c:v>41.839649999999999</c:v>
                </c:pt>
                <c:pt idx="12">
                  <c:v>38.231459999999998</c:v>
                </c:pt>
                <c:pt idx="13">
                  <c:v>29.633219999999998</c:v>
                </c:pt>
                <c:pt idx="14">
                  <c:v>28.353720000000003</c:v>
                </c:pt>
                <c:pt idx="15">
                  <c:v>35.467739999999992</c:v>
                </c:pt>
              </c:numCache>
            </c:numRef>
          </c:val>
          <c:extLst>
            <c:ext xmlns:c16="http://schemas.microsoft.com/office/drawing/2014/chart" uri="{C3380CC4-5D6E-409C-BE32-E72D297353CC}">
              <c16:uniqueId val="{00000000-227B-4D0F-B97D-2979DD01392C}"/>
            </c:ext>
          </c:extLst>
        </c:ser>
        <c:ser>
          <c:idx val="2"/>
          <c:order val="1"/>
          <c:tx>
            <c:strRef>
              <c:f>'Energy Usage'!$V$2</c:f>
              <c:strCache>
                <c:ptCount val="1"/>
                <c:pt idx="0">
                  <c:v>CEUS 2022 Acceptable Range</c:v>
                </c:pt>
              </c:strCache>
            </c:strRef>
          </c:tx>
          <c:spPr>
            <a:solidFill>
              <a:schemeClr val="accent4">
                <a:lumMod val="40000"/>
                <a:lumOff val="60000"/>
              </a:schemeClr>
            </a:solidFill>
            <a:ln>
              <a:solidFill>
                <a:schemeClr val="accent4">
                  <a:lumMod val="40000"/>
                  <a:lumOff val="60000"/>
                </a:schemeClr>
              </a:solidFill>
            </a:ln>
            <a:effectLst/>
          </c:spPr>
          <c:invertIfNegative val="0"/>
          <c:val>
            <c:numRef>
              <c:f>'Energy Usage'!$V$3:$V$18</c:f>
              <c:numCache>
                <c:formatCode>0.00</c:formatCode>
                <c:ptCount val="16"/>
                <c:pt idx="0">
                  <c:v>24.992899999999992</c:v>
                </c:pt>
                <c:pt idx="1">
                  <c:v>22.348600000000005</c:v>
                </c:pt>
                <c:pt idx="2">
                  <c:v>27.449540000000006</c:v>
                </c:pt>
                <c:pt idx="3">
                  <c:v>27.398359999999997</c:v>
                </c:pt>
                <c:pt idx="4">
                  <c:v>29.633219999999994</c:v>
                </c:pt>
                <c:pt idx="5">
                  <c:v>20.454939999999997</c:v>
                </c:pt>
                <c:pt idx="6">
                  <c:v>29.701460000000004</c:v>
                </c:pt>
                <c:pt idx="7">
                  <c:v>19.94314</c:v>
                </c:pt>
                <c:pt idx="8">
                  <c:v>21.25676</c:v>
                </c:pt>
                <c:pt idx="9">
                  <c:v>22.621560000000002</c:v>
                </c:pt>
                <c:pt idx="10">
                  <c:v>27.586019999999991</c:v>
                </c:pt>
                <c:pt idx="11">
                  <c:v>27.893099999999997</c:v>
                </c:pt>
                <c:pt idx="12">
                  <c:v>25.487639999999999</c:v>
                </c:pt>
                <c:pt idx="13">
                  <c:v>19.755480000000002</c:v>
                </c:pt>
                <c:pt idx="14">
                  <c:v>18.902479999999997</c:v>
                </c:pt>
                <c:pt idx="15">
                  <c:v>23.645160000000004</c:v>
                </c:pt>
              </c:numCache>
            </c:numRef>
          </c:val>
          <c:extLst>
            <c:ext xmlns:c16="http://schemas.microsoft.com/office/drawing/2014/chart" uri="{C3380CC4-5D6E-409C-BE32-E72D297353CC}">
              <c16:uniqueId val="{00000001-227B-4D0F-B97D-2979DD01392C}"/>
            </c:ext>
          </c:extLst>
        </c:ser>
        <c:dLbls>
          <c:showLegendKey val="0"/>
          <c:showVal val="0"/>
          <c:showCatName val="0"/>
          <c:showSerName val="0"/>
          <c:showPercent val="0"/>
          <c:showBubbleSize val="0"/>
        </c:dLbls>
        <c:gapWidth val="160"/>
        <c:overlap val="100"/>
        <c:axId val="758910767"/>
        <c:axId val="758909327"/>
      </c:barChart>
      <c:scatterChart>
        <c:scatterStyle val="lineMarker"/>
        <c:varyColors val="0"/>
        <c:ser>
          <c:idx val="0"/>
          <c:order val="2"/>
          <c:tx>
            <c:v>CalBEM Total EUI</c:v>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General</c:formatCode>
                <c:ptCount val="16"/>
                <c:pt idx="0">
                  <c:v>70.8</c:v>
                </c:pt>
                <c:pt idx="1">
                  <c:v>68.599999999999994</c:v>
                </c:pt>
                <c:pt idx="2">
                  <c:v>55.3</c:v>
                </c:pt>
                <c:pt idx="3">
                  <c:v>68.3</c:v>
                </c:pt>
                <c:pt idx="4">
                  <c:v>49.8</c:v>
                </c:pt>
                <c:pt idx="5">
                  <c:v>50</c:v>
                </c:pt>
                <c:pt idx="6">
                  <c:v>48.9</c:v>
                </c:pt>
                <c:pt idx="7">
                  <c:v>57.4</c:v>
                </c:pt>
                <c:pt idx="8">
                  <c:v>58.5</c:v>
                </c:pt>
                <c:pt idx="9">
                  <c:v>56.2</c:v>
                </c:pt>
                <c:pt idx="10">
                  <c:v>71.599999999999994</c:v>
                </c:pt>
                <c:pt idx="11">
                  <c:v>66.900000000000006</c:v>
                </c:pt>
                <c:pt idx="12">
                  <c:v>66.2</c:v>
                </c:pt>
                <c:pt idx="13">
                  <c:v>70.400000000000006</c:v>
                </c:pt>
                <c:pt idx="14">
                  <c:v>62.2</c:v>
                </c:pt>
                <c:pt idx="15">
                  <c:v>77.900000000000006</c:v>
                </c:pt>
              </c:numCache>
            </c:numRef>
          </c:yVal>
          <c:smooth val="0"/>
          <c:extLst>
            <c:ext xmlns:c16="http://schemas.microsoft.com/office/drawing/2014/chart" uri="{C3380CC4-5D6E-409C-BE32-E72D297353CC}">
              <c16:uniqueId val="{00000002-227B-4D0F-B97D-2979DD01392C}"/>
            </c:ext>
          </c:extLst>
        </c:ser>
        <c:ser>
          <c:idx val="3"/>
          <c:order val="3"/>
          <c:tx>
            <c:v>New Construction Total EUI</c:v>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pt idx="0">
                  <c:v>36.4</c:v>
                </c:pt>
                <c:pt idx="1">
                  <c:v>38</c:v>
                </c:pt>
                <c:pt idx="2">
                  <c:v>35.6</c:v>
                </c:pt>
                <c:pt idx="3">
                  <c:v>40.5</c:v>
                </c:pt>
                <c:pt idx="4">
                  <c:v>36.1</c:v>
                </c:pt>
                <c:pt idx="5">
                  <c:v>36.799999999999997</c:v>
                </c:pt>
                <c:pt idx="6">
                  <c:v>37.299999999999997</c:v>
                </c:pt>
                <c:pt idx="7">
                  <c:v>43.9</c:v>
                </c:pt>
                <c:pt idx="8">
                  <c:v>42</c:v>
                </c:pt>
                <c:pt idx="9">
                  <c:v>43.7</c:v>
                </c:pt>
                <c:pt idx="10">
                  <c:v>45.9</c:v>
                </c:pt>
                <c:pt idx="11">
                  <c:v>42.6</c:v>
                </c:pt>
                <c:pt idx="12">
                  <c:v>45.8</c:v>
                </c:pt>
                <c:pt idx="13">
                  <c:v>46.5</c:v>
                </c:pt>
                <c:pt idx="14" formatCode="0.0">
                  <c:v>52</c:v>
                </c:pt>
                <c:pt idx="15" formatCode="0.0">
                  <c:v>45</c:v>
                </c:pt>
              </c:numCache>
            </c:numRef>
          </c:yVal>
          <c:smooth val="0"/>
          <c:extLst>
            <c:ext xmlns:c16="http://schemas.microsoft.com/office/drawing/2014/chart" uri="{C3380CC4-5D6E-409C-BE32-E72D297353CC}">
              <c16:uniqueId val="{00000003-227B-4D0F-B97D-2979DD01392C}"/>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Climate Zone</a:t>
                </a:r>
              </a:p>
            </c:rich>
          </c:tx>
          <c:layout>
            <c:manualLayout>
              <c:xMode val="edge"/>
              <c:yMode val="edge"/>
              <c:x val="0.4716193596992439"/>
              <c:y val="0.8871906806040372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85"/>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solidFill>
            <a:schemeClr val="tx1"/>
          </a:solidFill>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r>
              <a:rPr lang="en-US"/>
              <a:t>Small Office CalBEM Prototype vs. National Average (CBECS 2018)</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7.2194751528742593E-2"/>
          <c:y val="0.1915794882709351"/>
          <c:w val="0.91451824433117146"/>
          <c:h val="0.6270254789121612"/>
        </c:manualLayout>
      </c:layout>
      <c:barChart>
        <c:barDir val="col"/>
        <c:grouping val="stacked"/>
        <c:varyColors val="0"/>
        <c:ser>
          <c:idx val="1"/>
          <c:order val="0"/>
          <c:spPr>
            <a:noFill/>
            <a:ln>
              <a:noFill/>
            </a:ln>
            <a:effectLst/>
          </c:spPr>
          <c:invertIfNegative val="0"/>
          <c:val>
            <c:numRef>
              <c:f>'Energy Usage'!$K$3:$K$18</c:f>
              <c:numCache>
                <c:formatCode>General</c:formatCode>
                <c:ptCount val="16"/>
                <c:pt idx="0">
                  <c:v>46.275000000000006</c:v>
                </c:pt>
                <c:pt idx="1">
                  <c:v>50.625</c:v>
                </c:pt>
                <c:pt idx="2">
                  <c:v>48.150000000000006</c:v>
                </c:pt>
                <c:pt idx="3">
                  <c:v>52.275000000000006</c:v>
                </c:pt>
                <c:pt idx="4">
                  <c:v>46.2</c:v>
                </c:pt>
                <c:pt idx="5">
                  <c:v>53.25</c:v>
                </c:pt>
                <c:pt idx="6">
                  <c:v>50.175000000000004</c:v>
                </c:pt>
                <c:pt idx="7">
                  <c:v>50.849999999999994</c:v>
                </c:pt>
                <c:pt idx="8">
                  <c:v>50.925000000000004</c:v>
                </c:pt>
                <c:pt idx="9">
                  <c:v>51.224999999999994</c:v>
                </c:pt>
                <c:pt idx="10">
                  <c:v>52.875</c:v>
                </c:pt>
                <c:pt idx="11">
                  <c:v>52.349999999999994</c:v>
                </c:pt>
                <c:pt idx="12">
                  <c:v>52.650000000000006</c:v>
                </c:pt>
                <c:pt idx="13">
                  <c:v>53.25</c:v>
                </c:pt>
                <c:pt idx="14">
                  <c:v>52.275000000000006</c:v>
                </c:pt>
                <c:pt idx="15">
                  <c:v>54.375</c:v>
                </c:pt>
              </c:numCache>
            </c:numRef>
          </c:val>
          <c:extLst>
            <c:ext xmlns:c16="http://schemas.microsoft.com/office/drawing/2014/chart" uri="{C3380CC4-5D6E-409C-BE32-E72D297353CC}">
              <c16:uniqueId val="{00000000-D275-494B-A6D7-C0DBC53BE750}"/>
            </c:ext>
          </c:extLst>
        </c:ser>
        <c:ser>
          <c:idx val="2"/>
          <c:order val="1"/>
          <c:tx>
            <c:strRef>
              <c:f>'Energy Usage'!$L$2</c:f>
              <c:strCache>
                <c:ptCount val="1"/>
                <c:pt idx="0">
                  <c:v>National Average Acceptable Range</c:v>
                </c:pt>
              </c:strCache>
            </c:strRef>
          </c:tx>
          <c:spPr>
            <a:solidFill>
              <a:srgbClr val="CCCCFF"/>
            </a:solidFill>
            <a:ln w="25400">
              <a:solidFill>
                <a:srgbClr val="CCCCFF"/>
              </a:solidFill>
            </a:ln>
            <a:effectLst/>
          </c:spPr>
          <c:invertIfNegative val="0"/>
          <c:val>
            <c:numRef>
              <c:f>'Energy Usage'!$L$3:$L$18</c:f>
              <c:numCache>
                <c:formatCode>0.0</c:formatCode>
                <c:ptCount val="16"/>
                <c:pt idx="0">
                  <c:v>30.849999999999994</c:v>
                </c:pt>
                <c:pt idx="1">
                  <c:v>33.75</c:v>
                </c:pt>
                <c:pt idx="2">
                  <c:v>32.099999999999994</c:v>
                </c:pt>
                <c:pt idx="3">
                  <c:v>34.849999999999994</c:v>
                </c:pt>
                <c:pt idx="4">
                  <c:v>30.799999999999997</c:v>
                </c:pt>
                <c:pt idx="5">
                  <c:v>35.5</c:v>
                </c:pt>
                <c:pt idx="6">
                  <c:v>33.449999999999996</c:v>
                </c:pt>
                <c:pt idx="7">
                  <c:v>33.900000000000006</c:v>
                </c:pt>
                <c:pt idx="8">
                  <c:v>33.949999999999996</c:v>
                </c:pt>
                <c:pt idx="9">
                  <c:v>34.150000000000006</c:v>
                </c:pt>
                <c:pt idx="10">
                  <c:v>35.25</c:v>
                </c:pt>
                <c:pt idx="11">
                  <c:v>34.900000000000006</c:v>
                </c:pt>
                <c:pt idx="12">
                  <c:v>35.099999999999994</c:v>
                </c:pt>
                <c:pt idx="13">
                  <c:v>35.5</c:v>
                </c:pt>
                <c:pt idx="14">
                  <c:v>34.849999999999994</c:v>
                </c:pt>
                <c:pt idx="15">
                  <c:v>36.25</c:v>
                </c:pt>
              </c:numCache>
            </c:numRef>
          </c:val>
          <c:extLst>
            <c:ext xmlns:c16="http://schemas.microsoft.com/office/drawing/2014/chart" uri="{C3380CC4-5D6E-409C-BE32-E72D297353CC}">
              <c16:uniqueId val="{00000001-D275-494B-A6D7-C0DBC53BE750}"/>
            </c:ext>
          </c:extLst>
        </c:ser>
        <c:dLbls>
          <c:showLegendKey val="0"/>
          <c:showVal val="0"/>
          <c:showCatName val="0"/>
          <c:showSerName val="0"/>
          <c:showPercent val="0"/>
          <c:showBubbleSize val="0"/>
        </c:dLbls>
        <c:gapWidth val="160"/>
        <c:overlap val="100"/>
        <c:axId val="758910767"/>
        <c:axId val="758909327"/>
      </c:barChart>
      <c:scatterChart>
        <c:scatterStyle val="lineMarker"/>
        <c:varyColors val="0"/>
        <c:ser>
          <c:idx val="0"/>
          <c:order val="2"/>
          <c:tx>
            <c:v>CalBEM Total EUI</c:v>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General</c:formatCode>
                <c:ptCount val="16"/>
                <c:pt idx="0">
                  <c:v>70.8</c:v>
                </c:pt>
                <c:pt idx="1">
                  <c:v>68.599999999999994</c:v>
                </c:pt>
                <c:pt idx="2">
                  <c:v>55.3</c:v>
                </c:pt>
                <c:pt idx="3">
                  <c:v>68.3</c:v>
                </c:pt>
                <c:pt idx="4">
                  <c:v>49.8</c:v>
                </c:pt>
                <c:pt idx="5">
                  <c:v>50</c:v>
                </c:pt>
                <c:pt idx="6">
                  <c:v>48.9</c:v>
                </c:pt>
                <c:pt idx="7">
                  <c:v>57.4</c:v>
                </c:pt>
                <c:pt idx="8">
                  <c:v>58.5</c:v>
                </c:pt>
                <c:pt idx="9">
                  <c:v>56.2</c:v>
                </c:pt>
                <c:pt idx="10">
                  <c:v>71.599999999999994</c:v>
                </c:pt>
                <c:pt idx="11">
                  <c:v>66.900000000000006</c:v>
                </c:pt>
                <c:pt idx="12">
                  <c:v>66.2</c:v>
                </c:pt>
                <c:pt idx="13">
                  <c:v>70.400000000000006</c:v>
                </c:pt>
                <c:pt idx="14">
                  <c:v>62.2</c:v>
                </c:pt>
                <c:pt idx="15">
                  <c:v>77.900000000000006</c:v>
                </c:pt>
              </c:numCache>
            </c:numRef>
          </c:yVal>
          <c:smooth val="0"/>
          <c:extLst>
            <c:ext xmlns:c16="http://schemas.microsoft.com/office/drawing/2014/chart" uri="{C3380CC4-5D6E-409C-BE32-E72D297353CC}">
              <c16:uniqueId val="{00000002-D275-494B-A6D7-C0DBC53BE750}"/>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pt idx="0">
                  <c:v>36.4</c:v>
                </c:pt>
                <c:pt idx="1">
                  <c:v>38</c:v>
                </c:pt>
                <c:pt idx="2">
                  <c:v>35.6</c:v>
                </c:pt>
                <c:pt idx="3">
                  <c:v>40.5</c:v>
                </c:pt>
                <c:pt idx="4">
                  <c:v>36.1</c:v>
                </c:pt>
                <c:pt idx="5">
                  <c:v>36.799999999999997</c:v>
                </c:pt>
                <c:pt idx="6">
                  <c:v>37.299999999999997</c:v>
                </c:pt>
                <c:pt idx="7">
                  <c:v>43.9</c:v>
                </c:pt>
                <c:pt idx="8">
                  <c:v>42</c:v>
                </c:pt>
                <c:pt idx="9">
                  <c:v>43.7</c:v>
                </c:pt>
                <c:pt idx="10">
                  <c:v>45.9</c:v>
                </c:pt>
                <c:pt idx="11">
                  <c:v>42.6</c:v>
                </c:pt>
                <c:pt idx="12">
                  <c:v>45.8</c:v>
                </c:pt>
                <c:pt idx="13">
                  <c:v>46.5</c:v>
                </c:pt>
                <c:pt idx="14" formatCode="0.0">
                  <c:v>52</c:v>
                </c:pt>
                <c:pt idx="15" formatCode="0.0">
                  <c:v>45</c:v>
                </c:pt>
              </c:numCache>
            </c:numRef>
          </c:yVal>
          <c:smooth val="0"/>
          <c:extLst>
            <c:ext xmlns:c16="http://schemas.microsoft.com/office/drawing/2014/chart" uri="{C3380CC4-5D6E-409C-BE32-E72D297353CC}">
              <c16:uniqueId val="{00000003-D275-494B-A6D7-C0DBC53BE750}"/>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Climate Zone</a:t>
                </a:r>
              </a:p>
            </c:rich>
          </c:tx>
          <c:layout>
            <c:manualLayout>
              <c:xMode val="edge"/>
              <c:yMode val="edge"/>
              <c:x val="0.4716193596992439"/>
              <c:y val="0.8871906806040372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100"/>
          <c:min val="2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1.png"/><Relationship Id="rId1" Type="http://schemas.openxmlformats.org/officeDocument/2006/relationships/image" Target="../media/image6.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13.png"/></Relationships>
</file>

<file path=xl/drawings/_rels/drawing7.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6.xml"/><Relationship Id="rId3" Type="http://schemas.openxmlformats.org/officeDocument/2006/relationships/chart" Target="../charts/chart6.xml"/><Relationship Id="rId7" Type="http://schemas.openxmlformats.org/officeDocument/2006/relationships/chart" Target="../charts/chart10.xml"/><Relationship Id="rId12" Type="http://schemas.openxmlformats.org/officeDocument/2006/relationships/chart" Target="../charts/chart15.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chart" Target="../charts/chart8.xml"/><Relationship Id="rId15" Type="http://schemas.openxmlformats.org/officeDocument/2006/relationships/chart" Target="../charts/chart18.xml"/><Relationship Id="rId10" Type="http://schemas.openxmlformats.org/officeDocument/2006/relationships/chart" Target="../charts/chart13.xml"/><Relationship Id="rId4" Type="http://schemas.openxmlformats.org/officeDocument/2006/relationships/chart" Target="../charts/chart7.xml"/><Relationship Id="rId9" Type="http://schemas.openxmlformats.org/officeDocument/2006/relationships/chart" Target="../charts/chart12.xml"/><Relationship Id="rId14" Type="http://schemas.openxmlformats.org/officeDocument/2006/relationships/chart" Target="../charts/chart17.xml"/></Relationships>
</file>

<file path=xl/drawings/_rels/drawing9.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0.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0</xdr:col>
      <xdr:colOff>1009650</xdr:colOff>
      <xdr:row>25</xdr:row>
      <xdr:rowOff>104775</xdr:rowOff>
    </xdr:from>
    <xdr:to>
      <xdr:col>3</xdr:col>
      <xdr:colOff>95250</xdr:colOff>
      <xdr:row>35</xdr:row>
      <xdr:rowOff>85725</xdr:rowOff>
    </xdr:to>
    <xdr:pic>
      <xdr:nvPicPr>
        <xdr:cNvPr id="7" name="Picture 1">
          <a:extLst>
            <a:ext uri="{FF2B5EF4-FFF2-40B4-BE49-F238E27FC236}">
              <a16:creationId xmlns:a16="http://schemas.microsoft.com/office/drawing/2014/main" id="{C3CA583B-F9BE-4F3F-B7DD-7FD80A44173B}"/>
            </a:ext>
          </a:extLst>
        </xdr:cNvPr>
        <xdr:cNvPicPr>
          <a:picLocks noChangeAspect="1"/>
        </xdr:cNvPicPr>
      </xdr:nvPicPr>
      <xdr:blipFill>
        <a:blip xmlns:r="http://schemas.openxmlformats.org/officeDocument/2006/relationships" r:embed="rId1"/>
        <a:stretch>
          <a:fillRect/>
        </a:stretch>
      </xdr:blipFill>
      <xdr:spPr>
        <a:xfrm>
          <a:off x="1009650" y="4695825"/>
          <a:ext cx="6305550" cy="1600200"/>
        </a:xfrm>
        <a:prstGeom prst="rect">
          <a:avLst/>
        </a:prstGeom>
        <a:ln w="3175">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392430</xdr:colOff>
      <xdr:row>6</xdr:row>
      <xdr:rowOff>68580</xdr:rowOff>
    </xdr:from>
    <xdr:ext cx="2461637" cy="1120140"/>
    <xdr:pic>
      <xdr:nvPicPr>
        <xdr:cNvPr id="5" name="Picture 1" descr="Screen Clipping">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1705" y="1316355"/>
          <a:ext cx="2461637" cy="1120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twoCellAnchor>
    <xdr:from>
      <xdr:col>12</xdr:col>
      <xdr:colOff>1777861</xdr:colOff>
      <xdr:row>0</xdr:row>
      <xdr:rowOff>42655</xdr:rowOff>
    </xdr:from>
    <xdr:to>
      <xdr:col>12</xdr:col>
      <xdr:colOff>1777861</xdr:colOff>
      <xdr:row>1</xdr:row>
      <xdr:rowOff>1739</xdr:rowOff>
    </xdr:to>
    <xdr:cxnSp macro="">
      <xdr:nvCxnSpPr>
        <xdr:cNvPr id="4" name="Straight Arrow Connector 3">
          <a:extLst>
            <a:ext uri="{FF2B5EF4-FFF2-40B4-BE49-F238E27FC236}">
              <a16:creationId xmlns:a16="http://schemas.microsoft.com/office/drawing/2014/main" id="{BB0EC946-BDB6-09C9-DB60-21B21720AE71}"/>
            </a:ext>
          </a:extLst>
        </xdr:cNvPr>
        <xdr:cNvCxnSpPr/>
      </xdr:nvCxnSpPr>
      <xdr:spPr>
        <a:xfrm flipV="1">
          <a:off x="15448141" y="4265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1820518</xdr:colOff>
      <xdr:row>0</xdr:row>
      <xdr:rowOff>75125</xdr:rowOff>
    </xdr:from>
    <xdr:to>
      <xdr:col>12</xdr:col>
      <xdr:colOff>2060712</xdr:colOff>
      <xdr:row>1</xdr:row>
      <xdr:rowOff>110823</xdr:rowOff>
    </xdr:to>
    <xdr:sp macro="" textlink="">
      <xdr:nvSpPr>
        <xdr:cNvPr id="8" name="TextBox 7">
          <a:extLst>
            <a:ext uri="{FF2B5EF4-FFF2-40B4-BE49-F238E27FC236}">
              <a16:creationId xmlns:a16="http://schemas.microsoft.com/office/drawing/2014/main" id="{1DDDC35D-79DC-FE8D-E36B-A215903DCB00}"/>
            </a:ext>
          </a:extLst>
        </xdr:cNvPr>
        <xdr:cNvSpPr txBox="1"/>
      </xdr:nvSpPr>
      <xdr:spPr>
        <a:xfrm>
          <a:off x="15490798" y="75125"/>
          <a:ext cx="240194" cy="363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12</xdr:col>
      <xdr:colOff>381000</xdr:colOff>
      <xdr:row>1</xdr:row>
      <xdr:rowOff>7620</xdr:rowOff>
    </xdr:from>
    <xdr:to>
      <xdr:col>15</xdr:col>
      <xdr:colOff>475024</xdr:colOff>
      <xdr:row>12</xdr:row>
      <xdr:rowOff>183369</xdr:rowOff>
    </xdr:to>
    <xdr:pic>
      <xdr:nvPicPr>
        <xdr:cNvPr id="3" name="Picture 2">
          <a:extLst>
            <a:ext uri="{FF2B5EF4-FFF2-40B4-BE49-F238E27FC236}">
              <a16:creationId xmlns:a16="http://schemas.microsoft.com/office/drawing/2014/main" id="{28AE7376-F848-A1DB-D8E8-23471E0896B8}"/>
            </a:ext>
          </a:extLst>
        </xdr:cNvPr>
        <xdr:cNvPicPr>
          <a:picLocks noChangeAspect="1"/>
        </xdr:cNvPicPr>
      </xdr:nvPicPr>
      <xdr:blipFill>
        <a:blip xmlns:r="http://schemas.openxmlformats.org/officeDocument/2006/relationships" r:embed="rId1"/>
        <a:stretch>
          <a:fillRect/>
        </a:stretch>
      </xdr:blipFill>
      <xdr:spPr>
        <a:xfrm>
          <a:off x="14051280" y="335280"/>
          <a:ext cx="4867954" cy="3505689"/>
        </a:xfrm>
        <a:prstGeom prst="rect">
          <a:avLst/>
        </a:prstGeom>
      </xdr:spPr>
    </xdr:pic>
    <xdr:clientData/>
  </xdr:twoCellAnchor>
  <xdr:twoCellAnchor editAs="oneCell">
    <xdr:from>
      <xdr:col>12</xdr:col>
      <xdr:colOff>487680</xdr:colOff>
      <xdr:row>15</xdr:row>
      <xdr:rowOff>214742</xdr:rowOff>
    </xdr:from>
    <xdr:to>
      <xdr:col>15</xdr:col>
      <xdr:colOff>504825</xdr:colOff>
      <xdr:row>50</xdr:row>
      <xdr:rowOff>57150</xdr:rowOff>
    </xdr:to>
    <xdr:pic>
      <xdr:nvPicPr>
        <xdr:cNvPr id="5" name="Picture 4">
          <a:extLst>
            <a:ext uri="{FF2B5EF4-FFF2-40B4-BE49-F238E27FC236}">
              <a16:creationId xmlns:a16="http://schemas.microsoft.com/office/drawing/2014/main" id="{AA610325-1466-774B-D85E-E7CA4E1D6C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217640" y="3857102"/>
          <a:ext cx="4792980" cy="3176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37</xdr:col>
      <xdr:colOff>449580</xdr:colOff>
      <xdr:row>115</xdr:row>
      <xdr:rowOff>80668</xdr:rowOff>
    </xdr:from>
    <xdr:to>
      <xdr:col>41</xdr:col>
      <xdr:colOff>810587</xdr:colOff>
      <xdr:row>119</xdr:row>
      <xdr:rowOff>129750</xdr:rowOff>
    </xdr:to>
    <xdr:pic>
      <xdr:nvPicPr>
        <xdr:cNvPr id="6" name="Picture 5">
          <a:extLst>
            <a:ext uri="{FF2B5EF4-FFF2-40B4-BE49-F238E27FC236}">
              <a16:creationId xmlns:a16="http://schemas.microsoft.com/office/drawing/2014/main" id="{5A1CEF65-59A4-98BE-C404-075D1A398EE8}"/>
            </a:ext>
          </a:extLst>
        </xdr:cNvPr>
        <xdr:cNvPicPr>
          <a:picLocks noChangeAspect="1"/>
        </xdr:cNvPicPr>
      </xdr:nvPicPr>
      <xdr:blipFill>
        <a:blip xmlns:r="http://schemas.openxmlformats.org/officeDocument/2006/relationships" r:embed="rId1"/>
        <a:stretch>
          <a:fillRect/>
        </a:stretch>
      </xdr:blipFill>
      <xdr:spPr>
        <a:xfrm>
          <a:off x="26890980" y="26552548"/>
          <a:ext cx="3428056" cy="74440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7</xdr:col>
      <xdr:colOff>540973</xdr:colOff>
      <xdr:row>84</xdr:row>
      <xdr:rowOff>174795</xdr:rowOff>
    </xdr:from>
    <xdr:to>
      <xdr:col>15</xdr:col>
      <xdr:colOff>5012</xdr:colOff>
      <xdr:row>103</xdr:row>
      <xdr:rowOff>16344</xdr:rowOff>
    </xdr:to>
    <xdr:pic>
      <xdr:nvPicPr>
        <xdr:cNvPr id="57"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stretch>
          <a:fillRect/>
        </a:stretch>
      </xdr:blipFill>
      <xdr:spPr>
        <a:xfrm>
          <a:off x="14733223" y="5413545"/>
          <a:ext cx="7160079" cy="3269921"/>
        </a:xfrm>
        <a:prstGeom prst="rect">
          <a:avLst/>
        </a:prstGeom>
      </xdr:spPr>
    </xdr:pic>
    <xdr:clientData/>
  </xdr:twoCellAnchor>
  <xdr:twoCellAnchor>
    <xdr:from>
      <xdr:col>8</xdr:col>
      <xdr:colOff>437029</xdr:colOff>
      <xdr:row>112</xdr:row>
      <xdr:rowOff>168088</xdr:rowOff>
    </xdr:from>
    <xdr:to>
      <xdr:col>14</xdr:col>
      <xdr:colOff>323860</xdr:colOff>
      <xdr:row>123</xdr:row>
      <xdr:rowOff>45048</xdr:rowOff>
    </xdr:to>
    <xdr:pic>
      <xdr:nvPicPr>
        <xdr:cNvPr id="56" name="Picture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2"/>
        <a:stretch>
          <a:fillRect/>
        </a:stretch>
      </xdr:blipFill>
      <xdr:spPr>
        <a:xfrm>
          <a:off x="14085794" y="10488706"/>
          <a:ext cx="5685155" cy="1690370"/>
        </a:xfrm>
        <a:prstGeom prst="rect">
          <a:avLst/>
        </a:prstGeom>
      </xdr:spPr>
    </xdr:pic>
    <xdr:clientData/>
  </xdr:twoCellAnchor>
  <xdr:twoCellAnchor>
    <xdr:from>
      <xdr:col>0</xdr:col>
      <xdr:colOff>0</xdr:colOff>
      <xdr:row>45</xdr:row>
      <xdr:rowOff>125937</xdr:rowOff>
    </xdr:from>
    <xdr:to>
      <xdr:col>2</xdr:col>
      <xdr:colOff>349731</xdr:colOff>
      <xdr:row>57</xdr:row>
      <xdr:rowOff>116748</xdr:rowOff>
    </xdr:to>
    <xdr:pic>
      <xdr:nvPicPr>
        <xdr:cNvPr id="55" name="Picture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3"/>
        <a:stretch>
          <a:fillRect/>
        </a:stretch>
      </xdr:blipFill>
      <xdr:spPr>
        <a:xfrm>
          <a:off x="0" y="8136462"/>
          <a:ext cx="3967438" cy="2104333"/>
        </a:xfrm>
        <a:prstGeom prst="rect">
          <a:avLst/>
        </a:prstGeom>
      </xdr:spPr>
    </xdr:pic>
    <xdr:clientData/>
  </xdr:twoCellAnchor>
  <xdr:twoCellAnchor>
    <xdr:from>
      <xdr:col>4</xdr:col>
      <xdr:colOff>1572216</xdr:colOff>
      <xdr:row>44</xdr:row>
      <xdr:rowOff>166847</xdr:rowOff>
    </xdr:from>
    <xdr:to>
      <xdr:col>6</xdr:col>
      <xdr:colOff>1403615</xdr:colOff>
      <xdr:row>58</xdr:row>
      <xdr:rowOff>85662</xdr:rowOff>
    </xdr:to>
    <xdr:pic>
      <xdr:nvPicPr>
        <xdr:cNvPr id="54" name="Picture 8">
          <a:extLst>
            <a:ext uri="{FF2B5EF4-FFF2-40B4-BE49-F238E27FC236}">
              <a16:creationId xmlns:a16="http://schemas.microsoft.com/office/drawing/2014/main" id="{EE1D6241-5447-D774-41F6-D386E131F51C}"/>
            </a:ext>
          </a:extLst>
        </xdr:cNvPr>
        <xdr:cNvPicPr>
          <a:picLocks noChangeAspect="1"/>
        </xdr:cNvPicPr>
      </xdr:nvPicPr>
      <xdr:blipFill>
        <a:blip xmlns:r="http://schemas.openxmlformats.org/officeDocument/2006/relationships" r:embed="rId4"/>
        <a:stretch>
          <a:fillRect/>
        </a:stretch>
      </xdr:blipFill>
      <xdr:spPr>
        <a:xfrm>
          <a:off x="9018281" y="10122543"/>
          <a:ext cx="3505023" cy="2268240"/>
        </a:xfrm>
        <a:prstGeom prst="rect">
          <a:avLst/>
        </a:prstGeom>
      </xdr:spPr>
    </xdr:pic>
    <xdr:clientData/>
  </xdr:twoCellAnchor>
  <xdr:twoCellAnchor>
    <xdr:from>
      <xdr:col>8</xdr:col>
      <xdr:colOff>0</xdr:colOff>
      <xdr:row>45</xdr:row>
      <xdr:rowOff>86569</xdr:rowOff>
    </xdr:from>
    <xdr:to>
      <xdr:col>12</xdr:col>
      <xdr:colOff>1035984</xdr:colOff>
      <xdr:row>55</xdr:row>
      <xdr:rowOff>35522</xdr:rowOff>
    </xdr:to>
    <xdr:pic>
      <xdr:nvPicPr>
        <xdr:cNvPr id="52" name="Picture 12">
          <a:extLst>
            <a:ext uri="{FF2B5EF4-FFF2-40B4-BE49-F238E27FC236}">
              <a16:creationId xmlns:a16="http://schemas.microsoft.com/office/drawing/2014/main" id="{990912D0-6AAB-4D1C-809B-C16ABD43F4DE}"/>
            </a:ext>
          </a:extLst>
        </xdr:cNvPr>
        <xdr:cNvPicPr>
          <a:picLocks noChangeAspect="1"/>
        </xdr:cNvPicPr>
      </xdr:nvPicPr>
      <xdr:blipFill>
        <a:blip xmlns:r="http://schemas.openxmlformats.org/officeDocument/2006/relationships" r:embed="rId5"/>
        <a:stretch>
          <a:fillRect/>
        </a:stretch>
      </xdr:blipFill>
      <xdr:spPr>
        <a:xfrm>
          <a:off x="13411200" y="10164019"/>
          <a:ext cx="4733925" cy="1627931"/>
        </a:xfrm>
        <a:prstGeom prst="rect">
          <a:avLst/>
        </a:prstGeom>
      </xdr:spPr>
    </xdr:pic>
    <xdr:clientData/>
  </xdr:twoCellAnchor>
  <xdr:twoCellAnchor>
    <xdr:from>
      <xdr:col>2</xdr:col>
      <xdr:colOff>1650311</xdr:colOff>
      <xdr:row>55</xdr:row>
      <xdr:rowOff>120861</xdr:rowOff>
    </xdr:from>
    <xdr:to>
      <xdr:col>4</xdr:col>
      <xdr:colOff>1197481</xdr:colOff>
      <xdr:row>64</xdr:row>
      <xdr:rowOff>129067</xdr:rowOff>
    </xdr:to>
    <xdr:pic>
      <xdr:nvPicPr>
        <xdr:cNvPr id="51" name="Picture 16">
          <a:extLst>
            <a:ext uri="{FF2B5EF4-FFF2-40B4-BE49-F238E27FC236}">
              <a16:creationId xmlns:a16="http://schemas.microsoft.com/office/drawing/2014/main" id="{A9AA27BD-3145-DC13-072F-7A9E1ABE417E}"/>
            </a:ext>
          </a:extLst>
        </xdr:cNvPr>
        <xdr:cNvPicPr>
          <a:picLocks noChangeAspect="1"/>
        </xdr:cNvPicPr>
      </xdr:nvPicPr>
      <xdr:blipFill>
        <a:blip xmlns:r="http://schemas.openxmlformats.org/officeDocument/2006/relationships" r:embed="rId6"/>
        <a:stretch>
          <a:fillRect/>
        </a:stretch>
      </xdr:blipFill>
      <xdr:spPr>
        <a:xfrm>
          <a:off x="5352637" y="11989839"/>
          <a:ext cx="3286125" cy="1519095"/>
        </a:xfrm>
        <a:prstGeom prst="rect">
          <a:avLst/>
        </a:prstGeom>
      </xdr:spPr>
    </xdr:pic>
    <xdr:clientData/>
  </xdr:twoCellAnchor>
  <xdr:twoCellAnchor>
    <xdr:from>
      <xdr:col>0</xdr:col>
      <xdr:colOff>716280</xdr:colOff>
      <xdr:row>68</xdr:row>
      <xdr:rowOff>19050</xdr:rowOff>
    </xdr:from>
    <xdr:to>
      <xdr:col>2</xdr:col>
      <xdr:colOff>1718198</xdr:colOff>
      <xdr:row>79</xdr:row>
      <xdr:rowOff>103583</xdr:rowOff>
    </xdr:to>
    <xdr:pic>
      <xdr:nvPicPr>
        <xdr:cNvPr id="50" name="Picture 17">
          <a:extLst>
            <a:ext uri="{FF2B5EF4-FFF2-40B4-BE49-F238E27FC236}">
              <a16:creationId xmlns:a16="http://schemas.microsoft.com/office/drawing/2014/main" id="{B19D321F-652A-2FC2-869F-EF277CFB3D56}"/>
            </a:ext>
          </a:extLst>
        </xdr:cNvPr>
        <xdr:cNvPicPr>
          <a:picLocks noChangeAspect="1"/>
        </xdr:cNvPicPr>
      </xdr:nvPicPr>
      <xdr:blipFill>
        <a:blip xmlns:r="http://schemas.openxmlformats.org/officeDocument/2006/relationships" r:embed="rId7"/>
        <a:stretch>
          <a:fillRect/>
        </a:stretch>
      </xdr:blipFill>
      <xdr:spPr>
        <a:xfrm>
          <a:off x="716280" y="14725650"/>
          <a:ext cx="4712970" cy="1937313"/>
        </a:xfrm>
        <a:prstGeom prst="rect">
          <a:avLst/>
        </a:prstGeom>
      </xdr:spPr>
    </xdr:pic>
    <xdr:clientData/>
  </xdr:twoCellAnchor>
  <xdr:twoCellAnchor>
    <xdr:from>
      <xdr:col>2</xdr:col>
      <xdr:colOff>66675</xdr:colOff>
      <xdr:row>44</xdr:row>
      <xdr:rowOff>0</xdr:rowOff>
    </xdr:from>
    <xdr:to>
      <xdr:col>4</xdr:col>
      <xdr:colOff>1116708</xdr:colOff>
      <xdr:row>52</xdr:row>
      <xdr:rowOff>64994</xdr:rowOff>
    </xdr:to>
    <xdr:pic>
      <xdr:nvPicPr>
        <xdr:cNvPr id="49" name="Picture 19">
          <a:extLst>
            <a:ext uri="{FF2B5EF4-FFF2-40B4-BE49-F238E27FC236}">
              <a16:creationId xmlns:a16="http://schemas.microsoft.com/office/drawing/2014/main" id="{DC8CAFB5-511D-77B1-942D-86AB53AFD83A}"/>
            </a:ext>
          </a:extLst>
        </xdr:cNvPr>
        <xdr:cNvPicPr>
          <a:picLocks noChangeAspect="1"/>
        </xdr:cNvPicPr>
      </xdr:nvPicPr>
      <xdr:blipFill>
        <a:blip xmlns:r="http://schemas.openxmlformats.org/officeDocument/2006/relationships" r:embed="rId8"/>
        <a:stretch>
          <a:fillRect/>
        </a:stretch>
      </xdr:blipFill>
      <xdr:spPr>
        <a:xfrm>
          <a:off x="3771900" y="9906000"/>
          <a:ext cx="4794703" cy="14097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28</xdr:row>
      <xdr:rowOff>160020</xdr:rowOff>
    </xdr:from>
    <xdr:to>
      <xdr:col>7</xdr:col>
      <xdr:colOff>454702</xdr:colOff>
      <xdr:row>36</xdr:row>
      <xdr:rowOff>60960</xdr:rowOff>
    </xdr:to>
    <xdr:pic>
      <xdr:nvPicPr>
        <xdr:cNvPr id="2" name="Picture 1">
          <a:extLst>
            <a:ext uri="{FF2B5EF4-FFF2-40B4-BE49-F238E27FC236}">
              <a16:creationId xmlns:a16="http://schemas.microsoft.com/office/drawing/2014/main" id="{67EF47AA-7CFE-4EB6-A46F-050F89D7D4E4}"/>
            </a:ext>
          </a:extLst>
        </xdr:cNvPr>
        <xdr:cNvPicPr>
          <a:picLocks noChangeAspect="1"/>
        </xdr:cNvPicPr>
      </xdr:nvPicPr>
      <xdr:blipFill>
        <a:blip xmlns:r="http://schemas.openxmlformats.org/officeDocument/2006/relationships" r:embed="rId1"/>
        <a:stretch>
          <a:fillRect/>
        </a:stretch>
      </xdr:blipFill>
      <xdr:spPr>
        <a:xfrm>
          <a:off x="0" y="6979920"/>
          <a:ext cx="6855502" cy="136398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59</xdr:row>
      <xdr:rowOff>158692</xdr:rowOff>
    </xdr:from>
    <xdr:to>
      <xdr:col>3</xdr:col>
      <xdr:colOff>475340</xdr:colOff>
      <xdr:row>73</xdr:row>
      <xdr:rowOff>81481</xdr:rowOff>
    </xdr:to>
    <xdr:graphicFrame macro="">
      <xdr:nvGraphicFramePr>
        <xdr:cNvPr id="6" name="Chart 5">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245333</xdr:colOff>
      <xdr:row>60</xdr:row>
      <xdr:rowOff>1903</xdr:rowOff>
    </xdr:from>
    <xdr:to>
      <xdr:col>12</xdr:col>
      <xdr:colOff>587403</xdr:colOff>
      <xdr:row>73</xdr:row>
      <xdr:rowOff>97486</xdr:rowOff>
    </xdr:to>
    <xdr:graphicFrame macro="">
      <xdr:nvGraphicFramePr>
        <xdr:cNvPr id="7" name="Chart 6">
          <a:extLst>
            <a:ext uri="{FF2B5EF4-FFF2-40B4-BE49-F238E27FC236}">
              <a16:creationId xmlns:a16="http://schemas.microsoft.com/office/drawing/2014/main" id="{00000000-0008-0000-0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1013460</xdr:colOff>
      <xdr:row>60</xdr:row>
      <xdr:rowOff>21585</xdr:rowOff>
    </xdr:from>
    <xdr:to>
      <xdr:col>7</xdr:col>
      <xdr:colOff>520892</xdr:colOff>
      <xdr:row>73</xdr:row>
      <xdr:rowOff>121920</xdr:rowOff>
    </xdr:to>
    <xdr:graphicFrame macro="">
      <xdr:nvGraphicFramePr>
        <xdr:cNvPr id="4" name="Chart 7">
          <a:extLst>
            <a:ext uri="{FF2B5EF4-FFF2-40B4-BE49-F238E27FC236}">
              <a16:creationId xmlns:a16="http://schemas.microsoft.com/office/drawing/2014/main" id="{00000000-0008-0000-0D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29</xdr:col>
      <xdr:colOff>289560</xdr:colOff>
      <xdr:row>1</xdr:row>
      <xdr:rowOff>251791</xdr:rowOff>
    </xdr:from>
    <xdr:to>
      <xdr:col>36</xdr:col>
      <xdr:colOff>0</xdr:colOff>
      <xdr:row>5</xdr:row>
      <xdr:rowOff>364434</xdr:rowOff>
    </xdr:to>
    <xdr:graphicFrame macro="">
      <xdr:nvGraphicFramePr>
        <xdr:cNvPr id="15"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289560</xdr:colOff>
      <xdr:row>6</xdr:row>
      <xdr:rowOff>0</xdr:rowOff>
    </xdr:from>
    <xdr:to>
      <xdr:col>36</xdr:col>
      <xdr:colOff>0</xdr:colOff>
      <xdr:row>8</xdr:row>
      <xdr:rowOff>391886</xdr:rowOff>
    </xdr:to>
    <xdr:graphicFrame macro="">
      <xdr:nvGraphicFramePr>
        <xdr:cNvPr id="16"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17"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326572</xdr:colOff>
      <xdr:row>12</xdr:row>
      <xdr:rowOff>0</xdr:rowOff>
    </xdr:from>
    <xdr:to>
      <xdr:col>36</xdr:col>
      <xdr:colOff>37012</xdr:colOff>
      <xdr:row>14</xdr:row>
      <xdr:rowOff>340659</xdr:rowOff>
    </xdr:to>
    <xdr:graphicFrame macro="">
      <xdr:nvGraphicFramePr>
        <xdr:cNvPr id="20" name="Chart 5">
          <a:extLst>
            <a:ext uri="{FF2B5EF4-FFF2-40B4-BE49-F238E27FC236}">
              <a16:creationId xmlns:a16="http://schemas.microsoft.com/office/drawing/2014/main" id="{A67B757E-11F2-4D63-8049-87A030D08F47}"/>
            </a:ext>
            <a:ext uri="{147F2762-F138-4A5C-976F-8EAC2B608ADB}">
              <a16:predDERef xmlns:a16="http://schemas.microsoft.com/office/drawing/2014/main" pred="{6467D4B0-6F0E-43CB-958A-F19CE6AFC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289560</xdr:colOff>
      <xdr:row>64</xdr:row>
      <xdr:rowOff>4082</xdr:rowOff>
    </xdr:from>
    <xdr:to>
      <xdr:col>36</xdr:col>
      <xdr:colOff>0</xdr:colOff>
      <xdr:row>67</xdr:row>
      <xdr:rowOff>0</xdr:rowOff>
    </xdr:to>
    <xdr:graphicFrame macro="">
      <xdr:nvGraphicFramePr>
        <xdr:cNvPr id="21" name="Chart 5">
          <a:extLst>
            <a:ext uri="{FF2B5EF4-FFF2-40B4-BE49-F238E27FC236}">
              <a16:creationId xmlns:a16="http://schemas.microsoft.com/office/drawing/2014/main" id="{2E6CA2C7-E4AB-4DC1-A50A-FEBB0B9CA814}"/>
            </a:ext>
            <a:ext uri="{147F2762-F138-4A5C-976F-8EAC2B608ADB}">
              <a16:predDERef xmlns:a16="http://schemas.microsoft.com/office/drawing/2014/main" pred="{A67B757E-11F2-4D63-8049-87A030D08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289560</xdr:colOff>
      <xdr:row>67</xdr:row>
      <xdr:rowOff>130629</xdr:rowOff>
    </xdr:from>
    <xdr:to>
      <xdr:col>36</xdr:col>
      <xdr:colOff>0</xdr:colOff>
      <xdr:row>70</xdr:row>
      <xdr:rowOff>44824</xdr:rowOff>
    </xdr:to>
    <xdr:graphicFrame macro="">
      <xdr:nvGraphicFramePr>
        <xdr:cNvPr id="24" name="Chart 5">
          <a:extLst>
            <a:ext uri="{FF2B5EF4-FFF2-40B4-BE49-F238E27FC236}">
              <a16:creationId xmlns:a16="http://schemas.microsoft.com/office/drawing/2014/main" id="{43375B62-1004-4C9E-9CB5-ED0EF57BA9C1}"/>
            </a:ext>
            <a:ext uri="{147F2762-F138-4A5C-976F-8EAC2B608ADB}">
              <a16:predDERef xmlns:a16="http://schemas.microsoft.com/office/drawing/2014/main" pred="{2E6CA2C7-E4AB-4DC1-A50A-FEBB0B9CA8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291465</xdr:colOff>
      <xdr:row>54</xdr:row>
      <xdr:rowOff>97267</xdr:rowOff>
    </xdr:from>
    <xdr:to>
      <xdr:col>36</xdr:col>
      <xdr:colOff>0</xdr:colOff>
      <xdr:row>58</xdr:row>
      <xdr:rowOff>0</xdr:rowOff>
    </xdr:to>
    <xdr:graphicFrame macro="">
      <xdr:nvGraphicFramePr>
        <xdr:cNvPr id="3" name="Chart 5">
          <a:extLst>
            <a:ext uri="{FF2B5EF4-FFF2-40B4-BE49-F238E27FC236}">
              <a16:creationId xmlns:a16="http://schemas.microsoft.com/office/drawing/2014/main" id="{5A999577-F135-454E-AC54-3B86805F4DDA}"/>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289560</xdr:colOff>
      <xdr:row>15</xdr:row>
      <xdr:rowOff>4082</xdr:rowOff>
    </xdr:from>
    <xdr:to>
      <xdr:col>36</xdr:col>
      <xdr:colOff>0</xdr:colOff>
      <xdr:row>18</xdr:row>
      <xdr:rowOff>0</xdr:rowOff>
    </xdr:to>
    <xdr:graphicFrame macro="">
      <xdr:nvGraphicFramePr>
        <xdr:cNvPr id="2" name="Chart 5">
          <a:extLst>
            <a:ext uri="{FF2B5EF4-FFF2-40B4-BE49-F238E27FC236}">
              <a16:creationId xmlns:a16="http://schemas.microsoft.com/office/drawing/2014/main" id="{4382029B-06B2-4E52-850E-3699133A7B48}"/>
            </a:ext>
            <a:ext uri="{147F2762-F138-4A5C-976F-8EAC2B608ADB}">
              <a16:predDERef xmlns:a16="http://schemas.microsoft.com/office/drawing/2014/main" pred="{A67B757E-11F2-4D63-8049-87A030D08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280595</xdr:colOff>
      <xdr:row>18</xdr:row>
      <xdr:rowOff>76840</xdr:rowOff>
    </xdr:from>
    <xdr:to>
      <xdr:col>35</xdr:col>
      <xdr:colOff>627529</xdr:colOff>
      <xdr:row>20</xdr:row>
      <xdr:rowOff>493058</xdr:rowOff>
    </xdr:to>
    <xdr:graphicFrame macro="">
      <xdr:nvGraphicFramePr>
        <xdr:cNvPr id="4" name="Chart 5">
          <a:extLst>
            <a:ext uri="{FF2B5EF4-FFF2-40B4-BE49-F238E27FC236}">
              <a16:creationId xmlns:a16="http://schemas.microsoft.com/office/drawing/2014/main" id="{7F6B4DA5-E103-4AB8-96C6-1AF7A04E5100}"/>
            </a:ext>
            <a:ext uri="{147F2762-F138-4A5C-976F-8EAC2B608ADB}">
              <a16:predDERef xmlns:a16="http://schemas.microsoft.com/office/drawing/2014/main" pred="{2E6CA2C7-E4AB-4DC1-A50A-FEBB0B9CA8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277906</xdr:colOff>
      <xdr:row>58</xdr:row>
      <xdr:rowOff>116541</xdr:rowOff>
    </xdr:from>
    <xdr:to>
      <xdr:col>35</xdr:col>
      <xdr:colOff>624840</xdr:colOff>
      <xdr:row>63</xdr:row>
      <xdr:rowOff>65315</xdr:rowOff>
    </xdr:to>
    <xdr:graphicFrame macro="">
      <xdr:nvGraphicFramePr>
        <xdr:cNvPr id="5" name="Chart 5">
          <a:extLst>
            <a:ext uri="{FF2B5EF4-FFF2-40B4-BE49-F238E27FC236}">
              <a16:creationId xmlns:a16="http://schemas.microsoft.com/office/drawing/2014/main" id="{1C1B4C1B-184C-47A9-BEBB-E7DB1B281831}"/>
            </a:ext>
            <a:ext uri="{147F2762-F138-4A5C-976F-8EAC2B608ADB}">
              <a16:predDERef xmlns:a16="http://schemas.microsoft.com/office/drawing/2014/main" pred="{6467D4B0-6F0E-43CB-958A-F19CE6AFC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266829</xdr:colOff>
      <xdr:row>21</xdr:row>
      <xdr:rowOff>62592</xdr:rowOff>
    </xdr:from>
    <xdr:to>
      <xdr:col>35</xdr:col>
      <xdr:colOff>585988</xdr:colOff>
      <xdr:row>23</xdr:row>
      <xdr:rowOff>389660</xdr:rowOff>
    </xdr:to>
    <xdr:graphicFrame macro="">
      <xdr:nvGraphicFramePr>
        <xdr:cNvPr id="29" name="Chart 5">
          <a:extLst>
            <a:ext uri="{FF2B5EF4-FFF2-40B4-BE49-F238E27FC236}">
              <a16:creationId xmlns:a16="http://schemas.microsoft.com/office/drawing/2014/main" id="{8AF934C7-F5A2-45DC-B845-5E5DDF13F29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260186</xdr:colOff>
      <xdr:row>24</xdr:row>
      <xdr:rowOff>34881</xdr:rowOff>
    </xdr:from>
    <xdr:to>
      <xdr:col>35</xdr:col>
      <xdr:colOff>573630</xdr:colOff>
      <xdr:row>26</xdr:row>
      <xdr:rowOff>408486</xdr:rowOff>
    </xdr:to>
    <xdr:graphicFrame macro="">
      <xdr:nvGraphicFramePr>
        <xdr:cNvPr id="30" name="Chart 5">
          <a:extLst>
            <a:ext uri="{FF2B5EF4-FFF2-40B4-BE49-F238E27FC236}">
              <a16:creationId xmlns:a16="http://schemas.microsoft.com/office/drawing/2014/main" id="{B4AFF112-3A24-40AC-862B-C319F0876B3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394447</xdr:colOff>
      <xdr:row>79</xdr:row>
      <xdr:rowOff>0</xdr:rowOff>
    </xdr:from>
    <xdr:to>
      <xdr:col>36</xdr:col>
      <xdr:colOff>71396</xdr:colOff>
      <xdr:row>82</xdr:row>
      <xdr:rowOff>70150</xdr:rowOff>
    </xdr:to>
    <xdr:graphicFrame macro="">
      <xdr:nvGraphicFramePr>
        <xdr:cNvPr id="11" name="Chart 5">
          <a:extLst>
            <a:ext uri="{FF2B5EF4-FFF2-40B4-BE49-F238E27FC236}">
              <a16:creationId xmlns:a16="http://schemas.microsoft.com/office/drawing/2014/main" id="{60916F99-EA4B-4A4B-9B3E-1EBF59A05CD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412376</xdr:colOff>
      <xdr:row>82</xdr:row>
      <xdr:rowOff>143435</xdr:rowOff>
    </xdr:from>
    <xdr:to>
      <xdr:col>36</xdr:col>
      <xdr:colOff>89325</xdr:colOff>
      <xdr:row>86</xdr:row>
      <xdr:rowOff>70150</xdr:rowOff>
    </xdr:to>
    <xdr:graphicFrame macro="">
      <xdr:nvGraphicFramePr>
        <xdr:cNvPr id="12" name="Chart 5">
          <a:extLst>
            <a:ext uri="{FF2B5EF4-FFF2-40B4-BE49-F238E27FC236}">
              <a16:creationId xmlns:a16="http://schemas.microsoft.com/office/drawing/2014/main" id="{FB4AFD6A-616F-4E6A-BDCE-E792F10760C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29</xdr:col>
      <xdr:colOff>385483</xdr:colOff>
      <xdr:row>75</xdr:row>
      <xdr:rowOff>80682</xdr:rowOff>
    </xdr:from>
    <xdr:to>
      <xdr:col>36</xdr:col>
      <xdr:colOff>62432</xdr:colOff>
      <xdr:row>78</xdr:row>
      <xdr:rowOff>339091</xdr:rowOff>
    </xdr:to>
    <xdr:graphicFrame macro="">
      <xdr:nvGraphicFramePr>
        <xdr:cNvPr id="13" name="Chart 5">
          <a:extLst>
            <a:ext uri="{FF2B5EF4-FFF2-40B4-BE49-F238E27FC236}">
              <a16:creationId xmlns:a16="http://schemas.microsoft.com/office/drawing/2014/main" id="{645B17E5-3ED4-451E-88F9-0C7A4465CCB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23</xdr:col>
      <xdr:colOff>40005</xdr:colOff>
      <xdr:row>21</xdr:row>
      <xdr:rowOff>62865</xdr:rowOff>
    </xdr:from>
    <xdr:to>
      <xdr:col>39</xdr:col>
      <xdr:colOff>350746</xdr:colOff>
      <xdr:row>153</xdr:row>
      <xdr:rowOff>154193</xdr:rowOff>
    </xdr:to>
    <xdr:graphicFrame macro="">
      <xdr:nvGraphicFramePr>
        <xdr:cNvPr id="22" name="Chart 2">
          <a:extLst>
            <a:ext uri="{FF2B5EF4-FFF2-40B4-BE49-F238E27FC236}">
              <a16:creationId xmlns:a16="http://schemas.microsoft.com/office/drawing/2014/main" id="{75153CC8-472F-410A-8B5C-DAF5BBA7DE7D}"/>
            </a:ext>
            <a:ext uri="{147F2762-F138-4A5C-976F-8EAC2B608ADB}">
              <a16:predDERef xmlns:a16="http://schemas.microsoft.com/office/drawing/2014/main" pred="{946FD221-A1B5-4DAE-9525-51F88F984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38100</xdr:colOff>
      <xdr:row>0</xdr:row>
      <xdr:rowOff>38100</xdr:rowOff>
    </xdr:from>
    <xdr:to>
      <xdr:col>39</xdr:col>
      <xdr:colOff>346936</xdr:colOff>
      <xdr:row>20</xdr:row>
      <xdr:rowOff>5603</xdr:rowOff>
    </xdr:to>
    <xdr:graphicFrame macro="">
      <xdr:nvGraphicFramePr>
        <xdr:cNvPr id="20" name="Chart 10">
          <a:extLst>
            <a:ext uri="{FF2B5EF4-FFF2-40B4-BE49-F238E27FC236}">
              <a16:creationId xmlns:a16="http://schemas.microsoft.com/office/drawing/2014/main" id="{2CB36677-A420-4E79-BBB5-4BF8B5099651}"/>
            </a:ext>
            <a:ext uri="{147F2762-F138-4A5C-976F-8EAC2B608ADB}">
              <a16:predDERef xmlns:a16="http://schemas.microsoft.com/office/drawing/2014/main" pred="{75153CC8-472F-410A-8B5C-DAF5BBA7DE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361117</xdr:colOff>
      <xdr:row>23</xdr:row>
      <xdr:rowOff>64379</xdr:rowOff>
    </xdr:from>
    <xdr:to>
      <xdr:col>9</xdr:col>
      <xdr:colOff>276225</xdr:colOff>
      <xdr:row>33</xdr:row>
      <xdr:rowOff>38100</xdr:rowOff>
    </xdr:to>
    <xdr:pic>
      <xdr:nvPicPr>
        <xdr:cNvPr id="2" name="Picture 1">
          <a:extLst>
            <a:ext uri="{FF2B5EF4-FFF2-40B4-BE49-F238E27FC236}">
              <a16:creationId xmlns:a16="http://schemas.microsoft.com/office/drawing/2014/main" id="{15DE42FE-DB82-CA33-93C9-98E617BB08AC}"/>
            </a:ext>
          </a:extLst>
        </xdr:cNvPr>
        <xdr:cNvPicPr>
          <a:picLocks noChangeAspect="1"/>
        </xdr:cNvPicPr>
      </xdr:nvPicPr>
      <xdr:blipFill>
        <a:blip xmlns:r="http://schemas.openxmlformats.org/officeDocument/2006/relationships" r:embed="rId1"/>
        <a:stretch>
          <a:fillRect/>
        </a:stretch>
      </xdr:blipFill>
      <xdr:spPr>
        <a:xfrm>
          <a:off x="361117" y="4245854"/>
          <a:ext cx="5401508" cy="1783471"/>
        </a:xfrm>
        <a:prstGeom prst="rect">
          <a:avLst/>
        </a:prstGeom>
      </xdr:spPr>
    </xdr:pic>
    <xdr:clientData/>
  </xdr:twoCellAnchor>
  <xdr:twoCellAnchor editAs="oneCell">
    <xdr:from>
      <xdr:col>0</xdr:col>
      <xdr:colOff>114300</xdr:colOff>
      <xdr:row>14</xdr:row>
      <xdr:rowOff>113328</xdr:rowOff>
    </xdr:from>
    <xdr:to>
      <xdr:col>10</xdr:col>
      <xdr:colOff>220980</xdr:colOff>
      <xdr:row>23</xdr:row>
      <xdr:rowOff>0</xdr:rowOff>
    </xdr:to>
    <xdr:pic>
      <xdr:nvPicPr>
        <xdr:cNvPr id="3" name="Picture 2">
          <a:extLst>
            <a:ext uri="{FF2B5EF4-FFF2-40B4-BE49-F238E27FC236}">
              <a16:creationId xmlns:a16="http://schemas.microsoft.com/office/drawing/2014/main" id="{C7999785-E4AD-A320-5B89-5FC85AE47E44}"/>
            </a:ext>
          </a:extLst>
        </xdr:cNvPr>
        <xdr:cNvPicPr>
          <a:picLocks noChangeAspect="1"/>
        </xdr:cNvPicPr>
      </xdr:nvPicPr>
      <xdr:blipFill>
        <a:blip xmlns:r="http://schemas.openxmlformats.org/officeDocument/2006/relationships" r:embed="rId2"/>
        <a:stretch>
          <a:fillRect/>
        </a:stretch>
      </xdr:blipFill>
      <xdr:spPr>
        <a:xfrm>
          <a:off x="114300" y="2688888"/>
          <a:ext cx="6202680" cy="153259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title24stakeholders.com/wp-content/uploads/2020/10/2022-T24-Final-CASE-Report_Reduce-Infiltration.pdf" TargetMode="External"/><Relationship Id="rId13" Type="http://schemas.openxmlformats.org/officeDocument/2006/relationships/hyperlink" Target="https://www.energy.ca.gov/publications/2022/2022-nonresidential-and-multifamily-alternative-calculation-method-reference" TargetMode="External"/><Relationship Id="rId18" Type="http://schemas.openxmlformats.org/officeDocument/2006/relationships/hyperlink" Target="file:///\\carcgl.com\amer\nor\Prj_SUS\2023\S23668%20SCE%20CA%20Prototypes%20Development\Technical\NR\0_Input%20data\Lighting\PNNL-20405.pdf" TargetMode="External"/><Relationship Id="rId26" Type="http://schemas.openxmlformats.org/officeDocument/2006/relationships/drawing" Target="../drawings/drawing1.xml"/><Relationship Id="rId3" Type="http://schemas.openxmlformats.org/officeDocument/2006/relationships/hyperlink" Target="https://bees.noresco.com/software2022.html" TargetMode="External"/><Relationship Id="rId21"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7" Type="http://schemas.openxmlformats.org/officeDocument/2006/relationships/hyperlink" Target="https://title24stakeholders.com/wp-content/uploads/2020/10/2022-T24-Final-CASE-Report_Reduce-Infiltration.pdf" TargetMode="External"/><Relationship Id="rId12" Type="http://schemas.openxmlformats.org/officeDocument/2006/relationships/hyperlink" Target="https://www.energy.ca.gov/publications/2022/2022-nonresidential-and-multifamily-alternative-calculation-method-reference" TargetMode="External"/><Relationship Id="rId17" Type="http://schemas.openxmlformats.org/officeDocument/2006/relationships/hyperlink" Target="file:///\\carcgl.com\amer\nor\Prj_SUS\2023\S23668%20SCE%20CA%20Prototypes%20Development\Technical\NR\0_Input%20data\Lighting\PNNL-20405.pdf" TargetMode="External"/><Relationship Id="rId25" Type="http://schemas.openxmlformats.org/officeDocument/2006/relationships/hyperlink" Target="https://www.govinfo.gov/content/pkg/CFR-2024-title10-vol3/pdf/CFR-2024-title10-vol3-part431-subpartF.pdf" TargetMode="External"/><Relationship Id="rId2" Type="http://schemas.openxmlformats.org/officeDocument/2006/relationships/hyperlink" Target="https://www.mass.gov/lists/stretch-energy-code-development-support-documentation" TargetMode="External"/><Relationship Id="rId16" Type="http://schemas.openxmlformats.org/officeDocument/2006/relationships/hyperlink" Target="file:///\\carcgl.com\amer\nor\Prj_SUS\2023\S23668%20SCE%20CA%20Prototypes%20Development\Technical\NR\0_Input%20data\Lighting\PNNL-20405.pdf" TargetMode="External"/><Relationship Id="rId20"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1" Type="http://schemas.openxmlformats.org/officeDocument/2006/relationships/hyperlink" Target="https://www.mass.gov/doc/small-office-prototype-basis-of-design-report/download" TargetMode="External"/><Relationship Id="rId6" Type="http://schemas.openxmlformats.org/officeDocument/2006/relationships/hyperlink" Target="https://web.eecs.utk.edu/~jnew1/publications/2019_IBPSA_OpenStudioOffice.pdf" TargetMode="External"/><Relationship Id="rId11" Type="http://schemas.openxmlformats.org/officeDocument/2006/relationships/hyperlink" Target="https://www.energy.ca.gov/publications/2022/2022-nonresidential-and-multifamily-alternative-calculation-method-reference" TargetMode="External"/><Relationship Id="rId24" Type="http://schemas.openxmlformats.org/officeDocument/2006/relationships/hyperlink" Target="https://www.govinfo.gov/content/pkg/CFR-2013-title10-vol3/pdf/CFR-2013-title10-vol3-part431.pdf" TargetMode="External"/><Relationship Id="rId5" Type="http://schemas.openxmlformats.org/officeDocument/2006/relationships/hyperlink" Target="https://github.com/sound-data/DEER-Prototypes-EnergyPlus" TargetMode="External"/><Relationship Id="rId15" Type="http://schemas.openxmlformats.org/officeDocument/2006/relationships/hyperlink" Target="https://www.pnnl.gov/main/publications/external/technical_reports/PNNL-20405.pdf" TargetMode="External"/><Relationship Id="rId23" Type="http://schemas.openxmlformats.org/officeDocument/2006/relationships/hyperlink" Target="https://www.govinfo.gov/content/pkg/FR-2009-03-23/pdf/FR-2009-03-23.pdf" TargetMode="External"/><Relationship Id="rId10" Type="http://schemas.openxmlformats.org/officeDocument/2006/relationships/hyperlink" Target="https://title24stakeholders.com/wp-content/uploads/2020/10/2022-T24-Final-CASE-Report_Reduce-Infiltration.pdf" TargetMode="External"/><Relationship Id="rId19"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4" Type="http://schemas.openxmlformats.org/officeDocument/2006/relationships/hyperlink" Target="https://www.energycodes.gov/prototype-building-models" TargetMode="External"/><Relationship Id="rId9" Type="http://schemas.openxmlformats.org/officeDocument/2006/relationships/hyperlink" Target="https://title24stakeholders.com/wp-content/uploads/2020/10/2022-T24-Final-CASE-Report_Reduce-Infiltration.pdf" TargetMode="External"/><Relationship Id="rId14" Type="http://schemas.openxmlformats.org/officeDocument/2006/relationships/hyperlink" Target="https://www.energy.ca.gov/publications/2022/2022-nonresidential-and-multifamily-alternative-calculation-method-reference" TargetMode="External"/><Relationship Id="rId22"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onRes-Vintage%20bins-Draft%20Report-30Nov2023-Final.docx?d=w8560be34ea9744e086bccf7767b0a3cf&amp;csf=1&amp;web=1&amp;e=tpxacv"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eb.eecs.utk.edu/~jnew1/presentations/2019_IBPSA_OpenStudioOffice.pdf" TargetMode="External"/><Relationship Id="rId1" Type="http://schemas.openxmlformats.org/officeDocument/2006/relationships/hyperlink" Target="https://web.eecs.utk.edu/~jnew1/publications/2019_IBPSA_OpenStudioOffice.pdf"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hyperlink" Target="https://title24stakeholders.com/wp-content/uploads/2020/10/2022-T24-Final-CASE-Report_Reduce-Infiltration.pdf" TargetMode="External"/><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 Id="rId5" Type="http://schemas.openxmlformats.org/officeDocument/2006/relationships/drawing" Target="../drawings/drawing4.xml"/><Relationship Id="rId4" Type="http://schemas.openxmlformats.org/officeDocument/2006/relationships/hyperlink" Target="https://title24stakeholders.com/wp-content/uploads/2020/10/2022-T24-Final-CASE-Report_Reduce-Infiltration.pdf"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pnnl.gov/main/publications/external/technical_reports/pnnl-19341.pdf" TargetMode="External"/><Relationship Id="rId7" Type="http://schemas.openxmlformats.org/officeDocument/2006/relationships/drawing" Target="../drawings/drawing5.xml"/><Relationship Id="rId2" Type="http://schemas.openxmlformats.org/officeDocument/2006/relationships/hyperlink" Target="https://carcglgov-my.sharepoint.com/Database/Papers/Insights%20from%20hydronic%20heating%20systems%20in%20259%20commercial%20buildings/Insights%20from%20hydronic%20heating%20systems%20in%20259%20commercial%20buildings.pdf" TargetMode="External"/><Relationship Id="rId1" Type="http://schemas.openxmlformats.org/officeDocument/2006/relationships/hyperlink" Target="https://www.govinfo.gov/content/pkg/FR-2009-03-23/pdf/FR-2009-03-23.pdf" TargetMode="External"/><Relationship Id="rId6" Type="http://schemas.openxmlformats.org/officeDocument/2006/relationships/printerSettings" Target="../printerSettings/printerSettings3.bin"/><Relationship Id="rId5" Type="http://schemas.openxmlformats.org/officeDocument/2006/relationships/hyperlink" Target="https://www.pnnl.gov/main/publications/external/technical_reports/PNNL-20405.pdf?__hstc=249664665.fbb1d69ca5f15106a530bcaee71fdf4a.1743465130773.1743546227524.1752085571925.3&amp;__hssc=249664665.1.1752085571925&amp;__hsfp=2216781724" TargetMode="External"/><Relationship Id="rId4" Type="http://schemas.openxmlformats.org/officeDocument/2006/relationships/hyperlink" Target="https://www.pnnl.gov/main/publications/external/technical_reports/pnnl-19341.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hyperlink" Target="https://carcglgov-my.sharepoint.com/Groups/CodesStds/Standards/California/2016-CEC-400-2015-037-CMF.pdf" TargetMode="External"/><Relationship Id="rId7" Type="http://schemas.openxmlformats.org/officeDocument/2006/relationships/comments" Target="../comments1.xml"/><Relationship Id="rId2" Type="http://schemas.openxmlformats.org/officeDocument/2006/relationships/hyperlink" Target="https://carcglgov-my.sharepoint.com/Groups/CodesStds/Standards/California/2016-CEC-400-2015-037-CMF.pdf" TargetMode="External"/><Relationship Id="rId1" Type="http://schemas.openxmlformats.org/officeDocument/2006/relationships/hyperlink" Target="https://carcglgov-my.sharepoint.com/Groups/CodesStds/Standards/California/2022%20Building%20Energy%20Efficiency%20Standards%20for%20Residential%20and%20Nonresidential%20Buildings.pdf" TargetMode="External"/><Relationship Id="rId6" Type="http://schemas.openxmlformats.org/officeDocument/2006/relationships/vmlDrawing" Target="../drawings/vmlDrawing1.vml"/><Relationship Id="rId5" Type="http://schemas.openxmlformats.org/officeDocument/2006/relationships/drawing" Target="../drawings/drawing7.xml"/><Relationship Id="rId4" Type="http://schemas.openxmlformats.org/officeDocument/2006/relationships/hyperlink" Target="https://carcglgov-my.sharepoint.com/Groups/CodesStds/Standards/California/2022%20Building%20Energy%20Efficiency%20Standards%20for%20Residential%20and%20Nonresidential%20Buildings.pdf"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carcglgov-my.sharepoint.com/Groups/CodesStds/Standards/California/2022%20Building%20Energy%20Efficiency%20Standards%20for%20Residential%20and%20Nonresidential%20Buildings.pdf"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K41"/>
  <sheetViews>
    <sheetView zoomScaleNormal="100" workbookViewId="0">
      <selection activeCell="H13" sqref="H13"/>
    </sheetView>
  </sheetViews>
  <sheetFormatPr defaultColWidth="9.28515625" defaultRowHeight="13.15"/>
  <cols>
    <col min="1" max="1" width="15.28515625" style="6" customWidth="1"/>
    <col min="2" max="2" width="83.7109375" style="6" customWidth="1"/>
    <col min="3" max="7" width="9.28515625" style="6"/>
    <col min="8" max="8" width="21.7109375" style="6" customWidth="1"/>
    <col min="9" max="9" width="10.7109375" style="6" customWidth="1"/>
    <col min="10" max="10" width="9.7109375" style="6" customWidth="1"/>
    <col min="11" max="11" width="9.7109375" style="6" bestFit="1" customWidth="1"/>
    <col min="12" max="16384" width="9.28515625" style="6"/>
  </cols>
  <sheetData>
    <row r="1" spans="1:7" ht="20.45" customHeight="1">
      <c r="A1" s="704" t="s">
        <v>0</v>
      </c>
      <c r="B1" s="704"/>
      <c r="C1" s="704"/>
      <c r="D1" s="704"/>
      <c r="E1" s="704"/>
      <c r="F1" s="704"/>
    </row>
    <row r="2" spans="1:7">
      <c r="A2" s="703" t="s">
        <v>1</v>
      </c>
      <c r="B2" s="6" t="s">
        <v>2</v>
      </c>
      <c r="C2" s="705"/>
      <c r="D2" s="705"/>
      <c r="E2" s="705"/>
      <c r="F2" s="705"/>
    </row>
    <row r="3" spans="1:7">
      <c r="A3" s="703"/>
      <c r="B3" s="6" t="s">
        <v>3</v>
      </c>
      <c r="C3" s="705"/>
      <c r="D3" s="705"/>
      <c r="E3" s="705"/>
      <c r="F3" s="705"/>
    </row>
    <row r="4" spans="1:7">
      <c r="A4" s="703"/>
      <c r="B4" s="6" t="s">
        <v>4</v>
      </c>
      <c r="C4" s="705"/>
      <c r="D4" s="705"/>
      <c r="E4" s="705"/>
      <c r="F4" s="705"/>
    </row>
    <row r="5" spans="1:7">
      <c r="A5" s="703"/>
      <c r="B5" s="6" t="s">
        <v>5</v>
      </c>
      <c r="C5" s="705"/>
      <c r="D5" s="705"/>
      <c r="E5" s="705"/>
      <c r="F5" s="705"/>
    </row>
    <row r="6" spans="1:7" ht="14.45">
      <c r="A6" s="703" t="s">
        <v>6</v>
      </c>
      <c r="B6" s="6" t="s">
        <v>7</v>
      </c>
      <c r="C6" s="706" t="s">
        <v>8</v>
      </c>
      <c r="D6" s="707"/>
      <c r="E6" s="707"/>
      <c r="F6" s="707"/>
    </row>
    <row r="7" spans="1:7" ht="14.45">
      <c r="A7" s="703"/>
      <c r="B7" s="6" t="s">
        <v>9</v>
      </c>
      <c r="C7" s="706" t="s">
        <v>10</v>
      </c>
      <c r="D7" s="707"/>
      <c r="E7" s="707"/>
      <c r="F7" s="707"/>
    </row>
    <row r="8" spans="1:7" ht="14.45">
      <c r="A8" s="703"/>
      <c r="B8" s="6" t="s">
        <v>11</v>
      </c>
      <c r="C8" s="706" t="s">
        <v>12</v>
      </c>
      <c r="D8" s="707"/>
      <c r="E8" s="707"/>
      <c r="F8" s="707"/>
    </row>
    <row r="9" spans="1:7" ht="14.45">
      <c r="A9" s="703"/>
      <c r="B9" s="6" t="s">
        <v>13</v>
      </c>
      <c r="C9" s="706" t="s">
        <v>14</v>
      </c>
      <c r="D9" s="707"/>
      <c r="E9" s="707"/>
      <c r="F9" s="707"/>
    </row>
    <row r="10" spans="1:7">
      <c r="A10" s="708" t="s">
        <v>15</v>
      </c>
      <c r="B10" s="6" t="s">
        <v>16</v>
      </c>
      <c r="C10" s="705"/>
      <c r="D10" s="705"/>
      <c r="E10" s="705"/>
      <c r="F10" s="705"/>
    </row>
    <row r="11" spans="1:7">
      <c r="A11" s="708"/>
      <c r="B11" s="6" t="s">
        <v>17</v>
      </c>
      <c r="C11" s="705"/>
      <c r="D11" s="705"/>
      <c r="E11" s="705"/>
      <c r="F11" s="705"/>
    </row>
    <row r="12" spans="1:7" ht="14.45">
      <c r="A12" s="708"/>
      <c r="B12" s="6" t="s">
        <v>18</v>
      </c>
      <c r="C12" s="706" t="s">
        <v>19</v>
      </c>
      <c r="D12" s="707"/>
      <c r="E12" s="707"/>
      <c r="F12" s="707"/>
    </row>
    <row r="13" spans="1:7" ht="14.45">
      <c r="A13" s="708"/>
      <c r="B13" s="6" t="s">
        <v>20</v>
      </c>
      <c r="C13" s="706" t="s">
        <v>21</v>
      </c>
      <c r="D13" s="707"/>
      <c r="E13" s="707"/>
      <c r="F13" s="707"/>
    </row>
    <row r="14" spans="1:7" ht="14.45">
      <c r="A14" s="708"/>
      <c r="B14" s="6" t="s">
        <v>22</v>
      </c>
      <c r="C14" s="621" t="s">
        <v>23</v>
      </c>
      <c r="D14" s="622"/>
      <c r="E14" s="622"/>
      <c r="F14" s="622"/>
      <c r="G14" s="6" t="s">
        <v>24</v>
      </c>
    </row>
    <row r="15" spans="1:7">
      <c r="A15" s="703" t="s">
        <v>25</v>
      </c>
      <c r="B15" s="10" t="s">
        <v>26</v>
      </c>
      <c r="C15" s="10" t="s">
        <v>27</v>
      </c>
      <c r="G15" s="6" t="s">
        <v>24</v>
      </c>
    </row>
    <row r="16" spans="1:7" ht="26.45">
      <c r="A16" s="703"/>
      <c r="B16" s="11" t="s">
        <v>28</v>
      </c>
      <c r="C16" s="705"/>
      <c r="D16" s="705"/>
      <c r="E16" s="705"/>
      <c r="F16" s="705"/>
    </row>
    <row r="17" spans="1:6">
      <c r="A17" s="703"/>
      <c r="B17" s="6" t="s">
        <v>29</v>
      </c>
      <c r="C17" s="705"/>
      <c r="D17" s="705"/>
      <c r="E17" s="705"/>
      <c r="F17" s="705"/>
    </row>
    <row r="18" spans="1:6" ht="14.45">
      <c r="A18" s="703"/>
      <c r="B18" s="6" t="s">
        <v>30</v>
      </c>
      <c r="C18" s="706" t="s">
        <v>31</v>
      </c>
      <c r="D18" s="706" t="s">
        <v>31</v>
      </c>
      <c r="E18" s="706" t="s">
        <v>31</v>
      </c>
      <c r="F18" s="706" t="s">
        <v>31</v>
      </c>
    </row>
    <row r="19" spans="1:6" ht="14.45">
      <c r="A19" s="703"/>
      <c r="B19" s="11" t="s">
        <v>32</v>
      </c>
      <c r="C19" s="706" t="s">
        <v>33</v>
      </c>
      <c r="D19" s="706" t="s">
        <v>33</v>
      </c>
      <c r="E19" s="706" t="s">
        <v>33</v>
      </c>
      <c r="F19" s="706" t="s">
        <v>33</v>
      </c>
    </row>
    <row r="20" spans="1:6" ht="14.45">
      <c r="A20" s="703"/>
      <c r="B20" s="6" t="s">
        <v>34</v>
      </c>
      <c r="C20" s="706" t="s">
        <v>35</v>
      </c>
      <c r="D20" s="706" t="s">
        <v>36</v>
      </c>
      <c r="E20" s="706" t="s">
        <v>36</v>
      </c>
      <c r="F20" s="706" t="s">
        <v>36</v>
      </c>
    </row>
    <row r="21" spans="1:6" ht="14.45">
      <c r="A21" s="703"/>
      <c r="B21" s="6" t="s">
        <v>37</v>
      </c>
      <c r="C21" s="706" t="s">
        <v>38</v>
      </c>
      <c r="D21" s="706" t="s">
        <v>38</v>
      </c>
      <c r="E21" s="706" t="s">
        <v>38</v>
      </c>
      <c r="F21" s="706" t="s">
        <v>38</v>
      </c>
    </row>
    <row r="22" spans="1:6">
      <c r="C22" s="705"/>
      <c r="D22" s="705"/>
      <c r="E22" s="705"/>
      <c r="F22" s="705"/>
    </row>
    <row r="23" spans="1:6">
      <c r="C23" s="705"/>
      <c r="D23" s="705"/>
      <c r="E23" s="705"/>
      <c r="F23" s="705"/>
    </row>
    <row r="24" spans="1:6" ht="18.600000000000001" customHeight="1">
      <c r="A24" s="704" t="s">
        <v>39</v>
      </c>
      <c r="B24" s="704"/>
      <c r="C24" s="704"/>
      <c r="D24" s="704"/>
      <c r="E24" s="704"/>
      <c r="F24" s="704"/>
    </row>
    <row r="25" spans="1:6">
      <c r="C25" s="623"/>
      <c r="D25" s="623"/>
      <c r="E25" s="623"/>
      <c r="F25" s="623"/>
    </row>
    <row r="26" spans="1:6">
      <c r="C26" s="623"/>
      <c r="D26" s="623"/>
      <c r="E26" s="623"/>
      <c r="F26" s="623"/>
    </row>
    <row r="27" spans="1:6">
      <c r="C27" s="623"/>
      <c r="D27" s="623"/>
      <c r="E27" s="623"/>
      <c r="F27" s="623"/>
    </row>
    <row r="28" spans="1:6">
      <c r="C28" s="623"/>
      <c r="D28" s="623"/>
      <c r="E28" s="623"/>
      <c r="F28" s="623"/>
    </row>
    <row r="29" spans="1:6">
      <c r="C29" s="623"/>
      <c r="D29" s="623"/>
      <c r="E29" s="623"/>
      <c r="F29" s="623"/>
    </row>
    <row r="30" spans="1:6">
      <c r="C30" s="623"/>
      <c r="D30" s="623"/>
      <c r="E30" s="623"/>
      <c r="F30" s="623"/>
    </row>
    <row r="31" spans="1:6">
      <c r="C31" s="623"/>
      <c r="D31" s="623"/>
      <c r="E31" s="623"/>
      <c r="F31" s="623"/>
    </row>
    <row r="32" spans="1:6">
      <c r="C32" s="623"/>
      <c r="D32" s="623"/>
      <c r="E32" s="623"/>
      <c r="F32" s="623"/>
    </row>
    <row r="33" spans="1:11">
      <c r="C33" s="623"/>
      <c r="D33" s="623"/>
      <c r="E33" s="623"/>
      <c r="F33" s="623"/>
    </row>
    <row r="34" spans="1:11">
      <c r="C34" s="623"/>
      <c r="D34" s="623"/>
      <c r="E34" s="623"/>
      <c r="F34" s="623"/>
    </row>
    <row r="35" spans="1:11">
      <c r="C35" s="623"/>
      <c r="D35" s="623"/>
      <c r="E35" s="623"/>
      <c r="F35" s="623"/>
    </row>
    <row r="36" spans="1:11">
      <c r="C36" s="623"/>
      <c r="D36" s="623"/>
      <c r="E36" s="623"/>
      <c r="F36" s="623"/>
    </row>
    <row r="37" spans="1:11" ht="19.149999999999999" customHeight="1">
      <c r="A37" s="704" t="s">
        <v>40</v>
      </c>
      <c r="B37" s="704"/>
      <c r="C37" s="704"/>
      <c r="D37" s="704"/>
      <c r="E37" s="704"/>
      <c r="F37" s="704"/>
    </row>
    <row r="38" spans="1:11" ht="14.65" customHeight="1">
      <c r="B38" s="707" t="s">
        <v>41</v>
      </c>
      <c r="C38" s="707"/>
      <c r="D38" s="707"/>
      <c r="E38" s="707"/>
      <c r="F38" s="707"/>
      <c r="H38" s="350"/>
      <c r="I38" s="348" t="s">
        <v>42</v>
      </c>
      <c r="J38" s="348" t="s">
        <v>43</v>
      </c>
      <c r="K38" s="348" t="s">
        <v>44</v>
      </c>
    </row>
    <row r="39" spans="1:11" ht="63" customHeight="1">
      <c r="A39" s="314" t="s">
        <v>45</v>
      </c>
      <c r="B39" s="709" t="s">
        <v>46</v>
      </c>
      <c r="C39" s="709"/>
      <c r="D39" s="709"/>
      <c r="E39" s="709"/>
      <c r="F39" s="709"/>
      <c r="H39" s="347" t="s">
        <v>47</v>
      </c>
      <c r="I39" s="349">
        <v>0.46536942917401369</v>
      </c>
      <c r="J39" s="349">
        <v>0.53462987933478545</v>
      </c>
      <c r="K39" s="349">
        <v>9.3651419285689569E-2</v>
      </c>
    </row>
    <row r="40" spans="1:11" ht="125.25" customHeight="1">
      <c r="A40" s="314" t="s">
        <v>48</v>
      </c>
      <c r="B40" s="709" t="s">
        <v>49</v>
      </c>
      <c r="C40" s="709"/>
      <c r="D40" s="709"/>
      <c r="E40" s="709"/>
      <c r="F40" s="709"/>
    </row>
    <row r="41" spans="1:11" ht="99.6" customHeight="1">
      <c r="A41" s="314" t="s">
        <v>50</v>
      </c>
      <c r="B41" s="709" t="s">
        <v>51</v>
      </c>
      <c r="C41" s="709"/>
      <c r="D41" s="709"/>
      <c r="E41" s="709"/>
      <c r="F41" s="709"/>
    </row>
  </sheetData>
  <mergeCells count="31">
    <mergeCell ref="B41:F41"/>
    <mergeCell ref="A37:F37"/>
    <mergeCell ref="A24:F24"/>
    <mergeCell ref="C13:F13"/>
    <mergeCell ref="C16:F16"/>
    <mergeCell ref="C21:F21"/>
    <mergeCell ref="C22:F22"/>
    <mergeCell ref="C18:F18"/>
    <mergeCell ref="C19:F19"/>
    <mergeCell ref="C20:F20"/>
    <mergeCell ref="C17:F17"/>
    <mergeCell ref="C23:F23"/>
    <mergeCell ref="A15:A21"/>
    <mergeCell ref="B38:F38"/>
    <mergeCell ref="B39:F39"/>
    <mergeCell ref="B40:F40"/>
    <mergeCell ref="C10:F10"/>
    <mergeCell ref="C9:F9"/>
    <mergeCell ref="C7:F7"/>
    <mergeCell ref="C12:F12"/>
    <mergeCell ref="A10:A14"/>
    <mergeCell ref="C11:F11"/>
    <mergeCell ref="A2:A5"/>
    <mergeCell ref="A6:A9"/>
    <mergeCell ref="A1:F1"/>
    <mergeCell ref="C2:F2"/>
    <mergeCell ref="C3:F3"/>
    <mergeCell ref="C4:F4"/>
    <mergeCell ref="C5:F5"/>
    <mergeCell ref="C6:F6"/>
    <mergeCell ref="C8:F8"/>
  </mergeCells>
  <hyperlinks>
    <hyperlink ref="B15" r:id="rId1" xr:uid="{6D163AC5-2862-4FF7-BF1E-5DBBFB5765D3}"/>
    <hyperlink ref="C15" r:id="rId2" xr:uid="{281B7D1D-7B1C-4EB5-9B6B-0D9DA0C9926B}"/>
    <hyperlink ref="C6" r:id="rId3" xr:uid="{BE11EEF8-3AF7-48F0-A38B-7309CE5A9491}"/>
    <hyperlink ref="C7" r:id="rId4" location="Commercial" xr:uid="{626A4776-C2FA-489E-88C0-BC9C7C8EA36F}"/>
    <hyperlink ref="C8" r:id="rId5" xr:uid="{0DEB00BB-3A26-4527-9ED4-40D17F93A579}"/>
    <hyperlink ref="C9" r:id="rId6" xr:uid="{E7A9A52D-7F84-4513-9CAE-4B7B2AE4C958}"/>
    <hyperlink ref="C19" r:id="rId7" xr:uid="{529761A4-7D16-4FA2-84A7-728B42A31AEF}"/>
    <hyperlink ref="D19" r:id="rId8" xr:uid="{ADA39954-AF78-461B-87A5-3A1ECDD3C987}"/>
    <hyperlink ref="E19" r:id="rId9" xr:uid="{5209F0B4-DBF0-4140-8CE2-93D80A006889}"/>
    <hyperlink ref="F19" r:id="rId10" xr:uid="{9BC9DFC1-521A-4004-B304-565C2AFACBA8}"/>
    <hyperlink ref="C18" r:id="rId11" xr:uid="{F91B9AA6-8CBA-4A95-B111-70A1F6B561C2}"/>
    <hyperlink ref="D18" r:id="rId12" xr:uid="{080C68C8-CB41-4966-964D-E9D07FCB9664}"/>
    <hyperlink ref="E18" r:id="rId13" xr:uid="{775BC742-5200-45D0-9BB5-4CDEAE6D8419}"/>
    <hyperlink ref="F18" r:id="rId14" xr:uid="{91F03AFC-D381-4A8B-BB0C-DE73D0FD4DA8}"/>
    <hyperlink ref="C20" r:id="rId15" xr:uid="{5A301539-1FFB-41E4-AE38-761F6CA571F3}"/>
    <hyperlink ref="D20" r:id="rId16" xr:uid="{EE2B5F4F-133F-4389-9F7D-E9529DAB0C3B}"/>
    <hyperlink ref="E20" r:id="rId17" xr:uid="{C3963E38-79A8-4BA2-966E-3A8128C18A51}"/>
    <hyperlink ref="F20" r:id="rId18" xr:uid="{6527E672-9DDC-4781-ABCC-492C3A27173E}"/>
    <hyperlink ref="C21" r:id="rId19" xr:uid="{99144D7B-BB13-4E0F-B987-13604AE7080C}"/>
    <hyperlink ref="D21" r:id="rId20" xr:uid="{002C8BB4-D9EB-4CE6-A19A-C8FE5441231A}"/>
    <hyperlink ref="E21" r:id="rId21" xr:uid="{D141106B-CD20-4008-BEEB-44ECF403E9AC}"/>
    <hyperlink ref="F21" r:id="rId22" xr:uid="{CD2ED185-AC3E-48CA-B5C1-F8570F010842}"/>
    <hyperlink ref="C12" r:id="rId23" xr:uid="{4C44B064-1A46-4D02-A4CC-D809C38EB67A}"/>
    <hyperlink ref="C13" r:id="rId24" xr:uid="{6656CFF8-0B9D-43F4-B135-B1D5D8B52F48}"/>
    <hyperlink ref="C14" r:id="rId25" xr:uid="{48EB7B33-0BE3-4DC5-AB87-C15566CFD4BC}"/>
  </hyperlinks>
  <pageMargins left="0.7" right="0.7" top="0.75" bottom="0.75" header="0.3" footer="0.3"/>
  <drawing r:id="rId2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K43"/>
  <sheetViews>
    <sheetView tabSelected="1" zoomScaleNormal="100" workbookViewId="0">
      <selection sqref="A1:C1"/>
    </sheetView>
  </sheetViews>
  <sheetFormatPr defaultColWidth="9.28515625" defaultRowHeight="13.9"/>
  <cols>
    <col min="1" max="1" width="25" style="4" customWidth="1"/>
    <col min="2" max="2" width="51.28515625" style="4" customWidth="1"/>
    <col min="3" max="3" width="49.7109375" style="4" customWidth="1"/>
    <col min="4" max="4" width="13.85546875" style="4" customWidth="1"/>
    <col min="5" max="5" width="19.140625" style="4" customWidth="1"/>
    <col min="6" max="6" width="17" style="4" customWidth="1"/>
    <col min="7" max="9" width="8.7109375" style="4" customWidth="1"/>
    <col min="10" max="16384" width="9.28515625" style="4"/>
  </cols>
  <sheetData>
    <row r="1" spans="1:9" ht="17.45">
      <c r="A1" s="715" t="s">
        <v>52</v>
      </c>
      <c r="B1" s="715"/>
      <c r="C1" s="715"/>
      <c r="D1" s="12"/>
      <c r="E1" s="12"/>
      <c r="F1" s="12"/>
    </row>
    <row r="2" spans="1:9" ht="25.15" customHeight="1">
      <c r="A2" s="716" t="s">
        <v>53</v>
      </c>
      <c r="B2" s="717"/>
      <c r="C2" s="717"/>
      <c r="D2" s="12"/>
      <c r="E2" s="12"/>
      <c r="F2" s="12"/>
    </row>
    <row r="3" spans="1:9" ht="20.45" customHeight="1">
      <c r="A3" s="19" t="s">
        <v>54</v>
      </c>
      <c r="B3" s="671" t="s">
        <v>55</v>
      </c>
      <c r="C3" s="20" t="s">
        <v>0</v>
      </c>
    </row>
    <row r="4" spans="1:9" ht="16.149999999999999" customHeight="1">
      <c r="A4" s="17" t="s">
        <v>56</v>
      </c>
      <c r="B4" s="639" t="s">
        <v>57</v>
      </c>
      <c r="C4" s="17"/>
    </row>
    <row r="5" spans="1:9" ht="16.149999999999999" customHeight="1">
      <c r="A5" s="17" t="s">
        <v>58</v>
      </c>
      <c r="B5" s="639" t="s">
        <v>59</v>
      </c>
      <c r="C5" s="17"/>
    </row>
    <row r="6" spans="1:9" ht="28.9" customHeight="1">
      <c r="A6" s="17" t="s">
        <v>60</v>
      </c>
      <c r="B6" s="652" t="s">
        <v>61</v>
      </c>
      <c r="C6" s="635" t="s">
        <v>62</v>
      </c>
      <c r="D6" s="256" t="s">
        <v>63</v>
      </c>
    </row>
    <row r="7" spans="1:9" ht="97.15" customHeight="1">
      <c r="A7" s="17" t="s">
        <v>64</v>
      </c>
      <c r="B7" s="639"/>
      <c r="C7" s="18" t="s">
        <v>65</v>
      </c>
      <c r="I7" s="5"/>
    </row>
    <row r="8" spans="1:9" ht="16.149999999999999" customHeight="1">
      <c r="A8" s="13" t="s">
        <v>66</v>
      </c>
      <c r="B8" s="14" t="s">
        <v>67</v>
      </c>
      <c r="C8" s="631" t="s">
        <v>68</v>
      </c>
    </row>
    <row r="9" spans="1:9" ht="16.149999999999999" customHeight="1">
      <c r="A9" s="13" t="s">
        <v>69</v>
      </c>
      <c r="B9" s="255">
        <v>1.5</v>
      </c>
      <c r="C9" s="631" t="s">
        <v>70</v>
      </c>
    </row>
    <row r="10" spans="1:9" ht="32.450000000000003" customHeight="1">
      <c r="A10" s="15" t="s">
        <v>71</v>
      </c>
      <c r="B10" s="639">
        <v>1</v>
      </c>
      <c r="C10" s="635" t="s">
        <v>72</v>
      </c>
    </row>
    <row r="11" spans="1:9" ht="24.75" customHeight="1">
      <c r="A11" s="15" t="s">
        <v>73</v>
      </c>
      <c r="B11" s="639" t="s">
        <v>74</v>
      </c>
      <c r="C11" s="277" t="s">
        <v>75</v>
      </c>
    </row>
    <row r="12" spans="1:9" ht="44.65" customHeight="1">
      <c r="A12" s="15" t="s">
        <v>76</v>
      </c>
      <c r="B12" s="702" t="s">
        <v>77</v>
      </c>
      <c r="C12" s="18" t="s">
        <v>78</v>
      </c>
    </row>
    <row r="13" spans="1:9" ht="14.65" customHeight="1">
      <c r="A13" s="13" t="s">
        <v>79</v>
      </c>
      <c r="B13" s="16" t="s">
        <v>80</v>
      </c>
      <c r="C13" s="17" t="s">
        <v>70</v>
      </c>
    </row>
    <row r="14" spans="1:9" ht="14.65" customHeight="1">
      <c r="A14" s="13" t="s">
        <v>81</v>
      </c>
      <c r="B14" s="639">
        <v>10</v>
      </c>
      <c r="C14" s="17" t="s">
        <v>70</v>
      </c>
    </row>
    <row r="15" spans="1:9" ht="16.149999999999999" customHeight="1">
      <c r="A15" s="13" t="s">
        <v>82</v>
      </c>
      <c r="B15" s="639">
        <v>10</v>
      </c>
      <c r="C15" s="17" t="s">
        <v>70</v>
      </c>
    </row>
    <row r="16" spans="1:9" ht="26.45">
      <c r="A16" s="13" t="s">
        <v>83</v>
      </c>
      <c r="B16" s="652" t="s">
        <v>84</v>
      </c>
      <c r="C16" s="17" t="s">
        <v>70</v>
      </c>
    </row>
    <row r="19" ht="14.65" customHeight="1"/>
    <row r="20" ht="14.65" customHeight="1"/>
    <row r="22" ht="14.65" customHeight="1"/>
    <row r="23" ht="14.65" customHeight="1"/>
    <row r="24" ht="14.65" customHeight="1"/>
    <row r="27" ht="14.65" customHeight="1"/>
    <row r="28" ht="14.65" customHeight="1"/>
    <row r="34" spans="1:11" s="35" customFormat="1" ht="13.15">
      <c r="A34" s="35" t="s">
        <v>85</v>
      </c>
      <c r="D34" s="36"/>
      <c r="E34" s="37"/>
      <c r="F34" s="38"/>
    </row>
    <row r="35" spans="1:11" s="6" customFormat="1" ht="13.15"/>
    <row r="36" spans="1:11" s="6" customFormat="1" ht="13.15"/>
    <row r="37" spans="1:11" s="6" customFormat="1" ht="13.15"/>
    <row r="38" spans="1:11" s="6" customFormat="1" ht="13.15"/>
    <row r="40" spans="1:11">
      <c r="D40" s="710" t="s">
        <v>86</v>
      </c>
      <c r="E40" s="710"/>
      <c r="F40" s="710"/>
      <c r="G40" s="710"/>
      <c r="H40" s="710"/>
      <c r="I40" s="710"/>
      <c r="J40" s="710"/>
      <c r="K40" s="710"/>
    </row>
    <row r="41" spans="1:11">
      <c r="D41" s="107" t="s">
        <v>87</v>
      </c>
      <c r="E41" s="151" t="s">
        <v>88</v>
      </c>
      <c r="F41" s="151" t="s">
        <v>89</v>
      </c>
      <c r="G41" s="151" t="s">
        <v>90</v>
      </c>
      <c r="H41" s="151" t="s">
        <v>91</v>
      </c>
      <c r="I41" s="711" t="s">
        <v>92</v>
      </c>
      <c r="J41" s="712"/>
      <c r="K41" s="712"/>
    </row>
    <row r="42" spans="1:11">
      <c r="D42" s="632" t="s">
        <v>93</v>
      </c>
      <c r="E42" s="152">
        <v>1.5</v>
      </c>
      <c r="F42" s="153">
        <v>1.5</v>
      </c>
      <c r="G42" s="154">
        <v>0.63</v>
      </c>
      <c r="H42" s="236"/>
      <c r="I42" s="713" t="s">
        <v>94</v>
      </c>
      <c r="J42" s="713"/>
      <c r="K42" s="713"/>
    </row>
    <row r="43" spans="1:11" ht="26.45">
      <c r="D43" s="632" t="s">
        <v>95</v>
      </c>
      <c r="E43" s="155">
        <f>SUM(Schedules!F77:AC77)*249+SUM(Schedules!F78:AC78)*52+SUM(Schedules!F79:AC79)*(364-249-52)</f>
        <v>2835.7000000000003</v>
      </c>
      <c r="F43" s="155">
        <f>SUM(Schedules!F83:AC83)*249+SUM(Schedules!F84:AC84)*52+SUM(Schedules!F85:AC85)*(364-249-52)</f>
        <v>2835.7000000000003</v>
      </c>
      <c r="G43" s="155">
        <f>SUM(Schedules!F80:AC80)*249+SUM(Schedules!F81:AC81)*52+SUM(Schedules!F82:AC82)*(364-249-52)</f>
        <v>3837.8149797799215</v>
      </c>
      <c r="H43" s="237"/>
      <c r="I43" s="714"/>
      <c r="J43" s="714"/>
      <c r="K43" s="714"/>
    </row>
  </sheetData>
  <mergeCells count="6">
    <mergeCell ref="D40:K40"/>
    <mergeCell ref="I41:K41"/>
    <mergeCell ref="I42:K42"/>
    <mergeCell ref="I43:K43"/>
    <mergeCell ref="A1:C1"/>
    <mergeCell ref="A2:C2"/>
  </mergeCells>
  <hyperlinks>
    <hyperlink ref="D6" r:id="rId1" display="https://2050partners.sharepoint.com/:w:/r/sites/CalBEMCollaborativeEfforts/Shared Documents/Working Group 1 - Streamlined Process/D - Complexity of Compliance/Prototype Unification/Project Development/Phase 2 (Collect Inputs) Development/NonRes-Vintage bins-Draft Report-30Nov2023-Final.docx?d=w8560be34ea9744e086bccf7767b0a3cf&amp;csf=1&amp;web=1&amp;e=tpxacv" xr:uid="{9B264631-F0F0-4192-B5C5-F574CB46B1DA}"/>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L46"/>
  <sheetViews>
    <sheetView topLeftCell="B1" zoomScaleNormal="100" workbookViewId="0">
      <selection sqref="A1:K1"/>
    </sheetView>
  </sheetViews>
  <sheetFormatPr defaultColWidth="8.7109375" defaultRowHeight="13.15"/>
  <cols>
    <col min="1" max="1" width="29.85546875" style="6" customWidth="1"/>
    <col min="2" max="2" width="48.7109375" style="6" customWidth="1"/>
    <col min="3" max="3" width="34.5703125" style="6" customWidth="1"/>
    <col min="4" max="5" width="19" style="6" customWidth="1"/>
    <col min="6" max="6" width="14.7109375" style="6" customWidth="1"/>
    <col min="7" max="7" width="10.140625" style="6" customWidth="1"/>
    <col min="8" max="8" width="7.7109375" style="6" customWidth="1"/>
    <col min="9" max="9" width="12.7109375" style="6" customWidth="1"/>
    <col min="10" max="10" width="12" style="6" bestFit="1" customWidth="1"/>
    <col min="11" max="11" width="27.28515625" style="6" customWidth="1"/>
    <col min="12" max="12" width="41.5703125" style="6" customWidth="1"/>
    <col min="13" max="13" width="32.5703125" style="6" customWidth="1"/>
    <col min="14" max="14" width="24.42578125" style="6" customWidth="1"/>
    <col min="15" max="15" width="12.7109375" style="6" customWidth="1"/>
    <col min="16" max="16" width="25.28515625" style="6" customWidth="1"/>
    <col min="17" max="17" width="22.28515625" style="6" bestFit="1" customWidth="1"/>
    <col min="18" max="18" width="18.28515625" style="6" customWidth="1"/>
    <col min="19" max="19" width="25.7109375" style="6" customWidth="1"/>
    <col min="20" max="20" width="22.7109375" style="6" customWidth="1"/>
    <col min="21" max="21" width="16.28515625" style="6" customWidth="1"/>
    <col min="22" max="22" width="6.7109375" style="6" bestFit="1" customWidth="1"/>
    <col min="23" max="27" width="17.28515625" style="6" customWidth="1"/>
    <col min="28" max="16384" width="8.7109375" style="6"/>
  </cols>
  <sheetData>
    <row r="1" spans="1:12" ht="25.9" customHeight="1">
      <c r="A1" s="704" t="str">
        <f>"Proposed Layout - "&amp;Prototype!A2</f>
        <v>Proposed Layout - OfficeSmall</v>
      </c>
      <c r="B1" s="704"/>
      <c r="C1" s="704"/>
      <c r="D1" s="704"/>
      <c r="E1" s="704"/>
      <c r="F1" s="704"/>
      <c r="G1" s="704"/>
      <c r="H1" s="704"/>
      <c r="I1" s="704"/>
      <c r="J1" s="704"/>
      <c r="K1" s="704"/>
    </row>
    <row r="2" spans="1:12" ht="41.25" customHeight="1">
      <c r="A2" s="40" t="s">
        <v>96</v>
      </c>
      <c r="B2" s="40" t="s">
        <v>97</v>
      </c>
      <c r="C2" s="40" t="s">
        <v>98</v>
      </c>
      <c r="D2" s="40" t="s">
        <v>99</v>
      </c>
      <c r="E2" s="39" t="s">
        <v>100</v>
      </c>
      <c r="F2" s="40" t="s">
        <v>101</v>
      </c>
      <c r="G2" s="40" t="s">
        <v>102</v>
      </c>
      <c r="H2" s="39" t="s">
        <v>103</v>
      </c>
      <c r="I2" s="39" t="s">
        <v>104</v>
      </c>
      <c r="J2" s="359" t="s">
        <v>105</v>
      </c>
      <c r="K2" s="39" t="s">
        <v>106</v>
      </c>
    </row>
    <row r="3" spans="1:12" ht="17.649999999999999" customHeight="1">
      <c r="A3" s="25" t="s">
        <v>107</v>
      </c>
      <c r="B3" s="25" t="s">
        <v>108</v>
      </c>
      <c r="C3" s="25" t="s">
        <v>109</v>
      </c>
      <c r="D3" s="25" t="s">
        <v>110</v>
      </c>
      <c r="E3" s="21" t="s">
        <v>111</v>
      </c>
      <c r="F3" s="651">
        <f t="shared" ref="F3:F15" si="0">G3/$G$17</f>
        <v>0.16588270621813633</v>
      </c>
      <c r="G3" s="279">
        <v>912.69749999999999</v>
      </c>
      <c r="H3" s="21">
        <f>G3*10</f>
        <v>9126.9750000000004</v>
      </c>
      <c r="I3" s="21">
        <v>1</v>
      </c>
      <c r="J3" s="21">
        <f>K3*G3/1000</f>
        <v>4.5634874999999999</v>
      </c>
      <c r="K3" s="22">
        <v>5</v>
      </c>
    </row>
    <row r="4" spans="1:12" ht="17.649999999999999" customHeight="1">
      <c r="A4" s="25" t="s">
        <v>112</v>
      </c>
      <c r="B4" s="25" t="s">
        <v>108</v>
      </c>
      <c r="C4" s="25" t="s">
        <v>113</v>
      </c>
      <c r="D4" s="25" t="s">
        <v>110</v>
      </c>
      <c r="E4" s="21" t="s">
        <v>111</v>
      </c>
      <c r="F4" s="651">
        <f t="shared" si="0"/>
        <v>0.16511254089216651</v>
      </c>
      <c r="G4" s="21">
        <v>908.46</v>
      </c>
      <c r="H4" s="21">
        <f t="shared" ref="H4:H15" si="1">G4*10</f>
        <v>9084.6</v>
      </c>
      <c r="I4" s="21">
        <v>1</v>
      </c>
      <c r="J4" s="21">
        <f t="shared" ref="J4:J15" si="2">K4*G4/1000</f>
        <v>4.5423</v>
      </c>
      <c r="K4" s="22">
        <v>5</v>
      </c>
      <c r="L4" s="306"/>
    </row>
    <row r="5" spans="1:12" ht="17.649999999999999" customHeight="1">
      <c r="A5" s="25" t="s">
        <v>114</v>
      </c>
      <c r="B5" s="25" t="s">
        <v>108</v>
      </c>
      <c r="C5" s="25" t="s">
        <v>115</v>
      </c>
      <c r="D5" s="25" t="s">
        <v>110</v>
      </c>
      <c r="E5" s="21" t="s">
        <v>111</v>
      </c>
      <c r="F5" s="651">
        <f t="shared" si="0"/>
        <v>0.16511254089216651</v>
      </c>
      <c r="G5" s="21">
        <v>908.46</v>
      </c>
      <c r="H5" s="21">
        <f t="shared" si="1"/>
        <v>9084.6</v>
      </c>
      <c r="I5" s="21">
        <v>1</v>
      </c>
      <c r="J5" s="21">
        <f t="shared" si="2"/>
        <v>4.5423</v>
      </c>
      <c r="K5" s="22">
        <v>5</v>
      </c>
      <c r="L5" s="234"/>
    </row>
    <row r="6" spans="1:12" ht="24.75" customHeight="1">
      <c r="A6" s="25" t="s">
        <v>116</v>
      </c>
      <c r="B6" s="25" t="s">
        <v>117</v>
      </c>
      <c r="C6" s="242" t="s">
        <v>118</v>
      </c>
      <c r="D6" s="242" t="s">
        <v>110</v>
      </c>
      <c r="E6" s="21" t="s">
        <v>111</v>
      </c>
      <c r="F6" s="651">
        <f t="shared" si="0"/>
        <v>8.2941580296479966E-2</v>
      </c>
      <c r="G6" s="21">
        <v>456.35</v>
      </c>
      <c r="H6" s="21">
        <f t="shared" si="1"/>
        <v>4563.5</v>
      </c>
      <c r="I6" s="21">
        <v>1</v>
      </c>
      <c r="J6" s="21">
        <f t="shared" si="2"/>
        <v>15.059550000000002</v>
      </c>
      <c r="K6" s="22">
        <v>33</v>
      </c>
    </row>
    <row r="7" spans="1:12" ht="52.9">
      <c r="A7" s="25" t="s">
        <v>119</v>
      </c>
      <c r="B7" s="25" t="s">
        <v>120</v>
      </c>
      <c r="C7" s="242" t="s">
        <v>118</v>
      </c>
      <c r="D7" s="242" t="s">
        <v>110</v>
      </c>
      <c r="E7" s="21" t="s">
        <v>111</v>
      </c>
      <c r="F7" s="651">
        <f t="shared" si="0"/>
        <v>8.2941580296479966E-2</v>
      </c>
      <c r="G7" s="21">
        <v>456.35</v>
      </c>
      <c r="H7" s="21">
        <f t="shared" si="1"/>
        <v>4563.5</v>
      </c>
      <c r="I7" s="21">
        <v>1</v>
      </c>
      <c r="J7" s="21">
        <f t="shared" si="2"/>
        <v>4.5635000000000003</v>
      </c>
      <c r="K7" s="411">
        <v>10</v>
      </c>
      <c r="L7" s="412" t="s">
        <v>121</v>
      </c>
    </row>
    <row r="8" spans="1:12" ht="16.5" customHeight="1">
      <c r="A8" s="25" t="s">
        <v>122</v>
      </c>
      <c r="B8" s="25" t="s">
        <v>123</v>
      </c>
      <c r="C8" s="25" t="s">
        <v>113</v>
      </c>
      <c r="D8" s="25" t="s">
        <v>110</v>
      </c>
      <c r="E8" s="21" t="s">
        <v>111</v>
      </c>
      <c r="F8" s="651">
        <f t="shared" si="0"/>
        <v>0.13520157514812239</v>
      </c>
      <c r="G8" s="21">
        <v>743.88791000000003</v>
      </c>
      <c r="H8" s="21">
        <f t="shared" si="1"/>
        <v>7438.8791000000001</v>
      </c>
      <c r="I8" s="21">
        <v>1</v>
      </c>
      <c r="J8" s="21">
        <f t="shared" si="2"/>
        <v>1.48777582</v>
      </c>
      <c r="K8" s="23">
        <v>2</v>
      </c>
    </row>
    <row r="9" spans="1:12" ht="19.149999999999999" customHeight="1">
      <c r="A9" s="25" t="s">
        <v>124</v>
      </c>
      <c r="B9" s="25" t="s">
        <v>125</v>
      </c>
      <c r="C9" s="25" t="s">
        <v>118</v>
      </c>
      <c r="D9" s="25" t="s">
        <v>110</v>
      </c>
      <c r="E9" s="21" t="s">
        <v>111</v>
      </c>
      <c r="F9" s="651">
        <f t="shared" si="0"/>
        <v>2.0761294439064108E-2</v>
      </c>
      <c r="G9" s="21">
        <v>114.23</v>
      </c>
      <c r="H9" s="21">
        <f t="shared" si="1"/>
        <v>1142.3</v>
      </c>
      <c r="I9" s="21">
        <v>1</v>
      </c>
      <c r="J9" s="21"/>
      <c r="K9" s="24" t="s">
        <v>126</v>
      </c>
    </row>
    <row r="10" spans="1:12" ht="17.649999999999999" customHeight="1">
      <c r="A10" s="25" t="s">
        <v>127</v>
      </c>
      <c r="B10" s="25" t="s">
        <v>128</v>
      </c>
      <c r="C10" s="25" t="s">
        <v>113</v>
      </c>
      <c r="D10" s="25" t="s">
        <v>110</v>
      </c>
      <c r="E10" s="21" t="s">
        <v>111</v>
      </c>
      <c r="F10" s="651">
        <f t="shared" si="0"/>
        <v>4.0762874173100747E-2</v>
      </c>
      <c r="G10" s="21">
        <v>224.28</v>
      </c>
      <c r="H10" s="21">
        <f t="shared" si="1"/>
        <v>2242.8000000000002</v>
      </c>
      <c r="I10" s="21">
        <v>1</v>
      </c>
      <c r="J10" s="21"/>
      <c r="K10" s="24" t="s">
        <v>126</v>
      </c>
    </row>
    <row r="11" spans="1:12" ht="17.649999999999999" customHeight="1">
      <c r="A11" s="25" t="s">
        <v>129</v>
      </c>
      <c r="B11" s="465" t="s">
        <v>130</v>
      </c>
      <c r="C11" s="25" t="s">
        <v>118</v>
      </c>
      <c r="D11" s="25" t="s">
        <v>110</v>
      </c>
      <c r="E11" s="21" t="s">
        <v>111</v>
      </c>
      <c r="F11" s="651">
        <f t="shared" si="0"/>
        <v>2.0001579734036636E-2</v>
      </c>
      <c r="G11" s="21">
        <v>110.05</v>
      </c>
      <c r="H11" s="21">
        <f t="shared" si="1"/>
        <v>1100.5</v>
      </c>
      <c r="I11" s="21">
        <v>1</v>
      </c>
      <c r="J11" s="21">
        <f t="shared" si="2"/>
        <v>3.63165</v>
      </c>
      <c r="K11" s="413">
        <v>33</v>
      </c>
      <c r="L11" s="41"/>
    </row>
    <row r="12" spans="1:12" ht="17.649999999999999" customHeight="1">
      <c r="A12" s="25" t="s">
        <v>131</v>
      </c>
      <c r="B12" s="25" t="s">
        <v>132</v>
      </c>
      <c r="C12" s="25" t="s">
        <v>113</v>
      </c>
      <c r="D12" s="25" t="s">
        <v>110</v>
      </c>
      <c r="E12" s="21" t="s">
        <v>111</v>
      </c>
      <c r="F12" s="651">
        <f t="shared" si="0"/>
        <v>2.2220746372406355E-2</v>
      </c>
      <c r="G12" s="21">
        <v>122.26</v>
      </c>
      <c r="H12" s="21">
        <f t="shared" si="1"/>
        <v>1222.6000000000001</v>
      </c>
      <c r="I12" s="21">
        <v>1</v>
      </c>
      <c r="J12" s="21">
        <f t="shared" si="2"/>
        <v>0.61130000000000007</v>
      </c>
      <c r="K12" s="22">
        <v>5</v>
      </c>
    </row>
    <row r="13" spans="1:12" ht="17.649999999999999" customHeight="1">
      <c r="A13" s="25" t="s">
        <v>133</v>
      </c>
      <c r="B13" s="25" t="s">
        <v>132</v>
      </c>
      <c r="C13" s="25" t="s">
        <v>109</v>
      </c>
      <c r="D13" s="25" t="s">
        <v>110</v>
      </c>
      <c r="E13" s="21" t="s">
        <v>111</v>
      </c>
      <c r="F13" s="651">
        <f t="shared" si="0"/>
        <v>3.8420117582716989E-2</v>
      </c>
      <c r="G13" s="280">
        <v>211.39</v>
      </c>
      <c r="H13" s="21">
        <f t="shared" si="1"/>
        <v>2113.8999999999996</v>
      </c>
      <c r="I13" s="21">
        <v>1</v>
      </c>
      <c r="J13" s="21">
        <f t="shared" si="2"/>
        <v>1.0569499999999998</v>
      </c>
      <c r="K13" s="22">
        <v>5</v>
      </c>
    </row>
    <row r="14" spans="1:12" ht="17.649999999999999" customHeight="1">
      <c r="A14" s="25" t="s">
        <v>134</v>
      </c>
      <c r="B14" s="25" t="s">
        <v>132</v>
      </c>
      <c r="C14" s="25" t="s">
        <v>115</v>
      </c>
      <c r="D14" s="25" t="s">
        <v>110</v>
      </c>
      <c r="E14" s="21" t="s">
        <v>111</v>
      </c>
      <c r="F14" s="651">
        <f t="shared" si="0"/>
        <v>2.2220746372406355E-2</v>
      </c>
      <c r="G14" s="21">
        <v>122.26</v>
      </c>
      <c r="H14" s="21">
        <f t="shared" si="1"/>
        <v>1222.6000000000001</v>
      </c>
      <c r="I14" s="21">
        <v>1</v>
      </c>
      <c r="J14" s="21">
        <f t="shared" si="2"/>
        <v>0.61130000000000007</v>
      </c>
      <c r="K14" s="22">
        <v>5</v>
      </c>
    </row>
    <row r="15" spans="1:12" ht="21.6" customHeight="1">
      <c r="A15" s="25" t="s">
        <v>135</v>
      </c>
      <c r="B15" s="25" t="s">
        <v>132</v>
      </c>
      <c r="C15" s="242" t="s">
        <v>118</v>
      </c>
      <c r="D15" s="25" t="s">
        <v>110</v>
      </c>
      <c r="E15" s="21" t="s">
        <v>111</v>
      </c>
      <c r="F15" s="651">
        <f t="shared" si="0"/>
        <v>3.8420117582716989E-2</v>
      </c>
      <c r="G15" s="280">
        <v>211.39</v>
      </c>
      <c r="H15" s="21">
        <f t="shared" si="1"/>
        <v>2113.8999999999996</v>
      </c>
      <c r="I15" s="21">
        <v>1</v>
      </c>
      <c r="J15" s="21">
        <f t="shared" si="2"/>
        <v>1.0569499999999998</v>
      </c>
      <c r="K15" s="22">
        <v>5</v>
      </c>
    </row>
    <row r="16" spans="1:12" ht="17.649999999999999" customHeight="1">
      <c r="A16" s="25" t="s">
        <v>136</v>
      </c>
      <c r="B16" s="25" t="s">
        <v>136</v>
      </c>
      <c r="C16" s="25"/>
      <c r="D16" s="25" t="s">
        <v>137</v>
      </c>
      <c r="E16" s="21" t="s">
        <v>138</v>
      </c>
      <c r="F16" s="360">
        <v>1</v>
      </c>
      <c r="G16" s="21">
        <v>6114.3046999999997</v>
      </c>
      <c r="H16" s="21">
        <v>25437.110800000002</v>
      </c>
      <c r="I16" s="21">
        <v>1</v>
      </c>
      <c r="J16" s="21"/>
      <c r="K16" s="22" t="s">
        <v>126</v>
      </c>
    </row>
    <row r="17" spans="1:11" ht="39.6" customHeight="1">
      <c r="A17" s="25" t="s">
        <v>139</v>
      </c>
      <c r="B17" s="242" t="s">
        <v>140</v>
      </c>
      <c r="C17" s="242" t="s">
        <v>141</v>
      </c>
      <c r="D17" s="242" t="s">
        <v>142</v>
      </c>
      <c r="E17" s="27" t="s">
        <v>143</v>
      </c>
      <c r="F17" s="360">
        <f>SUM(F3:F15)</f>
        <v>0.99999999999999978</v>
      </c>
      <c r="G17" s="26">
        <f>SUM(G3:G15)</f>
        <v>5502.0654100000011</v>
      </c>
      <c r="H17" s="21">
        <f>SUM(H3:H16)</f>
        <v>80457.764900000009</v>
      </c>
      <c r="I17" s="21">
        <v>1</v>
      </c>
      <c r="J17" s="21"/>
      <c r="K17" s="22"/>
    </row>
    <row r="18" spans="1:11" ht="21.6" customHeight="1">
      <c r="F18" s="31"/>
      <c r="G18" s="31"/>
      <c r="H18" s="31"/>
      <c r="I18" s="31"/>
      <c r="J18" s="32"/>
    </row>
    <row r="19" spans="1:11" ht="21.6" customHeight="1">
      <c r="B19" s="477" t="s">
        <v>144</v>
      </c>
      <c r="C19" s="7"/>
      <c r="D19" s="7"/>
      <c r="E19" s="7"/>
      <c r="F19" s="33"/>
      <c r="H19" s="31"/>
      <c r="I19" s="31"/>
      <c r="J19" s="31"/>
    </row>
    <row r="20" spans="1:11" ht="10.15" customHeight="1">
      <c r="B20" s="10" t="s">
        <v>14</v>
      </c>
      <c r="C20" s="10"/>
      <c r="D20" s="10"/>
      <c r="F20" s="31"/>
      <c r="G20" s="31"/>
      <c r="H20" s="31"/>
      <c r="I20" s="31"/>
      <c r="J20" s="31"/>
    </row>
    <row r="21" spans="1:11" ht="10.15" customHeight="1">
      <c r="B21" s="34" t="s">
        <v>145</v>
      </c>
      <c r="C21" s="34"/>
      <c r="D21" s="34"/>
      <c r="F21" s="31"/>
      <c r="G21" s="31"/>
      <c r="H21" s="31"/>
      <c r="I21" s="31"/>
      <c r="J21" s="31"/>
    </row>
    <row r="22" spans="1:11" ht="10.15" customHeight="1">
      <c r="B22" s="31"/>
      <c r="C22" s="31"/>
      <c r="D22" s="31"/>
      <c r="F22" s="31"/>
      <c r="G22" s="31"/>
      <c r="H22" s="31"/>
      <c r="I22" s="31"/>
      <c r="J22" s="31"/>
    </row>
    <row r="23" spans="1:11">
      <c r="B23" s="31"/>
      <c r="C23" s="31"/>
      <c r="D23" s="31"/>
      <c r="F23" s="31"/>
      <c r="G23" s="31"/>
      <c r="H23" s="31"/>
      <c r="I23" s="31"/>
      <c r="J23" s="31"/>
    </row>
    <row r="24" spans="1:11">
      <c r="F24" s="31"/>
      <c r="G24" s="31"/>
      <c r="H24" s="31"/>
      <c r="I24" s="31"/>
      <c r="J24" s="31"/>
    </row>
    <row r="25" spans="1:11">
      <c r="F25" s="31"/>
      <c r="G25" s="31"/>
      <c r="H25" s="31"/>
      <c r="I25" s="31"/>
      <c r="J25" s="31"/>
    </row>
    <row r="26" spans="1:11">
      <c r="F26" s="31"/>
      <c r="G26" s="31"/>
      <c r="H26" s="31"/>
      <c r="I26" s="31"/>
      <c r="J26" s="31"/>
    </row>
    <row r="27" spans="1:11">
      <c r="B27" s="414"/>
      <c r="F27" s="31"/>
      <c r="G27" s="31"/>
      <c r="H27" s="31"/>
      <c r="I27" s="31"/>
      <c r="J27" s="31"/>
    </row>
    <row r="28" spans="1:11">
      <c r="F28" s="31"/>
      <c r="G28" s="31"/>
      <c r="H28" s="31"/>
      <c r="I28" s="31"/>
      <c r="J28" s="31"/>
    </row>
    <row r="29" spans="1:11" s="35" customFormat="1" hidden="1">
      <c r="B29" s="35" t="s">
        <v>85</v>
      </c>
      <c r="H29" s="36"/>
      <c r="I29" s="38"/>
    </row>
    <row r="30" spans="1:11" hidden="1">
      <c r="B30" s="30"/>
      <c r="C30" s="30"/>
      <c r="D30" s="30"/>
      <c r="E30" s="30"/>
    </row>
    <row r="31" spans="1:11" hidden="1"/>
    <row r="32" spans="1:11" hidden="1"/>
    <row r="33" spans="2:11" hidden="1"/>
    <row r="34" spans="2:11" hidden="1">
      <c r="B34" s="357" t="s">
        <v>146</v>
      </c>
      <c r="C34" s="358"/>
      <c r="D34" s="358"/>
      <c r="E34" s="358"/>
      <c r="F34" s="358"/>
    </row>
    <row r="35" spans="2:11" ht="14.45" hidden="1" customHeight="1"/>
    <row r="36" spans="2:11" ht="24" hidden="1" customHeight="1">
      <c r="B36" s="354" t="s">
        <v>147</v>
      </c>
      <c r="C36" s="353" t="s">
        <v>148</v>
      </c>
      <c r="D36" s="353"/>
      <c r="E36" s="668" t="s">
        <v>149</v>
      </c>
      <c r="F36" s="668" t="s">
        <v>150</v>
      </c>
    </row>
    <row r="37" spans="2:11" ht="79.150000000000006" hidden="1">
      <c r="B37" s="627" t="s">
        <v>151</v>
      </c>
      <c r="C37" s="355" t="s">
        <v>152</v>
      </c>
      <c r="D37" s="355"/>
      <c r="E37" s="355" t="s">
        <v>152</v>
      </c>
      <c r="F37" s="355" t="s">
        <v>153</v>
      </c>
      <c r="J37" s="281"/>
      <c r="K37" s="282"/>
    </row>
    <row r="38" spans="2:11" hidden="1">
      <c r="B38" s="719" t="s">
        <v>154</v>
      </c>
      <c r="C38" s="356">
        <v>1610.9268329647771</v>
      </c>
      <c r="D38" s="356"/>
      <c r="E38" s="356">
        <v>1610.9268329647771</v>
      </c>
      <c r="F38" s="356">
        <v>1570.6698080062824</v>
      </c>
    </row>
    <row r="39" spans="2:11" hidden="1">
      <c r="B39" s="720"/>
      <c r="C39" s="356">
        <v>1221.165636775718</v>
      </c>
      <c r="D39" s="356"/>
      <c r="E39" s="356">
        <v>1221.165636775718</v>
      </c>
      <c r="F39" s="356">
        <v>1074.022981379296</v>
      </c>
    </row>
    <row r="40" spans="2:11" hidden="1">
      <c r="B40" s="720"/>
      <c r="C40" s="356">
        <v>724.4111710445643</v>
      </c>
      <c r="D40" s="356"/>
      <c r="E40" s="356">
        <v>724.4111710445643</v>
      </c>
      <c r="F40" s="356">
        <v>641.20614352339817</v>
      </c>
    </row>
    <row r="41" spans="2:11" hidden="1">
      <c r="B41" s="720"/>
      <c r="C41" s="356">
        <v>6113.6858384827883</v>
      </c>
      <c r="D41" s="356"/>
      <c r="E41" s="356">
        <v>6113.6858384827883</v>
      </c>
      <c r="F41" s="356">
        <v>0</v>
      </c>
    </row>
    <row r="42" spans="2:11" hidden="1">
      <c r="B42" s="720"/>
      <c r="C42" s="356">
        <v>5502.0804486053421</v>
      </c>
      <c r="D42" s="356"/>
      <c r="E42" s="356">
        <v>5502.0804486053421</v>
      </c>
      <c r="F42" s="356">
        <v>5001.1818773637551</v>
      </c>
    </row>
    <row r="43" spans="2:11" hidden="1">
      <c r="B43" s="721"/>
      <c r="C43" s="356">
        <v>5502.0804486053421</v>
      </c>
      <c r="D43" s="356"/>
      <c r="E43" s="356">
        <v>5502.0804486053421</v>
      </c>
      <c r="F43" s="356">
        <v>10002.36375472751</v>
      </c>
    </row>
    <row r="44" spans="2:11" hidden="1">
      <c r="C44" s="623"/>
      <c r="D44" s="623"/>
      <c r="E44" s="623"/>
      <c r="F44" s="623"/>
    </row>
    <row r="45" spans="2:11" hidden="1">
      <c r="B45" s="718" t="s">
        <v>155</v>
      </c>
      <c r="C45" s="351">
        <v>120</v>
      </c>
      <c r="D45" s="351"/>
      <c r="E45" s="351">
        <v>131.9</v>
      </c>
      <c r="F45" s="351">
        <v>120</v>
      </c>
    </row>
    <row r="46" spans="2:11" hidden="1">
      <c r="B46" s="718"/>
      <c r="C46" s="351"/>
      <c r="D46" s="351"/>
      <c r="E46" s="352">
        <v>0.55555555599999995</v>
      </c>
      <c r="F46" s="351"/>
    </row>
  </sheetData>
  <mergeCells count="3">
    <mergeCell ref="B45:B46"/>
    <mergeCell ref="B38:B43"/>
    <mergeCell ref="A1:K1"/>
  </mergeCells>
  <phoneticPr fontId="7" type="noConversion"/>
  <hyperlinks>
    <hyperlink ref="B20" r:id="rId1" xr:uid="{58518BC6-E4B2-4912-A8F5-29F636272C9A}"/>
    <hyperlink ref="B21" r:id="rId2" xr:uid="{2EFE29EA-585B-4F90-8184-3D129F20D938}"/>
  </hyperlinks>
  <pageMargins left="0.7" right="0.7" top="0.75" bottom="0.75" header="0.3" footer="0.3"/>
  <pageSetup orientation="portrait" r:id="rId3"/>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27679C59-7EDB-4B04-B33D-CB37EC9309ED}">
          <x14:formula1>
            <xm:f>Data!$A$2:$A$201</xm:f>
          </x14:formula1>
          <xm:sqref>B3:B16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BR131"/>
  <sheetViews>
    <sheetView zoomScale="85" zoomScaleNormal="85" workbookViewId="0">
      <selection sqref="A1:X1"/>
    </sheetView>
  </sheetViews>
  <sheetFormatPr defaultColWidth="9.28515625" defaultRowHeight="13.9"/>
  <cols>
    <col min="1" max="1" width="18.7109375" style="246" customWidth="1"/>
    <col min="2" max="2" width="13.5703125" style="253" customWidth="1"/>
    <col min="3" max="3" width="18.5703125" style="246" customWidth="1"/>
    <col min="4" max="4" width="44.42578125" style="246" customWidth="1"/>
    <col min="5" max="5" width="12.42578125" style="246" customWidth="1"/>
    <col min="6" max="6" width="10.7109375" style="246" customWidth="1"/>
    <col min="7" max="7" width="22.5703125" style="254" customWidth="1"/>
    <col min="8" max="8" width="49" style="246" customWidth="1"/>
    <col min="9" max="9" width="6.85546875" style="246" customWidth="1"/>
    <col min="10" max="12" width="7" style="246" customWidth="1"/>
    <col min="13" max="13" width="7.85546875" style="246" customWidth="1"/>
    <col min="14" max="14" width="8.7109375" style="246" customWidth="1"/>
    <col min="15" max="15" width="7" style="246" customWidth="1"/>
    <col min="16" max="16" width="7.140625" style="246" customWidth="1"/>
    <col min="17" max="17" width="7.5703125" style="246" customWidth="1"/>
    <col min="18" max="21" width="7" style="246" customWidth="1"/>
    <col min="22" max="22" width="7.7109375" style="246" customWidth="1"/>
    <col min="23" max="23" width="7.28515625" style="246" customWidth="1"/>
    <col min="24" max="24" width="7" style="246" customWidth="1"/>
    <col min="25" max="25" width="9.28515625" style="246"/>
    <col min="26" max="26" width="13.28515625" style="246" customWidth="1"/>
    <col min="27" max="30" width="7.7109375" style="246" customWidth="1"/>
    <col min="31" max="31" width="9.7109375" style="246" customWidth="1"/>
    <col min="32" max="32" width="7.5703125" style="246" customWidth="1"/>
    <col min="33" max="33" width="11.42578125" style="246" customWidth="1"/>
    <col min="34" max="35" width="7.7109375" style="246" customWidth="1"/>
    <col min="36" max="36" width="11.85546875" style="246" customWidth="1"/>
    <col min="37" max="38" width="7.7109375" style="246" customWidth="1"/>
    <col min="39" max="39" width="12.28515625" style="246" customWidth="1"/>
    <col min="40" max="40" width="12.5703125" style="246" customWidth="1"/>
    <col min="41" max="41" width="11.7109375" style="246" customWidth="1"/>
    <col min="42" max="42" width="15.28515625" style="246" customWidth="1"/>
    <col min="43" max="46" width="10.42578125" style="246" customWidth="1"/>
    <col min="47" max="47" width="9.85546875" style="246" customWidth="1"/>
    <col min="48" max="48" width="10.42578125" style="246" customWidth="1"/>
    <col min="49" max="49" width="21.7109375" style="246" customWidth="1"/>
    <col min="50" max="50" width="10.42578125" style="246" customWidth="1"/>
    <col min="51" max="53" width="7.42578125" style="246" customWidth="1"/>
    <col min="54" max="54" width="7.7109375" style="246" customWidth="1"/>
    <col min="55" max="55" width="7.42578125" style="246" customWidth="1"/>
    <col min="56" max="56" width="13.7109375" style="246" customWidth="1"/>
    <col min="57" max="60" width="7.42578125" style="246" customWidth="1"/>
    <col min="61" max="62" width="9.7109375" style="246" bestFit="1" customWidth="1"/>
    <col min="63" max="16384" width="9.28515625" style="246"/>
  </cols>
  <sheetData>
    <row r="1" spans="1:42" ht="31.9" customHeight="1">
      <c r="A1" s="752" t="str">
        <f>"Envelope - "&amp;Prototype!A2</f>
        <v>Envelope - OfficeSmall</v>
      </c>
      <c r="B1" s="752"/>
      <c r="C1" s="752"/>
      <c r="D1" s="752"/>
      <c r="E1" s="752"/>
      <c r="F1" s="752"/>
      <c r="G1" s="752"/>
      <c r="H1" s="752"/>
      <c r="I1" s="752"/>
      <c r="J1" s="752"/>
      <c r="K1" s="752"/>
      <c r="L1" s="752"/>
      <c r="M1" s="752"/>
      <c r="N1" s="752"/>
      <c r="O1" s="752"/>
      <c r="P1" s="752"/>
      <c r="Q1" s="752"/>
      <c r="R1" s="752"/>
      <c r="S1" s="752"/>
      <c r="T1" s="752"/>
      <c r="U1" s="752"/>
      <c r="V1" s="752"/>
      <c r="W1" s="752"/>
      <c r="X1" s="752"/>
      <c r="Y1" s="4"/>
      <c r="Z1" s="4"/>
      <c r="AA1" s="4"/>
      <c r="AB1" s="4"/>
      <c r="AC1" s="4"/>
      <c r="AD1" s="4"/>
      <c r="AE1" s="4"/>
      <c r="AF1" s="4"/>
      <c r="AG1" s="4"/>
      <c r="AH1" s="4"/>
      <c r="AI1" s="4"/>
      <c r="AJ1" s="4"/>
      <c r="AK1" s="4"/>
      <c r="AL1" s="4"/>
      <c r="AM1" s="4"/>
      <c r="AN1" s="4"/>
      <c r="AO1" s="4"/>
      <c r="AP1" s="4"/>
    </row>
    <row r="2" spans="1:42" ht="31.15" customHeight="1">
      <c r="A2" s="107" t="s">
        <v>156</v>
      </c>
      <c r="B2" s="107" t="s">
        <v>6</v>
      </c>
      <c r="C2" s="107" t="s">
        <v>157</v>
      </c>
      <c r="D2" s="107" t="s">
        <v>158</v>
      </c>
      <c r="E2" s="283" t="s">
        <v>159</v>
      </c>
      <c r="F2" s="107" t="s">
        <v>160</v>
      </c>
      <c r="G2" s="283" t="s">
        <v>161</v>
      </c>
      <c r="H2" s="107" t="s">
        <v>92</v>
      </c>
      <c r="I2" s="107" t="s">
        <v>162</v>
      </c>
      <c r="J2" s="107" t="s">
        <v>163</v>
      </c>
      <c r="K2" s="107" t="s">
        <v>164</v>
      </c>
      <c r="L2" s="107" t="s">
        <v>165</v>
      </c>
      <c r="M2" s="107" t="s">
        <v>166</v>
      </c>
      <c r="N2" s="107" t="s">
        <v>167</v>
      </c>
      <c r="O2" s="107" t="s">
        <v>168</v>
      </c>
      <c r="P2" s="107" t="s">
        <v>169</v>
      </c>
      <c r="Q2" s="107" t="s">
        <v>170</v>
      </c>
      <c r="R2" s="107" t="s">
        <v>171</v>
      </c>
      <c r="S2" s="107" t="s">
        <v>172</v>
      </c>
      <c r="T2" s="107" t="s">
        <v>173</v>
      </c>
      <c r="U2" s="107" t="s">
        <v>174</v>
      </c>
      <c r="V2" s="107" t="s">
        <v>175</v>
      </c>
      <c r="W2" s="107" t="s">
        <v>176</v>
      </c>
      <c r="X2" s="107" t="s">
        <v>177</v>
      </c>
      <c r="Y2" s="4"/>
      <c r="Z2" s="4"/>
      <c r="AA2" s="4"/>
      <c r="AB2" s="4"/>
      <c r="AC2" s="4"/>
      <c r="AD2" s="4"/>
      <c r="AE2" s="4"/>
      <c r="AF2" s="4"/>
      <c r="AG2" s="4"/>
      <c r="AH2" s="4"/>
      <c r="AI2" s="4"/>
      <c r="AJ2" s="4"/>
      <c r="AK2" s="4"/>
      <c r="AL2" s="4"/>
      <c r="AM2" s="4"/>
      <c r="AN2" s="4"/>
      <c r="AO2" s="4"/>
      <c r="AP2" s="4"/>
    </row>
    <row r="3" spans="1:42" ht="17.45" customHeight="1">
      <c r="A3" s="738" t="s">
        <v>178</v>
      </c>
      <c r="B3" s="738" t="s">
        <v>179</v>
      </c>
      <c r="C3" s="739" t="s">
        <v>180</v>
      </c>
      <c r="D3" s="739" t="s">
        <v>181</v>
      </c>
      <c r="E3" s="738" t="s">
        <v>182</v>
      </c>
      <c r="F3" s="633" t="s">
        <v>183</v>
      </c>
      <c r="G3" s="633" t="s">
        <v>184</v>
      </c>
      <c r="H3" s="632" t="s">
        <v>185</v>
      </c>
      <c r="I3" s="322">
        <v>0.29199999999999998</v>
      </c>
      <c r="J3" s="322">
        <v>0.29199999999999998</v>
      </c>
      <c r="K3" s="322">
        <v>0.29199999999999998</v>
      </c>
      <c r="L3" s="322">
        <v>0.29199999999999998</v>
      </c>
      <c r="M3" s="322">
        <v>0.29199999999999998</v>
      </c>
      <c r="N3" s="322">
        <v>0.29199999999999998</v>
      </c>
      <c r="O3" s="322">
        <v>0.29199999999999998</v>
      </c>
      <c r="P3" s="322">
        <v>0.29199999999999998</v>
      </c>
      <c r="Q3" s="322">
        <v>0.29199999999999998</v>
      </c>
      <c r="R3" s="322">
        <v>0.29199999999999998</v>
      </c>
      <c r="S3" s="322">
        <v>0.29199999999999998</v>
      </c>
      <c r="T3" s="322">
        <v>0.29199999999999998</v>
      </c>
      <c r="U3" s="322">
        <v>0.29199999999999998</v>
      </c>
      <c r="V3" s="322">
        <v>0.29199999999999998</v>
      </c>
      <c r="W3" s="322">
        <v>0.29199999999999998</v>
      </c>
      <c r="X3" s="322">
        <v>0.29199999999999998</v>
      </c>
      <c r="Y3" s="4"/>
      <c r="Z3" s="4"/>
      <c r="AA3" s="4"/>
      <c r="AB3" s="4"/>
      <c r="AC3" s="4"/>
      <c r="AD3" s="4"/>
      <c r="AE3" s="4"/>
      <c r="AF3" s="4"/>
      <c r="AG3" s="4"/>
      <c r="AH3" s="4"/>
      <c r="AI3" s="4"/>
      <c r="AJ3" s="4"/>
      <c r="AK3" s="4"/>
      <c r="AL3" s="4"/>
      <c r="AM3" s="4"/>
      <c r="AN3" s="4"/>
      <c r="AO3" s="4"/>
      <c r="AP3" s="4"/>
    </row>
    <row r="4" spans="1:42" ht="26.45">
      <c r="A4" s="738"/>
      <c r="B4" s="738"/>
      <c r="C4" s="739"/>
      <c r="D4" s="739"/>
      <c r="E4" s="738"/>
      <c r="F4" s="408" t="s">
        <v>186</v>
      </c>
      <c r="G4" s="408">
        <v>1986</v>
      </c>
      <c r="H4" s="409" t="s">
        <v>187</v>
      </c>
      <c r="I4" s="410">
        <f>1/6.63</f>
        <v>0.15082956259426847</v>
      </c>
      <c r="J4" s="410">
        <f>1/6.35</f>
        <v>0.15748031496062992</v>
      </c>
      <c r="K4" s="410">
        <f>1/6.35</f>
        <v>0.15748031496062992</v>
      </c>
      <c r="L4" s="410">
        <f>1/6.96</f>
        <v>0.14367816091954022</v>
      </c>
      <c r="M4" s="410">
        <f>1/6.96</f>
        <v>0.14367816091954022</v>
      </c>
      <c r="N4" s="410">
        <f>1/4.62</f>
        <v>0.21645021645021645</v>
      </c>
      <c r="O4" s="410">
        <f>1/4.62</f>
        <v>0.21645021645021645</v>
      </c>
      <c r="P4" s="410">
        <f>1/4.62</f>
        <v>0.21645021645021645</v>
      </c>
      <c r="Q4" s="410">
        <f>1/4.62</f>
        <v>0.21645021645021645</v>
      </c>
      <c r="R4" s="410">
        <f>1/4.62</f>
        <v>0.21645021645021645</v>
      </c>
      <c r="S4" s="410">
        <f>1/5.37</f>
        <v>0.18621973929236499</v>
      </c>
      <c r="T4" s="410">
        <f>1/5.37</f>
        <v>0.18621973929236499</v>
      </c>
      <c r="U4" s="410">
        <f>1/5.37</f>
        <v>0.18621973929236499</v>
      </c>
      <c r="V4" s="410">
        <f>1/6.3</f>
        <v>0.15873015873015872</v>
      </c>
      <c r="W4" s="410">
        <f>1/6.3</f>
        <v>0.15873015873015872</v>
      </c>
      <c r="X4" s="410">
        <f>1/6.63</f>
        <v>0.15082956259426847</v>
      </c>
      <c r="Y4" s="316"/>
      <c r="Z4" s="4"/>
      <c r="AA4" s="4"/>
      <c r="AB4" s="4"/>
      <c r="AC4" s="4"/>
      <c r="AD4" s="4"/>
      <c r="AE4" s="4"/>
      <c r="AF4" s="4"/>
      <c r="AG4" s="4"/>
      <c r="AH4" s="4"/>
      <c r="AI4" s="4"/>
      <c r="AJ4" s="4"/>
      <c r="AK4" s="4"/>
      <c r="AL4" s="4"/>
      <c r="AM4" s="4"/>
      <c r="AN4" s="4"/>
      <c r="AO4" s="4"/>
      <c r="AP4" s="4"/>
    </row>
    <row r="5" spans="1:42">
      <c r="A5" s="738"/>
      <c r="B5" s="738"/>
      <c r="C5" s="739"/>
      <c r="D5" s="739"/>
      <c r="E5" s="738"/>
      <c r="F5" s="405" t="s">
        <v>188</v>
      </c>
      <c r="G5" s="405">
        <v>2001</v>
      </c>
      <c r="H5" s="405" t="s">
        <v>189</v>
      </c>
      <c r="I5" s="405">
        <v>8.4000000000000005E-2</v>
      </c>
      <c r="J5" s="405">
        <v>8.4000000000000005E-2</v>
      </c>
      <c r="K5" s="405">
        <v>9.1999999999999998E-2</v>
      </c>
      <c r="L5" s="405">
        <v>9.1999999999999998E-2</v>
      </c>
      <c r="M5" s="405">
        <v>9.1999999999999998E-2</v>
      </c>
      <c r="N5" s="405">
        <v>9.1999999999999998E-2</v>
      </c>
      <c r="O5" s="405">
        <v>9.1999999999999998E-2</v>
      </c>
      <c r="P5" s="405">
        <v>9.1999999999999998E-2</v>
      </c>
      <c r="Q5" s="405">
        <v>9.1999999999999998E-2</v>
      </c>
      <c r="R5" s="405">
        <v>8.4000000000000005E-2</v>
      </c>
      <c r="S5" s="405">
        <v>8.4000000000000005E-2</v>
      </c>
      <c r="T5" s="405">
        <v>8.4000000000000005E-2</v>
      </c>
      <c r="U5" s="405">
        <v>8.4000000000000005E-2</v>
      </c>
      <c r="V5" s="405">
        <v>8.4000000000000005E-2</v>
      </c>
      <c r="W5" s="405">
        <v>8.4000000000000005E-2</v>
      </c>
      <c r="X5" s="405">
        <v>8.4000000000000005E-2</v>
      </c>
      <c r="Y5" s="316"/>
      <c r="Z5" s="4"/>
      <c r="AA5" s="4"/>
      <c r="AB5" s="4"/>
      <c r="AC5" s="4"/>
      <c r="AD5" s="4"/>
      <c r="AE5" s="4"/>
      <c r="AF5" s="4"/>
      <c r="AG5" s="4"/>
      <c r="AH5" s="4"/>
      <c r="AI5" s="4"/>
      <c r="AJ5" s="4"/>
      <c r="AK5" s="4"/>
      <c r="AL5" s="4"/>
      <c r="AM5" s="4"/>
      <c r="AN5" s="4"/>
      <c r="AO5" s="4"/>
      <c r="AP5" s="4"/>
    </row>
    <row r="6" spans="1:42">
      <c r="A6" s="738"/>
      <c r="B6" s="738"/>
      <c r="C6" s="739"/>
      <c r="D6" s="739"/>
      <c r="E6" s="738"/>
      <c r="F6" s="403" t="s">
        <v>190</v>
      </c>
      <c r="G6" s="403">
        <v>2013</v>
      </c>
      <c r="H6" s="403" t="s">
        <v>191</v>
      </c>
      <c r="I6" s="403">
        <v>0.10199999999999999</v>
      </c>
      <c r="J6" s="403">
        <v>5.8999999999999997E-2</v>
      </c>
      <c r="K6" s="403">
        <v>0.11</v>
      </c>
      <c r="L6" s="403">
        <v>5.8999999999999997E-2</v>
      </c>
      <c r="M6" s="403">
        <v>0.10199999999999999</v>
      </c>
      <c r="N6" s="403">
        <v>0.11</v>
      </c>
      <c r="O6" s="403">
        <v>0.11</v>
      </c>
      <c r="P6" s="403">
        <v>0.10199999999999999</v>
      </c>
      <c r="Q6" s="403">
        <v>5.8999999999999997E-2</v>
      </c>
      <c r="R6" s="403">
        <v>5.8999999999999997E-2</v>
      </c>
      <c r="S6" s="403">
        <v>5.8999999999999997E-2</v>
      </c>
      <c r="T6" s="403">
        <v>5.8999999999999997E-2</v>
      </c>
      <c r="U6" s="403">
        <v>5.8999999999999997E-2</v>
      </c>
      <c r="V6" s="403">
        <v>5.8999999999999997E-2</v>
      </c>
      <c r="W6" s="403">
        <v>4.2000000000000003E-2</v>
      </c>
      <c r="X6" s="403">
        <v>5.8999999999999997E-2</v>
      </c>
      <c r="Y6" s="316"/>
      <c r="Z6" s="4"/>
      <c r="AA6" s="4"/>
      <c r="AB6" s="4"/>
      <c r="AC6" s="4"/>
      <c r="AD6" s="4"/>
      <c r="AE6" s="4"/>
      <c r="AF6" s="4"/>
      <c r="AG6" s="4"/>
      <c r="AH6" s="4"/>
      <c r="AI6" s="4"/>
      <c r="AJ6" s="4"/>
      <c r="AK6" s="4"/>
      <c r="AL6" s="4"/>
      <c r="AM6" s="4"/>
      <c r="AN6" s="4"/>
      <c r="AO6" s="4"/>
      <c r="AP6" s="4"/>
    </row>
    <row r="7" spans="1:42">
      <c r="A7" s="738"/>
      <c r="B7" s="738"/>
      <c r="C7" s="739"/>
      <c r="D7" s="739"/>
      <c r="E7" s="738"/>
      <c r="F7" s="404" t="s">
        <v>192</v>
      </c>
      <c r="G7" s="402">
        <v>2025</v>
      </c>
      <c r="H7" s="402" t="s">
        <v>191</v>
      </c>
      <c r="I7" s="402">
        <v>7.8E-2</v>
      </c>
      <c r="J7" s="402">
        <v>5.2999999999999999E-2</v>
      </c>
      <c r="K7" s="402">
        <v>0.10199999999999999</v>
      </c>
      <c r="L7" s="402">
        <v>5.2999999999999999E-2</v>
      </c>
      <c r="M7" s="402">
        <v>9.5000000000000001E-2</v>
      </c>
      <c r="N7" s="402">
        <v>0.10199999999999999</v>
      </c>
      <c r="O7" s="402">
        <v>0.10199999999999999</v>
      </c>
      <c r="P7" s="402">
        <v>9.5000000000000001E-2</v>
      </c>
      <c r="Q7" s="402">
        <v>5.2999999999999999E-2</v>
      </c>
      <c r="R7" s="402">
        <v>5.2999999999999999E-2</v>
      </c>
      <c r="S7" s="402">
        <v>4.2000000000000003E-2</v>
      </c>
      <c r="T7" s="402">
        <v>5.2999999999999999E-2</v>
      </c>
      <c r="U7" s="402">
        <v>5.2999999999999999E-2</v>
      </c>
      <c r="V7" s="402">
        <v>5.2999999999999999E-2</v>
      </c>
      <c r="W7" s="402">
        <v>3.7999999999999999E-2</v>
      </c>
      <c r="X7" s="402">
        <v>5.2999999999999999E-2</v>
      </c>
      <c r="Y7" s="316"/>
      <c r="Z7" s="4"/>
      <c r="AA7" s="4"/>
      <c r="AB7" s="4"/>
      <c r="AC7" s="4"/>
      <c r="AD7" s="4"/>
      <c r="AE7" s="4"/>
      <c r="AF7" s="4"/>
      <c r="AG7" s="4"/>
      <c r="AH7" s="4"/>
      <c r="AI7" s="4"/>
      <c r="AJ7" s="4"/>
      <c r="AK7" s="4"/>
      <c r="AL7" s="4"/>
      <c r="AM7" s="4"/>
      <c r="AN7" s="4"/>
      <c r="AO7" s="4"/>
      <c r="AP7" s="4"/>
    </row>
    <row r="8" spans="1:42" ht="14.45" customHeight="1">
      <c r="A8" s="738" t="s">
        <v>193</v>
      </c>
      <c r="B8" s="738" t="s">
        <v>53</v>
      </c>
      <c r="C8" s="739" t="s">
        <v>194</v>
      </c>
      <c r="D8" s="742" t="s">
        <v>195</v>
      </c>
      <c r="E8" s="738" t="s">
        <v>182</v>
      </c>
      <c r="F8" s="633" t="s">
        <v>183</v>
      </c>
      <c r="G8" s="633">
        <v>1992</v>
      </c>
      <c r="H8" s="740" t="s">
        <v>196</v>
      </c>
      <c r="I8" s="633">
        <v>5.7000000000000002E-2</v>
      </c>
      <c r="J8" s="633">
        <v>5.7000000000000002E-2</v>
      </c>
      <c r="K8" s="633">
        <v>5.7000000000000002E-2</v>
      </c>
      <c r="L8" s="633">
        <v>5.7000000000000002E-2</v>
      </c>
      <c r="M8" s="633">
        <v>5.7000000000000002E-2</v>
      </c>
      <c r="N8" s="633">
        <v>7.8E-2</v>
      </c>
      <c r="O8" s="633">
        <v>7.8E-2</v>
      </c>
      <c r="P8" s="633">
        <v>7.8E-2</v>
      </c>
      <c r="Q8" s="633">
        <v>7.8E-2</v>
      </c>
      <c r="R8" s="633">
        <v>7.8E-2</v>
      </c>
      <c r="S8" s="633">
        <v>5.7000000000000002E-2</v>
      </c>
      <c r="T8" s="633">
        <v>5.7000000000000002E-2</v>
      </c>
      <c r="U8" s="633">
        <v>5.7000000000000002E-2</v>
      </c>
      <c r="V8" s="633">
        <v>5.7000000000000002E-2</v>
      </c>
      <c r="W8" s="633">
        <v>5.7000000000000002E-2</v>
      </c>
      <c r="X8" s="633">
        <v>5.7000000000000002E-2</v>
      </c>
      <c r="Y8" s="316"/>
      <c r="Z8" s="596"/>
      <c r="AA8" s="597"/>
      <c r="AB8" s="597"/>
      <c r="AC8" s="597"/>
      <c r="AD8" s="597"/>
      <c r="AE8" s="597"/>
      <c r="AF8" s="597"/>
      <c r="AG8" s="597"/>
      <c r="AH8" s="597"/>
      <c r="AI8" s="597"/>
      <c r="AJ8" s="597"/>
      <c r="AK8" s="597"/>
      <c r="AL8" s="597"/>
      <c r="AM8" s="597"/>
      <c r="AN8" s="597"/>
      <c r="AO8" s="597"/>
      <c r="AP8" s="4"/>
    </row>
    <row r="9" spans="1:42">
      <c r="A9" s="738"/>
      <c r="B9" s="738"/>
      <c r="C9" s="738"/>
      <c r="D9" s="742"/>
      <c r="E9" s="738"/>
      <c r="F9" s="633" t="s">
        <v>186</v>
      </c>
      <c r="G9" s="633">
        <v>1992</v>
      </c>
      <c r="H9" s="741"/>
      <c r="I9" s="633">
        <v>5.7000000000000002E-2</v>
      </c>
      <c r="J9" s="633">
        <v>5.7000000000000002E-2</v>
      </c>
      <c r="K9" s="633">
        <v>5.7000000000000002E-2</v>
      </c>
      <c r="L9" s="633">
        <v>5.7000000000000002E-2</v>
      </c>
      <c r="M9" s="633">
        <v>5.7000000000000002E-2</v>
      </c>
      <c r="N9" s="633">
        <v>7.8E-2</v>
      </c>
      <c r="O9" s="633">
        <v>7.8E-2</v>
      </c>
      <c r="P9" s="633">
        <v>7.8E-2</v>
      </c>
      <c r="Q9" s="633">
        <v>7.8E-2</v>
      </c>
      <c r="R9" s="633">
        <v>7.8E-2</v>
      </c>
      <c r="S9" s="633">
        <v>5.7000000000000002E-2</v>
      </c>
      <c r="T9" s="633">
        <v>5.7000000000000002E-2</v>
      </c>
      <c r="U9" s="633">
        <v>5.7000000000000002E-2</v>
      </c>
      <c r="V9" s="633">
        <v>5.7000000000000002E-2</v>
      </c>
      <c r="W9" s="633">
        <v>5.7000000000000002E-2</v>
      </c>
      <c r="X9" s="633">
        <v>5.7000000000000002E-2</v>
      </c>
      <c r="Y9" s="316"/>
      <c r="Z9" s="597"/>
      <c r="AA9" s="597"/>
      <c r="AB9" s="597"/>
      <c r="AC9" s="597"/>
      <c r="AD9" s="597"/>
      <c r="AE9" s="597"/>
      <c r="AF9" s="597"/>
      <c r="AG9" s="597"/>
      <c r="AH9" s="597"/>
      <c r="AI9" s="597"/>
      <c r="AJ9" s="597"/>
      <c r="AK9" s="597"/>
      <c r="AL9" s="597"/>
      <c r="AM9" s="597"/>
      <c r="AN9" s="597"/>
      <c r="AO9" s="597"/>
      <c r="AP9" s="4"/>
    </row>
    <row r="10" spans="1:42">
      <c r="A10" s="738"/>
      <c r="B10" s="738"/>
      <c r="C10" s="738"/>
      <c r="D10" s="742"/>
      <c r="E10" s="738"/>
      <c r="F10" s="405" t="s">
        <v>188</v>
      </c>
      <c r="G10" s="405">
        <v>2001</v>
      </c>
      <c r="H10" s="405" t="s">
        <v>189</v>
      </c>
      <c r="I10" s="405">
        <v>5.7000000000000002E-2</v>
      </c>
      <c r="J10" s="405">
        <v>5.7000000000000002E-2</v>
      </c>
      <c r="K10" s="405">
        <v>5.7000000000000002E-2</v>
      </c>
      <c r="L10" s="405">
        <v>5.7000000000000002E-2</v>
      </c>
      <c r="M10" s="405">
        <v>5.7000000000000002E-2</v>
      </c>
      <c r="N10" s="405">
        <v>7.8E-2</v>
      </c>
      <c r="O10" s="405">
        <v>7.8E-2</v>
      </c>
      <c r="P10" s="405">
        <v>7.8E-2</v>
      </c>
      <c r="Q10" s="405">
        <v>7.8E-2</v>
      </c>
      <c r="R10" s="405">
        <v>5.7000000000000002E-2</v>
      </c>
      <c r="S10" s="405">
        <v>5.7000000000000002E-2</v>
      </c>
      <c r="T10" s="405">
        <v>5.7000000000000002E-2</v>
      </c>
      <c r="U10" s="405">
        <v>5.7000000000000002E-2</v>
      </c>
      <c r="V10" s="405">
        <v>5.7000000000000002E-2</v>
      </c>
      <c r="W10" s="405">
        <v>5.7000000000000002E-2</v>
      </c>
      <c r="X10" s="405">
        <v>5.7000000000000002E-2</v>
      </c>
      <c r="Y10" s="316"/>
      <c r="Z10" s="597"/>
      <c r="AA10" s="597"/>
      <c r="AB10" s="597"/>
      <c r="AC10" s="597"/>
      <c r="AD10" s="597"/>
      <c r="AE10" s="597"/>
      <c r="AF10" s="597"/>
      <c r="AG10" s="597"/>
      <c r="AH10" s="597"/>
      <c r="AI10" s="597"/>
      <c r="AJ10" s="597"/>
      <c r="AK10" s="597"/>
      <c r="AL10" s="597"/>
      <c r="AM10" s="597"/>
      <c r="AN10" s="597"/>
      <c r="AO10" s="597"/>
      <c r="AP10" s="4"/>
    </row>
    <row r="11" spans="1:42">
      <c r="A11" s="738"/>
      <c r="B11" s="738"/>
      <c r="C11" s="738"/>
      <c r="D11" s="742"/>
      <c r="E11" s="738"/>
      <c r="F11" s="403" t="s">
        <v>190</v>
      </c>
      <c r="G11" s="403">
        <v>2013</v>
      </c>
      <c r="H11" s="403" t="s">
        <v>191</v>
      </c>
      <c r="I11" s="403">
        <v>4.9000000000000002E-2</v>
      </c>
      <c r="J11" s="403">
        <v>3.9E-2</v>
      </c>
      <c r="K11" s="403">
        <v>3.9E-2</v>
      </c>
      <c r="L11" s="403">
        <v>3.9E-2</v>
      </c>
      <c r="M11" s="403">
        <v>4.9000000000000002E-2</v>
      </c>
      <c r="N11" s="403">
        <v>7.4999999999999997E-2</v>
      </c>
      <c r="O11" s="403">
        <v>6.7000000000000004E-2</v>
      </c>
      <c r="P11" s="403">
        <v>6.7000000000000004E-2</v>
      </c>
      <c r="Q11" s="403">
        <v>3.9E-2</v>
      </c>
      <c r="R11" s="403">
        <v>3.9E-2</v>
      </c>
      <c r="S11" s="403">
        <v>3.9E-2</v>
      </c>
      <c r="T11" s="403">
        <v>3.9E-2</v>
      </c>
      <c r="U11" s="403">
        <v>3.9E-2</v>
      </c>
      <c r="V11" s="403">
        <v>3.9E-2</v>
      </c>
      <c r="W11" s="403">
        <v>3.9E-2</v>
      </c>
      <c r="X11" s="403">
        <v>3.9E-2</v>
      </c>
      <c r="Y11" s="316"/>
      <c r="Z11" s="597"/>
      <c r="AA11" s="597"/>
      <c r="AB11" s="597"/>
      <c r="AC11" s="597"/>
      <c r="AD11" s="597"/>
      <c r="AE11" s="597"/>
      <c r="AF11" s="597"/>
      <c r="AG11" s="597"/>
      <c r="AH11" s="597"/>
      <c r="AI11" s="597"/>
      <c r="AJ11" s="597"/>
      <c r="AK11" s="597"/>
      <c r="AL11" s="597"/>
      <c r="AM11" s="597"/>
      <c r="AN11" s="597"/>
      <c r="AO11" s="597"/>
      <c r="AP11" s="4"/>
    </row>
    <row r="12" spans="1:42">
      <c r="A12" s="738"/>
      <c r="B12" s="738"/>
      <c r="C12" s="738"/>
      <c r="D12" s="742"/>
      <c r="E12" s="738"/>
      <c r="F12" s="404" t="s">
        <v>192</v>
      </c>
      <c r="G12" s="402">
        <v>2025</v>
      </c>
      <c r="H12" s="402" t="s">
        <v>191</v>
      </c>
      <c r="I12" s="402">
        <v>2.8000000000000001E-2</v>
      </c>
      <c r="J12" s="402">
        <v>2.8000000000000001E-2</v>
      </c>
      <c r="K12" s="402">
        <v>2.8000000000000001E-2</v>
      </c>
      <c r="L12" s="402">
        <v>2.8000000000000001E-2</v>
      </c>
      <c r="M12" s="402">
        <v>2.8000000000000001E-2</v>
      </c>
      <c r="N12" s="402">
        <v>4.7E-2</v>
      </c>
      <c r="O12" s="402">
        <v>4.7E-2</v>
      </c>
      <c r="P12" s="402">
        <v>4.7E-2</v>
      </c>
      <c r="Q12" s="402">
        <v>2.8000000000000001E-2</v>
      </c>
      <c r="R12" s="402">
        <v>2.8000000000000001E-2</v>
      </c>
      <c r="S12" s="402">
        <v>2.8000000000000001E-2</v>
      </c>
      <c r="T12" s="402">
        <v>2.8000000000000001E-2</v>
      </c>
      <c r="U12" s="402">
        <v>2.8000000000000001E-2</v>
      </c>
      <c r="V12" s="402">
        <v>2.8000000000000001E-2</v>
      </c>
      <c r="W12" s="402">
        <v>2.8000000000000001E-2</v>
      </c>
      <c r="X12" s="402">
        <v>2.8000000000000001E-2</v>
      </c>
      <c r="Y12" s="316"/>
      <c r="Z12" s="598"/>
      <c r="AA12" s="597"/>
      <c r="AB12" s="597"/>
      <c r="AC12" s="597"/>
      <c r="AD12" s="597"/>
      <c r="AE12" s="597"/>
      <c r="AF12" s="597"/>
      <c r="AG12" s="597"/>
      <c r="AH12" s="597"/>
      <c r="AI12" s="597"/>
      <c r="AJ12" s="597"/>
      <c r="AK12" s="597"/>
      <c r="AL12" s="597"/>
      <c r="AM12" s="597"/>
      <c r="AN12" s="597"/>
      <c r="AO12" s="597"/>
      <c r="AP12" s="4"/>
    </row>
    <row r="13" spans="1:42" ht="22.15" customHeight="1">
      <c r="A13" s="738" t="s">
        <v>197</v>
      </c>
      <c r="B13" s="738" t="s">
        <v>53</v>
      </c>
      <c r="C13" s="738" t="s">
        <v>198</v>
      </c>
      <c r="D13" s="739" t="s">
        <v>199</v>
      </c>
      <c r="E13" s="738" t="s">
        <v>182</v>
      </c>
      <c r="F13" s="633" t="s">
        <v>183</v>
      </c>
      <c r="G13" s="633" t="s">
        <v>184</v>
      </c>
      <c r="H13" s="740" t="s">
        <v>200</v>
      </c>
      <c r="I13" s="152">
        <f>1.12*0.53+I$15*0.47</f>
        <v>0.82390000000000008</v>
      </c>
      <c r="J13" s="152">
        <f t="shared" ref="J13:X14" si="0">1.12*0.53+J$15*0.47</f>
        <v>0.82390000000000008</v>
      </c>
      <c r="K13" s="152">
        <f t="shared" si="0"/>
        <v>0.97430000000000017</v>
      </c>
      <c r="L13" s="152">
        <f t="shared" si="0"/>
        <v>0.97430000000000017</v>
      </c>
      <c r="M13" s="152">
        <f t="shared" si="0"/>
        <v>0.97430000000000017</v>
      </c>
      <c r="N13" s="152">
        <f t="shared" si="0"/>
        <v>0.97430000000000017</v>
      </c>
      <c r="O13" s="152">
        <f t="shared" si="0"/>
        <v>0.97430000000000017</v>
      </c>
      <c r="P13" s="152">
        <f t="shared" si="0"/>
        <v>0.97430000000000017</v>
      </c>
      <c r="Q13" s="152">
        <f t="shared" si="0"/>
        <v>0.97430000000000017</v>
      </c>
      <c r="R13" s="152">
        <f t="shared" si="0"/>
        <v>0.82390000000000008</v>
      </c>
      <c r="S13" s="152">
        <f t="shared" si="0"/>
        <v>0.82390000000000008</v>
      </c>
      <c r="T13" s="152">
        <f t="shared" si="0"/>
        <v>0.82390000000000008</v>
      </c>
      <c r="U13" s="152">
        <f t="shared" si="0"/>
        <v>0.82390000000000008</v>
      </c>
      <c r="V13" s="152">
        <f t="shared" si="0"/>
        <v>0.82390000000000008</v>
      </c>
      <c r="W13" s="152">
        <f t="shared" si="0"/>
        <v>0.82390000000000008</v>
      </c>
      <c r="X13" s="152">
        <f t="shared" si="0"/>
        <v>0.82390000000000008</v>
      </c>
      <c r="Y13" s="316"/>
      <c r="Z13" s="4"/>
      <c r="AA13" s="4"/>
      <c r="AB13" s="4"/>
      <c r="AC13" s="4"/>
      <c r="AD13" s="4"/>
      <c r="AE13" s="4"/>
      <c r="AF13" s="4"/>
      <c r="AG13" s="4"/>
      <c r="AH13" s="4"/>
      <c r="AI13" s="4"/>
      <c r="AJ13" s="4"/>
      <c r="AK13" s="4"/>
      <c r="AL13" s="4"/>
      <c r="AM13" s="4"/>
      <c r="AN13" s="4"/>
      <c r="AO13" s="4"/>
      <c r="AP13" s="4"/>
    </row>
    <row r="14" spans="1:42" ht="21" customHeight="1">
      <c r="A14" s="738"/>
      <c r="B14" s="738"/>
      <c r="C14" s="738"/>
      <c r="D14" s="739"/>
      <c r="E14" s="738"/>
      <c r="F14" s="633" t="s">
        <v>186</v>
      </c>
      <c r="G14" s="323" t="s">
        <v>184</v>
      </c>
      <c r="H14" s="741"/>
      <c r="I14" s="152">
        <f>1.12*0.53+I$15*0.47</f>
        <v>0.82390000000000008</v>
      </c>
      <c r="J14" s="152">
        <f t="shared" si="0"/>
        <v>0.82390000000000008</v>
      </c>
      <c r="K14" s="152">
        <f t="shared" si="0"/>
        <v>0.97430000000000017</v>
      </c>
      <c r="L14" s="152">
        <f t="shared" si="0"/>
        <v>0.97430000000000017</v>
      </c>
      <c r="M14" s="152">
        <f t="shared" si="0"/>
        <v>0.97430000000000017</v>
      </c>
      <c r="N14" s="152">
        <f t="shared" si="0"/>
        <v>0.97430000000000017</v>
      </c>
      <c r="O14" s="152">
        <f t="shared" si="0"/>
        <v>0.97430000000000017</v>
      </c>
      <c r="P14" s="152">
        <f t="shared" si="0"/>
        <v>0.97430000000000017</v>
      </c>
      <c r="Q14" s="152">
        <f t="shared" si="0"/>
        <v>0.97430000000000017</v>
      </c>
      <c r="R14" s="152">
        <f t="shared" si="0"/>
        <v>0.82390000000000008</v>
      </c>
      <c r="S14" s="152">
        <f t="shared" si="0"/>
        <v>0.82390000000000008</v>
      </c>
      <c r="T14" s="152">
        <f t="shared" si="0"/>
        <v>0.82390000000000008</v>
      </c>
      <c r="U14" s="152">
        <f t="shared" si="0"/>
        <v>0.82390000000000008</v>
      </c>
      <c r="V14" s="152">
        <f t="shared" si="0"/>
        <v>0.82390000000000008</v>
      </c>
      <c r="W14" s="152">
        <f t="shared" si="0"/>
        <v>0.82390000000000008</v>
      </c>
      <c r="X14" s="152">
        <f t="shared" si="0"/>
        <v>0.82390000000000008</v>
      </c>
      <c r="Y14" s="316"/>
      <c r="Z14" s="4"/>
      <c r="AA14" s="4"/>
      <c r="AB14" s="4"/>
      <c r="AC14" s="4"/>
      <c r="AD14" s="4"/>
      <c r="AE14" s="4"/>
      <c r="AF14" s="4"/>
      <c r="AG14" s="4"/>
      <c r="AH14" s="4"/>
      <c r="AI14" s="4"/>
      <c r="AJ14" s="4"/>
      <c r="AK14" s="4"/>
      <c r="AL14" s="4"/>
      <c r="AM14" s="4"/>
      <c r="AN14" s="4"/>
      <c r="AO14" s="4"/>
      <c r="AP14" s="4"/>
    </row>
    <row r="15" spans="1:42">
      <c r="A15" s="738"/>
      <c r="B15" s="738"/>
      <c r="C15" s="738"/>
      <c r="D15" s="738" t="s">
        <v>201</v>
      </c>
      <c r="E15" s="738"/>
      <c r="F15" s="405" t="s">
        <v>188</v>
      </c>
      <c r="G15" s="405">
        <v>2001</v>
      </c>
      <c r="H15" s="405" t="s">
        <v>189</v>
      </c>
      <c r="I15" s="405">
        <v>0.49</v>
      </c>
      <c r="J15" s="405">
        <v>0.49</v>
      </c>
      <c r="K15" s="405">
        <v>0.81</v>
      </c>
      <c r="L15" s="405">
        <v>0.81</v>
      </c>
      <c r="M15" s="405">
        <v>0.81</v>
      </c>
      <c r="N15" s="405">
        <v>0.81</v>
      </c>
      <c r="O15" s="405">
        <v>0.81</v>
      </c>
      <c r="P15" s="405">
        <v>0.81</v>
      </c>
      <c r="Q15" s="405">
        <v>0.81</v>
      </c>
      <c r="R15" s="405">
        <v>0.49</v>
      </c>
      <c r="S15" s="405">
        <v>0.49</v>
      </c>
      <c r="T15" s="405">
        <v>0.49</v>
      </c>
      <c r="U15" s="405">
        <v>0.49</v>
      </c>
      <c r="V15" s="405">
        <v>0.49</v>
      </c>
      <c r="W15" s="405">
        <v>0.49</v>
      </c>
      <c r="X15" s="405">
        <v>0.49</v>
      </c>
      <c r="Y15" s="316"/>
      <c r="Z15" s="4"/>
      <c r="AA15" s="4"/>
      <c r="AB15" s="4"/>
      <c r="AC15" s="4"/>
      <c r="AD15" s="4"/>
      <c r="AE15" s="4"/>
      <c r="AF15" s="4"/>
      <c r="AG15" s="4"/>
      <c r="AH15" s="4"/>
      <c r="AI15" s="4"/>
      <c r="AJ15" s="4"/>
      <c r="AK15" s="4"/>
      <c r="AL15" s="4"/>
      <c r="AM15" s="4"/>
      <c r="AN15" s="4"/>
      <c r="AO15" s="4"/>
      <c r="AP15" s="4"/>
    </row>
    <row r="16" spans="1:42">
      <c r="A16" s="738"/>
      <c r="B16" s="738"/>
      <c r="C16" s="738"/>
      <c r="D16" s="738"/>
      <c r="E16" s="738"/>
      <c r="F16" s="403" t="s">
        <v>190</v>
      </c>
      <c r="G16" s="403">
        <v>2013</v>
      </c>
      <c r="H16" s="403" t="s">
        <v>191</v>
      </c>
      <c r="I16" s="403">
        <v>0.36</v>
      </c>
      <c r="J16" s="403">
        <v>0.36</v>
      </c>
      <c r="K16" s="403">
        <v>0.36</v>
      </c>
      <c r="L16" s="403">
        <v>0.36</v>
      </c>
      <c r="M16" s="403">
        <v>0.36</v>
      </c>
      <c r="N16" s="403">
        <v>0.36</v>
      </c>
      <c r="O16" s="403">
        <v>0.36</v>
      </c>
      <c r="P16" s="403">
        <v>0.36</v>
      </c>
      <c r="Q16" s="403">
        <v>0.36</v>
      </c>
      <c r="R16" s="403">
        <v>0.36</v>
      </c>
      <c r="S16" s="403">
        <v>0.36</v>
      </c>
      <c r="T16" s="403">
        <v>0.36</v>
      </c>
      <c r="U16" s="403">
        <v>0.36</v>
      </c>
      <c r="V16" s="403">
        <v>0.36</v>
      </c>
      <c r="W16" s="403">
        <v>0.36</v>
      </c>
      <c r="X16" s="403">
        <v>0.36</v>
      </c>
      <c r="Y16" s="316"/>
      <c r="Z16" s="4"/>
      <c r="AA16" s="4"/>
      <c r="AB16" s="4"/>
      <c r="AC16" s="4"/>
      <c r="AD16" s="4"/>
      <c r="AE16" s="4"/>
      <c r="AF16" s="4"/>
      <c r="AG16" s="4"/>
      <c r="AH16" s="4"/>
      <c r="AI16" s="4"/>
      <c r="AJ16" s="4"/>
      <c r="AK16" s="4"/>
      <c r="AL16" s="4"/>
      <c r="AM16" s="4"/>
      <c r="AN16" s="4"/>
      <c r="AO16" s="4"/>
      <c r="AP16" s="4"/>
    </row>
    <row r="17" spans="1:50">
      <c r="A17" s="738"/>
      <c r="B17" s="738"/>
      <c r="C17" s="738"/>
      <c r="D17" s="738"/>
      <c r="E17" s="738"/>
      <c r="F17" s="404" t="s">
        <v>192</v>
      </c>
      <c r="G17" s="402">
        <v>2025</v>
      </c>
      <c r="H17" s="402" t="s">
        <v>191</v>
      </c>
      <c r="I17" s="402">
        <v>0.36</v>
      </c>
      <c r="J17" s="402">
        <v>0.36</v>
      </c>
      <c r="K17" s="402">
        <v>0.36</v>
      </c>
      <c r="L17" s="402">
        <v>0.36</v>
      </c>
      <c r="M17" s="402">
        <v>0.36</v>
      </c>
      <c r="N17" s="402">
        <v>0.36</v>
      </c>
      <c r="O17" s="402">
        <v>0.36</v>
      </c>
      <c r="P17" s="402">
        <v>0.36</v>
      </c>
      <c r="Q17" s="402">
        <v>0.34</v>
      </c>
      <c r="R17" s="402">
        <v>0.36</v>
      </c>
      <c r="S17" s="402">
        <v>0.34</v>
      </c>
      <c r="T17" s="402">
        <v>0.34</v>
      </c>
      <c r="U17" s="402">
        <v>0.34</v>
      </c>
      <c r="V17" s="402">
        <v>0.34</v>
      </c>
      <c r="W17" s="402">
        <v>0.34</v>
      </c>
      <c r="X17" s="402">
        <v>0.36</v>
      </c>
      <c r="Y17" s="316"/>
      <c r="Z17" s="4"/>
      <c r="AA17" s="4"/>
      <c r="AB17" s="4"/>
      <c r="AC17" s="4"/>
      <c r="AD17" s="4"/>
      <c r="AE17" s="4"/>
      <c r="AF17" s="4"/>
      <c r="AG17" s="4"/>
      <c r="AH17" s="4"/>
      <c r="AI17" s="4"/>
      <c r="AJ17" s="4"/>
      <c r="AK17" s="4"/>
      <c r="AL17" s="4"/>
      <c r="AM17" s="4"/>
      <c r="AN17" s="4"/>
      <c r="AO17" s="4"/>
      <c r="AP17" s="4"/>
      <c r="AQ17" s="4"/>
      <c r="AR17" s="4"/>
      <c r="AS17" s="4"/>
      <c r="AT17" s="4"/>
      <c r="AU17" s="4"/>
      <c r="AV17" s="4"/>
      <c r="AW17" s="4"/>
      <c r="AX17" s="4"/>
    </row>
    <row r="18" spans="1:50" ht="19.149999999999999" customHeight="1">
      <c r="A18" s="738"/>
      <c r="B18" s="738" t="s">
        <v>53</v>
      </c>
      <c r="C18" s="738" t="s">
        <v>198</v>
      </c>
      <c r="D18" s="739" t="s">
        <v>199</v>
      </c>
      <c r="E18" s="738" t="s">
        <v>202</v>
      </c>
      <c r="F18" s="633" t="s">
        <v>183</v>
      </c>
      <c r="G18" s="633" t="s">
        <v>184</v>
      </c>
      <c r="H18" s="740" t="s">
        <v>200</v>
      </c>
      <c r="I18" s="152">
        <f>0.79*0.53+I20*0.47</f>
        <v>0.62080000000000002</v>
      </c>
      <c r="J18" s="152">
        <f t="shared" ref="J18:X18" si="1">0.79*0.53+J20*0.47</f>
        <v>0.58789999999999998</v>
      </c>
      <c r="K18" s="152">
        <f t="shared" si="1"/>
        <v>0.61139999999999994</v>
      </c>
      <c r="L18" s="152">
        <f t="shared" si="1"/>
        <v>0.61139999999999994</v>
      </c>
      <c r="M18" s="152">
        <f t="shared" si="1"/>
        <v>0.61139999999999994</v>
      </c>
      <c r="N18" s="152">
        <f t="shared" si="1"/>
        <v>0.60199999999999998</v>
      </c>
      <c r="O18" s="152">
        <f t="shared" si="1"/>
        <v>0.60199999999999998</v>
      </c>
      <c r="P18" s="152">
        <f t="shared" si="1"/>
        <v>0.60199999999999998</v>
      </c>
      <c r="Q18" s="152">
        <f t="shared" si="1"/>
        <v>0.60199999999999998</v>
      </c>
      <c r="R18" s="152">
        <f t="shared" si="1"/>
        <v>0.58789999999999998</v>
      </c>
      <c r="S18" s="152">
        <f t="shared" si="1"/>
        <v>0.58789999999999998</v>
      </c>
      <c r="T18" s="152">
        <f t="shared" si="1"/>
        <v>0.58789999999999998</v>
      </c>
      <c r="U18" s="152">
        <f t="shared" si="1"/>
        <v>0.58789999999999998</v>
      </c>
      <c r="V18" s="152">
        <f t="shared" si="1"/>
        <v>0.58789999999999998</v>
      </c>
      <c r="W18" s="152">
        <f t="shared" si="1"/>
        <v>0.58789999999999998</v>
      </c>
      <c r="X18" s="152">
        <f t="shared" si="1"/>
        <v>0.62080000000000002</v>
      </c>
      <c r="Y18" s="316"/>
      <c r="Z18" s="4"/>
      <c r="AA18" s="4"/>
      <c r="AB18" s="4"/>
      <c r="AC18" s="4"/>
      <c r="AD18" s="4"/>
      <c r="AE18" s="4"/>
      <c r="AF18" s="4"/>
      <c r="AG18" s="4"/>
      <c r="AH18" s="4"/>
      <c r="AI18" s="4"/>
      <c r="AJ18" s="4"/>
      <c r="AK18" s="4"/>
      <c r="AL18" s="4"/>
      <c r="AM18" s="4"/>
      <c r="AN18" s="4"/>
      <c r="AO18" s="4"/>
      <c r="AP18" s="4"/>
      <c r="AQ18" s="4"/>
      <c r="AR18" s="4"/>
      <c r="AS18" s="4"/>
      <c r="AT18" s="4"/>
      <c r="AU18" s="4"/>
      <c r="AV18" s="4"/>
      <c r="AW18" s="4"/>
      <c r="AX18" s="4"/>
    </row>
    <row r="19" spans="1:50" ht="21.6" customHeight="1">
      <c r="A19" s="738"/>
      <c r="B19" s="738"/>
      <c r="C19" s="738"/>
      <c r="D19" s="739"/>
      <c r="E19" s="738"/>
      <c r="F19" s="633" t="s">
        <v>186</v>
      </c>
      <c r="G19" s="323">
        <v>1986</v>
      </c>
      <c r="H19" s="741"/>
      <c r="I19" s="152">
        <f>0.79*0.53+I20*0.47</f>
        <v>0.62080000000000002</v>
      </c>
      <c r="J19" s="152">
        <f t="shared" ref="J19:X19" si="2">0.79*0.53+J20*0.47</f>
        <v>0.58789999999999998</v>
      </c>
      <c r="K19" s="152">
        <f t="shared" si="2"/>
        <v>0.61139999999999994</v>
      </c>
      <c r="L19" s="152">
        <f t="shared" si="2"/>
        <v>0.61139999999999994</v>
      </c>
      <c r="M19" s="152">
        <f t="shared" si="2"/>
        <v>0.61139999999999994</v>
      </c>
      <c r="N19" s="152">
        <f t="shared" si="2"/>
        <v>0.60199999999999998</v>
      </c>
      <c r="O19" s="152">
        <f t="shared" si="2"/>
        <v>0.60199999999999998</v>
      </c>
      <c r="P19" s="152">
        <f t="shared" si="2"/>
        <v>0.60199999999999998</v>
      </c>
      <c r="Q19" s="152">
        <f t="shared" si="2"/>
        <v>0.60199999999999998</v>
      </c>
      <c r="R19" s="152">
        <f t="shared" si="2"/>
        <v>0.58789999999999998</v>
      </c>
      <c r="S19" s="152">
        <f t="shared" si="2"/>
        <v>0.58789999999999998</v>
      </c>
      <c r="T19" s="152">
        <f t="shared" si="2"/>
        <v>0.58789999999999998</v>
      </c>
      <c r="U19" s="152">
        <f t="shared" si="2"/>
        <v>0.58789999999999998</v>
      </c>
      <c r="V19" s="152">
        <f t="shared" si="2"/>
        <v>0.58789999999999998</v>
      </c>
      <c r="W19" s="152">
        <f t="shared" si="2"/>
        <v>0.58789999999999998</v>
      </c>
      <c r="X19" s="152">
        <f t="shared" si="2"/>
        <v>0.62080000000000002</v>
      </c>
      <c r="Y19" s="316"/>
      <c r="Z19" s="4"/>
      <c r="AA19" s="4"/>
      <c r="AB19" s="4"/>
      <c r="AC19" s="4"/>
      <c r="AD19" s="4"/>
      <c r="AE19" s="4"/>
      <c r="AF19" s="4"/>
      <c r="AG19" s="4"/>
      <c r="AH19" s="4"/>
      <c r="AI19" s="4"/>
      <c r="AJ19" s="4"/>
      <c r="AK19" s="4"/>
      <c r="AL19" s="4"/>
      <c r="AM19" s="4"/>
      <c r="AN19" s="4"/>
      <c r="AO19" s="4"/>
      <c r="AP19" s="4"/>
      <c r="AQ19" s="4"/>
      <c r="AR19" s="4"/>
      <c r="AS19" s="4"/>
      <c r="AT19" s="4"/>
      <c r="AU19" s="4"/>
      <c r="AV19" s="4"/>
      <c r="AW19" s="4"/>
      <c r="AX19" s="4"/>
    </row>
    <row r="20" spans="1:50">
      <c r="A20" s="738"/>
      <c r="B20" s="738"/>
      <c r="C20" s="738"/>
      <c r="D20" s="738"/>
      <c r="E20" s="738"/>
      <c r="F20" s="406" t="s">
        <v>188</v>
      </c>
      <c r="G20" s="407">
        <v>2001</v>
      </c>
      <c r="H20" s="405" t="s">
        <v>203</v>
      </c>
      <c r="I20" s="405">
        <v>0.43</v>
      </c>
      <c r="J20" s="405">
        <v>0.36</v>
      </c>
      <c r="K20" s="405">
        <v>0.41</v>
      </c>
      <c r="L20" s="405">
        <v>0.41</v>
      </c>
      <c r="M20" s="405">
        <v>0.41</v>
      </c>
      <c r="N20" s="405">
        <v>0.39</v>
      </c>
      <c r="O20" s="405">
        <v>0.39</v>
      </c>
      <c r="P20" s="405">
        <v>0.39</v>
      </c>
      <c r="Q20" s="405">
        <v>0.39</v>
      </c>
      <c r="R20" s="405">
        <v>0.36</v>
      </c>
      <c r="S20" s="405">
        <v>0.36</v>
      </c>
      <c r="T20" s="405">
        <v>0.36</v>
      </c>
      <c r="U20" s="405">
        <v>0.36</v>
      </c>
      <c r="V20" s="405">
        <v>0.36</v>
      </c>
      <c r="W20" s="405">
        <v>0.36</v>
      </c>
      <c r="X20" s="405">
        <v>0.43</v>
      </c>
      <c r="Y20" s="316"/>
      <c r="Z20" s="4"/>
      <c r="AA20" s="4"/>
      <c r="AB20" s="4"/>
      <c r="AC20" s="4"/>
      <c r="AD20" s="4"/>
      <c r="AE20" s="4"/>
      <c r="AF20" s="4"/>
      <c r="AG20" s="4"/>
      <c r="AH20" s="4"/>
      <c r="AI20" s="4"/>
      <c r="AJ20" s="4"/>
      <c r="AK20" s="4"/>
      <c r="AL20" s="4"/>
      <c r="AM20" s="4"/>
      <c r="AN20" s="4"/>
      <c r="AO20" s="4"/>
      <c r="AP20" s="4"/>
      <c r="AQ20" s="4"/>
      <c r="AR20" s="4"/>
      <c r="AS20" s="4"/>
      <c r="AT20" s="4"/>
      <c r="AU20" s="4"/>
      <c r="AV20" s="4"/>
      <c r="AW20" s="4"/>
      <c r="AX20" s="4"/>
    </row>
    <row r="21" spans="1:50">
      <c r="A21" s="738"/>
      <c r="B21" s="738"/>
      <c r="C21" s="738"/>
      <c r="D21" s="738"/>
      <c r="E21" s="738"/>
      <c r="F21" s="403" t="s">
        <v>190</v>
      </c>
      <c r="G21" s="403">
        <v>2013</v>
      </c>
      <c r="H21" s="403" t="s">
        <v>191</v>
      </c>
      <c r="I21" s="403">
        <v>0.25</v>
      </c>
      <c r="J21" s="403">
        <v>0.25</v>
      </c>
      <c r="K21" s="403">
        <v>0.25</v>
      </c>
      <c r="L21" s="403">
        <v>0.25</v>
      </c>
      <c r="M21" s="403">
        <v>0.25</v>
      </c>
      <c r="N21" s="403">
        <v>0.25</v>
      </c>
      <c r="O21" s="403">
        <v>0.25</v>
      </c>
      <c r="P21" s="403">
        <v>0.25</v>
      </c>
      <c r="Q21" s="403">
        <v>0.25</v>
      </c>
      <c r="R21" s="403">
        <v>0.25</v>
      </c>
      <c r="S21" s="403">
        <v>0.25</v>
      </c>
      <c r="T21" s="403">
        <v>0.25</v>
      </c>
      <c r="U21" s="403">
        <v>0.25</v>
      </c>
      <c r="V21" s="403">
        <v>0.25</v>
      </c>
      <c r="W21" s="403">
        <v>0.25</v>
      </c>
      <c r="X21" s="403">
        <v>0.25</v>
      </c>
      <c r="Y21" s="316"/>
      <c r="Z21" s="4"/>
      <c r="AA21" s="4"/>
      <c r="AB21" s="4"/>
      <c r="AC21" s="4"/>
      <c r="AD21" s="4"/>
      <c r="AE21" s="4"/>
      <c r="AF21" s="4"/>
      <c r="AG21" s="4"/>
      <c r="AH21" s="4"/>
      <c r="AI21" s="4"/>
      <c r="AJ21" s="4"/>
      <c r="AK21" s="4"/>
      <c r="AL21" s="4"/>
      <c r="AM21" s="4"/>
      <c r="AN21" s="4"/>
      <c r="AO21" s="4"/>
      <c r="AP21" s="4"/>
      <c r="AQ21" s="4"/>
      <c r="AR21" s="4"/>
      <c r="AS21" s="4"/>
      <c r="AT21" s="4"/>
      <c r="AU21" s="4"/>
      <c r="AV21" s="4"/>
      <c r="AW21" s="4"/>
      <c r="AX21" s="4"/>
    </row>
    <row r="22" spans="1:50">
      <c r="A22" s="738"/>
      <c r="B22" s="738"/>
      <c r="C22" s="738"/>
      <c r="D22" s="738"/>
      <c r="E22" s="738"/>
      <c r="F22" s="404" t="s">
        <v>192</v>
      </c>
      <c r="G22" s="402">
        <v>2025</v>
      </c>
      <c r="H22" s="404" t="s">
        <v>191</v>
      </c>
      <c r="I22" s="402">
        <v>0.25</v>
      </c>
      <c r="J22" s="402">
        <v>0.25</v>
      </c>
      <c r="K22" s="402">
        <v>0.25</v>
      </c>
      <c r="L22" s="402">
        <v>0.25</v>
      </c>
      <c r="M22" s="402">
        <v>0.25</v>
      </c>
      <c r="N22" s="402">
        <v>0.25</v>
      </c>
      <c r="O22" s="402">
        <v>0.25</v>
      </c>
      <c r="P22" s="402">
        <v>0.25</v>
      </c>
      <c r="Q22" s="402">
        <v>0.22</v>
      </c>
      <c r="R22" s="402">
        <v>0.25</v>
      </c>
      <c r="S22" s="402">
        <v>0.22</v>
      </c>
      <c r="T22" s="402">
        <v>0.22</v>
      </c>
      <c r="U22" s="402">
        <v>0.22</v>
      </c>
      <c r="V22" s="402">
        <v>0.22</v>
      </c>
      <c r="W22" s="402">
        <v>0.22</v>
      </c>
      <c r="X22" s="402">
        <v>0.25</v>
      </c>
      <c r="Y22" s="316"/>
      <c r="Z22" s="4"/>
      <c r="AA22" s="4"/>
      <c r="AB22" s="4"/>
      <c r="AC22" s="4"/>
      <c r="AD22" s="4"/>
      <c r="AE22" s="4"/>
      <c r="AF22" s="4"/>
      <c r="AG22" s="4"/>
      <c r="AH22" s="4"/>
      <c r="AI22" s="4"/>
      <c r="AJ22" s="4"/>
      <c r="AK22" s="4"/>
      <c r="AL22" s="4"/>
      <c r="AM22" s="4"/>
      <c r="AN22" s="4"/>
      <c r="AO22" s="4"/>
      <c r="AP22" s="4"/>
      <c r="AQ22" s="4"/>
      <c r="AR22" s="4"/>
      <c r="AS22" s="4"/>
      <c r="AT22" s="4"/>
      <c r="AU22" s="4"/>
      <c r="AV22" s="4"/>
      <c r="AW22" s="4"/>
      <c r="AX22" s="4"/>
    </row>
    <row r="23" spans="1:50" ht="15" customHeight="1">
      <c r="A23" s="6"/>
      <c r="B23" s="11"/>
      <c r="C23" s="6"/>
      <c r="D23" s="6"/>
      <c r="E23" s="122"/>
      <c r="F23" s="122"/>
      <c r="G23" s="324"/>
      <c r="H23" s="122"/>
      <c r="I23" s="122"/>
      <c r="J23" s="122"/>
      <c r="K23" s="122"/>
      <c r="L23" s="122"/>
      <c r="M23" s="122"/>
      <c r="N23" s="122"/>
      <c r="O23" s="122"/>
      <c r="P23" s="122"/>
      <c r="Q23" s="122"/>
      <c r="R23" s="122"/>
      <c r="S23" s="122"/>
      <c r="T23" s="122"/>
      <c r="U23" s="122"/>
      <c r="V23" s="122"/>
      <c r="W23" s="122"/>
      <c r="X23" s="122"/>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row>
    <row r="24" spans="1:50" ht="25.9" customHeight="1">
      <c r="A24" s="6"/>
      <c r="B24" s="11"/>
      <c r="C24" s="6"/>
      <c r="D24" s="6"/>
      <c r="E24" s="751" t="s">
        <v>204</v>
      </c>
      <c r="F24" s="751"/>
      <c r="G24" s="751"/>
      <c r="H24" s="751"/>
      <c r="I24" s="751"/>
      <c r="J24" s="751"/>
      <c r="K24" s="751"/>
      <c r="L24" s="751"/>
      <c r="M24" s="85"/>
      <c r="N24" s="85"/>
      <c r="O24" s="85"/>
      <c r="P24" s="85"/>
      <c r="Q24" s="85"/>
      <c r="R24" s="85"/>
      <c r="S24" s="85"/>
      <c r="T24" s="85"/>
      <c r="U24" s="85"/>
      <c r="V24" s="85"/>
      <c r="W24" s="85"/>
      <c r="X24" s="85"/>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row>
    <row r="25" spans="1:50" ht="43.15" customHeight="1">
      <c r="A25" s="6"/>
      <c r="B25" s="11"/>
      <c r="C25" s="6"/>
      <c r="D25" s="6"/>
      <c r="E25" s="283"/>
      <c r="F25" s="107" t="s">
        <v>160</v>
      </c>
      <c r="G25" s="312" t="s">
        <v>205</v>
      </c>
      <c r="H25" s="312" t="s">
        <v>92</v>
      </c>
      <c r="I25" s="748" t="s">
        <v>206</v>
      </c>
      <c r="J25" s="749"/>
      <c r="K25" s="749"/>
      <c r="L25" s="749"/>
      <c r="M25" s="749"/>
      <c r="N25" s="749"/>
      <c r="O25" s="749"/>
      <c r="P25" s="749"/>
      <c r="Q25" s="749"/>
      <c r="R25" s="749"/>
      <c r="S25" s="749"/>
      <c r="T25" s="749"/>
      <c r="U25" s="749"/>
      <c r="V25" s="749"/>
      <c r="W25" s="749"/>
      <c r="X25" s="750"/>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row>
    <row r="26" spans="1:50" ht="18" customHeight="1">
      <c r="A26" s="6"/>
      <c r="B26" s="11"/>
      <c r="C26" s="6"/>
      <c r="D26" s="6"/>
      <c r="E26" s="745" t="s">
        <v>204</v>
      </c>
      <c r="F26" s="633" t="s">
        <v>183</v>
      </c>
      <c r="G26" s="633">
        <v>1.1000000000000001</v>
      </c>
      <c r="H26" s="313" t="s">
        <v>207</v>
      </c>
      <c r="I26" s="743">
        <v>0.56669999999999998</v>
      </c>
      <c r="J26" s="743"/>
      <c r="K26" s="743"/>
      <c r="L26" s="743"/>
      <c r="M26" s="743"/>
      <c r="N26" s="743"/>
      <c r="O26" s="743"/>
      <c r="P26" s="743"/>
      <c r="Q26" s="743"/>
      <c r="R26" s="743"/>
      <c r="S26" s="743"/>
      <c r="T26" s="743"/>
      <c r="U26" s="743"/>
      <c r="V26" s="743"/>
      <c r="W26" s="743"/>
      <c r="X26" s="74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row>
    <row r="27" spans="1:50" ht="18" customHeight="1">
      <c r="A27" s="6"/>
      <c r="B27" s="6"/>
      <c r="C27" s="6"/>
      <c r="D27" s="6"/>
      <c r="E27" s="746"/>
      <c r="F27" s="633" t="s">
        <v>186</v>
      </c>
      <c r="G27" s="633">
        <v>1.1000000000000001</v>
      </c>
      <c r="H27" s="313" t="s">
        <v>207</v>
      </c>
      <c r="I27" s="743">
        <v>0.56669999999999998</v>
      </c>
      <c r="J27" s="743"/>
      <c r="K27" s="743"/>
      <c r="L27" s="743"/>
      <c r="M27" s="743"/>
      <c r="N27" s="743"/>
      <c r="O27" s="743"/>
      <c r="P27" s="743"/>
      <c r="Q27" s="743"/>
      <c r="R27" s="743"/>
      <c r="S27" s="743"/>
      <c r="T27" s="743"/>
      <c r="U27" s="743"/>
      <c r="V27" s="743"/>
      <c r="W27" s="743"/>
      <c r="X27" s="74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row>
    <row r="28" spans="1:50" ht="18" customHeight="1">
      <c r="A28" s="6"/>
      <c r="B28" s="11"/>
      <c r="C28" s="6"/>
      <c r="D28" s="6"/>
      <c r="E28" s="746"/>
      <c r="F28" s="633" t="s">
        <v>188</v>
      </c>
      <c r="G28" s="633">
        <v>1.1000000000000001</v>
      </c>
      <c r="H28" s="313" t="s">
        <v>207</v>
      </c>
      <c r="I28" s="743">
        <v>0.56669999999999998</v>
      </c>
      <c r="J28" s="743"/>
      <c r="K28" s="743"/>
      <c r="L28" s="743"/>
      <c r="M28" s="743"/>
      <c r="N28" s="743"/>
      <c r="O28" s="743"/>
      <c r="P28" s="743"/>
      <c r="Q28" s="743"/>
      <c r="R28" s="743"/>
      <c r="S28" s="743"/>
      <c r="T28" s="743"/>
      <c r="U28" s="743"/>
      <c r="V28" s="743"/>
      <c r="W28" s="743"/>
      <c r="X28" s="744"/>
      <c r="Y28" s="251"/>
      <c r="Z28" s="4"/>
      <c r="AA28" s="4"/>
      <c r="AB28" s="705"/>
      <c r="AC28" s="705"/>
      <c r="AD28" s="705"/>
      <c r="AE28" s="705"/>
      <c r="AF28" s="705"/>
      <c r="AG28" s="705"/>
      <c r="AH28" s="705"/>
      <c r="AI28" s="705"/>
      <c r="AJ28" s="705"/>
      <c r="AK28" s="705"/>
      <c r="AL28" s="705"/>
      <c r="AM28" s="705"/>
      <c r="AN28" s="705"/>
      <c r="AO28" s="705"/>
      <c r="AP28" s="705"/>
      <c r="AQ28" s="705"/>
      <c r="AR28" s="705"/>
      <c r="AS28" s="705"/>
      <c r="AT28" s="705"/>
      <c r="AU28" s="705"/>
      <c r="AV28" s="705"/>
      <c r="AW28" s="705"/>
      <c r="AX28" s="705"/>
    </row>
    <row r="29" spans="1:50" ht="26.45">
      <c r="A29" s="6"/>
      <c r="B29" s="11"/>
      <c r="C29" s="6"/>
      <c r="D29" s="6"/>
      <c r="E29" s="746"/>
      <c r="F29" s="633" t="s">
        <v>190</v>
      </c>
      <c r="G29" s="633">
        <v>1</v>
      </c>
      <c r="H29" s="632" t="s">
        <v>208</v>
      </c>
      <c r="I29" s="743">
        <v>0.51849999999999996</v>
      </c>
      <c r="J29" s="743"/>
      <c r="K29" s="743"/>
      <c r="L29" s="743"/>
      <c r="M29" s="743"/>
      <c r="N29" s="743"/>
      <c r="O29" s="743"/>
      <c r="P29" s="743"/>
      <c r="Q29" s="743"/>
      <c r="R29" s="743"/>
      <c r="S29" s="743"/>
      <c r="T29" s="743"/>
      <c r="U29" s="743"/>
      <c r="V29" s="743"/>
      <c r="W29" s="743"/>
      <c r="X29" s="74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row>
    <row r="30" spans="1:50" ht="26.45">
      <c r="A30" s="6"/>
      <c r="B30" s="11"/>
      <c r="C30" s="6"/>
      <c r="D30" s="6"/>
      <c r="E30" s="747"/>
      <c r="F30" s="633" t="s">
        <v>192</v>
      </c>
      <c r="G30" s="633" t="s">
        <v>209</v>
      </c>
      <c r="H30" s="632" t="s">
        <v>210</v>
      </c>
      <c r="I30" s="743">
        <v>0.30909999999999999</v>
      </c>
      <c r="J30" s="743"/>
      <c r="K30" s="743"/>
      <c r="L30" s="743"/>
      <c r="M30" s="743"/>
      <c r="N30" s="743"/>
      <c r="O30" s="743"/>
      <c r="P30" s="743"/>
      <c r="Q30" s="743"/>
      <c r="R30" s="743"/>
      <c r="S30" s="743"/>
      <c r="T30" s="743"/>
      <c r="U30" s="743"/>
      <c r="V30" s="743"/>
      <c r="W30" s="743"/>
      <c r="X30" s="74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row>
    <row r="31" spans="1:50">
      <c r="A31" s="4"/>
      <c r="B31" s="301"/>
      <c r="C31" s="4"/>
      <c r="D31" s="4"/>
      <c r="E31" s="6" t="s">
        <v>211</v>
      </c>
      <c r="F31" s="4"/>
      <c r="G31" s="308"/>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row>
    <row r="32" spans="1:50">
      <c r="A32" s="4"/>
      <c r="B32" s="301"/>
      <c r="C32" s="4"/>
      <c r="D32" s="4"/>
      <c r="E32" s="6" t="s">
        <v>212</v>
      </c>
      <c r="F32" s="4"/>
      <c r="G32" s="361"/>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row>
    <row r="33" spans="1:50" ht="14.45">
      <c r="A33" s="4"/>
      <c r="B33" s="301"/>
      <c r="C33" s="4"/>
      <c r="D33" s="4"/>
      <c r="E33" s="6" t="s">
        <v>213</v>
      </c>
      <c r="F33" s="4"/>
      <c r="G33" s="2" t="s">
        <v>38</v>
      </c>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row>
    <row r="40" spans="1:50" s="248" customFormat="1" ht="17.45" hidden="1">
      <c r="A40" s="325" t="s">
        <v>85</v>
      </c>
      <c r="B40" s="325"/>
      <c r="C40" s="325"/>
      <c r="D40" s="325"/>
      <c r="E40" s="326"/>
      <c r="F40" s="327"/>
      <c r="G40" s="328"/>
      <c r="H40" s="325"/>
      <c r="I40" s="325"/>
      <c r="J40" s="325"/>
      <c r="K40" s="325"/>
      <c r="L40" s="325"/>
      <c r="M40" s="325"/>
      <c r="N40" s="325"/>
      <c r="O40" s="325"/>
      <c r="P40" s="325"/>
      <c r="Q40" s="325"/>
      <c r="R40" s="325"/>
      <c r="S40" s="325"/>
      <c r="T40" s="325"/>
      <c r="U40" s="325"/>
      <c r="V40" s="325"/>
      <c r="W40" s="325"/>
      <c r="X40" s="325"/>
      <c r="Y40" s="325"/>
      <c r="Z40" s="325"/>
      <c r="AA40" s="325"/>
      <c r="AB40" s="325"/>
      <c r="AC40" s="325"/>
      <c r="AD40" s="325"/>
      <c r="AE40" s="325"/>
      <c r="AF40" s="325"/>
      <c r="AG40" s="325"/>
      <c r="AH40" s="325"/>
      <c r="AI40" s="325"/>
      <c r="AJ40" s="325"/>
      <c r="AK40" s="325"/>
      <c r="AL40" s="325"/>
      <c r="AM40" s="325"/>
      <c r="AN40" s="325"/>
      <c r="AO40" s="325"/>
      <c r="AP40" s="325"/>
      <c r="AQ40" s="325"/>
      <c r="AR40" s="325"/>
      <c r="AS40" s="325"/>
      <c r="AT40" s="325"/>
      <c r="AU40" s="325"/>
      <c r="AV40" s="325"/>
      <c r="AW40" s="325"/>
      <c r="AX40" s="325"/>
    </row>
    <row r="41" spans="1:50" s="7" customFormat="1" ht="13.15" hidden="1">
      <c r="E41" s="73"/>
      <c r="F41" s="74"/>
      <c r="G41" s="648"/>
    </row>
    <row r="42" spans="1:50" s="7" customFormat="1" ht="13.15" hidden="1">
      <c r="A42" s="757" t="s">
        <v>214</v>
      </c>
      <c r="B42" s="758"/>
      <c r="C42" s="758"/>
      <c r="D42" s="758"/>
      <c r="E42" s="759"/>
      <c r="F42" s="74"/>
      <c r="G42" s="648"/>
    </row>
    <row r="43" spans="1:50" s="6" customFormat="1" ht="13.15" hidden="1">
      <c r="A43" s="362" t="s">
        <v>215</v>
      </c>
      <c r="B43" s="278"/>
      <c r="C43" s="278"/>
      <c r="D43" s="278"/>
      <c r="E43" s="147"/>
      <c r="F43" s="622"/>
      <c r="G43" s="623"/>
    </row>
    <row r="44" spans="1:50" s="6" customFormat="1" ht="13.15" hidden="1">
      <c r="A44" s="302" t="s">
        <v>216</v>
      </c>
      <c r="C44" s="6" t="s">
        <v>217</v>
      </c>
      <c r="D44" s="6" t="s">
        <v>218</v>
      </c>
      <c r="E44" s="756">
        <f>0.32*0.25+0.16*0.75</f>
        <v>0.2</v>
      </c>
      <c r="F44" s="622"/>
      <c r="G44" s="623"/>
    </row>
    <row r="45" spans="1:50" s="6" customFormat="1" ht="13.15" hidden="1">
      <c r="A45" s="302" t="s">
        <v>219</v>
      </c>
      <c r="C45" s="6" t="s">
        <v>220</v>
      </c>
      <c r="D45" s="6" t="s">
        <v>221</v>
      </c>
      <c r="E45" s="756"/>
      <c r="F45" s="622"/>
      <c r="G45" s="623"/>
    </row>
    <row r="46" spans="1:50" s="6" customFormat="1" ht="13.15" hidden="1">
      <c r="A46" s="297" t="s">
        <v>215</v>
      </c>
      <c r="B46" s="298"/>
      <c r="C46" s="298"/>
      <c r="D46" s="298"/>
      <c r="E46" s="363"/>
      <c r="F46" s="622"/>
      <c r="G46" s="623"/>
    </row>
    <row r="47" spans="1:50" s="6" customFormat="1" ht="13.15" hidden="1">
      <c r="E47" s="11"/>
      <c r="F47" s="622"/>
      <c r="G47" s="623"/>
    </row>
    <row r="48" spans="1:50" s="6" customFormat="1" ht="13.15" hidden="1">
      <c r="E48" s="11"/>
      <c r="F48" s="622"/>
      <c r="G48" s="623"/>
    </row>
    <row r="49" spans="1:70" s="6" customFormat="1" ht="13.15" hidden="1">
      <c r="E49" s="11"/>
      <c r="F49" s="622"/>
      <c r="G49" s="623"/>
    </row>
    <row r="50" spans="1:70" s="6" customFormat="1" ht="13.15" hidden="1">
      <c r="E50" s="11"/>
      <c r="F50" s="622"/>
      <c r="G50" s="623"/>
    </row>
    <row r="51" spans="1:70" s="6" customFormat="1" ht="13.15" hidden="1">
      <c r="A51" s="745" t="s">
        <v>204</v>
      </c>
      <c r="B51" s="364" t="s">
        <v>183</v>
      </c>
      <c r="C51" s="364"/>
      <c r="D51" s="364"/>
      <c r="E51" s="763"/>
      <c r="F51" s="764"/>
      <c r="G51" s="764"/>
      <c r="H51" s="764"/>
      <c r="I51" s="764"/>
      <c r="J51" s="764"/>
      <c r="K51" s="764"/>
      <c r="L51" s="764"/>
      <c r="M51" s="764"/>
      <c r="N51" s="764"/>
      <c r="O51" s="764"/>
      <c r="P51" s="764"/>
      <c r="Q51" s="764"/>
      <c r="R51" s="764"/>
      <c r="S51" s="764"/>
      <c r="T51" s="765"/>
    </row>
    <row r="52" spans="1:70" s="6" customFormat="1" ht="13.15" hidden="1">
      <c r="A52" s="746"/>
      <c r="B52" s="364" t="s">
        <v>186</v>
      </c>
      <c r="C52" s="364">
        <v>1984</v>
      </c>
      <c r="D52" s="364" t="s">
        <v>222</v>
      </c>
      <c r="E52" s="763" t="s">
        <v>223</v>
      </c>
      <c r="F52" s="764"/>
      <c r="G52" s="764"/>
      <c r="H52" s="764"/>
      <c r="I52" s="764"/>
      <c r="J52" s="764"/>
      <c r="K52" s="764"/>
      <c r="L52" s="764"/>
      <c r="M52" s="764"/>
      <c r="N52" s="764"/>
      <c r="O52" s="764"/>
      <c r="P52" s="764"/>
      <c r="Q52" s="764"/>
      <c r="R52" s="764"/>
      <c r="S52" s="764"/>
      <c r="T52" s="765"/>
    </row>
    <row r="53" spans="1:70" s="6" customFormat="1" ht="13.15" hidden="1">
      <c r="A53" s="746"/>
      <c r="B53" s="364" t="s">
        <v>188</v>
      </c>
      <c r="C53" s="364">
        <v>2001</v>
      </c>
      <c r="D53" s="364" t="s">
        <v>224</v>
      </c>
      <c r="E53" s="766" t="s">
        <v>225</v>
      </c>
      <c r="F53" s="767"/>
      <c r="G53" s="767"/>
      <c r="H53" s="767"/>
      <c r="I53" s="767"/>
      <c r="J53" s="767"/>
      <c r="K53" s="767"/>
      <c r="L53" s="767"/>
      <c r="M53" s="767"/>
      <c r="N53" s="767"/>
      <c r="O53" s="767"/>
      <c r="P53" s="767"/>
      <c r="Q53" s="767"/>
      <c r="R53" s="767"/>
      <c r="S53" s="767"/>
      <c r="T53" s="768"/>
    </row>
    <row r="54" spans="1:70" s="6" customFormat="1" ht="13.15" hidden="1">
      <c r="A54" s="746"/>
      <c r="B54" s="364" t="s">
        <v>190</v>
      </c>
      <c r="C54" s="364">
        <v>2013</v>
      </c>
      <c r="D54" s="365" t="s">
        <v>226</v>
      </c>
      <c r="E54" s="766" t="s">
        <v>227</v>
      </c>
      <c r="F54" s="767"/>
      <c r="G54" s="767"/>
      <c r="H54" s="767"/>
      <c r="I54" s="767"/>
      <c r="J54" s="767"/>
      <c r="K54" s="767"/>
      <c r="L54" s="767"/>
      <c r="M54" s="767"/>
      <c r="N54" s="767"/>
      <c r="O54" s="767"/>
      <c r="P54" s="767"/>
      <c r="Q54" s="767"/>
      <c r="R54" s="767"/>
      <c r="S54" s="767"/>
      <c r="T54" s="768"/>
    </row>
    <row r="55" spans="1:70" s="6" customFormat="1" ht="13.15" hidden="1">
      <c r="A55" s="747"/>
      <c r="B55" s="364" t="s">
        <v>192</v>
      </c>
      <c r="C55" s="364">
        <v>2025</v>
      </c>
      <c r="D55" s="366" t="s">
        <v>228</v>
      </c>
      <c r="E55" s="766" t="s">
        <v>227</v>
      </c>
      <c r="F55" s="767"/>
      <c r="G55" s="767"/>
      <c r="H55" s="767"/>
      <c r="I55" s="767"/>
      <c r="J55" s="767"/>
      <c r="K55" s="767"/>
      <c r="L55" s="767"/>
      <c r="M55" s="767"/>
      <c r="N55" s="767"/>
      <c r="O55" s="767"/>
      <c r="P55" s="767"/>
      <c r="Q55" s="767"/>
      <c r="R55" s="767"/>
      <c r="S55" s="767"/>
      <c r="T55" s="768"/>
    </row>
    <row r="56" spans="1:70" s="252" customFormat="1" ht="17.45" hidden="1">
      <c r="A56" s="292"/>
      <c r="B56" s="292"/>
      <c r="C56" s="292"/>
      <c r="D56" s="292"/>
      <c r="E56" s="329"/>
      <c r="F56" s="330"/>
      <c r="G56" s="331"/>
      <c r="H56" s="292"/>
      <c r="I56" s="292"/>
      <c r="J56" s="292"/>
      <c r="K56" s="292"/>
      <c r="L56" s="292"/>
      <c r="M56" s="292"/>
      <c r="N56" s="292"/>
      <c r="O56" s="292"/>
      <c r="P56" s="292"/>
      <c r="Q56" s="292"/>
      <c r="R56" s="292"/>
      <c r="S56" s="292"/>
      <c r="T56" s="292"/>
      <c r="U56" s="292"/>
      <c r="V56" s="292"/>
      <c r="W56" s="292"/>
      <c r="X56" s="292"/>
      <c r="Y56" s="292"/>
      <c r="Z56" s="292"/>
      <c r="AA56" s="292"/>
      <c r="AB56" s="292"/>
      <c r="AC56" s="292"/>
      <c r="AD56" s="292"/>
      <c r="AE56" s="292"/>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row>
    <row r="57" spans="1:70" s="252" customFormat="1" ht="17.45" hidden="1">
      <c r="A57" s="292"/>
      <c r="B57" s="292"/>
      <c r="C57" s="292"/>
      <c r="D57" s="292"/>
      <c r="E57" s="329"/>
      <c r="F57" s="330"/>
      <c r="G57" s="331"/>
      <c r="H57" s="292"/>
      <c r="I57" s="292"/>
      <c r="J57" s="292"/>
      <c r="K57" s="292"/>
      <c r="L57" s="292"/>
      <c r="M57" s="292"/>
      <c r="N57" s="292"/>
      <c r="O57" s="292"/>
      <c r="P57" s="292"/>
      <c r="Q57" s="292"/>
      <c r="R57" s="292"/>
      <c r="S57" s="292"/>
      <c r="T57" s="292"/>
      <c r="U57" s="292"/>
      <c r="V57" s="292"/>
      <c r="W57" s="292"/>
      <c r="X57" s="292"/>
      <c r="Y57" s="292"/>
      <c r="Z57" s="292"/>
      <c r="AA57" s="292"/>
      <c r="AB57" s="292"/>
      <c r="AC57" s="292"/>
      <c r="AD57" s="292"/>
      <c r="AE57" s="292"/>
      <c r="AF57" s="292"/>
      <c r="AG57" s="292"/>
      <c r="AH57" s="292"/>
      <c r="AI57" s="292"/>
      <c r="AJ57" s="292"/>
      <c r="AK57" s="292"/>
      <c r="AL57" s="292"/>
      <c r="AM57" s="292"/>
      <c r="AN57" s="292"/>
      <c r="AO57" s="292"/>
      <c r="AP57" s="292"/>
      <c r="AQ57" s="292"/>
      <c r="AR57" s="292"/>
      <c r="AS57" s="292"/>
      <c r="AT57" s="292"/>
      <c r="AU57" s="292"/>
      <c r="AV57" s="292"/>
      <c r="AW57" s="292"/>
      <c r="AX57" s="292"/>
      <c r="AY57" s="292"/>
      <c r="AZ57" s="292"/>
      <c r="BA57" s="292"/>
      <c r="BB57" s="292"/>
      <c r="BC57" s="292"/>
      <c r="BD57" s="292"/>
      <c r="BE57" s="292"/>
      <c r="BF57" s="292"/>
      <c r="BG57" s="292"/>
      <c r="BH57" s="292"/>
      <c r="BI57" s="292"/>
      <c r="BJ57" s="292"/>
      <c r="BK57" s="292"/>
      <c r="BL57" s="292"/>
      <c r="BM57" s="292"/>
      <c r="BN57" s="292"/>
      <c r="BO57" s="292"/>
      <c r="BP57" s="292"/>
      <c r="BQ57" s="292"/>
      <c r="BR57" s="292"/>
    </row>
    <row r="58" spans="1:70" s="252" customFormat="1" ht="17.45" hidden="1">
      <c r="A58" s="292"/>
      <c r="B58" s="292"/>
      <c r="C58" s="292"/>
      <c r="D58" s="292"/>
      <c r="E58" s="329"/>
      <c r="F58" s="330"/>
      <c r="G58" s="331"/>
      <c r="H58" s="292"/>
      <c r="I58" s="292"/>
      <c r="J58" s="292"/>
      <c r="K58" s="292"/>
      <c r="L58" s="292"/>
      <c r="M58" s="292"/>
      <c r="N58" s="292"/>
      <c r="O58" s="292"/>
      <c r="P58" s="292"/>
      <c r="Q58" s="292"/>
      <c r="R58" s="292"/>
      <c r="S58" s="292"/>
      <c r="T58" s="292"/>
      <c r="U58" s="292"/>
      <c r="V58" s="292"/>
      <c r="W58" s="292"/>
      <c r="X58" s="292"/>
      <c r="Y58" s="292"/>
      <c r="Z58" s="292"/>
      <c r="AA58" s="292"/>
      <c r="AB58" s="292"/>
      <c r="AC58" s="292"/>
      <c r="AD58" s="292"/>
      <c r="AE58" s="292"/>
      <c r="AF58" s="292"/>
      <c r="AG58" s="292"/>
      <c r="AH58" s="292"/>
      <c r="AI58" s="292"/>
      <c r="AJ58" s="292"/>
      <c r="AK58" s="292"/>
      <c r="AL58" s="292"/>
      <c r="AM58" s="292"/>
      <c r="AN58" s="292"/>
      <c r="AO58" s="292"/>
      <c r="AP58" s="292"/>
      <c r="AQ58" s="292"/>
      <c r="AR58" s="292"/>
      <c r="AS58" s="292"/>
      <c r="AT58" s="292"/>
      <c r="AU58" s="292"/>
      <c r="AV58" s="292"/>
      <c r="AW58" s="292"/>
      <c r="AX58" s="292"/>
      <c r="AY58" s="292"/>
      <c r="AZ58" s="292"/>
      <c r="BA58" s="292"/>
      <c r="BB58" s="292"/>
      <c r="BC58" s="292"/>
      <c r="BD58" s="292"/>
      <c r="BE58" s="292"/>
      <c r="BF58" s="292"/>
      <c r="BG58" s="292"/>
      <c r="BH58" s="292"/>
      <c r="BI58" s="292"/>
      <c r="BJ58" s="292"/>
      <c r="BK58" s="292"/>
      <c r="BL58" s="292"/>
      <c r="BM58" s="292"/>
      <c r="BN58" s="292"/>
      <c r="BO58" s="292"/>
      <c r="BP58" s="292"/>
      <c r="BQ58" s="292"/>
      <c r="BR58" s="292"/>
    </row>
    <row r="59" spans="1:70" s="252" customFormat="1" ht="25.9" hidden="1" customHeight="1">
      <c r="A59" s="373" t="s">
        <v>229</v>
      </c>
      <c r="B59" s="372"/>
      <c r="C59" s="372"/>
      <c r="D59" s="372"/>
      <c r="E59" s="372"/>
      <c r="F59" s="372"/>
      <c r="G59" s="372"/>
      <c r="H59" s="372"/>
      <c r="I59" s="372"/>
      <c r="J59" s="372"/>
      <c r="K59" s="372"/>
      <c r="L59" s="372"/>
      <c r="M59" s="372"/>
      <c r="N59" s="372"/>
      <c r="O59" s="292"/>
      <c r="P59" s="292"/>
      <c r="Q59" s="292"/>
      <c r="R59" s="292"/>
      <c r="S59" s="6"/>
      <c r="T59" s="6"/>
      <c r="U59" s="292"/>
      <c r="V59" s="292"/>
      <c r="W59" s="292"/>
      <c r="X59" s="292"/>
      <c r="Y59" s="292"/>
      <c r="Z59" s="292"/>
      <c r="AA59" s="292"/>
      <c r="AB59" s="292"/>
      <c r="AC59" s="292"/>
      <c r="AD59" s="7"/>
      <c r="AE59" s="292"/>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row>
    <row r="60" spans="1:70" s="252" customFormat="1" ht="33" hidden="1" customHeight="1">
      <c r="A60" s="726" t="s">
        <v>230</v>
      </c>
      <c r="B60" s="728"/>
      <c r="C60" s="368" t="s">
        <v>149</v>
      </c>
      <c r="D60" s="368" t="s">
        <v>148</v>
      </c>
      <c r="E60" s="368" t="s">
        <v>150</v>
      </c>
      <c r="F60" s="726" t="s">
        <v>231</v>
      </c>
      <c r="G60" s="728"/>
      <c r="H60" s="368" t="s">
        <v>232</v>
      </c>
      <c r="I60" s="726" t="s">
        <v>233</v>
      </c>
      <c r="J60" s="727"/>
      <c r="K60" s="728"/>
      <c r="L60" s="726" t="s">
        <v>234</v>
      </c>
      <c r="M60" s="727"/>
      <c r="N60" s="728"/>
      <c r="O60" s="292"/>
      <c r="P60" s="292"/>
      <c r="Q60" s="292"/>
      <c r="R60" s="292"/>
      <c r="S60" s="292"/>
      <c r="T60" s="292"/>
      <c r="U60" s="292"/>
      <c r="V60" s="292"/>
      <c r="W60" s="6"/>
      <c r="X60" s="6"/>
      <c r="Y60" s="6"/>
      <c r="Z60" s="292"/>
      <c r="AA60" s="292"/>
      <c r="AB60" s="292"/>
      <c r="AC60" s="292"/>
      <c r="AD60" s="292"/>
      <c r="AE60" s="292"/>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row>
    <row r="61" spans="1:70" s="6" customFormat="1" ht="71.45" hidden="1" customHeight="1">
      <c r="A61" s="732" t="s">
        <v>235</v>
      </c>
      <c r="B61" s="732"/>
      <c r="C61" s="731" t="s">
        <v>236</v>
      </c>
      <c r="D61" s="731"/>
      <c r="E61" s="731"/>
      <c r="F61" s="730" t="s">
        <v>237</v>
      </c>
      <c r="G61" s="730"/>
      <c r="H61" s="638"/>
      <c r="I61" s="724" t="s">
        <v>238</v>
      </c>
      <c r="J61" s="724"/>
      <c r="K61" s="724"/>
      <c r="L61" s="729"/>
      <c r="M61" s="729"/>
      <c r="N61" s="729"/>
      <c r="Z61" s="138"/>
      <c r="BR61" s="299"/>
    </row>
    <row r="62" spans="1:70" s="6" customFormat="1" ht="69.599999999999994" hidden="1" customHeight="1">
      <c r="A62" s="733" t="s">
        <v>239</v>
      </c>
      <c r="B62" s="734"/>
      <c r="C62" s="369">
        <v>0.23519952960000001</v>
      </c>
      <c r="D62" s="370" t="s">
        <v>240</v>
      </c>
      <c r="E62" s="369">
        <v>4.4801172600000001E-2</v>
      </c>
      <c r="F62" s="770" t="s">
        <v>241</v>
      </c>
      <c r="G62" s="770"/>
      <c r="H62" s="371" t="s">
        <v>242</v>
      </c>
      <c r="I62" s="730" t="s">
        <v>243</v>
      </c>
      <c r="J62" s="730"/>
      <c r="K62" s="730"/>
      <c r="L62" s="729"/>
      <c r="M62" s="729"/>
      <c r="N62" s="729" t="s">
        <v>24</v>
      </c>
      <c r="V62" s="296"/>
      <c r="W62" s="296"/>
    </row>
    <row r="63" spans="1:70" s="6" customFormat="1" ht="39.6" hidden="1">
      <c r="A63" s="732" t="s">
        <v>244</v>
      </c>
      <c r="B63" s="630" t="s">
        <v>245</v>
      </c>
      <c r="C63" s="637" t="s">
        <v>246</v>
      </c>
      <c r="D63" s="637" t="s">
        <v>247</v>
      </c>
      <c r="E63" s="637">
        <v>1</v>
      </c>
      <c r="F63" s="737">
        <v>1.42240284480569E-4</v>
      </c>
      <c r="G63" s="737"/>
      <c r="H63" s="637"/>
      <c r="I63" s="731" t="s">
        <v>248</v>
      </c>
      <c r="J63" s="731"/>
      <c r="K63" s="731"/>
      <c r="L63" s="729"/>
      <c r="M63" s="729"/>
      <c r="N63" s="729"/>
      <c r="AI63" s="4"/>
    </row>
    <row r="64" spans="1:70" s="6" customFormat="1" ht="39.6" hidden="1">
      <c r="A64" s="732"/>
      <c r="B64" s="630" t="s">
        <v>249</v>
      </c>
      <c r="C64" s="637" t="s">
        <v>250</v>
      </c>
      <c r="D64" s="637" t="s">
        <v>251</v>
      </c>
      <c r="E64" s="637">
        <v>1</v>
      </c>
      <c r="F64" s="736"/>
      <c r="G64" s="736"/>
      <c r="H64" s="637" t="s">
        <v>24</v>
      </c>
      <c r="I64" s="731" t="s">
        <v>252</v>
      </c>
      <c r="J64" s="731"/>
      <c r="K64" s="731"/>
      <c r="L64" s="729"/>
      <c r="M64" s="729"/>
      <c r="N64" s="729"/>
      <c r="V64" s="291"/>
      <c r="W64" s="315"/>
    </row>
    <row r="65" spans="1:62" s="6" customFormat="1" ht="26.45" hidden="1">
      <c r="A65" s="732"/>
      <c r="B65" s="630" t="s">
        <v>253</v>
      </c>
      <c r="C65" s="637">
        <v>1</v>
      </c>
      <c r="D65" s="637">
        <v>1</v>
      </c>
      <c r="E65" s="637">
        <v>1</v>
      </c>
      <c r="F65" s="736"/>
      <c r="G65" s="736"/>
      <c r="H65" s="637">
        <v>1</v>
      </c>
      <c r="I65" s="724">
        <v>1</v>
      </c>
      <c r="J65" s="724"/>
      <c r="K65" s="724"/>
      <c r="L65" s="729"/>
      <c r="M65" s="729"/>
      <c r="N65" s="729"/>
    </row>
    <row r="66" spans="1:62" s="6" customFormat="1" ht="52.9" hidden="1">
      <c r="A66" s="732" t="s">
        <v>92</v>
      </c>
      <c r="B66" s="732"/>
      <c r="C66" s="637"/>
      <c r="D66" s="636" t="s">
        <v>254</v>
      </c>
      <c r="E66" s="637" t="s">
        <v>255</v>
      </c>
      <c r="F66" s="735" t="s">
        <v>256</v>
      </c>
      <c r="G66" s="735"/>
      <c r="H66" s="637" t="s">
        <v>257</v>
      </c>
      <c r="I66" s="724"/>
      <c r="J66" s="724"/>
      <c r="K66" s="724"/>
      <c r="L66" s="769" t="s">
        <v>258</v>
      </c>
      <c r="M66" s="769"/>
      <c r="N66" s="769"/>
      <c r="AI66" s="4"/>
      <c r="AJ66" s="4"/>
      <c r="AK66" s="4"/>
      <c r="AL66" s="4"/>
      <c r="AM66" s="4"/>
      <c r="AN66" s="4"/>
      <c r="AO66" s="4"/>
      <c r="AP66" s="4"/>
    </row>
    <row r="67" spans="1:62" s="6" customFormat="1" hidden="1">
      <c r="A67" s="41"/>
      <c r="B67" s="41"/>
      <c r="C67" s="315"/>
      <c r="D67" s="41"/>
      <c r="E67" s="294"/>
      <c r="F67" s="300" t="s">
        <v>259</v>
      </c>
      <c r="G67" s="41"/>
      <c r="L67" s="41"/>
      <c r="M67" s="41"/>
      <c r="N67" s="295"/>
      <c r="O67" s="41"/>
      <c r="AI67" s="4"/>
      <c r="AJ67" s="4"/>
      <c r="AK67" s="4"/>
      <c r="AL67" s="4"/>
      <c r="AM67" s="4"/>
      <c r="AN67" s="4"/>
      <c r="AO67" s="4"/>
      <c r="AP67" s="4"/>
    </row>
    <row r="68" spans="1:62" s="6" customFormat="1" hidden="1">
      <c r="E68" s="11"/>
      <c r="F68" s="622"/>
      <c r="G68" s="623"/>
      <c r="AL68" s="623"/>
      <c r="AM68" s="4"/>
      <c r="AN68" s="4"/>
      <c r="AO68" s="4"/>
      <c r="AP68" s="4"/>
    </row>
    <row r="69" spans="1:62" s="6" customFormat="1" hidden="1">
      <c r="E69" s="11"/>
      <c r="F69" s="622"/>
      <c r="G69" s="623"/>
      <c r="AL69" s="623"/>
      <c r="AM69" s="4"/>
      <c r="AN69" s="4"/>
      <c r="AO69" s="4"/>
      <c r="AP69" s="4"/>
    </row>
    <row r="70" spans="1:62" s="6" customFormat="1" hidden="1">
      <c r="E70" s="11"/>
      <c r="F70" s="622"/>
      <c r="G70" s="623"/>
      <c r="AK70" s="4"/>
      <c r="AL70" s="367"/>
      <c r="AP70" s="4"/>
    </row>
    <row r="71" spans="1:62" s="6" customFormat="1" hidden="1">
      <c r="E71" s="11"/>
      <c r="F71" s="622"/>
      <c r="G71" s="623"/>
      <c r="I71" s="293" t="s">
        <v>260</v>
      </c>
      <c r="J71" s="293"/>
      <c r="K71" s="7"/>
      <c r="L71" s="7"/>
      <c r="AK71" s="4"/>
      <c r="AM71" s="4"/>
      <c r="AN71" s="4"/>
      <c r="AO71" s="4"/>
      <c r="AP71" s="4"/>
    </row>
    <row r="72" spans="1:62" s="6" customFormat="1" hidden="1">
      <c r="A72" s="755" t="s">
        <v>261</v>
      </c>
      <c r="B72" s="755"/>
      <c r="C72" s="714" t="s">
        <v>262</v>
      </c>
      <c r="D72" s="714"/>
      <c r="E72" s="714"/>
      <c r="I72" s="7" t="s">
        <v>263</v>
      </c>
      <c r="J72" s="7" t="s">
        <v>264</v>
      </c>
      <c r="K72" s="7"/>
      <c r="L72" s="7"/>
      <c r="AI72" s="4"/>
      <c r="AJ72" s="4"/>
      <c r="AK72" s="4"/>
      <c r="AL72" s="4"/>
      <c r="AM72" s="4"/>
      <c r="AN72" s="4"/>
      <c r="AO72" s="4"/>
      <c r="AP72" s="4"/>
    </row>
    <row r="73" spans="1:62" ht="22.9" hidden="1">
      <c r="A73" s="755"/>
      <c r="B73" s="755"/>
      <c r="C73" s="626" t="s">
        <v>42</v>
      </c>
      <c r="D73" s="626" t="s">
        <v>43</v>
      </c>
      <c r="E73" s="626" t="s">
        <v>44</v>
      </c>
      <c r="F73" s="4"/>
      <c r="G73" s="4"/>
      <c r="H73" s="4"/>
      <c r="I73" s="4">
        <v>1967</v>
      </c>
      <c r="J73" s="4">
        <v>2026.9999999999995</v>
      </c>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722"/>
      <c r="AM73" s="722"/>
      <c r="AN73" s="4"/>
      <c r="AO73" s="4"/>
      <c r="AP73" s="4"/>
      <c r="AQ73" s="4"/>
      <c r="AR73" s="4"/>
      <c r="AS73" s="4"/>
      <c r="AT73" s="4"/>
      <c r="AU73" s="4"/>
      <c r="AV73" s="4"/>
      <c r="AW73" s="4"/>
      <c r="AX73" s="4"/>
      <c r="AY73" s="4"/>
      <c r="AZ73" s="4"/>
      <c r="BA73" s="4"/>
      <c r="BB73" s="4"/>
      <c r="BC73" s="4"/>
      <c r="BD73" s="4"/>
      <c r="BE73" s="4"/>
      <c r="BF73" s="4"/>
      <c r="BG73" s="4"/>
      <c r="BH73" s="4"/>
      <c r="BI73" s="4"/>
      <c r="BJ73" s="4"/>
    </row>
    <row r="74" spans="1:62" hidden="1">
      <c r="A74" s="754" t="s">
        <v>265</v>
      </c>
      <c r="B74" s="754"/>
      <c r="C74" s="28">
        <f>SUM(J83:J89)/C75</f>
        <v>7.7496110361995649E-2</v>
      </c>
      <c r="D74" s="28">
        <f>SUM(J90:J102)/C75</f>
        <v>0</v>
      </c>
      <c r="E74" s="28">
        <f>SUM(J98:J102)/C75</f>
        <v>0</v>
      </c>
      <c r="F74" s="4"/>
      <c r="G74" s="4"/>
      <c r="H74" s="4"/>
      <c r="I74" s="4">
        <v>1968</v>
      </c>
      <c r="J74" s="4">
        <v>3870.8999999999992</v>
      </c>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row>
    <row r="75" spans="1:62" hidden="1">
      <c r="A75" s="754" t="s">
        <v>266</v>
      </c>
      <c r="B75" s="754"/>
      <c r="C75" s="714">
        <v>144615</v>
      </c>
      <c r="D75" s="714"/>
      <c r="E75" s="714"/>
      <c r="F75" s="4"/>
      <c r="G75" s="4"/>
      <c r="H75" s="4"/>
      <c r="I75" s="4">
        <v>1969</v>
      </c>
      <c r="J75" s="4">
        <v>4189.2000000000007</v>
      </c>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row>
    <row r="76" spans="1:62" hidden="1">
      <c r="A76" s="622"/>
      <c r="B76" s="622"/>
      <c r="C76" s="622"/>
      <c r="D76" s="622"/>
      <c r="E76" s="622"/>
      <c r="F76" s="4"/>
      <c r="G76" s="4"/>
      <c r="H76" s="4"/>
      <c r="I76" s="4">
        <v>1970</v>
      </c>
      <c r="J76" s="4">
        <v>3556.1</v>
      </c>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row>
    <row r="77" spans="1:62" hidden="1">
      <c r="A77" s="622"/>
      <c r="B77" s="622"/>
      <c r="C77" s="622"/>
      <c r="D77" s="622"/>
      <c r="E77" s="622"/>
      <c r="F77" s="4"/>
      <c r="G77" s="4"/>
      <c r="H77" s="4"/>
      <c r="I77" s="4">
        <v>1972</v>
      </c>
      <c r="J77" s="4">
        <v>6100.0000000000009</v>
      </c>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row>
    <row r="78" spans="1:62" hidden="1">
      <c r="A78" s="622"/>
      <c r="B78" s="622"/>
      <c r="C78" s="622"/>
      <c r="D78" s="622"/>
      <c r="E78" s="622"/>
      <c r="F78" s="4"/>
      <c r="G78" s="4"/>
      <c r="H78" s="4"/>
      <c r="I78" s="4">
        <v>1973</v>
      </c>
      <c r="J78" s="4">
        <v>6863.0999999999995</v>
      </c>
      <c r="K78" s="4"/>
      <c r="L78" s="4"/>
      <c r="M78" s="4"/>
      <c r="N78" s="4"/>
      <c r="O78" s="4"/>
      <c r="P78" s="4"/>
      <c r="Q78" s="4"/>
      <c r="R78" s="4"/>
      <c r="S78" s="4"/>
      <c r="T78" s="4"/>
      <c r="U78" s="4"/>
      <c r="V78" s="4"/>
      <c r="W78" s="4"/>
      <c r="X78" s="4"/>
      <c r="Y78" s="4"/>
      <c r="Z78" s="4"/>
      <c r="AA78" s="4"/>
      <c r="AB78" s="4"/>
      <c r="AC78" s="4"/>
      <c r="AD78" s="4"/>
      <c r="AE78" s="4"/>
      <c r="AF78" s="4"/>
      <c r="AG78" s="4"/>
      <c r="AH78" s="4"/>
      <c r="AI78" s="41"/>
      <c r="AJ78" s="6"/>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row>
    <row r="79" spans="1:62" hidden="1">
      <c r="A79" s="622"/>
      <c r="B79" s="622"/>
      <c r="C79" s="622"/>
      <c r="D79" s="622"/>
      <c r="E79" s="622"/>
      <c r="F79" s="4"/>
      <c r="G79" s="4"/>
      <c r="H79" s="4"/>
      <c r="I79" s="4">
        <v>1974</v>
      </c>
      <c r="J79" s="4">
        <v>4880.1000000000013</v>
      </c>
      <c r="K79" s="4"/>
      <c r="L79" s="4"/>
      <c r="M79" s="4"/>
      <c r="N79" s="4"/>
      <c r="O79" s="4"/>
      <c r="P79" s="4"/>
      <c r="Q79" s="4"/>
      <c r="R79" s="4"/>
      <c r="S79" s="4"/>
      <c r="T79" s="4"/>
      <c r="U79" s="4"/>
      <c r="V79" s="4"/>
      <c r="W79" s="4"/>
      <c r="X79" s="4"/>
      <c r="Y79" s="4"/>
      <c r="Z79" s="4"/>
      <c r="AA79" s="4"/>
      <c r="AB79" s="4"/>
      <c r="AC79" s="4"/>
      <c r="AD79" s="4"/>
      <c r="AE79" s="4"/>
      <c r="AF79" s="4"/>
      <c r="AG79" s="4"/>
      <c r="AH79" s="4"/>
      <c r="AI79" s="41"/>
      <c r="AJ79" s="6"/>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row>
    <row r="80" spans="1:62" hidden="1">
      <c r="A80" s="753" t="s">
        <v>267</v>
      </c>
      <c r="B80" s="753" t="s">
        <v>268</v>
      </c>
      <c r="C80" s="753"/>
      <c r="D80" s="753"/>
      <c r="E80" s="622"/>
      <c r="F80" s="4"/>
      <c r="G80" s="4"/>
      <c r="H80" s="4"/>
      <c r="I80" s="4">
        <v>1975</v>
      </c>
      <c r="J80" s="4">
        <v>3714.8000000000006</v>
      </c>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row>
    <row r="81" spans="1:62" hidden="1">
      <c r="A81" s="753"/>
      <c r="B81" s="631" t="s">
        <v>269</v>
      </c>
      <c r="C81" s="631" t="s">
        <v>270</v>
      </c>
      <c r="D81" s="631" t="s">
        <v>271</v>
      </c>
      <c r="E81" s="622"/>
      <c r="F81" s="4"/>
      <c r="G81" s="4"/>
      <c r="H81" s="4"/>
      <c r="I81" s="4">
        <v>1976</v>
      </c>
      <c r="J81" s="4">
        <v>4880.2000000000035</v>
      </c>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row>
    <row r="82" spans="1:62" hidden="1">
      <c r="A82" s="634" t="s">
        <v>272</v>
      </c>
      <c r="B82" s="374">
        <v>0.39971928553285252</v>
      </c>
      <c r="C82" s="374">
        <v>0.30192708680777003</v>
      </c>
      <c r="D82" s="374">
        <v>0.29835362765937756</v>
      </c>
      <c r="E82" s="622"/>
      <c r="F82" s="4"/>
      <c r="G82" s="4"/>
      <c r="H82" s="4"/>
      <c r="I82" s="310">
        <v>1977</v>
      </c>
      <c r="J82" s="4">
        <v>8079.2000000000007</v>
      </c>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row>
    <row r="83" spans="1:62" hidden="1">
      <c r="A83" s="6" t="s">
        <v>273</v>
      </c>
      <c r="B83" s="6"/>
      <c r="C83" s="6"/>
      <c r="D83" s="6"/>
      <c r="E83" s="6"/>
      <c r="F83" s="4"/>
      <c r="G83" s="4"/>
      <c r="H83" s="4"/>
      <c r="I83" s="309">
        <v>1978</v>
      </c>
      <c r="J83" s="4">
        <v>11207.1</v>
      </c>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row>
    <row r="84" spans="1:62" hidden="1">
      <c r="A84" s="6"/>
      <c r="B84" s="6"/>
      <c r="C84" s="6"/>
      <c r="D84" s="6"/>
      <c r="E84" s="6"/>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row>
    <row r="85" spans="1:62" hidden="1">
      <c r="A85" s="6"/>
      <c r="B85" s="6"/>
      <c r="C85" s="6"/>
      <c r="D85" s="6"/>
      <c r="E85" s="6"/>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row>
    <row r="86" spans="1:62">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row>
    <row r="87" spans="1:62">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row>
    <row r="88" spans="1:62">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row>
    <row r="89" spans="1:62">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629"/>
      <c r="AO89" s="316"/>
      <c r="AP89" s="316"/>
      <c r="AQ89" s="4"/>
      <c r="AR89" s="4"/>
      <c r="AS89" s="4"/>
      <c r="AT89" s="4"/>
      <c r="AU89" s="4"/>
      <c r="AV89" s="4"/>
      <c r="AW89" s="4"/>
      <c r="AX89" s="4"/>
      <c r="AY89" s="4"/>
      <c r="AZ89" s="4"/>
      <c r="BA89" s="4"/>
      <c r="BB89" s="4"/>
      <c r="BC89" s="4"/>
      <c r="BD89" s="4"/>
      <c r="BE89" s="4"/>
      <c r="BF89" s="4"/>
      <c r="BG89" s="4"/>
      <c r="BH89" s="4"/>
      <c r="BI89" s="4"/>
      <c r="BJ89" s="4"/>
    </row>
    <row r="90" spans="1:62">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row>
    <row r="91" spans="1:62">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row>
    <row r="92" spans="1:6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761"/>
      <c r="AN92" s="761"/>
      <c r="AO92" s="761"/>
      <c r="AP92" s="761"/>
      <c r="AQ92" s="761"/>
      <c r="AR92" s="4"/>
      <c r="AS92" s="4"/>
      <c r="AT92" s="4"/>
      <c r="AU92" s="4"/>
      <c r="AV92" s="4"/>
      <c r="AW92" s="4"/>
      <c r="AX92" s="4"/>
      <c r="AY92" s="4"/>
      <c r="AZ92" s="4"/>
      <c r="BA92" s="4"/>
      <c r="BB92" s="4"/>
      <c r="BC92" s="4"/>
      <c r="BD92" s="4"/>
      <c r="BE92" s="4"/>
      <c r="BF92" s="4"/>
      <c r="BG92" s="4"/>
      <c r="BH92" s="4"/>
      <c r="BI92" s="4"/>
      <c r="BJ92" s="4"/>
    </row>
    <row r="93" spans="1:62" ht="14.45">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628"/>
      <c r="AN93" s="317"/>
      <c r="AO93" s="723"/>
      <c r="AP93" s="723"/>
      <c r="AQ93" s="723"/>
      <c r="AR93" s="4"/>
      <c r="AS93" s="4"/>
      <c r="AT93" s="4"/>
      <c r="AU93" s="4"/>
      <c r="AV93" s="4"/>
      <c r="AW93" s="4"/>
      <c r="AX93" s="4"/>
      <c r="AY93" s="4"/>
      <c r="AZ93" s="4"/>
      <c r="BA93" s="4"/>
      <c r="BB93" s="4"/>
      <c r="BC93" s="4"/>
      <c r="BD93" s="4"/>
      <c r="BE93" s="4"/>
      <c r="BF93" s="4"/>
      <c r="BG93" s="4"/>
      <c r="BH93" s="4"/>
      <c r="BI93" s="4"/>
      <c r="BJ93" s="4"/>
    </row>
    <row r="94" spans="1:62" ht="14.4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628"/>
      <c r="AN94" s="317"/>
      <c r="AO94" s="725"/>
      <c r="AP94" s="725"/>
      <c r="AQ94" s="725"/>
      <c r="AR94" s="4"/>
      <c r="AS94" s="4"/>
      <c r="AT94" s="4"/>
      <c r="AU94" s="4"/>
      <c r="AV94" s="4"/>
      <c r="AW94" s="4"/>
      <c r="AX94" s="4"/>
      <c r="AY94" s="4"/>
      <c r="AZ94" s="4"/>
      <c r="BA94" s="4"/>
      <c r="BB94" s="4"/>
      <c r="BC94" s="4"/>
      <c r="BD94" s="4"/>
      <c r="BE94" s="4"/>
      <c r="BF94" s="4"/>
      <c r="BG94" s="4"/>
      <c r="BH94" s="4"/>
      <c r="BI94" s="4"/>
      <c r="BJ94" s="4"/>
    </row>
    <row r="95" spans="1:62" ht="14.4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318"/>
      <c r="AN95" s="316"/>
      <c r="AO95" s="723"/>
      <c r="AP95" s="723"/>
      <c r="AQ95" s="723"/>
      <c r="AR95" s="4"/>
      <c r="AS95" s="4"/>
      <c r="AT95" s="4"/>
      <c r="AU95" s="4"/>
      <c r="AV95" s="4"/>
      <c r="AW95" s="4"/>
      <c r="AX95" s="4"/>
      <c r="AY95" s="4"/>
      <c r="AZ95" s="4"/>
      <c r="BA95" s="4"/>
      <c r="BB95" s="4"/>
      <c r="BC95" s="4"/>
      <c r="BD95" s="4"/>
      <c r="BE95" s="4"/>
      <c r="BF95" s="4"/>
      <c r="BG95" s="4"/>
      <c r="BH95" s="4"/>
      <c r="BI95" s="4"/>
      <c r="BJ95" s="4"/>
    </row>
    <row r="96" spans="1:62" ht="14.45">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628"/>
      <c r="AN96" s="317"/>
      <c r="AO96" s="725"/>
      <c r="AP96" s="725"/>
      <c r="AQ96" s="725"/>
      <c r="AR96" s="4"/>
      <c r="AS96" s="4"/>
      <c r="AT96" s="4"/>
      <c r="AU96" s="4"/>
      <c r="AV96" s="4"/>
      <c r="AW96" s="4"/>
      <c r="AX96" s="4"/>
      <c r="AY96" s="4"/>
      <c r="AZ96" s="4"/>
      <c r="BA96" s="4"/>
      <c r="BB96" s="4"/>
      <c r="BC96" s="4"/>
      <c r="BD96" s="4"/>
      <c r="BE96" s="4"/>
      <c r="BF96" s="4"/>
      <c r="BG96" s="4"/>
      <c r="BH96" s="4"/>
      <c r="BI96" s="4"/>
      <c r="BJ96" s="4"/>
    </row>
    <row r="97" spans="1:62">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761"/>
      <c r="AN97" s="761"/>
      <c r="AO97" s="761"/>
      <c r="AP97" s="761"/>
      <c r="AQ97" s="761"/>
      <c r="AR97" s="4"/>
      <c r="AS97" s="4"/>
      <c r="AT97" s="4"/>
      <c r="AU97" s="4"/>
      <c r="AV97" s="4"/>
      <c r="AW97" s="4"/>
      <c r="AX97" s="4"/>
      <c r="AY97" s="4"/>
      <c r="AZ97" s="4"/>
      <c r="BA97" s="4"/>
      <c r="BB97" s="4"/>
      <c r="BC97" s="4"/>
      <c r="BD97" s="4"/>
      <c r="BE97" s="4"/>
      <c r="BF97" s="4"/>
      <c r="BG97" s="4"/>
      <c r="BH97" s="4"/>
      <c r="BI97" s="4"/>
      <c r="BJ97" s="4"/>
    </row>
    <row r="98" spans="1:62">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row>
    <row r="99" spans="1:62">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301"/>
      <c r="AO99" s="4"/>
      <c r="AP99" s="4"/>
      <c r="AQ99" s="4"/>
      <c r="AR99" s="4"/>
      <c r="AS99" s="4"/>
      <c r="AT99" s="4"/>
      <c r="AU99" s="4"/>
      <c r="AV99" s="4"/>
      <c r="AW99" s="4"/>
      <c r="AX99" s="4"/>
      <c r="AY99" s="4"/>
      <c r="AZ99" s="4"/>
      <c r="BA99" s="4"/>
      <c r="BB99" s="4"/>
      <c r="BC99" s="4"/>
      <c r="BD99" s="4"/>
      <c r="BE99" s="4"/>
      <c r="BF99" s="4"/>
      <c r="BG99" s="4"/>
      <c r="BH99" s="4"/>
      <c r="BI99" s="4"/>
      <c r="BJ99" s="4"/>
    </row>
    <row r="100" spans="1:6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row>
    <row r="101" spans="1:6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row>
    <row r="102" spans="1:6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row>
    <row r="103" spans="1:6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762"/>
      <c r="AN103" s="762"/>
      <c r="AO103" s="762"/>
      <c r="AP103" s="762"/>
      <c r="AQ103" s="4"/>
      <c r="AR103" s="4"/>
      <c r="AS103" s="4"/>
      <c r="AT103" s="4"/>
      <c r="AU103" s="4"/>
      <c r="AV103" s="4"/>
      <c r="AW103" s="4"/>
      <c r="AX103" s="4"/>
      <c r="AY103" s="4"/>
      <c r="AZ103" s="4"/>
      <c r="BA103" s="4"/>
      <c r="BB103" s="4"/>
      <c r="BC103" s="4"/>
      <c r="BD103" s="4"/>
      <c r="BE103" s="4"/>
      <c r="BF103" s="4"/>
      <c r="BG103" s="4"/>
      <c r="BH103" s="4"/>
      <c r="BI103" s="4"/>
      <c r="BJ103" s="4"/>
    </row>
    <row r="104" spans="1:6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319"/>
      <c r="AN104" s="5"/>
      <c r="AO104" s="319"/>
      <c r="AP104" s="319"/>
      <c r="AQ104" s="4"/>
      <c r="AR104" s="4"/>
      <c r="AS104" s="4"/>
      <c r="AT104" s="4"/>
      <c r="AU104" s="4"/>
      <c r="AV104" s="4"/>
      <c r="AW104" s="4"/>
      <c r="AX104" s="4"/>
      <c r="AY104" s="4"/>
      <c r="AZ104" s="4"/>
      <c r="BA104" s="4"/>
      <c r="BB104" s="4"/>
      <c r="BC104" s="4"/>
      <c r="BD104" s="4"/>
      <c r="BE104" s="4"/>
      <c r="BF104" s="4"/>
      <c r="BG104" s="4"/>
      <c r="BH104" s="4"/>
      <c r="BI104" s="4"/>
      <c r="BJ104" s="4"/>
    </row>
    <row r="105" spans="1:6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5"/>
      <c r="AN105" s="5"/>
      <c r="AO105" s="320"/>
      <c r="AP105" s="321"/>
      <c r="AQ105" s="4"/>
      <c r="AR105" s="4"/>
      <c r="AS105" s="4"/>
      <c r="AT105" s="4"/>
      <c r="AU105" s="4"/>
      <c r="AV105" s="4"/>
      <c r="AW105" s="4"/>
      <c r="AX105" s="4"/>
      <c r="AY105" s="4"/>
      <c r="AZ105" s="4"/>
      <c r="BA105" s="4"/>
      <c r="BB105" s="4"/>
      <c r="BC105" s="4"/>
      <c r="BD105" s="4"/>
      <c r="BE105" s="4"/>
      <c r="BF105" s="4"/>
      <c r="BG105" s="4"/>
      <c r="BH105" s="4"/>
      <c r="BI105" s="4"/>
      <c r="BJ105" s="4"/>
    </row>
    <row r="106" spans="1:6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5"/>
      <c r="AN106" s="5"/>
      <c r="AO106" s="5"/>
      <c r="AP106" s="4"/>
      <c r="AQ106" s="4"/>
      <c r="AR106" s="4"/>
      <c r="AS106" s="4"/>
      <c r="AT106" s="4"/>
      <c r="AU106" s="4"/>
      <c r="AV106" s="4"/>
      <c r="AW106" s="4"/>
      <c r="AX106" s="4"/>
      <c r="AY106" s="4"/>
      <c r="AZ106" s="4"/>
      <c r="BA106" s="4"/>
      <c r="BB106" s="4"/>
      <c r="BC106" s="4"/>
      <c r="BD106" s="4"/>
      <c r="BE106" s="4"/>
      <c r="BF106" s="4"/>
      <c r="BG106" s="4"/>
      <c r="BH106" s="4"/>
      <c r="BI106" s="4"/>
      <c r="BJ106" s="4"/>
    </row>
    <row r="107" spans="1:6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5"/>
      <c r="AN107" s="5"/>
      <c r="AO107" s="5"/>
      <c r="AP107" s="321"/>
      <c r="AQ107" s="4"/>
      <c r="AR107" s="4"/>
      <c r="AS107" s="4"/>
      <c r="AT107" s="4"/>
      <c r="AU107" s="4"/>
      <c r="AV107" s="4"/>
      <c r="AW107" s="4"/>
      <c r="AX107" s="4"/>
      <c r="AY107" s="4"/>
      <c r="AZ107" s="4"/>
      <c r="BA107" s="4"/>
      <c r="BB107" s="4"/>
      <c r="BC107" s="4"/>
      <c r="BD107" s="4"/>
      <c r="BE107" s="4"/>
      <c r="BF107" s="4"/>
      <c r="BG107" s="4"/>
      <c r="BH107" s="4"/>
      <c r="BI107" s="4"/>
      <c r="BJ107" s="4"/>
    </row>
    <row r="108" spans="1:6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5"/>
      <c r="AN108" s="5"/>
      <c r="AO108" s="5"/>
      <c r="AP108" s="321"/>
      <c r="AQ108" s="4"/>
      <c r="AR108" s="4"/>
      <c r="AS108" s="4"/>
      <c r="AT108" s="4"/>
      <c r="AU108" s="4"/>
      <c r="AV108" s="4"/>
      <c r="AW108" s="4"/>
      <c r="AX108" s="4"/>
      <c r="AY108" s="4"/>
      <c r="AZ108" s="4"/>
      <c r="BA108" s="4"/>
      <c r="BB108" s="4"/>
      <c r="BC108" s="4"/>
      <c r="BD108" s="4"/>
      <c r="BE108" s="4"/>
      <c r="BF108" s="4"/>
      <c r="BG108" s="4"/>
      <c r="BH108" s="4"/>
      <c r="BI108" s="4"/>
      <c r="BJ108" s="4"/>
    </row>
    <row r="109" spans="1:6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308"/>
      <c r="AN109" s="5"/>
      <c r="AO109" s="5"/>
      <c r="AP109" s="4"/>
      <c r="AQ109" s="4"/>
      <c r="AR109" s="4"/>
      <c r="AS109" s="4"/>
      <c r="AT109" s="4"/>
      <c r="AU109" s="4"/>
      <c r="AV109" s="4"/>
      <c r="AW109" s="4"/>
      <c r="AX109" s="4"/>
      <c r="AY109" s="4"/>
      <c r="AZ109" s="4"/>
      <c r="BA109" s="4"/>
      <c r="BB109" s="4"/>
      <c r="BC109" s="4"/>
      <c r="BD109" s="4"/>
      <c r="BE109" s="4"/>
      <c r="BF109" s="4"/>
      <c r="BG109" s="4"/>
      <c r="BH109" s="4"/>
      <c r="BI109" s="4"/>
      <c r="BJ109" s="4"/>
    </row>
    <row r="110" spans="1:6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308"/>
      <c r="AN110" s="5"/>
      <c r="AO110" s="5"/>
      <c r="AP110" s="4"/>
      <c r="AQ110" s="4"/>
      <c r="AR110" s="4"/>
      <c r="AS110" s="4"/>
      <c r="AT110" s="4"/>
      <c r="AU110" s="4"/>
      <c r="AV110" s="4"/>
      <c r="AW110" s="4"/>
      <c r="AX110" s="4"/>
      <c r="AY110" s="4"/>
      <c r="AZ110" s="4"/>
      <c r="BA110" s="4"/>
      <c r="BB110" s="4"/>
      <c r="BC110" s="4"/>
      <c r="BD110" s="4"/>
      <c r="BE110" s="4"/>
      <c r="BF110" s="4"/>
      <c r="BG110" s="4"/>
      <c r="BH110" s="4"/>
      <c r="BI110" s="4"/>
      <c r="BJ110" s="4"/>
    </row>
    <row r="111" spans="1:6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308"/>
      <c r="AN111" s="5"/>
      <c r="AO111" s="5"/>
      <c r="AP111" s="4"/>
      <c r="AQ111" s="4"/>
      <c r="AR111" s="4"/>
      <c r="AS111" s="4"/>
      <c r="AT111" s="4"/>
      <c r="AU111" s="4"/>
      <c r="AV111" s="4"/>
      <c r="AW111" s="4"/>
      <c r="AX111" s="4"/>
      <c r="AY111" s="4"/>
      <c r="AZ111" s="4"/>
      <c r="BA111" s="4"/>
      <c r="BB111" s="4"/>
      <c r="BC111" s="4"/>
      <c r="BD111" s="4"/>
      <c r="BE111" s="4"/>
      <c r="BF111" s="4"/>
      <c r="BG111" s="4"/>
      <c r="BH111" s="4"/>
      <c r="BI111" s="4"/>
      <c r="BJ111" s="4"/>
    </row>
    <row r="112" spans="1:6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row>
    <row r="113" spans="2:62" ht="15" customHeight="1">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row>
    <row r="114" spans="2:62" ht="15" customHeight="1">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row>
    <row r="115" spans="2:62">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760"/>
      <c r="AN115" s="760"/>
      <c r="AO115" s="760"/>
      <c r="AP115" s="4"/>
      <c r="AQ115" s="4"/>
      <c r="AR115" s="4"/>
      <c r="AS115" s="4"/>
      <c r="AT115" s="4"/>
      <c r="AU115" s="4"/>
      <c r="AV115" s="4"/>
      <c r="AW115" s="4"/>
      <c r="AX115" s="4"/>
      <c r="AY115" s="4"/>
      <c r="AZ115" s="4"/>
      <c r="BA115" s="4"/>
      <c r="BB115" s="4"/>
      <c r="BC115" s="4"/>
      <c r="BD115" s="4"/>
      <c r="BE115" s="4"/>
      <c r="BF115" s="4"/>
      <c r="BG115" s="4"/>
      <c r="BH115" s="4"/>
      <c r="BI115" s="4"/>
      <c r="BJ115" s="4"/>
    </row>
    <row r="116" spans="2:62">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row>
    <row r="117" spans="2:62">
      <c r="B117" s="4"/>
      <c r="C117" s="4"/>
      <c r="D117" s="4"/>
      <c r="E117" s="4"/>
      <c r="F117" s="4"/>
      <c r="G117" s="4"/>
      <c r="H117" s="4"/>
      <c r="I117" s="4"/>
      <c r="J117" s="4"/>
      <c r="K117" s="4"/>
      <c r="L117" s="401"/>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row>
    <row r="118" spans="2:62">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row>
    <row r="119" spans="2:62">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row>
    <row r="120" spans="2:62">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row>
    <row r="121" spans="2:62">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row>
    <row r="122" spans="2:62">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row>
    <row r="123" spans="2:62">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row>
    <row r="124" spans="2:62">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row>
    <row r="125" spans="2:62">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row>
    <row r="126" spans="2:62">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row>
    <row r="127" spans="2:62">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row>
    <row r="128" spans="2:62">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row>
    <row r="129" spans="2:62">
      <c r="B129" s="301"/>
      <c r="C129" s="4"/>
      <c r="D129" s="4"/>
      <c r="E129" s="4"/>
      <c r="F129" s="4"/>
      <c r="G129" s="308"/>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row>
    <row r="130" spans="2:62">
      <c r="B130" s="301"/>
      <c r="C130" s="4"/>
      <c r="D130" s="4"/>
      <c r="E130" s="4"/>
      <c r="F130" s="4"/>
      <c r="G130" s="308"/>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row>
    <row r="131" spans="2:62">
      <c r="B131" s="301"/>
      <c r="C131" s="4"/>
      <c r="D131" s="4"/>
      <c r="E131" s="4"/>
      <c r="F131" s="4"/>
      <c r="G131" s="308"/>
      <c r="H131" s="308"/>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row>
  </sheetData>
  <mergeCells count="89">
    <mergeCell ref="E44:E45"/>
    <mergeCell ref="A42:E42"/>
    <mergeCell ref="AO96:AQ96"/>
    <mergeCell ref="AM115:AO115"/>
    <mergeCell ref="AM92:AQ92"/>
    <mergeCell ref="AM97:AQ97"/>
    <mergeCell ref="AM103:AP103"/>
    <mergeCell ref="A51:A55"/>
    <mergeCell ref="E51:T51"/>
    <mergeCell ref="E52:T52"/>
    <mergeCell ref="E53:T53"/>
    <mergeCell ref="E54:T54"/>
    <mergeCell ref="E55:T55"/>
    <mergeCell ref="A66:B66"/>
    <mergeCell ref="L66:N66"/>
    <mergeCell ref="F62:G62"/>
    <mergeCell ref="AQ28:AT28"/>
    <mergeCell ref="AU28:AX28"/>
    <mergeCell ref="AG28:AK28"/>
    <mergeCell ref="AB28:AF28"/>
    <mergeCell ref="AL28:AP28"/>
    <mergeCell ref="E24:L24"/>
    <mergeCell ref="A1:X1"/>
    <mergeCell ref="A80:A81"/>
    <mergeCell ref="B80:D80"/>
    <mergeCell ref="D18:D19"/>
    <mergeCell ref="C18:C22"/>
    <mergeCell ref="E18:E22"/>
    <mergeCell ref="A13:A22"/>
    <mergeCell ref="B18:B22"/>
    <mergeCell ref="B13:B17"/>
    <mergeCell ref="C75:E75"/>
    <mergeCell ref="C72:E72"/>
    <mergeCell ref="A74:B74"/>
    <mergeCell ref="A75:B75"/>
    <mergeCell ref="A72:B73"/>
    <mergeCell ref="I28:X28"/>
    <mergeCell ref="I30:X30"/>
    <mergeCell ref="E26:E30"/>
    <mergeCell ref="I27:X27"/>
    <mergeCell ref="I26:X26"/>
    <mergeCell ref="I25:X25"/>
    <mergeCell ref="I29:X29"/>
    <mergeCell ref="D20:D22"/>
    <mergeCell ref="H8:H9"/>
    <mergeCell ref="H18:H19"/>
    <mergeCell ref="H13:H14"/>
    <mergeCell ref="B3:B7"/>
    <mergeCell ref="E3:E7"/>
    <mergeCell ref="E8:E12"/>
    <mergeCell ref="E13:E17"/>
    <mergeCell ref="D8:D12"/>
    <mergeCell ref="D15:D17"/>
    <mergeCell ref="D13:D14"/>
    <mergeCell ref="C13:C17"/>
    <mergeCell ref="B8:B12"/>
    <mergeCell ref="A3:A7"/>
    <mergeCell ref="D3:D7"/>
    <mergeCell ref="C3:C7"/>
    <mergeCell ref="C8:C12"/>
    <mergeCell ref="A8:A12"/>
    <mergeCell ref="F66:G66"/>
    <mergeCell ref="F65:G65"/>
    <mergeCell ref="F64:G64"/>
    <mergeCell ref="F63:G63"/>
    <mergeCell ref="L62:N62"/>
    <mergeCell ref="L63:N63"/>
    <mergeCell ref="L65:N65"/>
    <mergeCell ref="I60:K60"/>
    <mergeCell ref="A60:B60"/>
    <mergeCell ref="L64:N64"/>
    <mergeCell ref="I61:K61"/>
    <mergeCell ref="I62:K62"/>
    <mergeCell ref="I63:K63"/>
    <mergeCell ref="I64:K64"/>
    <mergeCell ref="A61:B61"/>
    <mergeCell ref="C61:E61"/>
    <mergeCell ref="F60:G60"/>
    <mergeCell ref="F61:G61"/>
    <mergeCell ref="L60:N60"/>
    <mergeCell ref="A62:B62"/>
    <mergeCell ref="A63:A65"/>
    <mergeCell ref="L61:N61"/>
    <mergeCell ref="AL73:AM73"/>
    <mergeCell ref="AO95:AQ95"/>
    <mergeCell ref="AO93:AQ93"/>
    <mergeCell ref="I65:K65"/>
    <mergeCell ref="I66:K66"/>
    <mergeCell ref="AO94:AQ94"/>
  </mergeCells>
  <phoneticPr fontId="7" type="noConversion"/>
  <hyperlinks>
    <hyperlink ref="G33" r:id="rId1"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1B5F6D1B-03B9-47F7-BAB0-A55D2202C4A4}"/>
    <hyperlink ref="H26" r:id="rId2" xr:uid="{3C8DB427-DA30-47E9-BA90-9B3A466DD772}"/>
    <hyperlink ref="H27" r:id="rId3" xr:uid="{D71B4B04-F1A8-4115-A056-071DB61E6ADA}"/>
    <hyperlink ref="H28" r:id="rId4" xr:uid="{CB2960E7-F88A-41AC-816E-8166DB992A78}"/>
  </hyperlinks>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L184"/>
  <sheetViews>
    <sheetView zoomScale="85" zoomScaleNormal="85" workbookViewId="0">
      <selection sqref="A1:E1"/>
    </sheetView>
  </sheetViews>
  <sheetFormatPr defaultColWidth="8.7109375" defaultRowHeight="13.15"/>
  <cols>
    <col min="1" max="1" width="26" style="6" customWidth="1"/>
    <col min="2" max="2" width="27.28515625" style="6" customWidth="1"/>
    <col min="3" max="3" width="25.28515625" style="6" customWidth="1"/>
    <col min="4" max="4" width="29.42578125" style="6" customWidth="1"/>
    <col min="5" max="5" width="33.28515625" style="6" customWidth="1"/>
    <col min="6" max="6" width="30.7109375" style="6" customWidth="1"/>
    <col min="7" max="7" width="29.85546875" style="6" customWidth="1"/>
    <col min="8" max="8" width="30.28515625" style="6" customWidth="1"/>
    <col min="9" max="9" width="21.5703125" style="6" customWidth="1"/>
    <col min="10" max="11" width="12.7109375" style="6" customWidth="1"/>
    <col min="12" max="19" width="15.28515625" style="6" customWidth="1"/>
    <col min="20" max="20" width="14.7109375" style="6" customWidth="1"/>
    <col min="21" max="21" width="13.5703125" style="6" customWidth="1"/>
    <col min="22" max="22" width="15.7109375" style="6" customWidth="1"/>
    <col min="23" max="29" width="11" style="6" customWidth="1"/>
    <col min="30" max="38" width="6.5703125" style="6" customWidth="1"/>
    <col min="39" max="39" width="8.7109375" style="6" customWidth="1"/>
    <col min="40" max="16384" width="8.7109375" style="6"/>
  </cols>
  <sheetData>
    <row r="1" spans="1:9" ht="27" customHeight="1">
      <c r="A1" s="783" t="str">
        <f>"HVAC System - "&amp;Prototype!A2</f>
        <v>HVAC System - OfficeSmall</v>
      </c>
      <c r="B1" s="783"/>
      <c r="C1" s="783"/>
      <c r="D1" s="783"/>
      <c r="E1" s="783"/>
    </row>
    <row r="2" spans="1:9" ht="19.149999999999999" customHeight="1">
      <c r="A2" s="667" t="s">
        <v>160</v>
      </c>
      <c r="B2" s="667" t="s">
        <v>274</v>
      </c>
      <c r="C2" s="667" t="s">
        <v>275</v>
      </c>
      <c r="D2" s="667" t="s">
        <v>276</v>
      </c>
      <c r="E2" s="667" t="s">
        <v>277</v>
      </c>
    </row>
    <row r="3" spans="1:9" ht="27.6" customHeight="1">
      <c r="A3" s="652" t="s">
        <v>278</v>
      </c>
      <c r="B3" s="652" t="s">
        <v>279</v>
      </c>
      <c r="C3" s="106" t="s">
        <v>280</v>
      </c>
      <c r="D3" s="639" t="s">
        <v>281</v>
      </c>
      <c r="E3" s="639" t="s">
        <v>3</v>
      </c>
      <c r="F3" s="624" t="s">
        <v>282</v>
      </c>
      <c r="G3" s="624"/>
      <c r="H3" s="624"/>
      <c r="I3" s="624"/>
    </row>
    <row r="4" spans="1:9" ht="25.9" customHeight="1">
      <c r="A4" s="652" t="s">
        <v>283</v>
      </c>
      <c r="B4" s="652" t="s">
        <v>284</v>
      </c>
      <c r="C4" s="639" t="s">
        <v>285</v>
      </c>
      <c r="D4" s="639" t="s">
        <v>281</v>
      </c>
      <c r="E4" s="639" t="s">
        <v>286</v>
      </c>
      <c r="F4" s="558" t="s">
        <v>287</v>
      </c>
      <c r="G4" s="480"/>
      <c r="H4" s="480"/>
      <c r="I4" s="480"/>
    </row>
    <row r="5" spans="1:9" ht="15.6" customHeight="1">
      <c r="A5" s="625"/>
      <c r="B5" s="625"/>
      <c r="C5" s="625"/>
      <c r="D5" s="625"/>
      <c r="E5" s="625"/>
    </row>
    <row r="6" spans="1:9">
      <c r="A6" s="625"/>
      <c r="B6" s="625"/>
      <c r="C6" s="625"/>
      <c r="D6" s="625"/>
      <c r="E6" s="625"/>
    </row>
    <row r="7" spans="1:9">
      <c r="A7" s="625"/>
      <c r="B7" s="625"/>
      <c r="C7" s="625"/>
      <c r="D7" s="625"/>
      <c r="E7" s="625"/>
    </row>
    <row r="8" spans="1:9" ht="25.9" customHeight="1">
      <c r="A8" s="783" t="s">
        <v>288</v>
      </c>
      <c r="B8" s="783"/>
      <c r="C8" s="783"/>
      <c r="D8" s="783"/>
      <c r="E8" s="752"/>
    </row>
    <row r="9" spans="1:9" ht="17.649999999999999" customHeight="1">
      <c r="A9" s="107" t="s">
        <v>160</v>
      </c>
      <c r="B9" s="107" t="s">
        <v>289</v>
      </c>
      <c r="C9" s="80" t="s">
        <v>274</v>
      </c>
      <c r="D9" s="80" t="s">
        <v>275</v>
      </c>
      <c r="E9" s="667" t="s">
        <v>277</v>
      </c>
      <c r="G9" s="667" t="s">
        <v>290</v>
      </c>
      <c r="H9" s="667" t="s">
        <v>277</v>
      </c>
      <c r="I9" s="667" t="s">
        <v>291</v>
      </c>
    </row>
    <row r="10" spans="1:9" ht="17.649999999999999" customHeight="1">
      <c r="A10" s="633" t="s">
        <v>183</v>
      </c>
      <c r="B10" s="774">
        <v>2008</v>
      </c>
      <c r="C10" s="774" t="s">
        <v>292</v>
      </c>
      <c r="D10" s="774" t="s">
        <v>293</v>
      </c>
      <c r="E10" s="777" t="s">
        <v>294</v>
      </c>
      <c r="G10" s="243">
        <f>((9-0.2)/3.413+$I$10)/(1-$I$10)</f>
        <v>3.0663372666009647</v>
      </c>
      <c r="H10" s="793" t="s">
        <v>295</v>
      </c>
      <c r="I10" s="782">
        <v>0.12</v>
      </c>
    </row>
    <row r="11" spans="1:9" ht="17.649999999999999" customHeight="1">
      <c r="A11" s="633" t="s">
        <v>186</v>
      </c>
      <c r="B11" s="775"/>
      <c r="C11" s="775"/>
      <c r="D11" s="775"/>
      <c r="E11" s="778"/>
      <c r="G11" s="243">
        <f>((9-0.2)/3.413+$I$10)/(1-$I$10)</f>
        <v>3.0663372666009647</v>
      </c>
      <c r="H11" s="793"/>
      <c r="I11" s="782"/>
    </row>
    <row r="12" spans="1:9" ht="17.649999999999999" customHeight="1">
      <c r="A12" s="633" t="s">
        <v>188</v>
      </c>
      <c r="B12" s="776"/>
      <c r="C12" s="776"/>
      <c r="D12" s="776"/>
      <c r="E12" s="741"/>
      <c r="G12" s="243">
        <f>((9-0.2)/3.413+$I$10)/(1-$I$10)</f>
        <v>3.0663372666009647</v>
      </c>
      <c r="H12" s="793"/>
      <c r="I12" s="782"/>
    </row>
    <row r="13" spans="1:9" ht="28.9" customHeight="1">
      <c r="A13" s="633" t="s">
        <v>190</v>
      </c>
      <c r="B13" s="633">
        <v>2010</v>
      </c>
      <c r="C13" s="633" t="s">
        <v>296</v>
      </c>
      <c r="D13" s="632" t="s">
        <v>297</v>
      </c>
      <c r="E13" s="632" t="s">
        <v>298</v>
      </c>
      <c r="G13" s="243">
        <f>((9-0.2)/3.413+$I$10)/(1-$I$10)</f>
        <v>3.0663372666009647</v>
      </c>
      <c r="H13" s="793"/>
      <c r="I13" s="782"/>
    </row>
    <row r="14" spans="1:9" ht="25.15" customHeight="1">
      <c r="A14" s="644" t="s">
        <v>283</v>
      </c>
      <c r="B14" s="633">
        <v>2025</v>
      </c>
      <c r="C14" s="633" t="s">
        <v>299</v>
      </c>
      <c r="D14" s="633" t="s">
        <v>300</v>
      </c>
      <c r="E14" s="632" t="s">
        <v>301</v>
      </c>
      <c r="G14" s="243">
        <f>((-0.0182*13.4^2+1.1088*13.4)/3.413+I10)/(1-I10)</f>
        <v>3.9952481154942334</v>
      </c>
      <c r="H14" s="793"/>
      <c r="I14" s="782"/>
    </row>
    <row r="15" spans="1:9">
      <c r="B15" s="8"/>
      <c r="C15" s="8"/>
      <c r="D15" s="108"/>
      <c r="E15" s="8"/>
    </row>
    <row r="16" spans="1:9">
      <c r="A16" s="109"/>
      <c r="B16" s="8"/>
      <c r="C16" s="8"/>
      <c r="D16" s="108"/>
      <c r="E16" s="8"/>
    </row>
    <row r="17" spans="1:8">
      <c r="A17" s="110"/>
      <c r="B17" s="8"/>
      <c r="C17" s="8"/>
      <c r="D17" s="108"/>
      <c r="E17" s="8"/>
    </row>
    <row r="18" spans="1:8" ht="13.9" customHeight="1">
      <c r="A18" s="10"/>
      <c r="D18" s="91"/>
    </row>
    <row r="19" spans="1:8" ht="22.15" customHeight="1">
      <c r="A19" s="779" t="s">
        <v>302</v>
      </c>
      <c r="B19" s="779"/>
      <c r="C19" s="779"/>
      <c r="D19" s="779"/>
      <c r="E19" s="779"/>
      <c r="F19" s="779"/>
      <c r="G19" s="779"/>
      <c r="H19" s="779"/>
    </row>
    <row r="20" spans="1:8" ht="45.6" customHeight="1">
      <c r="A20" s="382" t="s">
        <v>160</v>
      </c>
      <c r="B20" s="382" t="s">
        <v>303</v>
      </c>
      <c r="C20" s="382" t="s">
        <v>304</v>
      </c>
      <c r="D20" s="383" t="s">
        <v>305</v>
      </c>
      <c r="E20" s="383" t="s">
        <v>306</v>
      </c>
      <c r="F20" s="383" t="s">
        <v>307</v>
      </c>
      <c r="G20" s="383" t="s">
        <v>308</v>
      </c>
      <c r="H20" s="384" t="s">
        <v>309</v>
      </c>
    </row>
    <row r="21" spans="1:8" ht="56.45" customHeight="1">
      <c r="A21" s="638" t="s">
        <v>310</v>
      </c>
      <c r="B21" s="385" t="s">
        <v>311</v>
      </c>
      <c r="C21" s="386" t="s">
        <v>312</v>
      </c>
      <c r="D21" s="386">
        <v>1.33</v>
      </c>
      <c r="E21" s="386">
        <v>0.65</v>
      </c>
      <c r="F21" s="387" t="s">
        <v>313</v>
      </c>
      <c r="G21" s="388"/>
      <c r="H21" s="400" t="s">
        <v>314</v>
      </c>
    </row>
    <row r="22" spans="1:8" ht="13.9" customHeight="1">
      <c r="A22" s="389" t="s">
        <v>315</v>
      </c>
      <c r="B22" s="136"/>
      <c r="C22" s="390"/>
      <c r="D22" s="390"/>
      <c r="E22" s="390"/>
      <c r="F22" s="391"/>
      <c r="G22" s="391"/>
      <c r="H22" s="392"/>
    </row>
    <row r="23" spans="1:8" ht="13.9" customHeight="1">
      <c r="A23" s="389" t="s">
        <v>316</v>
      </c>
      <c r="B23" s="136"/>
      <c r="C23" s="390"/>
      <c r="D23" s="390"/>
      <c r="E23" s="390"/>
      <c r="F23" s="391"/>
      <c r="G23" s="391"/>
      <c r="H23" s="392"/>
    </row>
    <row r="24" spans="1:8" ht="13.9" customHeight="1">
      <c r="A24" s="729" t="s">
        <v>283</v>
      </c>
      <c r="B24" s="729" t="s">
        <v>317</v>
      </c>
      <c r="C24" s="386" t="s">
        <v>318</v>
      </c>
      <c r="D24" s="60">
        <f>G24*$F$23*$E$23/746*6356</f>
        <v>0</v>
      </c>
      <c r="E24" s="780">
        <v>0.65</v>
      </c>
      <c r="F24" s="780">
        <v>0.9</v>
      </c>
      <c r="G24" s="393">
        <v>0.74399999999999999</v>
      </c>
      <c r="H24" s="791" t="s">
        <v>319</v>
      </c>
    </row>
    <row r="25" spans="1:8" ht="13.9" customHeight="1">
      <c r="A25" s="729"/>
      <c r="B25" s="729"/>
      <c r="C25" s="386" t="s">
        <v>320</v>
      </c>
      <c r="D25" s="60">
        <f>G25*$F$23*$E$23/746*6356</f>
        <v>0</v>
      </c>
      <c r="E25" s="781"/>
      <c r="F25" s="781"/>
      <c r="G25" s="393">
        <v>0.96399999999999997</v>
      </c>
      <c r="H25" s="792"/>
    </row>
    <row r="26" spans="1:8" ht="13.9" customHeight="1">
      <c r="A26" s="625"/>
      <c r="B26" s="625"/>
      <c r="C26" s="394"/>
      <c r="D26" s="395"/>
      <c r="E26" s="625"/>
      <c r="F26" s="624" t="s">
        <v>321</v>
      </c>
      <c r="G26" s="290"/>
      <c r="H26" s="625"/>
    </row>
    <row r="27" spans="1:8" ht="13.9" customHeight="1">
      <c r="A27" s="6" t="s">
        <v>322</v>
      </c>
      <c r="B27" s="396"/>
      <c r="C27" s="396"/>
      <c r="D27" s="397"/>
      <c r="E27" s="8"/>
      <c r="F27" s="8"/>
    </row>
    <row r="28" spans="1:8" ht="13.9" customHeight="1">
      <c r="A28" s="8" t="s">
        <v>323</v>
      </c>
      <c r="B28" s="396"/>
      <c r="C28" s="396"/>
      <c r="D28" s="397"/>
      <c r="E28" s="8"/>
      <c r="F28" s="8"/>
    </row>
    <row r="29" spans="1:8" ht="13.9" customHeight="1">
      <c r="A29" s="645" t="s">
        <v>324</v>
      </c>
      <c r="B29" s="394"/>
      <c r="C29" s="394"/>
      <c r="D29" s="398"/>
      <c r="E29" s="8"/>
      <c r="H29" s="399"/>
    </row>
    <row r="30" spans="1:8" ht="13.9" customHeight="1">
      <c r="A30" s="10"/>
      <c r="D30" s="91"/>
    </row>
    <row r="31" spans="1:8" ht="13.9" customHeight="1">
      <c r="D31" s="91"/>
    </row>
    <row r="32" spans="1:8" ht="13.9" customHeight="1">
      <c r="D32" s="91"/>
    </row>
    <row r="33" spans="1:38" ht="18" customHeight="1">
      <c r="D33" s="91"/>
    </row>
    <row r="34" spans="1:38" ht="13.9" customHeight="1">
      <c r="D34" s="91"/>
    </row>
    <row r="35" spans="1:38" s="35" customFormat="1" hidden="1">
      <c r="A35" s="35" t="s">
        <v>85</v>
      </c>
    </row>
    <row r="36" spans="1:38" hidden="1">
      <c r="A36" s="10"/>
      <c r="D36" s="91"/>
    </row>
    <row r="37" spans="1:38" hidden="1">
      <c r="B37" s="379" t="s">
        <v>149</v>
      </c>
      <c r="C37" s="380" t="s">
        <v>148</v>
      </c>
      <c r="D37" s="379" t="s">
        <v>150</v>
      </c>
      <c r="E37" s="379" t="s">
        <v>91</v>
      </c>
    </row>
    <row r="38" spans="1:38" ht="26.45" hidden="1">
      <c r="A38" s="381" t="s">
        <v>325</v>
      </c>
      <c r="B38" s="377">
        <v>57.5</v>
      </c>
      <c r="C38" s="377">
        <v>55</v>
      </c>
      <c r="D38" s="377">
        <v>55</v>
      </c>
      <c r="E38" s="377"/>
    </row>
    <row r="39" spans="1:38" hidden="1">
      <c r="A39" s="381" t="s">
        <v>326</v>
      </c>
      <c r="B39" s="377" t="s">
        <v>327</v>
      </c>
      <c r="C39" s="377" t="s">
        <v>328</v>
      </c>
      <c r="D39" s="378" t="s">
        <v>329</v>
      </c>
      <c r="E39" s="377" t="s">
        <v>328</v>
      </c>
    </row>
    <row r="40" spans="1:38" hidden="1">
      <c r="A40" s="381" t="s">
        <v>330</v>
      </c>
      <c r="B40" s="377" t="s">
        <v>331</v>
      </c>
      <c r="C40" s="377" t="s">
        <v>332</v>
      </c>
      <c r="D40" s="377" t="s">
        <v>332</v>
      </c>
      <c r="E40" s="377" t="s">
        <v>331</v>
      </c>
    </row>
    <row r="41" spans="1:38" hidden="1">
      <c r="A41" s="10"/>
      <c r="D41" s="91"/>
    </row>
    <row r="42" spans="1:38" hidden="1">
      <c r="A42" s="112" t="s">
        <v>333</v>
      </c>
      <c r="B42" s="112"/>
      <c r="C42" s="112"/>
      <c r="D42" s="112"/>
      <c r="E42" s="112"/>
      <c r="F42" s="112"/>
      <c r="G42" s="112"/>
      <c r="H42" s="112"/>
    </row>
    <row r="43" spans="1:38" hidden="1">
      <c r="U43" s="90" t="s">
        <v>334</v>
      </c>
      <c r="V43" s="87" t="e">
        <f>(#REF!+#REF!)/2</f>
        <v>#REF!</v>
      </c>
      <c r="W43" s="88" t="e">
        <f>$V43*#REF!*#REF!</f>
        <v>#REF!</v>
      </c>
      <c r="X43" s="88" t="e">
        <f>$V43*#REF!*#REF!</f>
        <v>#REF!</v>
      </c>
      <c r="Y43" s="88" t="e">
        <f>$V43*#REF!*#REF!</f>
        <v>#REF!</v>
      </c>
      <c r="Z43" s="88" t="e">
        <f>$V43*#REF!*#REF!</f>
        <v>#REF!</v>
      </c>
      <c r="AA43" s="88" t="e">
        <f>$V43*#REF!*#REF!</f>
        <v>#REF!</v>
      </c>
      <c r="AB43" s="88" t="e">
        <f>$V43*#REF!*#REF!</f>
        <v>#REF!</v>
      </c>
      <c r="AC43" s="88" t="e">
        <f>$V43*#REF!*#REF!</f>
        <v>#REF!</v>
      </c>
      <c r="AD43" s="88" t="e">
        <f>$V43*#REF!*#REF!</f>
        <v>#REF!</v>
      </c>
      <c r="AE43" s="88" t="e">
        <f>$V43*#REF!*#REF!</f>
        <v>#REF!</v>
      </c>
      <c r="AF43" s="88" t="e">
        <f>$V43*#REF!*#REF!</f>
        <v>#REF!</v>
      </c>
      <c r="AG43" s="88" t="e">
        <f>$V43*#REF!*#REF!</f>
        <v>#REF!</v>
      </c>
      <c r="AH43" s="88" t="e">
        <f>$V43*#REF!*#REF!</f>
        <v>#REF!</v>
      </c>
      <c r="AI43" s="88" t="e">
        <f>$V43*#REF!*#REF!</f>
        <v>#REF!</v>
      </c>
      <c r="AJ43" s="88" t="e">
        <f>$V43*#REF!*#REF!</f>
        <v>#REF!</v>
      </c>
      <c r="AK43" s="88" t="e">
        <f>$V43*#REF!*#REF!</f>
        <v>#REF!</v>
      </c>
      <c r="AL43" s="88" t="e">
        <f>$V43*#REF!*#REF!</f>
        <v>#REF!</v>
      </c>
    </row>
    <row r="44" spans="1:38" hidden="1">
      <c r="D44" s="6" t="s">
        <v>335</v>
      </c>
      <c r="F44" s="113" t="s">
        <v>336</v>
      </c>
      <c r="I44" s="6" t="s">
        <v>337</v>
      </c>
      <c r="K44" s="10" t="s">
        <v>338</v>
      </c>
    </row>
    <row r="45" spans="1:38" hidden="1"/>
    <row r="46" spans="1:38" hidden="1"/>
    <row r="47" spans="1:38" hidden="1"/>
    <row r="48" spans="1:38" hidden="1"/>
    <row r="49" spans="12:12" hidden="1"/>
    <row r="50" spans="12:12" hidden="1"/>
    <row r="51" spans="12:12" hidden="1"/>
    <row r="52" spans="12:12" hidden="1"/>
    <row r="53" spans="12:12" hidden="1"/>
    <row r="54" spans="12:12" hidden="1"/>
    <row r="55" spans="12:12" hidden="1"/>
    <row r="56" spans="12:12" hidden="1"/>
    <row r="57" spans="12:12" hidden="1"/>
    <row r="58" spans="12:12" hidden="1"/>
    <row r="59" spans="12:12" hidden="1">
      <c r="L59" s="6" t="s">
        <v>339</v>
      </c>
    </row>
    <row r="60" spans="12:12" hidden="1"/>
    <row r="61" spans="12:12" hidden="1"/>
    <row r="62" spans="12:12" hidden="1"/>
    <row r="63" spans="12:12" hidden="1"/>
    <row r="64" spans="12:12" hidden="1"/>
    <row r="65" spans="1:8" hidden="1"/>
    <row r="66" spans="1:8" hidden="1"/>
    <row r="67" spans="1:8" hidden="1"/>
    <row r="68" spans="1:8" hidden="1">
      <c r="A68" s="112" t="s">
        <v>340</v>
      </c>
      <c r="B68" s="112"/>
      <c r="C68" s="112"/>
      <c r="D68" s="112"/>
      <c r="E68" s="112"/>
      <c r="F68" s="112"/>
      <c r="G68" s="112"/>
      <c r="H68" s="112"/>
    </row>
    <row r="69" spans="1:8" hidden="1">
      <c r="A69" s="10"/>
      <c r="B69" s="10"/>
      <c r="C69" s="10"/>
      <c r="F69" s="91"/>
    </row>
    <row r="70" spans="1:8" hidden="1">
      <c r="D70" s="7"/>
      <c r="G70" s="91"/>
    </row>
    <row r="71" spans="1:8" hidden="1">
      <c r="D71" s="7"/>
      <c r="G71" s="91"/>
    </row>
    <row r="72" spans="1:8" hidden="1">
      <c r="D72" s="7"/>
      <c r="G72" s="91"/>
    </row>
    <row r="73" spans="1:8" hidden="1">
      <c r="D73" s="7"/>
      <c r="G73" s="91"/>
    </row>
    <row r="74" spans="1:8" hidden="1">
      <c r="D74" s="7"/>
      <c r="G74" s="91"/>
    </row>
    <row r="75" spans="1:8" hidden="1">
      <c r="D75" s="7"/>
      <c r="G75" s="91"/>
    </row>
    <row r="76" spans="1:8" hidden="1">
      <c r="D76" s="7"/>
      <c r="G76" s="91"/>
    </row>
    <row r="77" spans="1:8" hidden="1">
      <c r="D77" s="7"/>
      <c r="G77" s="91"/>
    </row>
    <row r="78" spans="1:8" hidden="1">
      <c r="D78" s="7"/>
      <c r="G78" s="91"/>
    </row>
    <row r="79" spans="1:8" hidden="1">
      <c r="D79" s="7"/>
      <c r="G79" s="91"/>
    </row>
    <row r="80" spans="1:8" hidden="1">
      <c r="D80" s="7"/>
      <c r="G80" s="91"/>
    </row>
    <row r="81" spans="1:8" s="7" customFormat="1" hidden="1">
      <c r="A81" s="112" t="s">
        <v>341</v>
      </c>
      <c r="B81" s="112"/>
      <c r="C81" s="112"/>
      <c r="D81" s="112"/>
      <c r="E81" s="112"/>
      <c r="F81" s="112"/>
      <c r="G81" s="112"/>
      <c r="H81" s="112"/>
    </row>
    <row r="82" spans="1:8" hidden="1">
      <c r="B82" s="7"/>
      <c r="E82" s="91"/>
    </row>
    <row r="83" spans="1:8" ht="23.65" hidden="1" customHeight="1">
      <c r="A83" s="639" t="s">
        <v>342</v>
      </c>
      <c r="B83" s="375" t="s">
        <v>343</v>
      </c>
      <c r="C83" s="376" t="s">
        <v>275</v>
      </c>
      <c r="D83" s="375" t="s">
        <v>276</v>
      </c>
      <c r="E83" s="614"/>
    </row>
    <row r="84" spans="1:8" ht="24.6" hidden="1" customHeight="1">
      <c r="A84" s="18" t="s">
        <v>344</v>
      </c>
      <c r="B84" s="114">
        <v>0.91180000000000005</v>
      </c>
      <c r="C84" s="115">
        <v>0.899930953852077</v>
      </c>
      <c r="D84" s="114">
        <v>0.9309744841257237</v>
      </c>
      <c r="E84" s="116"/>
    </row>
    <row r="85" spans="1:8" ht="26.45" hidden="1">
      <c r="A85" s="17" t="s">
        <v>345</v>
      </c>
      <c r="B85" s="652" t="s">
        <v>346</v>
      </c>
      <c r="C85" s="673" t="s">
        <v>346</v>
      </c>
      <c r="D85" s="652" t="s">
        <v>347</v>
      </c>
    </row>
    <row r="86" spans="1:8" ht="39.6" hidden="1">
      <c r="A86" s="18" t="s">
        <v>348</v>
      </c>
      <c r="B86" s="117">
        <v>0.73</v>
      </c>
      <c r="C86" s="118">
        <v>0.73359923920826697</v>
      </c>
      <c r="D86" s="119">
        <v>0.92</v>
      </c>
    </row>
    <row r="87" spans="1:8" hidden="1">
      <c r="A87" s="18" t="s">
        <v>349</v>
      </c>
      <c r="B87" s="120" t="s">
        <v>350</v>
      </c>
      <c r="C87" s="121" t="s">
        <v>351</v>
      </c>
      <c r="D87" s="652"/>
      <c r="E87" s="314"/>
    </row>
    <row r="88" spans="1:8" hidden="1"/>
    <row r="89" spans="1:8" hidden="1">
      <c r="A89" s="109" t="s">
        <v>352</v>
      </c>
    </row>
    <row r="90" spans="1:8" hidden="1"/>
    <row r="91" spans="1:8" hidden="1">
      <c r="A91" s="6" t="s">
        <v>353</v>
      </c>
    </row>
    <row r="92" spans="1:8" hidden="1">
      <c r="A92" s="105" t="s">
        <v>354</v>
      </c>
    </row>
    <row r="93" spans="1:8" hidden="1"/>
    <row r="94" spans="1:8" hidden="1"/>
    <row r="95" spans="1:8" hidden="1">
      <c r="A95" s="6" t="s">
        <v>355</v>
      </c>
    </row>
    <row r="96" spans="1:8" hidden="1">
      <c r="A96" s="6" t="s">
        <v>356</v>
      </c>
    </row>
    <row r="97" spans="1:8" hidden="1">
      <c r="A97" s="6" t="s">
        <v>357</v>
      </c>
    </row>
    <row r="98" spans="1:8" hidden="1">
      <c r="A98" s="105" t="s">
        <v>358</v>
      </c>
    </row>
    <row r="99" spans="1:8" hidden="1">
      <c r="A99" s="10" t="s">
        <v>359</v>
      </c>
    </row>
    <row r="100" spans="1:8" hidden="1"/>
    <row r="101" spans="1:8" hidden="1"/>
    <row r="102" spans="1:8" hidden="1"/>
    <row r="103" spans="1:8" hidden="1"/>
    <row r="104" spans="1:8" s="7" customFormat="1" hidden="1">
      <c r="A104" s="112" t="s">
        <v>360</v>
      </c>
      <c r="B104" s="112"/>
      <c r="C104" s="112"/>
      <c r="D104" s="112"/>
      <c r="E104" s="112"/>
      <c r="F104" s="112"/>
      <c r="G104" s="112"/>
      <c r="H104" s="112"/>
    </row>
    <row r="105" spans="1:8" hidden="1">
      <c r="A105" s="122"/>
      <c r="B105" s="122"/>
      <c r="C105" s="122"/>
      <c r="D105" s="122"/>
      <c r="E105" s="122"/>
      <c r="F105" s="122"/>
      <c r="G105" s="122"/>
      <c r="H105" s="122"/>
    </row>
    <row r="106" spans="1:8" hidden="1">
      <c r="A106" s="123" t="s">
        <v>361</v>
      </c>
      <c r="B106" s="72"/>
      <c r="C106" s="122"/>
      <c r="D106" s="122"/>
      <c r="E106" s="122"/>
      <c r="F106" s="122"/>
      <c r="G106" s="122"/>
      <c r="H106" s="122"/>
    </row>
    <row r="107" spans="1:8" ht="14.65" hidden="1" customHeight="1">
      <c r="A107" s="790" t="s">
        <v>362</v>
      </c>
      <c r="B107" s="790"/>
      <c r="C107" s="790"/>
      <c r="D107" s="790"/>
      <c r="E107" s="790"/>
      <c r="F107" s="790"/>
      <c r="G107" s="790"/>
      <c r="H107" s="122"/>
    </row>
    <row r="108" spans="1:8" hidden="1">
      <c r="A108" s="790"/>
      <c r="B108" s="790"/>
      <c r="C108" s="790"/>
      <c r="D108" s="790"/>
      <c r="E108" s="790"/>
      <c r="F108" s="790"/>
      <c r="G108" s="790"/>
      <c r="H108" s="122"/>
    </row>
    <row r="109" spans="1:8" hidden="1">
      <c r="A109" s="790"/>
      <c r="B109" s="790"/>
      <c r="C109" s="790"/>
      <c r="D109" s="790"/>
      <c r="E109" s="790"/>
      <c r="F109" s="790"/>
      <c r="G109" s="790"/>
      <c r="H109" s="122"/>
    </row>
    <row r="110" spans="1:8" ht="13.9" hidden="1" thickBot="1">
      <c r="A110" s="641"/>
      <c r="B110" s="641"/>
      <c r="C110" s="641"/>
      <c r="D110" s="641"/>
      <c r="E110" s="641"/>
      <c r="F110" s="641"/>
      <c r="G110" s="641"/>
      <c r="H110" s="122"/>
    </row>
    <row r="111" spans="1:8" ht="13.9" hidden="1" thickBot="1">
      <c r="A111" s="124" t="s">
        <v>267</v>
      </c>
      <c r="B111" s="787" t="s">
        <v>363</v>
      </c>
      <c r="C111" s="788"/>
      <c r="D111" s="788"/>
      <c r="E111" s="788"/>
      <c r="F111" s="788"/>
      <c r="G111" s="788"/>
      <c r="H111" s="789"/>
    </row>
    <row r="112" spans="1:8" ht="13.9" hidden="1" thickBot="1">
      <c r="A112" s="125" t="s">
        <v>263</v>
      </c>
      <c r="B112" s="126">
        <v>1985</v>
      </c>
      <c r="C112" s="126">
        <v>1996</v>
      </c>
      <c r="D112" s="126">
        <v>2003</v>
      </c>
      <c r="E112" s="126">
        <v>2007</v>
      </c>
      <c r="F112" s="126">
        <v>2011</v>
      </c>
      <c r="G112" s="126" t="s">
        <v>364</v>
      </c>
      <c r="H112" s="126">
        <v>2017</v>
      </c>
    </row>
    <row r="113" spans="1:8" ht="13.9" hidden="1" thickBot="1">
      <c r="A113" s="127" t="s">
        <v>365</v>
      </c>
      <c r="B113" s="128">
        <v>7.0000000000000007E-2</v>
      </c>
      <c r="C113" s="129">
        <v>0.15</v>
      </c>
      <c r="D113" s="128">
        <v>0.17</v>
      </c>
      <c r="E113" s="128">
        <v>0.2</v>
      </c>
      <c r="F113" s="128">
        <v>0.16</v>
      </c>
      <c r="G113" s="128">
        <v>0.15</v>
      </c>
      <c r="H113" s="128">
        <v>0.09</v>
      </c>
    </row>
    <row r="114" spans="1:8" hidden="1">
      <c r="A114" s="122"/>
      <c r="B114" s="122"/>
      <c r="C114" s="122"/>
      <c r="D114" s="122"/>
      <c r="E114" s="122"/>
      <c r="F114" s="122"/>
      <c r="G114" s="122"/>
      <c r="H114" s="122"/>
    </row>
    <row r="115" spans="1:8" hidden="1">
      <c r="A115" s="123" t="s">
        <v>366</v>
      </c>
      <c r="B115" s="72"/>
      <c r="C115" s="122"/>
      <c r="D115" s="122"/>
      <c r="E115" s="122"/>
      <c r="F115" s="122"/>
      <c r="G115" s="122"/>
      <c r="H115" s="122"/>
    </row>
    <row r="116" spans="1:8" hidden="1">
      <c r="A116" s="773" t="s">
        <v>367</v>
      </c>
      <c r="B116" s="773"/>
      <c r="C116" s="773"/>
      <c r="D116" s="773"/>
      <c r="E116" s="773"/>
      <c r="F116" s="773"/>
      <c r="G116" s="773"/>
      <c r="H116" s="773"/>
    </row>
    <row r="117" spans="1:8" hidden="1">
      <c r="A117" s="773"/>
      <c r="B117" s="773"/>
      <c r="C117" s="773"/>
      <c r="D117" s="773"/>
      <c r="E117" s="773"/>
      <c r="F117" s="773"/>
      <c r="G117" s="773"/>
      <c r="H117" s="773"/>
    </row>
    <row r="118" spans="1:8" hidden="1">
      <c r="A118" s="773"/>
      <c r="B118" s="773"/>
      <c r="C118" s="773"/>
      <c r="D118" s="773"/>
      <c r="E118" s="773"/>
      <c r="F118" s="773"/>
      <c r="G118" s="773"/>
      <c r="H118" s="773"/>
    </row>
    <row r="119" spans="1:8" ht="13.9" hidden="1" thickBot="1">
      <c r="A119" s="640"/>
      <c r="B119" s="640"/>
      <c r="C119" s="640"/>
      <c r="D119" s="640"/>
      <c r="E119" s="640"/>
      <c r="F119" s="640"/>
      <c r="G119" s="640"/>
      <c r="H119" s="640"/>
    </row>
    <row r="120" spans="1:8" ht="13.9" hidden="1" thickBot="1">
      <c r="A120" s="122" t="s">
        <v>267</v>
      </c>
      <c r="B120" s="784" t="s">
        <v>368</v>
      </c>
      <c r="C120" s="785"/>
      <c r="D120" s="785"/>
      <c r="E120" s="785"/>
      <c r="F120" s="785"/>
      <c r="G120" s="785"/>
      <c r="H120" s="786"/>
    </row>
    <row r="121" spans="1:8" ht="13.9" hidden="1" thickBot="1">
      <c r="A121" s="130" t="s">
        <v>263</v>
      </c>
      <c r="B121" s="131">
        <v>1985</v>
      </c>
      <c r="C121" s="131">
        <v>1996</v>
      </c>
      <c r="D121" s="131">
        <v>2003</v>
      </c>
      <c r="E121" s="131">
        <v>2007</v>
      </c>
      <c r="F121" s="131">
        <v>2011</v>
      </c>
      <c r="G121" s="131" t="s">
        <v>364</v>
      </c>
      <c r="H121" s="131">
        <v>2017</v>
      </c>
    </row>
    <row r="122" spans="1:8" ht="13.9" hidden="1" thickBot="1">
      <c r="A122" s="132" t="s">
        <v>365</v>
      </c>
      <c r="B122" s="133">
        <v>0.06</v>
      </c>
      <c r="C122" s="133">
        <v>0.14000000000000001</v>
      </c>
      <c r="D122" s="133">
        <v>0.17</v>
      </c>
      <c r="E122" s="133">
        <v>0.2</v>
      </c>
      <c r="F122" s="133">
        <v>0.17</v>
      </c>
      <c r="G122" s="133">
        <v>0.16</v>
      </c>
      <c r="H122" s="133">
        <v>0.1</v>
      </c>
    </row>
    <row r="123" spans="1:8" hidden="1">
      <c r="A123" s="772" t="s">
        <v>369</v>
      </c>
      <c r="B123" s="772"/>
      <c r="C123" s="772"/>
      <c r="D123" s="772"/>
      <c r="E123" s="772"/>
      <c r="F123" s="772"/>
      <c r="G123" s="772"/>
      <c r="H123" s="772"/>
    </row>
    <row r="124" spans="1:8" hidden="1">
      <c r="A124" s="773" t="s">
        <v>370</v>
      </c>
      <c r="B124" s="773"/>
      <c r="C124" s="773"/>
      <c r="D124" s="773"/>
      <c r="E124" s="773"/>
      <c r="F124" s="773"/>
      <c r="G124" s="773"/>
      <c r="H124" s="773"/>
    </row>
    <row r="125" spans="1:8" hidden="1">
      <c r="A125" s="773"/>
      <c r="B125" s="773"/>
      <c r="C125" s="773"/>
      <c r="D125" s="773"/>
      <c r="E125" s="773"/>
      <c r="F125" s="773"/>
      <c r="G125" s="773"/>
      <c r="H125" s="773"/>
    </row>
    <row r="126" spans="1:8" hidden="1">
      <c r="A126" s="122"/>
      <c r="B126" s="122"/>
      <c r="C126" s="122"/>
      <c r="D126" s="122"/>
      <c r="E126" s="122"/>
      <c r="F126" s="122"/>
      <c r="G126" s="122"/>
      <c r="H126" s="122"/>
    </row>
    <row r="127" spans="1:8" hidden="1">
      <c r="A127" s="771" t="s">
        <v>370</v>
      </c>
      <c r="B127" s="771"/>
      <c r="C127" s="771"/>
      <c r="D127" s="771"/>
      <c r="E127" s="771"/>
      <c r="F127" s="771"/>
      <c r="G127" s="771"/>
      <c r="H127" s="771"/>
    </row>
    <row r="128" spans="1:8" hidden="1">
      <c r="A128" s="771"/>
      <c r="B128" s="771"/>
      <c r="C128" s="771"/>
      <c r="D128" s="771"/>
      <c r="E128" s="771"/>
      <c r="F128" s="771"/>
      <c r="G128" s="771"/>
      <c r="H128" s="771"/>
    </row>
    <row r="129" spans="1:38" hidden="1">
      <c r="A129" s="643"/>
      <c r="B129" s="643"/>
      <c r="C129" s="643"/>
      <c r="D129" s="643"/>
      <c r="E129" s="643"/>
      <c r="F129" s="643"/>
      <c r="G129" s="643"/>
      <c r="H129" s="643"/>
    </row>
    <row r="130" spans="1:38" hidden="1">
      <c r="A130" s="134" t="s">
        <v>371</v>
      </c>
      <c r="B130" s="135"/>
      <c r="C130" s="643"/>
      <c r="D130" s="643"/>
      <c r="E130" s="643"/>
      <c r="F130" s="643"/>
      <c r="G130" s="643"/>
      <c r="H130" s="643"/>
    </row>
    <row r="131" spans="1:38" hidden="1">
      <c r="A131" s="8" t="s">
        <v>372</v>
      </c>
      <c r="B131" s="643"/>
      <c r="C131" s="643"/>
      <c r="D131" s="643"/>
      <c r="E131" s="643"/>
      <c r="F131" s="643"/>
      <c r="G131" s="643"/>
      <c r="H131" s="643"/>
    </row>
    <row r="132" spans="1:38" hidden="1">
      <c r="A132" s="136"/>
      <c r="B132" s="643"/>
      <c r="C132" s="643"/>
      <c r="D132" s="643"/>
      <c r="E132" s="643"/>
      <c r="F132" s="643"/>
      <c r="G132" s="643"/>
      <c r="H132" s="643"/>
    </row>
    <row r="133" spans="1:38" hidden="1">
      <c r="A133" s="134" t="s">
        <v>373</v>
      </c>
      <c r="B133" s="135"/>
      <c r="C133" s="643"/>
      <c r="D133" s="643"/>
      <c r="E133" s="643"/>
      <c r="F133" s="643"/>
      <c r="G133" s="643"/>
      <c r="H133" s="643"/>
    </row>
    <row r="134" spans="1:38" hidden="1">
      <c r="A134" s="136" t="s">
        <v>374</v>
      </c>
      <c r="B134" s="643"/>
      <c r="C134" s="643"/>
      <c r="D134" s="643"/>
      <c r="E134" s="643"/>
      <c r="F134" s="643"/>
      <c r="G134" s="643"/>
      <c r="H134" s="643"/>
    </row>
    <row r="135" spans="1:38" hidden="1">
      <c r="A135" s="643"/>
      <c r="B135" s="137"/>
      <c r="C135" s="137"/>
      <c r="D135" s="137"/>
      <c r="E135" s="137"/>
      <c r="F135" s="137"/>
      <c r="G135" s="137"/>
      <c r="H135" s="137"/>
    </row>
    <row r="136" spans="1:38" hidden="1"/>
    <row r="138" spans="1:38">
      <c r="T138" s="622"/>
      <c r="U138" s="90"/>
      <c r="V138" s="230"/>
      <c r="W138" s="231"/>
      <c r="X138" s="231"/>
      <c r="Y138" s="231"/>
      <c r="Z138" s="231"/>
      <c r="AA138" s="231"/>
      <c r="AB138" s="231"/>
      <c r="AC138" s="231"/>
      <c r="AD138" s="231"/>
      <c r="AE138" s="231"/>
      <c r="AF138" s="231"/>
      <c r="AG138" s="231"/>
      <c r="AH138" s="231"/>
      <c r="AI138" s="231"/>
      <c r="AJ138" s="231"/>
      <c r="AK138" s="231"/>
      <c r="AL138" s="231"/>
    </row>
    <row r="139" spans="1:38">
      <c r="U139" s="90"/>
      <c r="V139" s="230"/>
      <c r="W139" s="231"/>
      <c r="X139" s="231"/>
      <c r="Y139" s="231"/>
      <c r="Z139" s="231"/>
      <c r="AA139" s="231"/>
      <c r="AB139" s="231"/>
      <c r="AC139" s="231"/>
      <c r="AD139" s="231"/>
      <c r="AE139" s="231"/>
      <c r="AF139" s="231"/>
      <c r="AG139" s="231"/>
      <c r="AH139" s="231"/>
      <c r="AI139" s="231"/>
      <c r="AJ139" s="231"/>
      <c r="AK139" s="231"/>
      <c r="AL139" s="231"/>
    </row>
    <row r="140" spans="1:38">
      <c r="U140" s="90"/>
      <c r="V140" s="230"/>
      <c r="W140" s="231"/>
      <c r="X140" s="231"/>
      <c r="Y140" s="231"/>
      <c r="Z140" s="231"/>
      <c r="AA140" s="231"/>
      <c r="AB140" s="231"/>
      <c r="AC140" s="231"/>
      <c r="AD140" s="231"/>
      <c r="AE140" s="231"/>
      <c r="AF140" s="231"/>
      <c r="AG140" s="231"/>
      <c r="AH140" s="231"/>
      <c r="AI140" s="231"/>
      <c r="AJ140" s="231"/>
      <c r="AK140" s="231"/>
      <c r="AL140" s="231"/>
    </row>
    <row r="141" spans="1:38">
      <c r="U141" s="90"/>
      <c r="V141" s="230"/>
      <c r="W141" s="231"/>
      <c r="X141" s="231"/>
      <c r="Y141" s="231"/>
      <c r="Z141" s="231"/>
      <c r="AA141" s="231"/>
      <c r="AB141" s="231"/>
      <c r="AC141" s="231"/>
      <c r="AD141" s="231"/>
      <c r="AE141" s="231"/>
      <c r="AF141" s="231"/>
      <c r="AG141" s="231"/>
      <c r="AH141" s="231"/>
      <c r="AI141" s="231"/>
      <c r="AJ141" s="231"/>
      <c r="AK141" s="231"/>
      <c r="AL141" s="231"/>
    </row>
    <row r="142" spans="1:38">
      <c r="U142" s="90"/>
      <c r="V142" s="230"/>
      <c r="W142" s="231"/>
      <c r="X142" s="231"/>
      <c r="Y142" s="231"/>
      <c r="Z142" s="231"/>
      <c r="AA142" s="231"/>
      <c r="AB142" s="231"/>
      <c r="AC142" s="231"/>
      <c r="AD142" s="231"/>
      <c r="AE142" s="231"/>
      <c r="AF142" s="231"/>
      <c r="AG142" s="231"/>
      <c r="AH142" s="231"/>
      <c r="AI142" s="231"/>
      <c r="AJ142" s="231"/>
      <c r="AK142" s="231"/>
      <c r="AL142" s="231"/>
    </row>
    <row r="143" spans="1:38">
      <c r="U143" s="90"/>
      <c r="V143" s="230"/>
      <c r="W143" s="231"/>
      <c r="X143" s="231"/>
      <c r="Y143" s="231"/>
      <c r="Z143" s="231"/>
      <c r="AA143" s="231"/>
      <c r="AB143" s="231"/>
      <c r="AC143" s="231"/>
      <c r="AD143" s="231"/>
      <c r="AE143" s="231"/>
      <c r="AF143" s="231"/>
      <c r="AG143" s="231"/>
      <c r="AH143" s="231"/>
      <c r="AI143" s="231"/>
      <c r="AJ143" s="231"/>
      <c r="AK143" s="231"/>
      <c r="AL143" s="231"/>
    </row>
    <row r="144" spans="1:38">
      <c r="U144" s="90"/>
      <c r="V144" s="230"/>
      <c r="W144" s="231"/>
      <c r="X144" s="231"/>
      <c r="Y144" s="231"/>
      <c r="Z144" s="231"/>
      <c r="AA144" s="231"/>
      <c r="AB144" s="231"/>
      <c r="AC144" s="231"/>
      <c r="AD144" s="231"/>
      <c r="AE144" s="231"/>
      <c r="AF144" s="231"/>
      <c r="AG144" s="231"/>
      <c r="AH144" s="231"/>
      <c r="AI144" s="231"/>
      <c r="AJ144" s="231"/>
      <c r="AK144" s="231"/>
      <c r="AL144" s="231"/>
    </row>
    <row r="145" spans="14:38">
      <c r="N145" s="138"/>
      <c r="O145" s="138"/>
      <c r="U145" s="90"/>
      <c r="V145" s="230"/>
      <c r="W145" s="231"/>
      <c r="X145" s="231"/>
      <c r="Y145" s="231"/>
      <c r="Z145" s="231"/>
      <c r="AA145" s="231"/>
      <c r="AB145" s="231"/>
      <c r="AC145" s="231"/>
      <c r="AD145" s="231"/>
      <c r="AE145" s="231"/>
      <c r="AF145" s="231"/>
      <c r="AG145" s="231"/>
      <c r="AH145" s="231"/>
      <c r="AI145" s="231"/>
      <c r="AJ145" s="231"/>
      <c r="AK145" s="231"/>
      <c r="AL145" s="231"/>
    </row>
    <row r="146" spans="14:38">
      <c r="U146" s="90"/>
      <c r="V146" s="230"/>
      <c r="W146" s="231"/>
      <c r="X146" s="231"/>
      <c r="Y146" s="231"/>
      <c r="Z146" s="231"/>
      <c r="AA146" s="231"/>
      <c r="AB146" s="231"/>
      <c r="AC146" s="231"/>
      <c r="AD146" s="231"/>
      <c r="AE146" s="231"/>
      <c r="AF146" s="231"/>
      <c r="AG146" s="231"/>
      <c r="AH146" s="231"/>
      <c r="AI146" s="231"/>
      <c r="AJ146" s="231"/>
      <c r="AK146" s="231"/>
      <c r="AL146" s="231"/>
    </row>
    <row r="148" spans="14:38">
      <c r="U148" s="90"/>
      <c r="V148" s="230"/>
      <c r="W148" s="231"/>
      <c r="X148" s="231"/>
      <c r="Y148" s="231"/>
      <c r="Z148" s="231"/>
      <c r="AA148" s="231"/>
      <c r="AB148" s="231"/>
      <c r="AC148" s="231"/>
      <c r="AD148" s="231"/>
      <c r="AE148" s="231"/>
      <c r="AF148" s="231"/>
      <c r="AG148" s="231"/>
      <c r="AH148" s="231"/>
      <c r="AI148" s="231"/>
      <c r="AJ148" s="231"/>
      <c r="AK148" s="231"/>
      <c r="AL148" s="231"/>
    </row>
    <row r="149" spans="14:38">
      <c r="U149" s="90"/>
      <c r="V149" s="230"/>
      <c r="W149" s="231"/>
      <c r="X149" s="231"/>
      <c r="Y149" s="231"/>
      <c r="Z149" s="231"/>
      <c r="AA149" s="231"/>
      <c r="AB149" s="231"/>
      <c r="AC149" s="231"/>
      <c r="AD149" s="231"/>
      <c r="AE149" s="231"/>
      <c r="AF149" s="231"/>
      <c r="AG149" s="231"/>
      <c r="AH149" s="231"/>
      <c r="AI149" s="231"/>
      <c r="AJ149" s="231"/>
      <c r="AK149" s="231"/>
      <c r="AL149" s="231"/>
    </row>
    <row r="150" spans="14:38">
      <c r="U150" s="90"/>
      <c r="V150" s="230"/>
      <c r="W150" s="231"/>
      <c r="X150" s="231"/>
      <c r="Y150" s="231"/>
      <c r="Z150" s="231"/>
      <c r="AA150" s="231"/>
      <c r="AB150" s="231"/>
      <c r="AC150" s="231"/>
      <c r="AD150" s="231"/>
      <c r="AE150" s="231"/>
      <c r="AF150" s="231"/>
      <c r="AG150" s="231"/>
      <c r="AH150" s="231"/>
      <c r="AI150" s="231"/>
      <c r="AJ150" s="231"/>
      <c r="AK150" s="231"/>
      <c r="AL150" s="231"/>
    </row>
    <row r="151" spans="14:38">
      <c r="U151" s="90"/>
      <c r="V151" s="230"/>
      <c r="W151" s="231"/>
      <c r="X151" s="231"/>
      <c r="Y151" s="231"/>
      <c r="Z151" s="231"/>
      <c r="AA151" s="231"/>
      <c r="AB151" s="231"/>
      <c r="AC151" s="231"/>
      <c r="AD151" s="231"/>
      <c r="AE151" s="231"/>
      <c r="AF151" s="231"/>
      <c r="AG151" s="231"/>
      <c r="AH151" s="231"/>
      <c r="AI151" s="231"/>
      <c r="AJ151" s="231"/>
      <c r="AK151" s="231"/>
      <c r="AL151" s="231"/>
    </row>
    <row r="152" spans="14:38">
      <c r="U152" s="90"/>
      <c r="V152" s="230"/>
      <c r="W152" s="231"/>
      <c r="X152" s="231"/>
      <c r="Y152" s="231"/>
      <c r="Z152" s="231"/>
      <c r="AA152" s="231"/>
      <c r="AB152" s="231"/>
      <c r="AC152" s="231"/>
      <c r="AD152" s="231"/>
      <c r="AE152" s="231"/>
      <c r="AF152" s="231"/>
      <c r="AG152" s="231"/>
      <c r="AH152" s="231"/>
      <c r="AI152" s="231"/>
      <c r="AJ152" s="231"/>
      <c r="AK152" s="231"/>
      <c r="AL152" s="231"/>
    </row>
    <row r="153" spans="14:38">
      <c r="U153" s="90"/>
      <c r="V153" s="230"/>
      <c r="W153" s="231"/>
      <c r="X153" s="231"/>
      <c r="Y153" s="231"/>
      <c r="Z153" s="231"/>
      <c r="AA153" s="231"/>
      <c r="AB153" s="231"/>
      <c r="AC153" s="231"/>
      <c r="AD153" s="231"/>
      <c r="AE153" s="231"/>
      <c r="AF153" s="231"/>
      <c r="AG153" s="231"/>
      <c r="AH153" s="231"/>
      <c r="AI153" s="231"/>
      <c r="AJ153" s="231"/>
      <c r="AK153" s="231"/>
      <c r="AL153" s="231"/>
    </row>
    <row r="154" spans="14:38">
      <c r="U154" s="90"/>
      <c r="V154" s="230"/>
      <c r="W154" s="231"/>
      <c r="X154" s="231"/>
      <c r="Y154" s="231"/>
      <c r="Z154" s="231"/>
      <c r="AA154" s="231"/>
      <c r="AB154" s="231"/>
      <c r="AC154" s="231"/>
      <c r="AD154" s="231"/>
      <c r="AE154" s="231"/>
      <c r="AF154" s="231"/>
      <c r="AG154" s="231"/>
      <c r="AH154" s="231"/>
      <c r="AI154" s="231"/>
      <c r="AJ154" s="231"/>
      <c r="AK154" s="231"/>
      <c r="AL154" s="231"/>
    </row>
    <row r="155" spans="14:38">
      <c r="U155" s="90"/>
      <c r="V155" s="230"/>
      <c r="W155" s="231"/>
      <c r="X155" s="231"/>
      <c r="Y155" s="231"/>
      <c r="Z155" s="231"/>
      <c r="AA155" s="231"/>
      <c r="AB155" s="231"/>
      <c r="AC155" s="231"/>
      <c r="AD155" s="231"/>
      <c r="AE155" s="231"/>
      <c r="AF155" s="231"/>
      <c r="AG155" s="231"/>
      <c r="AH155" s="231"/>
      <c r="AI155" s="231"/>
      <c r="AJ155" s="231"/>
      <c r="AK155" s="231"/>
      <c r="AL155" s="231"/>
    </row>
    <row r="156" spans="14:38">
      <c r="U156" s="90"/>
      <c r="W156" s="89"/>
      <c r="X156" s="89"/>
      <c r="Y156" s="89"/>
      <c r="Z156" s="89"/>
      <c r="AA156" s="89"/>
      <c r="AB156" s="89"/>
      <c r="AC156" s="89"/>
      <c r="AD156" s="89"/>
      <c r="AE156" s="89"/>
      <c r="AF156" s="89"/>
      <c r="AG156" s="89"/>
      <c r="AH156" s="89"/>
      <c r="AI156" s="89"/>
      <c r="AJ156" s="89"/>
      <c r="AK156" s="89"/>
      <c r="AL156" s="89"/>
    </row>
    <row r="157" spans="14:38">
      <c r="U157" s="103"/>
      <c r="W157" s="90"/>
      <c r="X157" s="90"/>
      <c r="Y157" s="90"/>
      <c r="Z157" s="90"/>
      <c r="AA157" s="90"/>
      <c r="AB157" s="90"/>
      <c r="AC157" s="90"/>
      <c r="AD157" s="90"/>
      <c r="AE157" s="90"/>
      <c r="AF157" s="90"/>
      <c r="AG157" s="90"/>
      <c r="AH157" s="90"/>
      <c r="AI157" s="90"/>
      <c r="AJ157" s="90"/>
      <c r="AK157" s="90"/>
      <c r="AL157" s="90"/>
    </row>
    <row r="158" spans="14:38">
      <c r="U158" s="90"/>
    </row>
    <row r="161" spans="21:38">
      <c r="U161" s="86"/>
      <c r="V161" s="86"/>
      <c r="W161" s="229"/>
      <c r="X161" s="229"/>
      <c r="Y161" s="229"/>
      <c r="Z161" s="229"/>
      <c r="AA161" s="229"/>
      <c r="AB161" s="229"/>
      <c r="AC161" s="229"/>
      <c r="AD161" s="229"/>
      <c r="AE161" s="229"/>
      <c r="AF161" s="229"/>
      <c r="AG161" s="229"/>
      <c r="AH161" s="229"/>
      <c r="AI161" s="229"/>
      <c r="AJ161" s="229"/>
      <c r="AK161" s="229"/>
      <c r="AL161" s="229"/>
    </row>
    <row r="162" spans="21:38">
      <c r="V162" s="104"/>
    </row>
    <row r="163" spans="21:38">
      <c r="U163" s="90"/>
      <c r="V163" s="104"/>
    </row>
    <row r="164" spans="21:38">
      <c r="U164" s="90"/>
      <c r="V164" s="104"/>
    </row>
    <row r="165" spans="21:38">
      <c r="U165" s="90"/>
      <c r="V165" s="104"/>
    </row>
    <row r="166" spans="21:38">
      <c r="U166" s="90"/>
      <c r="V166" s="104"/>
    </row>
    <row r="167" spans="21:38">
      <c r="U167" s="90"/>
      <c r="V167" s="104"/>
    </row>
    <row r="168" spans="21:38">
      <c r="U168" s="90"/>
      <c r="V168" s="104"/>
    </row>
    <row r="169" spans="21:38">
      <c r="U169" s="90"/>
      <c r="V169" s="104"/>
    </row>
    <row r="170" spans="21:38">
      <c r="U170" s="90"/>
      <c r="V170" s="104"/>
    </row>
    <row r="171" spans="21:38">
      <c r="U171" s="90"/>
      <c r="V171" s="104"/>
    </row>
    <row r="172" spans="21:38">
      <c r="U172" s="90"/>
      <c r="V172" s="104"/>
    </row>
    <row r="173" spans="21:38">
      <c r="U173" s="90"/>
      <c r="V173" s="104"/>
    </row>
    <row r="174" spans="21:38">
      <c r="U174" s="90"/>
      <c r="V174" s="104"/>
    </row>
    <row r="175" spans="21:38">
      <c r="U175" s="90"/>
      <c r="V175" s="104"/>
    </row>
    <row r="176" spans="21:38">
      <c r="U176" s="90"/>
      <c r="V176" s="104"/>
    </row>
    <row r="177" spans="21:38">
      <c r="U177" s="90"/>
      <c r="V177" s="104"/>
    </row>
    <row r="178" spans="21:38">
      <c r="U178" s="90"/>
      <c r="V178" s="104"/>
    </row>
    <row r="179" spans="21:38">
      <c r="U179" s="90"/>
      <c r="V179" s="104"/>
    </row>
    <row r="180" spans="21:38">
      <c r="U180" s="90"/>
      <c r="V180" s="104"/>
    </row>
    <row r="181" spans="21:38">
      <c r="U181" s="90"/>
      <c r="V181" s="104"/>
    </row>
    <row r="182" spans="21:38">
      <c r="U182" s="90"/>
      <c r="V182" s="104"/>
    </row>
    <row r="183" spans="21:38">
      <c r="U183" s="90"/>
      <c r="W183" s="89"/>
      <c r="X183" s="89"/>
      <c r="Y183" s="89"/>
      <c r="Z183" s="89"/>
      <c r="AA183" s="89"/>
      <c r="AB183" s="89"/>
      <c r="AC183" s="89"/>
      <c r="AD183" s="89"/>
      <c r="AE183" s="89"/>
      <c r="AF183" s="89"/>
      <c r="AG183" s="89"/>
      <c r="AH183" s="89"/>
      <c r="AI183" s="89"/>
      <c r="AJ183" s="89"/>
      <c r="AK183" s="89"/>
      <c r="AL183" s="89"/>
    </row>
    <row r="184" spans="21:38">
      <c r="U184" s="103"/>
      <c r="W184" s="90"/>
      <c r="X184" s="90"/>
      <c r="Y184" s="90"/>
      <c r="Z184" s="90"/>
      <c r="AA184" s="90"/>
      <c r="AB184" s="90"/>
      <c r="AC184" s="90"/>
      <c r="AD184" s="90"/>
      <c r="AE184" s="90"/>
      <c r="AF184" s="90"/>
      <c r="AG184" s="90"/>
      <c r="AH184" s="90"/>
      <c r="AI184" s="90"/>
      <c r="AJ184" s="90"/>
      <c r="AK184" s="90"/>
      <c r="AL184" s="90"/>
    </row>
  </sheetData>
  <mergeCells count="21">
    <mergeCell ref="I10:I14"/>
    <mergeCell ref="A1:E1"/>
    <mergeCell ref="A8:E8"/>
    <mergeCell ref="B120:H120"/>
    <mergeCell ref="A116:H118"/>
    <mergeCell ref="B111:H111"/>
    <mergeCell ref="A107:G109"/>
    <mergeCell ref="F24:F25"/>
    <mergeCell ref="H24:H25"/>
    <mergeCell ref="H10:H14"/>
    <mergeCell ref="A127:H128"/>
    <mergeCell ref="A123:H123"/>
    <mergeCell ref="A124:H125"/>
    <mergeCell ref="D10:D12"/>
    <mergeCell ref="B10:B12"/>
    <mergeCell ref="E10:E12"/>
    <mergeCell ref="C10:C12"/>
    <mergeCell ref="A19:H19"/>
    <mergeCell ref="A24:A25"/>
    <mergeCell ref="B24:B25"/>
    <mergeCell ref="E24:E25"/>
  </mergeCells>
  <phoneticPr fontId="7" type="noConversion"/>
  <hyperlinks>
    <hyperlink ref="K44" r:id="rId1" display="https://www.govinfo.gov/content/pkg/FR-2009-03-23/pdf/FR-2009-03-23.pdf" xr:uid="{62B6B51E-1A1B-45D0-AF34-27A0B47338E2}"/>
    <hyperlink ref="A99" r:id="rId2" display="file:///N:/Prj_SUS/2023/S23668%20SCE%20CA%20Prototypes%20Development/Technical/Database/Papers/Insights%20from%20hydronic%20heating%20systems%20in%20259%20commercial%20buildings/Insights%20from%20hydronic%20heating%20systems%20in%20259%20commercial%20buildings.pdf" xr:uid="{7A67BCDD-17F8-4522-BFA1-3E1F8BEA906B}"/>
    <hyperlink ref="H10" r:id="rId3" display="https://www.pnnl.gov/main/publications/external/technical_reports/pnnl-19341.pdf" xr:uid="{A2B6DC57-4CD8-4DDB-AAE2-55B1D7368CCF}"/>
    <hyperlink ref="H10:H14" r:id="rId4" display="PNNL,2010,&quot;Technical Support Document: 50% Energy Savings for Small Office Buildings&quot;" xr:uid="{3FAF7261-B12A-438E-8814-0D16B7128404}"/>
    <hyperlink ref="H21" r:id="rId5" xr:uid="{AC7F6837-0B12-488D-B497-E64D213E10A3}"/>
  </hyperlinks>
  <pageMargins left="0.7" right="0.7" top="0.75" bottom="0.75" header="0.3" footer="0.3"/>
  <pageSetup orientation="portrait" r:id="rId6"/>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FC53F-1807-4559-8373-63C735E89DB9}">
  <sheetPr codeName="Sheet7"/>
  <dimension ref="A1:Q45"/>
  <sheetViews>
    <sheetView workbookViewId="0"/>
  </sheetViews>
  <sheetFormatPr defaultRowHeight="14.45"/>
  <cols>
    <col min="1" max="1" width="22.7109375" customWidth="1"/>
    <col min="2" max="2" width="11.140625" customWidth="1"/>
    <col min="3" max="3" width="12.7109375" customWidth="1"/>
    <col min="4" max="4" width="11.140625" customWidth="1"/>
    <col min="5" max="5" width="12.28515625" customWidth="1"/>
    <col min="6" max="7" width="11.7109375" customWidth="1"/>
  </cols>
  <sheetData>
    <row r="1" spans="1:17" ht="31.15" customHeight="1">
      <c r="A1" s="752" t="str">
        <f>"Thermostat Setpoints - "&amp;Prototype!A2</f>
        <v>Thermostat Setpoints - OfficeSmall</v>
      </c>
      <c r="B1" s="752"/>
      <c r="C1" s="752"/>
      <c r="D1" s="752"/>
      <c r="E1" s="752"/>
      <c r="F1" s="752"/>
      <c r="G1" s="752"/>
      <c r="H1" s="752"/>
      <c r="I1" s="752"/>
      <c r="J1" s="752"/>
      <c r="K1" s="752"/>
      <c r="L1" s="752"/>
      <c r="M1" s="752"/>
      <c r="N1" s="752"/>
      <c r="O1" s="752"/>
      <c r="P1" s="752"/>
      <c r="Q1" s="752"/>
    </row>
    <row r="2" spans="1:17" ht="25.9" customHeight="1">
      <c r="A2" s="667" t="s">
        <v>375</v>
      </c>
      <c r="B2" s="107" t="s">
        <v>162</v>
      </c>
      <c r="C2" s="107" t="s">
        <v>163</v>
      </c>
      <c r="D2" s="107" t="s">
        <v>164</v>
      </c>
      <c r="E2" s="107" t="s">
        <v>165</v>
      </c>
      <c r="F2" s="107" t="s">
        <v>166</v>
      </c>
      <c r="G2" s="107" t="s">
        <v>167</v>
      </c>
      <c r="H2" s="107" t="s">
        <v>168</v>
      </c>
      <c r="I2" s="107" t="s">
        <v>169</v>
      </c>
      <c r="J2" s="107" t="s">
        <v>170</v>
      </c>
      <c r="K2" s="107" t="s">
        <v>171</v>
      </c>
      <c r="L2" s="107" t="s">
        <v>172</v>
      </c>
      <c r="M2" s="107" t="s">
        <v>173</v>
      </c>
      <c r="N2" s="107" t="s">
        <v>174</v>
      </c>
      <c r="O2" s="107" t="s">
        <v>175</v>
      </c>
      <c r="P2" s="107" t="s">
        <v>176</v>
      </c>
      <c r="Q2" s="107" t="s">
        <v>177</v>
      </c>
    </row>
    <row r="3" spans="1:17" ht="26.45" customHeight="1">
      <c r="A3" s="639" t="s">
        <v>376</v>
      </c>
      <c r="B3" s="639">
        <v>70</v>
      </c>
      <c r="C3" s="639">
        <v>70</v>
      </c>
      <c r="D3" s="639">
        <v>70</v>
      </c>
      <c r="E3" s="639">
        <v>70</v>
      </c>
      <c r="F3" s="639">
        <v>70</v>
      </c>
      <c r="G3" s="639">
        <v>70</v>
      </c>
      <c r="H3" s="639">
        <v>70</v>
      </c>
      <c r="I3" s="639">
        <v>70</v>
      </c>
      <c r="J3" s="639">
        <v>70</v>
      </c>
      <c r="K3" s="639">
        <v>70</v>
      </c>
      <c r="L3" s="639">
        <v>70</v>
      </c>
      <c r="M3" s="639">
        <v>70</v>
      </c>
      <c r="N3" s="639">
        <v>70</v>
      </c>
      <c r="O3" s="639">
        <v>70</v>
      </c>
      <c r="P3" s="639">
        <v>70</v>
      </c>
      <c r="Q3" s="639">
        <v>70</v>
      </c>
    </row>
    <row r="4" spans="1:17" ht="26.45" customHeight="1">
      <c r="A4" s="639" t="s">
        <v>377</v>
      </c>
      <c r="B4" s="639">
        <v>60</v>
      </c>
      <c r="C4" s="639">
        <v>60</v>
      </c>
      <c r="D4" s="639">
        <v>60</v>
      </c>
      <c r="E4" s="639">
        <v>60</v>
      </c>
      <c r="F4" s="639">
        <v>60</v>
      </c>
      <c r="G4" s="639">
        <v>60</v>
      </c>
      <c r="H4" s="639">
        <v>60</v>
      </c>
      <c r="I4" s="639">
        <v>60</v>
      </c>
      <c r="J4" s="639">
        <v>60</v>
      </c>
      <c r="K4" s="639">
        <v>60</v>
      </c>
      <c r="L4" s="639">
        <v>60</v>
      </c>
      <c r="M4" s="639">
        <v>60</v>
      </c>
      <c r="N4" s="639">
        <v>60</v>
      </c>
      <c r="O4" s="639">
        <v>60</v>
      </c>
      <c r="P4" s="639">
        <v>60</v>
      </c>
      <c r="Q4" s="639">
        <v>60</v>
      </c>
    </row>
    <row r="5" spans="1:17" ht="26.45" customHeight="1">
      <c r="A5" s="639" t="s">
        <v>378</v>
      </c>
      <c r="B5" s="639">
        <v>75</v>
      </c>
      <c r="C5" s="639">
        <v>75</v>
      </c>
      <c r="D5" s="639">
        <v>75</v>
      </c>
      <c r="E5" s="639">
        <v>75</v>
      </c>
      <c r="F5" s="639">
        <v>75</v>
      </c>
      <c r="G5" s="639">
        <v>75</v>
      </c>
      <c r="H5" s="639">
        <v>75</v>
      </c>
      <c r="I5" s="639">
        <v>75</v>
      </c>
      <c r="J5" s="639">
        <v>75</v>
      </c>
      <c r="K5" s="639">
        <v>75</v>
      </c>
      <c r="L5" s="639">
        <v>75</v>
      </c>
      <c r="M5" s="639">
        <v>75</v>
      </c>
      <c r="N5" s="639">
        <v>75</v>
      </c>
      <c r="O5" s="639">
        <v>75</v>
      </c>
      <c r="P5" s="639">
        <v>75</v>
      </c>
      <c r="Q5" s="639">
        <v>75</v>
      </c>
    </row>
    <row r="6" spans="1:17" ht="26.45" customHeight="1">
      <c r="A6" s="639" t="s">
        <v>379</v>
      </c>
      <c r="B6" s="639">
        <v>85</v>
      </c>
      <c r="C6" s="639">
        <v>85</v>
      </c>
      <c r="D6" s="639">
        <v>85</v>
      </c>
      <c r="E6" s="639">
        <v>85</v>
      </c>
      <c r="F6" s="639">
        <v>85</v>
      </c>
      <c r="G6" s="639">
        <v>85</v>
      </c>
      <c r="H6" s="639">
        <v>85</v>
      </c>
      <c r="I6" s="639">
        <v>85</v>
      </c>
      <c r="J6" s="639">
        <v>85</v>
      </c>
      <c r="K6" s="639">
        <v>85</v>
      </c>
      <c r="L6" s="639">
        <v>85</v>
      </c>
      <c r="M6" s="639">
        <v>85</v>
      </c>
      <c r="N6" s="639">
        <v>85</v>
      </c>
      <c r="O6" s="639">
        <v>85</v>
      </c>
      <c r="P6" s="639">
        <v>85</v>
      </c>
      <c r="Q6" s="639">
        <v>85</v>
      </c>
    </row>
    <row r="7" spans="1:17">
      <c r="A7" s="311"/>
    </row>
    <row r="9" spans="1:17">
      <c r="A9" s="798" t="s">
        <v>380</v>
      </c>
      <c r="B9" s="798"/>
      <c r="C9" s="798"/>
      <c r="D9" s="798"/>
      <c r="E9" s="798"/>
      <c r="F9" s="798"/>
      <c r="G9" s="798"/>
      <c r="H9" s="798"/>
      <c r="I9" s="798"/>
      <c r="J9" s="798"/>
      <c r="K9" s="798"/>
      <c r="L9" s="798"/>
      <c r="M9" s="798"/>
      <c r="N9" s="798"/>
      <c r="O9" s="798"/>
      <c r="P9" s="798"/>
      <c r="Q9" s="798"/>
    </row>
    <row r="10" spans="1:17" ht="28.15" customHeight="1">
      <c r="A10" s="799" t="s">
        <v>381</v>
      </c>
      <c r="B10" s="800"/>
      <c r="C10" s="800"/>
      <c r="D10" s="800"/>
      <c r="E10" s="800"/>
      <c r="F10" s="800"/>
      <c r="G10" s="800"/>
      <c r="H10" s="800"/>
      <c r="I10" s="800"/>
      <c r="J10" s="800"/>
      <c r="K10" s="800"/>
      <c r="L10" s="800"/>
      <c r="M10" s="800"/>
      <c r="N10" s="800"/>
      <c r="O10" s="800"/>
      <c r="P10" s="800"/>
      <c r="Q10" s="800"/>
    </row>
    <row r="11" spans="1:17">
      <c r="A11" s="625"/>
    </row>
    <row r="12" spans="1:17" ht="12.6" customHeight="1"/>
    <row r="15" spans="1:17">
      <c r="A15" s="625"/>
    </row>
    <row r="17" spans="1:13" s="238" customFormat="1" ht="18.600000000000001" hidden="1" customHeight="1">
      <c r="A17" s="801" t="s">
        <v>85</v>
      </c>
      <c r="B17" s="801"/>
      <c r="C17" s="801"/>
      <c r="D17" s="801"/>
      <c r="E17" s="801"/>
    </row>
    <row r="18" spans="1:13" s="464" customFormat="1" ht="21.6" hidden="1" customHeight="1">
      <c r="A18" s="192"/>
      <c r="B18" s="192"/>
      <c r="C18" s="192"/>
      <c r="D18" s="192"/>
      <c r="E18" s="192"/>
      <c r="F18" s="674"/>
      <c r="G18" s="674"/>
      <c r="H18" s="674"/>
      <c r="I18" s="674"/>
      <c r="J18" s="674"/>
      <c r="K18" s="674"/>
      <c r="L18" s="674"/>
      <c r="M18" s="674"/>
    </row>
    <row r="19" spans="1:13" hidden="1">
      <c r="B19" s="802" t="s">
        <v>343</v>
      </c>
      <c r="C19" s="802"/>
      <c r="D19" s="802"/>
      <c r="E19" s="802" t="s">
        <v>275</v>
      </c>
      <c r="F19" s="802"/>
      <c r="G19" s="802"/>
    </row>
    <row r="20" spans="1:13" hidden="1">
      <c r="B20" s="287" t="s">
        <v>382</v>
      </c>
      <c r="C20" s="288" t="s">
        <v>383</v>
      </c>
      <c r="D20" s="289" t="s">
        <v>384</v>
      </c>
      <c r="E20" s="287" t="s">
        <v>385</v>
      </c>
      <c r="F20" s="288" t="s">
        <v>383</v>
      </c>
      <c r="G20" s="289" t="s">
        <v>384</v>
      </c>
      <c r="J20" s="797" t="s">
        <v>386</v>
      </c>
      <c r="K20" s="1" t="s">
        <v>382</v>
      </c>
      <c r="L20" s="1" t="s">
        <v>387</v>
      </c>
      <c r="M20" s="1"/>
    </row>
    <row r="21" spans="1:13" hidden="1">
      <c r="A21" s="795" t="s">
        <v>150</v>
      </c>
      <c r="B21" s="504" t="s">
        <v>388</v>
      </c>
      <c r="C21" s="3" t="s">
        <v>388</v>
      </c>
      <c r="D21" s="505" t="s">
        <v>389</v>
      </c>
      <c r="E21" s="504" t="s">
        <v>388</v>
      </c>
      <c r="F21" s="3" t="s">
        <v>388</v>
      </c>
      <c r="G21" s="505" t="s">
        <v>389</v>
      </c>
      <c r="J21" s="797"/>
      <c r="K21" s="1" t="s">
        <v>383</v>
      </c>
      <c r="L21" s="1" t="s">
        <v>390</v>
      </c>
      <c r="M21" s="1"/>
    </row>
    <row r="22" spans="1:13" hidden="1">
      <c r="A22" s="795"/>
      <c r="B22" s="504">
        <v>15.56</v>
      </c>
      <c r="C22" s="3">
        <v>15.56</v>
      </c>
      <c r="D22" s="505">
        <v>15.56</v>
      </c>
      <c r="E22" s="504">
        <v>29.22</v>
      </c>
      <c r="F22" s="3">
        <v>29.22</v>
      </c>
      <c r="G22" s="505">
        <v>29.22</v>
      </c>
      <c r="J22" s="797"/>
      <c r="K22" s="1" t="s">
        <v>384</v>
      </c>
      <c r="L22" s="803" t="s">
        <v>391</v>
      </c>
      <c r="M22" s="804"/>
    </row>
    <row r="23" spans="1:13" hidden="1">
      <c r="A23" s="795"/>
      <c r="B23" s="506" t="s">
        <v>392</v>
      </c>
      <c r="C23" s="3" t="s">
        <v>393</v>
      </c>
      <c r="D23" s="505"/>
      <c r="E23" s="506" t="s">
        <v>392</v>
      </c>
      <c r="F23" s="3" t="s">
        <v>393</v>
      </c>
      <c r="G23" s="505"/>
    </row>
    <row r="24" spans="1:13" hidden="1">
      <c r="A24" s="795"/>
      <c r="B24" s="507">
        <v>21.11</v>
      </c>
      <c r="C24" s="508">
        <v>21.11</v>
      </c>
      <c r="D24" s="509"/>
      <c r="E24" s="507">
        <v>23.88</v>
      </c>
      <c r="F24" s="508">
        <v>23.88</v>
      </c>
      <c r="G24" s="509"/>
    </row>
    <row r="25" spans="1:13" hidden="1"/>
    <row r="26" spans="1:13" hidden="1"/>
    <row r="27" spans="1:13" ht="42" hidden="1" customHeight="1"/>
    <row r="28" spans="1:13" hidden="1">
      <c r="A28" s="796" t="s">
        <v>394</v>
      </c>
      <c r="B28" s="796"/>
      <c r="C28" s="796"/>
      <c r="D28" s="796"/>
      <c r="E28" s="796"/>
      <c r="F28" s="796"/>
      <c r="G28" s="796"/>
      <c r="H28" s="796"/>
      <c r="I28" s="796"/>
    </row>
    <row r="29" spans="1:13" hidden="1"/>
    <row r="30" spans="1:13" hidden="1"/>
    <row r="31" spans="1:13" hidden="1"/>
    <row r="32" spans="1:13" hidden="1"/>
    <row r="33" spans="1:9" hidden="1"/>
    <row r="34" spans="1:9" hidden="1"/>
    <row r="35" spans="1:9" hidden="1"/>
    <row r="36" spans="1:9" hidden="1"/>
    <row r="37" spans="1:9" hidden="1"/>
    <row r="38" spans="1:9" hidden="1"/>
    <row r="39" spans="1:9" ht="49.15" hidden="1" customHeight="1">
      <c r="A39" s="794" t="s">
        <v>395</v>
      </c>
      <c r="B39" s="794"/>
      <c r="C39" s="794"/>
      <c r="D39" s="794"/>
      <c r="E39" s="794"/>
      <c r="F39" s="794"/>
      <c r="G39" s="794"/>
      <c r="H39" s="794"/>
      <c r="I39" s="794"/>
    </row>
    <row r="40" spans="1:9" hidden="1">
      <c r="A40" t="s">
        <v>396</v>
      </c>
    </row>
    <row r="41" spans="1:9" hidden="1">
      <c r="A41" t="s">
        <v>397</v>
      </c>
    </row>
    <row r="42" spans="1:9" hidden="1"/>
    <row r="43" spans="1:9" hidden="1"/>
    <row r="44" spans="1:9" hidden="1"/>
    <row r="45" spans="1:9" hidden="1"/>
  </sheetData>
  <mergeCells count="11">
    <mergeCell ref="A39:I39"/>
    <mergeCell ref="A21:A24"/>
    <mergeCell ref="A28:I28"/>
    <mergeCell ref="J20:J22"/>
    <mergeCell ref="A1:Q1"/>
    <mergeCell ref="A9:Q9"/>
    <mergeCell ref="A10:Q10"/>
    <mergeCell ref="A17:E17"/>
    <mergeCell ref="B19:D19"/>
    <mergeCell ref="E19:G19"/>
    <mergeCell ref="L22:M2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Q111"/>
  <sheetViews>
    <sheetView zoomScaleNormal="100" workbookViewId="0">
      <selection sqref="A1:K1"/>
    </sheetView>
  </sheetViews>
  <sheetFormatPr defaultColWidth="9.28515625" defaultRowHeight="13.9"/>
  <cols>
    <col min="1" max="1" width="34.85546875" style="246" customWidth="1"/>
    <col min="2" max="2" width="23.42578125" style="246" customWidth="1"/>
    <col min="3" max="3" width="20.28515625" style="246" customWidth="1"/>
    <col min="4" max="4" width="21.28515625" style="246" customWidth="1"/>
    <col min="5" max="5" width="20.28515625" style="246" customWidth="1"/>
    <col min="6" max="6" width="28.28515625" style="246" customWidth="1"/>
    <col min="7" max="7" width="27.28515625" style="246" customWidth="1"/>
    <col min="8" max="8" width="13.7109375" style="246" customWidth="1"/>
    <col min="9" max="9" width="12.28515625" style="246" customWidth="1"/>
    <col min="10" max="10" width="13.7109375" style="246" customWidth="1"/>
    <col min="11" max="11" width="11.7109375" style="246" customWidth="1"/>
    <col min="12" max="12" width="13.7109375" style="246" customWidth="1"/>
    <col min="13" max="13" width="12.28515625" style="246" customWidth="1"/>
    <col min="14" max="14" width="13.7109375" style="246" customWidth="1"/>
    <col min="15" max="15" width="12.28515625" style="246" customWidth="1"/>
    <col min="16" max="16" width="13.7109375" style="246" customWidth="1"/>
    <col min="17" max="17" width="11.7109375" style="246" customWidth="1"/>
    <col min="18" max="19" width="10.7109375" style="246" customWidth="1"/>
    <col min="20" max="20" width="9.28515625" style="246"/>
    <col min="21" max="25" width="11.28515625" style="246" customWidth="1"/>
    <col min="26" max="16384" width="9.28515625" style="246"/>
  </cols>
  <sheetData>
    <row r="1" spans="1:15" ht="24.6" customHeight="1">
      <c r="A1" s="810" t="str">
        <f>"Outdoor Airflow Rate - "&amp;Prototype!A2</f>
        <v>Outdoor Airflow Rate - OfficeSmall</v>
      </c>
      <c r="B1" s="810"/>
      <c r="C1" s="810"/>
      <c r="D1" s="810"/>
      <c r="E1" s="810"/>
      <c r="F1" s="810"/>
      <c r="G1" s="810"/>
      <c r="H1" s="810"/>
      <c r="I1" s="810"/>
      <c r="J1" s="810"/>
      <c r="K1" s="810"/>
      <c r="L1" s="4"/>
      <c r="M1" s="4"/>
      <c r="N1" s="4"/>
      <c r="O1" s="4"/>
    </row>
    <row r="2" spans="1:15" ht="53.45" customHeight="1">
      <c r="A2" s="382" t="s">
        <v>96</v>
      </c>
      <c r="B2" s="359" t="s">
        <v>105</v>
      </c>
      <c r="C2" s="498" t="s">
        <v>398</v>
      </c>
      <c r="D2" s="499" t="s">
        <v>399</v>
      </c>
      <c r="E2" s="499" t="s">
        <v>400</v>
      </c>
      <c r="F2" s="499" t="s">
        <v>401</v>
      </c>
      <c r="G2" s="499" t="s">
        <v>402</v>
      </c>
      <c r="H2" s="499" t="s">
        <v>403</v>
      </c>
      <c r="I2" s="499" t="s">
        <v>404</v>
      </c>
      <c r="J2" s="382" t="s">
        <v>405</v>
      </c>
      <c r="K2" s="382" t="s">
        <v>92</v>
      </c>
      <c r="L2" s="4"/>
      <c r="M2" s="4"/>
      <c r="N2" s="4"/>
      <c r="O2" s="4"/>
    </row>
    <row r="3" spans="1:15" ht="30.6" customHeight="1">
      <c r="A3" s="500" t="str">
        <f>Zones!A3</f>
        <v>Open_Office_N</v>
      </c>
      <c r="B3" s="500">
        <f>Zones!J3</f>
        <v>4.5634874999999999</v>
      </c>
      <c r="C3" s="500">
        <f>Zones!G3</f>
        <v>912.69749999999999</v>
      </c>
      <c r="D3" s="638">
        <v>15</v>
      </c>
      <c r="E3" s="638">
        <v>0.15</v>
      </c>
      <c r="F3" s="501"/>
      <c r="G3" s="543">
        <f>B3*D3</f>
        <v>68.452312500000005</v>
      </c>
      <c r="H3" s="543">
        <f>C3*E3</f>
        <v>136.90462499999998</v>
      </c>
      <c r="I3" s="502"/>
      <c r="J3" s="503">
        <f>MAX(G3,H3,I3)</f>
        <v>136.90462499999998</v>
      </c>
      <c r="K3" s="387"/>
      <c r="L3" s="4"/>
      <c r="M3" s="4"/>
      <c r="N3" s="107" t="s">
        <v>406</v>
      </c>
      <c r="O3" s="107" t="s">
        <v>407</v>
      </c>
    </row>
    <row r="4" spans="1:15" ht="20.65" customHeight="1">
      <c r="A4" s="500" t="str">
        <f>Zones!A4</f>
        <v>Closed_Office_W</v>
      </c>
      <c r="B4" s="633">
        <v>15</v>
      </c>
      <c r="C4" s="633">
        <v>0.15</v>
      </c>
      <c r="D4" s="638">
        <v>15</v>
      </c>
      <c r="E4" s="638">
        <v>0.15</v>
      </c>
      <c r="F4" s="501"/>
      <c r="G4" s="543">
        <f t="shared" ref="G4:G15" si="0">B4*D4</f>
        <v>225</v>
      </c>
      <c r="H4" s="543">
        <f t="shared" ref="H4:H15" si="1">C4*E4</f>
        <v>2.2499999999999999E-2</v>
      </c>
      <c r="I4" s="502"/>
      <c r="J4" s="503">
        <f t="shared" ref="J4:J15" si="2">MAX(G4,H4,I4)</f>
        <v>225</v>
      </c>
      <c r="K4" s="387"/>
      <c r="L4" s="4"/>
      <c r="M4" s="4"/>
      <c r="N4" s="25" t="s">
        <v>109</v>
      </c>
      <c r="O4" s="512">
        <f>J3+J12</f>
        <v>361.90462500000001</v>
      </c>
    </row>
    <row r="5" spans="1:15" ht="29.45" customHeight="1">
      <c r="A5" s="500" t="str">
        <f>Zones!A5</f>
        <v>Closed_Office_E</v>
      </c>
      <c r="B5" s="633">
        <v>15</v>
      </c>
      <c r="C5" s="633">
        <v>0.15</v>
      </c>
      <c r="D5" s="638">
        <v>15</v>
      </c>
      <c r="E5" s="638">
        <v>0.15</v>
      </c>
      <c r="F5" s="501"/>
      <c r="G5" s="543">
        <f t="shared" si="0"/>
        <v>225</v>
      </c>
      <c r="H5" s="543">
        <f t="shared" si="1"/>
        <v>2.2499999999999999E-2</v>
      </c>
      <c r="I5" s="502"/>
      <c r="J5" s="503">
        <f t="shared" si="2"/>
        <v>225</v>
      </c>
      <c r="K5" s="387"/>
      <c r="L5" s="4"/>
      <c r="M5" s="4"/>
      <c r="N5" s="25" t="s">
        <v>113</v>
      </c>
      <c r="O5" s="512">
        <f>J4+J8+J12</f>
        <v>675</v>
      </c>
    </row>
    <row r="6" spans="1:15" ht="20.65" customHeight="1">
      <c r="A6" s="500" t="str">
        <f>Zones!A6</f>
        <v>Conference</v>
      </c>
      <c r="B6" s="633">
        <v>15</v>
      </c>
      <c r="C6" s="633">
        <v>0.15</v>
      </c>
      <c r="D6" s="638">
        <v>15</v>
      </c>
      <c r="E6" s="638">
        <v>0.15</v>
      </c>
      <c r="F6" s="501"/>
      <c r="G6" s="543">
        <f t="shared" si="0"/>
        <v>225</v>
      </c>
      <c r="H6" s="543">
        <f t="shared" si="1"/>
        <v>2.2499999999999999E-2</v>
      </c>
      <c r="I6" s="502"/>
      <c r="J6" s="503">
        <f t="shared" si="2"/>
        <v>225</v>
      </c>
      <c r="K6" s="387"/>
      <c r="L6" s="4"/>
      <c r="M6" s="4"/>
      <c r="N6" s="25" t="s">
        <v>115</v>
      </c>
      <c r="O6" s="512">
        <f>J5+J10+J14</f>
        <v>675</v>
      </c>
    </row>
    <row r="7" spans="1:15" ht="20.65" customHeight="1">
      <c r="A7" s="500" t="str">
        <f>Zones!A7</f>
        <v>Lobby_Lounge</v>
      </c>
      <c r="B7" s="633">
        <v>15</v>
      </c>
      <c r="C7" s="633">
        <v>0.15</v>
      </c>
      <c r="D7" s="638">
        <v>15</v>
      </c>
      <c r="E7" s="638">
        <v>0.15</v>
      </c>
      <c r="F7" s="501"/>
      <c r="G7" s="543">
        <f t="shared" si="0"/>
        <v>225</v>
      </c>
      <c r="H7" s="543">
        <f t="shared" si="1"/>
        <v>2.2499999999999999E-2</v>
      </c>
      <c r="I7" s="502"/>
      <c r="J7" s="503">
        <f t="shared" si="2"/>
        <v>225</v>
      </c>
      <c r="K7" s="387"/>
      <c r="L7" s="4"/>
      <c r="M7" s="4"/>
      <c r="N7" s="25" t="s">
        <v>118</v>
      </c>
      <c r="O7" s="512">
        <f>J6+J7+J15+J11+J9</f>
        <v>1125</v>
      </c>
    </row>
    <row r="8" spans="1:15" ht="20.65" customHeight="1">
      <c r="A8" s="500" t="str">
        <f>Zones!A8</f>
        <v>Storage</v>
      </c>
      <c r="B8" s="633">
        <v>15</v>
      </c>
      <c r="C8" s="633">
        <v>0.15</v>
      </c>
      <c r="D8" s="638">
        <v>15</v>
      </c>
      <c r="E8" s="638">
        <v>0.15</v>
      </c>
      <c r="F8" s="501"/>
      <c r="G8" s="543">
        <f t="shared" si="0"/>
        <v>225</v>
      </c>
      <c r="H8" s="543">
        <f t="shared" si="1"/>
        <v>2.2499999999999999E-2</v>
      </c>
      <c r="I8" s="502"/>
      <c r="J8" s="503">
        <f t="shared" si="2"/>
        <v>225</v>
      </c>
      <c r="K8" s="387"/>
      <c r="L8" s="4"/>
      <c r="M8" s="4"/>
      <c r="N8" s="4"/>
      <c r="O8" s="4"/>
    </row>
    <row r="9" spans="1:15" ht="20.65" customHeight="1">
      <c r="A9" s="500" t="str">
        <f>Zones!A9</f>
        <v>Mechanical_Electrical</v>
      </c>
      <c r="B9" s="633">
        <v>15</v>
      </c>
      <c r="C9" s="633">
        <v>0.15</v>
      </c>
      <c r="D9" s="638">
        <v>15</v>
      </c>
      <c r="E9" s="638">
        <v>0.15</v>
      </c>
      <c r="F9" s="501"/>
      <c r="G9" s="543">
        <f t="shared" si="0"/>
        <v>225</v>
      </c>
      <c r="H9" s="543">
        <f t="shared" si="1"/>
        <v>2.2499999999999999E-2</v>
      </c>
      <c r="I9" s="502"/>
      <c r="J9" s="503">
        <f t="shared" si="2"/>
        <v>225</v>
      </c>
      <c r="K9" s="387"/>
      <c r="L9" s="4"/>
      <c r="M9" s="4"/>
      <c r="N9" s="4"/>
      <c r="O9" s="4"/>
    </row>
    <row r="10" spans="1:15" ht="20.65" customHeight="1">
      <c r="A10" s="500" t="str">
        <f>Zones!A10</f>
        <v>Restroom</v>
      </c>
      <c r="B10" s="633">
        <v>15</v>
      </c>
      <c r="C10" s="633">
        <v>0.15</v>
      </c>
      <c r="D10" s="638">
        <v>15</v>
      </c>
      <c r="E10" s="638">
        <v>0.15</v>
      </c>
      <c r="F10" s="501" t="s">
        <v>408</v>
      </c>
      <c r="G10" s="543">
        <f t="shared" si="0"/>
        <v>225</v>
      </c>
      <c r="H10" s="543">
        <f t="shared" si="1"/>
        <v>2.2499999999999999E-2</v>
      </c>
      <c r="I10" s="543">
        <v>50</v>
      </c>
      <c r="J10" s="503">
        <f t="shared" si="2"/>
        <v>225</v>
      </c>
      <c r="K10" s="387"/>
      <c r="L10" s="4"/>
      <c r="M10" s="4"/>
      <c r="N10" s="4"/>
      <c r="O10" s="4"/>
    </row>
    <row r="11" spans="1:15" ht="20.65" customHeight="1">
      <c r="A11" s="500" t="str">
        <f>Zones!A11</f>
        <v>Break_CopyRoom</v>
      </c>
      <c r="B11" s="633">
        <v>15</v>
      </c>
      <c r="C11" s="633">
        <v>0.15</v>
      </c>
      <c r="D11" s="638">
        <v>15</v>
      </c>
      <c r="E11" s="638">
        <v>0.15</v>
      </c>
      <c r="F11" s="501"/>
      <c r="G11" s="543">
        <f t="shared" si="0"/>
        <v>225</v>
      </c>
      <c r="H11" s="543">
        <f t="shared" si="1"/>
        <v>2.2499999999999999E-2</v>
      </c>
      <c r="I11" s="502"/>
      <c r="J11" s="503">
        <f t="shared" si="2"/>
        <v>225</v>
      </c>
      <c r="K11" s="387"/>
      <c r="L11" s="4"/>
      <c r="M11" s="4"/>
      <c r="N11" s="4"/>
      <c r="O11" s="4"/>
    </row>
    <row r="12" spans="1:15" ht="20.65" customHeight="1">
      <c r="A12" s="500" t="str">
        <f>Zones!A12</f>
        <v>Corridor_W</v>
      </c>
      <c r="B12" s="633">
        <v>15</v>
      </c>
      <c r="C12" s="633">
        <v>0.15</v>
      </c>
      <c r="D12" s="638">
        <v>15</v>
      </c>
      <c r="E12" s="638">
        <v>0.15</v>
      </c>
      <c r="F12" s="501"/>
      <c r="G12" s="543">
        <f t="shared" si="0"/>
        <v>225</v>
      </c>
      <c r="H12" s="543">
        <f t="shared" si="1"/>
        <v>2.2499999999999999E-2</v>
      </c>
      <c r="I12" s="502"/>
      <c r="J12" s="503">
        <f t="shared" si="2"/>
        <v>225</v>
      </c>
      <c r="K12" s="387"/>
      <c r="L12" s="4"/>
      <c r="M12" s="4"/>
      <c r="N12" s="4"/>
      <c r="O12" s="4"/>
    </row>
    <row r="13" spans="1:15" ht="20.65" customHeight="1">
      <c r="A13" s="500" t="str">
        <f>Zones!A13</f>
        <v>Corridor_N</v>
      </c>
      <c r="B13" s="633">
        <v>15</v>
      </c>
      <c r="C13" s="633">
        <v>0.15</v>
      </c>
      <c r="D13" s="638">
        <v>15</v>
      </c>
      <c r="E13" s="638">
        <v>0.15</v>
      </c>
      <c r="F13" s="501"/>
      <c r="G13" s="543">
        <f t="shared" si="0"/>
        <v>225</v>
      </c>
      <c r="H13" s="543">
        <f t="shared" si="1"/>
        <v>2.2499999999999999E-2</v>
      </c>
      <c r="I13" s="502"/>
      <c r="J13" s="503">
        <f t="shared" si="2"/>
        <v>225</v>
      </c>
      <c r="K13" s="387"/>
      <c r="L13" s="4"/>
      <c r="M13" s="4"/>
      <c r="N13" s="4"/>
      <c r="O13" s="4"/>
    </row>
    <row r="14" spans="1:15" ht="20.65" customHeight="1">
      <c r="A14" s="500" t="str">
        <f>Zones!A14</f>
        <v>Corridor_E</v>
      </c>
      <c r="B14" s="633">
        <v>15</v>
      </c>
      <c r="C14" s="633">
        <v>0.15</v>
      </c>
      <c r="D14" s="638">
        <v>15</v>
      </c>
      <c r="E14" s="638">
        <v>0.15</v>
      </c>
      <c r="F14" s="501"/>
      <c r="G14" s="543">
        <f t="shared" si="0"/>
        <v>225</v>
      </c>
      <c r="H14" s="543">
        <f t="shared" si="1"/>
        <v>2.2499999999999999E-2</v>
      </c>
      <c r="I14" s="502"/>
      <c r="J14" s="503">
        <f t="shared" si="2"/>
        <v>225</v>
      </c>
      <c r="K14" s="387"/>
      <c r="L14" s="4"/>
      <c r="M14" s="4"/>
      <c r="N14" s="4"/>
      <c r="O14" s="4"/>
    </row>
    <row r="15" spans="1:15" ht="20.65" customHeight="1">
      <c r="A15" s="500" t="str">
        <f>Zones!A15</f>
        <v>Corridor_S</v>
      </c>
      <c r="B15" s="633">
        <v>15</v>
      </c>
      <c r="C15" s="633">
        <v>0.15</v>
      </c>
      <c r="D15" s="638">
        <v>15</v>
      </c>
      <c r="E15" s="638">
        <v>0.15</v>
      </c>
      <c r="F15" s="501"/>
      <c r="G15" s="543">
        <f t="shared" si="0"/>
        <v>225</v>
      </c>
      <c r="H15" s="543">
        <f t="shared" si="1"/>
        <v>2.2499999999999999E-2</v>
      </c>
      <c r="I15" s="502"/>
      <c r="J15" s="503">
        <f t="shared" si="2"/>
        <v>225</v>
      </c>
      <c r="K15" s="387"/>
      <c r="L15" s="4"/>
      <c r="M15" s="4"/>
      <c r="N15" s="4"/>
      <c r="O15" s="4"/>
    </row>
    <row r="16" spans="1:15" ht="20.65" customHeight="1">
      <c r="A16" s="500" t="str">
        <f>Zones!A16</f>
        <v>Attic</v>
      </c>
      <c r="B16" s="633">
        <v>15</v>
      </c>
      <c r="C16" s="633">
        <v>0.15</v>
      </c>
      <c r="D16" s="638"/>
      <c r="E16" s="638"/>
      <c r="F16" s="501"/>
      <c r="G16" s="543"/>
      <c r="H16" s="543"/>
      <c r="I16" s="502"/>
      <c r="J16" s="503"/>
      <c r="K16" s="387"/>
      <c r="L16" s="4"/>
      <c r="M16" s="4"/>
      <c r="N16" s="4"/>
      <c r="O16" s="4"/>
    </row>
    <row r="18" spans="1:11">
      <c r="A18" s="4"/>
      <c r="B18" s="4"/>
      <c r="C18" s="4"/>
      <c r="D18" s="4"/>
      <c r="E18" s="4"/>
      <c r="F18" s="4"/>
      <c r="G18" s="4"/>
      <c r="H18" s="4"/>
      <c r="I18" s="4"/>
      <c r="J18" s="4"/>
      <c r="K18" s="4"/>
    </row>
    <row r="24" spans="1:11" ht="15.6">
      <c r="A24" s="4"/>
      <c r="B24" s="4"/>
      <c r="C24" s="4"/>
      <c r="D24" s="4"/>
      <c r="E24" s="247"/>
      <c r="F24" s="4"/>
      <c r="G24" s="4"/>
      <c r="H24" s="4"/>
      <c r="I24" s="4"/>
      <c r="J24" s="4"/>
      <c r="K24" s="4"/>
    </row>
    <row r="25" spans="1:11" s="248" customFormat="1" ht="17.45" hidden="1">
      <c r="A25" s="463" t="s">
        <v>85</v>
      </c>
      <c r="B25" s="325"/>
      <c r="C25" s="325"/>
      <c r="D25" s="325"/>
      <c r="E25" s="326"/>
      <c r="F25" s="327"/>
      <c r="G25" s="328"/>
      <c r="H25" s="325"/>
      <c r="I25" s="325"/>
      <c r="J25" s="325"/>
      <c r="K25" s="325"/>
    </row>
    <row r="26" spans="1:11" s="252" customFormat="1" ht="17.45" hidden="1">
      <c r="A26" s="292"/>
      <c r="B26" s="4"/>
      <c r="C26" s="4"/>
      <c r="D26" s="4"/>
      <c r="E26" s="301"/>
      <c r="F26" s="307"/>
      <c r="G26" s="331"/>
      <c r="H26" s="292"/>
      <c r="I26" s="292"/>
      <c r="J26" s="292"/>
      <c r="K26" s="292"/>
    </row>
    <row r="27" spans="1:11" s="252" customFormat="1" ht="17.45" hidden="1">
      <c r="A27" s="4" t="s">
        <v>409</v>
      </c>
      <c r="B27" s="4"/>
      <c r="C27" s="4"/>
      <c r="D27" s="4"/>
      <c r="E27" s="329"/>
      <c r="F27" s="330"/>
      <c r="G27" s="331"/>
      <c r="H27" s="292"/>
      <c r="I27" s="292"/>
      <c r="J27" s="292"/>
      <c r="K27" s="292"/>
    </row>
    <row r="28" spans="1:11" s="252" customFormat="1" ht="17.45" hidden="1">
      <c r="A28" s="292"/>
      <c r="B28" s="292"/>
      <c r="C28" s="292"/>
      <c r="D28" s="292"/>
      <c r="E28" s="329"/>
      <c r="F28" s="330"/>
      <c r="G28" s="331"/>
      <c r="H28" s="292"/>
      <c r="I28" s="292"/>
      <c r="J28" s="292"/>
      <c r="K28" s="292"/>
    </row>
    <row r="29" spans="1:11" hidden="1">
      <c r="A29" s="4" t="s">
        <v>410</v>
      </c>
      <c r="B29" s="4"/>
      <c r="C29" s="4"/>
      <c r="D29" s="4"/>
      <c r="E29" s="4"/>
      <c r="F29" s="4"/>
      <c r="G29" s="4"/>
      <c r="H29" s="4"/>
      <c r="I29" s="4"/>
      <c r="J29" s="4"/>
      <c r="K29" s="4"/>
    </row>
    <row r="30" spans="1:11" s="249" customFormat="1" hidden="1" thickBot="1">
      <c r="A30" s="6"/>
      <c r="B30" s="6"/>
      <c r="C30" s="6"/>
      <c r="D30" s="6"/>
      <c r="E30" s="6"/>
      <c r="F30" s="6"/>
      <c r="G30" s="6"/>
      <c r="H30" s="6"/>
      <c r="I30" s="6"/>
      <c r="J30" s="6"/>
      <c r="K30" s="6"/>
    </row>
    <row r="31" spans="1:11" s="249" customFormat="1" ht="13.15" hidden="1">
      <c r="A31" s="6"/>
      <c r="B31" s="808" t="s">
        <v>411</v>
      </c>
      <c r="C31" s="809"/>
      <c r="D31" s="808" t="s">
        <v>412</v>
      </c>
      <c r="E31" s="809"/>
      <c r="F31" s="6"/>
      <c r="G31" s="7" t="s">
        <v>413</v>
      </c>
      <c r="H31" s="6"/>
      <c r="I31" s="6"/>
      <c r="J31" s="6"/>
      <c r="K31" s="6"/>
    </row>
    <row r="32" spans="1:11" s="249" customFormat="1" ht="27" hidden="1" thickBot="1">
      <c r="A32" s="93" t="s">
        <v>414</v>
      </c>
      <c r="B32" s="332" t="s">
        <v>415</v>
      </c>
      <c r="C32" s="333" t="s">
        <v>416</v>
      </c>
      <c r="D32" s="332" t="s">
        <v>415</v>
      </c>
      <c r="E32" s="333" t="s">
        <v>416</v>
      </c>
      <c r="F32" s="95" t="s">
        <v>417</v>
      </c>
      <c r="G32" s="7" t="s">
        <v>418</v>
      </c>
      <c r="H32" s="334"/>
      <c r="I32" s="334"/>
      <c r="J32" s="334"/>
      <c r="K32" s="334"/>
    </row>
    <row r="33" spans="1:11" s="249" customFormat="1" ht="13.15" hidden="1">
      <c r="A33" s="97" t="s">
        <v>419</v>
      </c>
      <c r="B33" s="335">
        <v>717924.25294342241</v>
      </c>
      <c r="C33" s="336">
        <v>0.9309744841257237</v>
      </c>
      <c r="D33" s="335">
        <v>5720.4277401025938</v>
      </c>
      <c r="E33" s="337">
        <v>7.4180141463199532E-3</v>
      </c>
      <c r="F33" s="338">
        <v>771153.52266353823</v>
      </c>
      <c r="G33" s="7" t="s">
        <v>420</v>
      </c>
      <c r="H33" s="6"/>
      <c r="I33" s="6"/>
      <c r="J33" s="6"/>
      <c r="K33" s="6"/>
    </row>
    <row r="34" spans="1:11" s="249" customFormat="1" ht="13.15" hidden="1">
      <c r="A34" s="97" t="s">
        <v>421</v>
      </c>
      <c r="B34" s="335">
        <v>110607.69151831744</v>
      </c>
      <c r="C34" s="336">
        <v>0.92484767218191266</v>
      </c>
      <c r="D34" s="335">
        <v>110607.69151831744</v>
      </c>
      <c r="E34" s="336">
        <v>0.92484767218191266</v>
      </c>
      <c r="F34" s="338">
        <v>119595.57756940703</v>
      </c>
      <c r="G34" s="7" t="s">
        <v>422</v>
      </c>
      <c r="H34" s="6"/>
      <c r="I34" s="6"/>
      <c r="J34" s="6"/>
      <c r="K34" s="6"/>
    </row>
    <row r="35" spans="1:11" s="249" customFormat="1" ht="13.15" hidden="1">
      <c r="A35" s="97" t="s">
        <v>423</v>
      </c>
      <c r="B35" s="335">
        <v>28894.051733852164</v>
      </c>
      <c r="C35" s="336">
        <v>0.8595072224279624</v>
      </c>
      <c r="D35" s="335">
        <v>0</v>
      </c>
      <c r="E35" s="336">
        <v>0</v>
      </c>
      <c r="F35" s="338">
        <v>33616.997018630456</v>
      </c>
      <c r="G35" s="7" t="s">
        <v>424</v>
      </c>
      <c r="H35" s="6"/>
      <c r="I35" s="6"/>
      <c r="J35" s="6"/>
      <c r="K35" s="6"/>
    </row>
    <row r="36" spans="1:11" s="249" customFormat="1" ht="13.15" hidden="1">
      <c r="A36" s="97" t="s">
        <v>425</v>
      </c>
      <c r="B36" s="335">
        <v>9152.9952699009009</v>
      </c>
      <c r="C36" s="336">
        <v>0.97318827452447643</v>
      </c>
      <c r="D36" s="335">
        <v>0</v>
      </c>
      <c r="E36" s="336">
        <v>0</v>
      </c>
      <c r="F36" s="338">
        <v>9405.163943609241</v>
      </c>
      <c r="G36" s="7" t="s">
        <v>426</v>
      </c>
      <c r="H36" s="6"/>
      <c r="I36" s="6"/>
      <c r="J36" s="6"/>
      <c r="K36" s="6"/>
    </row>
    <row r="37" spans="1:11" s="249" customFormat="1" ht="13.15" hidden="1">
      <c r="A37" s="97" t="s">
        <v>427</v>
      </c>
      <c r="B37" s="335">
        <v>40764.034997626601</v>
      </c>
      <c r="C37" s="336">
        <v>0.90087602515008536</v>
      </c>
      <c r="D37" s="335">
        <v>40764.034997626601</v>
      </c>
      <c r="E37" s="336">
        <v>0.90087602515008536</v>
      </c>
      <c r="F37" s="338">
        <v>45249.328275591914</v>
      </c>
      <c r="G37" s="7" t="s">
        <v>428</v>
      </c>
      <c r="H37" s="6"/>
      <c r="I37" s="6"/>
      <c r="J37" s="6"/>
      <c r="K37" s="6"/>
    </row>
    <row r="38" spans="1:11" s="249" customFormat="1" ht="13.15" hidden="1">
      <c r="A38" s="97" t="s">
        <v>429</v>
      </c>
      <c r="B38" s="335">
        <v>40651.536546315227</v>
      </c>
      <c r="C38" s="336">
        <v>0.94203038334776124</v>
      </c>
      <c r="D38" s="335">
        <v>0</v>
      </c>
      <c r="E38" s="336">
        <v>0</v>
      </c>
      <c r="F38" s="338">
        <v>43153.10553131943</v>
      </c>
      <c r="G38" s="6"/>
      <c r="H38" s="6"/>
      <c r="I38" s="6"/>
      <c r="J38" s="6"/>
      <c r="K38" s="6"/>
    </row>
    <row r="39" spans="1:11" s="249" customFormat="1" ht="13.15" hidden="1">
      <c r="A39" s="97" t="s">
        <v>430</v>
      </c>
      <c r="B39" s="335">
        <v>33601.15447699275</v>
      </c>
      <c r="C39" s="336">
        <v>0.96127371467692235</v>
      </c>
      <c r="D39" s="335">
        <v>33601.15447699275</v>
      </c>
      <c r="E39" s="336">
        <v>0.96127371467692235</v>
      </c>
      <c r="F39" s="338">
        <v>34954.825003496393</v>
      </c>
      <c r="G39" s="6"/>
      <c r="H39" s="6"/>
      <c r="I39" s="6"/>
      <c r="J39" s="6"/>
      <c r="K39" s="6"/>
    </row>
    <row r="40" spans="1:11" s="249" customFormat="1" ht="13.15" hidden="1">
      <c r="A40" s="97" t="s">
        <v>431</v>
      </c>
      <c r="B40" s="335">
        <v>162052.06139564686</v>
      </c>
      <c r="C40" s="336">
        <v>0.96386078925189944</v>
      </c>
      <c r="D40" s="335">
        <v>162052.06139564686</v>
      </c>
      <c r="E40" s="336">
        <v>0.96386078925189944</v>
      </c>
      <c r="F40" s="338">
        <v>168128.07741813373</v>
      </c>
      <c r="G40" s="6"/>
      <c r="H40" s="6"/>
      <c r="I40" s="6"/>
      <c r="J40" s="6"/>
      <c r="K40" s="6"/>
    </row>
    <row r="41" spans="1:11" s="249" customFormat="1" ht="13.15" hidden="1">
      <c r="A41" s="97" t="s">
        <v>432</v>
      </c>
      <c r="B41" s="335">
        <v>22464.065903732335</v>
      </c>
      <c r="C41" s="336">
        <v>0.92712279702139999</v>
      </c>
      <c r="D41" s="335">
        <v>0</v>
      </c>
      <c r="E41" s="336">
        <v>0</v>
      </c>
      <c r="F41" s="338">
        <v>24229.871141021908</v>
      </c>
      <c r="G41" s="6"/>
      <c r="H41" s="6"/>
      <c r="I41" s="6"/>
      <c r="J41" s="6"/>
      <c r="K41" s="6"/>
    </row>
    <row r="42" spans="1:11" s="249" customFormat="1" ht="13.15" hidden="1">
      <c r="A42" s="97" t="s">
        <v>433</v>
      </c>
      <c r="B42" s="335">
        <v>11190.390501888336</v>
      </c>
      <c r="C42" s="336">
        <v>0.95705946257538421</v>
      </c>
      <c r="D42" s="335">
        <v>0</v>
      </c>
      <c r="E42" s="336">
        <v>0</v>
      </c>
      <c r="F42" s="338">
        <v>11692.471512455173</v>
      </c>
      <c r="G42" s="6"/>
      <c r="H42" s="6"/>
      <c r="I42" s="6"/>
      <c r="J42" s="6"/>
      <c r="K42" s="6"/>
    </row>
    <row r="43" spans="1:11" s="249" customFormat="1" ht="13.15" hidden="1">
      <c r="A43" s="97" t="s">
        <v>434</v>
      </c>
      <c r="B43" s="335">
        <v>31510.450150162214</v>
      </c>
      <c r="C43" s="336">
        <v>0.93602621601366132</v>
      </c>
      <c r="D43" s="335">
        <v>0</v>
      </c>
      <c r="E43" s="336">
        <v>0</v>
      </c>
      <c r="F43" s="338">
        <v>33664.067962069043</v>
      </c>
      <c r="G43" s="6"/>
      <c r="H43" s="6"/>
      <c r="I43" s="6"/>
      <c r="J43" s="6"/>
      <c r="K43" s="6"/>
    </row>
    <row r="44" spans="1:11" s="249" customFormat="1" ht="13.15" hidden="1">
      <c r="A44" s="97" t="s">
        <v>435</v>
      </c>
      <c r="B44" s="335">
        <v>34908.686615500919</v>
      </c>
      <c r="C44" s="336">
        <v>0.9809064600617533</v>
      </c>
      <c r="D44" s="335">
        <v>0</v>
      </c>
      <c r="E44" s="336">
        <v>0</v>
      </c>
      <c r="F44" s="338">
        <v>35588.191164836688</v>
      </c>
      <c r="G44" s="6"/>
      <c r="H44" s="6"/>
      <c r="I44" s="6"/>
      <c r="J44" s="6"/>
      <c r="K44" s="6"/>
    </row>
    <row r="45" spans="1:11" s="249" customFormat="1" ht="13.15" hidden="1">
      <c r="A45" s="97" t="s">
        <v>436</v>
      </c>
      <c r="B45" s="335">
        <v>60257.385810779408</v>
      </c>
      <c r="C45" s="336">
        <v>0.9069505064228327</v>
      </c>
      <c r="D45" s="335">
        <v>60257.385810779408</v>
      </c>
      <c r="E45" s="336">
        <v>0.9069505064228327</v>
      </c>
      <c r="F45" s="338">
        <v>66439.55252690117</v>
      </c>
      <c r="G45" s="6"/>
      <c r="H45" s="6"/>
      <c r="I45" s="6"/>
      <c r="J45" s="6"/>
      <c r="K45" s="6"/>
    </row>
    <row r="46" spans="1:11" s="249" customFormat="1" ht="13.15" hidden="1">
      <c r="A46" s="97" t="s">
        <v>437</v>
      </c>
      <c r="B46" s="335">
        <v>18564.584619094585</v>
      </c>
      <c r="C46" s="336">
        <v>0.87868960305597377</v>
      </c>
      <c r="D46" s="335">
        <v>18564.584619094585</v>
      </c>
      <c r="E46" s="336">
        <v>0.87868960305597377</v>
      </c>
      <c r="F46" s="338">
        <v>21127.579698825677</v>
      </c>
      <c r="G46" s="6"/>
      <c r="H46" s="6"/>
      <c r="I46" s="6"/>
      <c r="J46" s="6"/>
      <c r="K46" s="6"/>
    </row>
    <row r="47" spans="1:11" s="249" customFormat="1" ht="13.15" hidden="1">
      <c r="A47" s="97" t="s">
        <v>438</v>
      </c>
      <c r="B47" s="335">
        <v>25391.210127699393</v>
      </c>
      <c r="C47" s="336">
        <v>0.87254045332653163</v>
      </c>
      <c r="D47" s="335">
        <v>25391.210127699393</v>
      </c>
      <c r="E47" s="336">
        <v>0.87254045332653163</v>
      </c>
      <c r="F47" s="338">
        <v>29100.324266796182</v>
      </c>
      <c r="G47" s="6"/>
      <c r="H47" s="6"/>
      <c r="I47" s="6"/>
      <c r="J47" s="6"/>
      <c r="K47" s="6"/>
    </row>
    <row r="48" spans="1:11" s="249" customFormat="1" ht="13.15" hidden="1">
      <c r="A48" s="97" t="s">
        <v>439</v>
      </c>
      <c r="B48" s="335">
        <v>35458.851270737847</v>
      </c>
      <c r="C48" s="336">
        <v>0.91743581518541284</v>
      </c>
      <c r="D48" s="335">
        <v>35458.851270737847</v>
      </c>
      <c r="E48" s="336">
        <v>0.91743581518541284</v>
      </c>
      <c r="F48" s="338">
        <v>38649.95314530169</v>
      </c>
      <c r="G48" s="6"/>
      <c r="H48" s="6"/>
      <c r="I48" s="6"/>
      <c r="J48" s="6"/>
      <c r="K48" s="6"/>
    </row>
    <row r="49" spans="1:13" s="249" customFormat="1" hidden="1" thickBot="1">
      <c r="A49" s="97" t="s">
        <v>440</v>
      </c>
      <c r="B49" s="496">
        <v>13427.377287087003</v>
      </c>
      <c r="C49" s="497">
        <v>0.91735432268343486</v>
      </c>
      <c r="D49" s="496">
        <v>0</v>
      </c>
      <c r="E49" s="497">
        <v>0</v>
      </c>
      <c r="F49" s="338">
        <v>14637.067657575741</v>
      </c>
      <c r="G49" s="6"/>
      <c r="H49" s="6"/>
      <c r="I49" s="6"/>
      <c r="J49" s="6"/>
      <c r="K49" s="6"/>
      <c r="L49" s="6"/>
      <c r="M49" s="6"/>
    </row>
    <row r="50" spans="1:13" s="249" customFormat="1" ht="13.15" hidden="1">
      <c r="A50" s="6"/>
      <c r="B50" s="6"/>
      <c r="C50" s="6"/>
      <c r="D50" s="6"/>
      <c r="E50" s="6"/>
      <c r="F50" s="6"/>
      <c r="G50" s="6"/>
      <c r="H50" s="6"/>
      <c r="I50" s="6"/>
      <c r="J50" s="6"/>
      <c r="K50" s="6"/>
      <c r="L50" s="6"/>
      <c r="M50" s="6"/>
    </row>
    <row r="51" spans="1:13" s="249" customFormat="1" ht="13.15" hidden="1">
      <c r="A51" s="6"/>
      <c r="B51" s="6"/>
      <c r="C51" s="6"/>
      <c r="D51" s="6"/>
      <c r="E51" s="6"/>
      <c r="F51" s="6"/>
      <c r="G51" s="6"/>
      <c r="H51" s="6"/>
      <c r="I51" s="6"/>
      <c r="J51" s="6"/>
      <c r="K51" s="6"/>
      <c r="L51" s="6"/>
      <c r="M51" s="6"/>
    </row>
    <row r="52" spans="1:13" s="249" customFormat="1" ht="13.15" hidden="1">
      <c r="A52" s="6"/>
      <c r="B52" s="6"/>
      <c r="C52" s="6"/>
      <c r="D52" s="6"/>
      <c r="E52" s="6"/>
      <c r="F52" s="6"/>
      <c r="G52" s="6"/>
      <c r="H52" s="6"/>
      <c r="I52" s="6"/>
      <c r="J52" s="6"/>
      <c r="K52" s="6"/>
      <c r="L52" s="6"/>
      <c r="M52" s="6"/>
    </row>
    <row r="53" spans="1:13" s="249" customFormat="1" hidden="1" thickBot="1">
      <c r="A53" s="6"/>
      <c r="B53" s="805" t="s">
        <v>441</v>
      </c>
      <c r="C53" s="806"/>
      <c r="D53" s="806"/>
      <c r="E53" s="806"/>
      <c r="F53" s="806"/>
      <c r="G53" s="807"/>
      <c r="H53" s="805" t="s">
        <v>442</v>
      </c>
      <c r="I53" s="806"/>
      <c r="J53" s="806"/>
      <c r="K53" s="806"/>
      <c r="L53" s="806"/>
      <c r="M53" s="807"/>
    </row>
    <row r="54" spans="1:13" s="249" customFormat="1" hidden="1" thickBot="1">
      <c r="A54" s="481" t="s">
        <v>414</v>
      </c>
      <c r="B54" s="482" t="s">
        <v>443</v>
      </c>
      <c r="C54" s="483" t="s">
        <v>186</v>
      </c>
      <c r="D54" s="483" t="s">
        <v>188</v>
      </c>
      <c r="E54" s="484" t="s">
        <v>190</v>
      </c>
      <c r="F54" s="485" t="s">
        <v>444</v>
      </c>
      <c r="G54" s="486" t="s">
        <v>417</v>
      </c>
      <c r="H54" s="482" t="s">
        <v>443</v>
      </c>
      <c r="I54" s="483" t="s">
        <v>186</v>
      </c>
      <c r="J54" s="483" t="s">
        <v>188</v>
      </c>
      <c r="K54" s="484" t="s">
        <v>190</v>
      </c>
      <c r="L54" s="485" t="s">
        <v>444</v>
      </c>
      <c r="M54" s="486" t="s">
        <v>417</v>
      </c>
    </row>
    <row r="55" spans="1:13" s="249" customFormat="1" ht="13.15" hidden="1">
      <c r="A55" s="487" t="s">
        <v>419</v>
      </c>
      <c r="B55" s="488">
        <v>282213.6856381119</v>
      </c>
      <c r="C55" s="489">
        <v>242811.90431002263</v>
      </c>
      <c r="D55" s="489">
        <v>96185.023726644518</v>
      </c>
      <c r="E55" s="489">
        <v>35649.027644729496</v>
      </c>
      <c r="F55" s="489">
        <v>61064.611623915269</v>
      </c>
      <c r="G55" s="490">
        <v>717924.25294342241</v>
      </c>
      <c r="H55" s="488">
        <v>5143.4964615580266</v>
      </c>
      <c r="I55" s="489">
        <v>382.5794747915719</v>
      </c>
      <c r="J55" s="489">
        <v>194.35180375299507</v>
      </c>
      <c r="K55" s="489">
        <v>0</v>
      </c>
      <c r="L55" s="489">
        <v>0</v>
      </c>
      <c r="M55" s="490">
        <v>5720.4277401025938</v>
      </c>
    </row>
    <row r="56" spans="1:13" s="249" customFormat="1" ht="13.15" hidden="1">
      <c r="A56" s="491" t="s">
        <v>421</v>
      </c>
      <c r="B56" s="339">
        <v>54414.231363500447</v>
      </c>
      <c r="C56" s="338">
        <v>32999.721957680755</v>
      </c>
      <c r="D56" s="338">
        <v>11122.253310580303</v>
      </c>
      <c r="E56" s="338">
        <v>4603.0503982381479</v>
      </c>
      <c r="F56" s="338">
        <v>7468.4344883178173</v>
      </c>
      <c r="G56" s="340">
        <v>110607.69151831744</v>
      </c>
      <c r="H56" s="339">
        <v>54414.231363500447</v>
      </c>
      <c r="I56" s="338">
        <v>0</v>
      </c>
      <c r="J56" s="338">
        <v>11122.253310580303</v>
      </c>
      <c r="K56" s="338">
        <v>4603.0503982381479</v>
      </c>
      <c r="L56" s="338">
        <v>7468.4344883178173</v>
      </c>
      <c r="M56" s="340">
        <v>110607.69151831744</v>
      </c>
    </row>
    <row r="57" spans="1:13" s="249" customFormat="1" ht="13.15" hidden="1">
      <c r="A57" s="491" t="s">
        <v>423</v>
      </c>
      <c r="B57" s="339">
        <v>13141.098416463979</v>
      </c>
      <c r="C57" s="338">
        <v>9647.915966147466</v>
      </c>
      <c r="D57" s="338">
        <v>3659.6977019968758</v>
      </c>
      <c r="E57" s="338">
        <v>1714.0382895377147</v>
      </c>
      <c r="F57" s="338">
        <v>731.30135970610877</v>
      </c>
      <c r="G57" s="340">
        <v>28894.051733852164</v>
      </c>
      <c r="H57" s="339">
        <v>0</v>
      </c>
      <c r="I57" s="338">
        <v>0</v>
      </c>
      <c r="J57" s="338">
        <v>0</v>
      </c>
      <c r="K57" s="338">
        <v>0</v>
      </c>
      <c r="L57" s="338">
        <v>0</v>
      </c>
      <c r="M57" s="340">
        <v>0</v>
      </c>
    </row>
    <row r="58" spans="1:13" s="249" customFormat="1" ht="13.15" hidden="1">
      <c r="A58" s="491" t="s">
        <v>425</v>
      </c>
      <c r="B58" s="339">
        <v>3193.2901698164151</v>
      </c>
      <c r="C58" s="338">
        <v>2796.6371171970573</v>
      </c>
      <c r="D58" s="338">
        <v>1418.2922608412782</v>
      </c>
      <c r="E58" s="338">
        <v>560.05876995086192</v>
      </c>
      <c r="F58" s="338">
        <v>1184.7169520952884</v>
      </c>
      <c r="G58" s="340">
        <v>9152.9952699009009</v>
      </c>
      <c r="H58" s="339">
        <v>0</v>
      </c>
      <c r="I58" s="338">
        <v>0</v>
      </c>
      <c r="J58" s="338">
        <v>0</v>
      </c>
      <c r="K58" s="338">
        <v>0</v>
      </c>
      <c r="L58" s="338">
        <v>0</v>
      </c>
      <c r="M58" s="340">
        <v>0</v>
      </c>
    </row>
    <row r="59" spans="1:13" s="249" customFormat="1" ht="13.15" hidden="1">
      <c r="A59" s="491" t="s">
        <v>427</v>
      </c>
      <c r="B59" s="339">
        <v>4769.6280577688785</v>
      </c>
      <c r="C59" s="338">
        <v>13172.607264945389</v>
      </c>
      <c r="D59" s="338">
        <v>17791.129909999563</v>
      </c>
      <c r="E59" s="338">
        <v>2050.2791221276198</v>
      </c>
      <c r="F59" s="338">
        <v>2980.3906427851557</v>
      </c>
      <c r="G59" s="340">
        <v>40764.034997626601</v>
      </c>
      <c r="H59" s="339">
        <v>0</v>
      </c>
      <c r="I59" s="338">
        <v>0</v>
      </c>
      <c r="J59" s="338">
        <v>17791.129909999563</v>
      </c>
      <c r="K59" s="338">
        <v>0</v>
      </c>
      <c r="L59" s="338">
        <v>0</v>
      </c>
      <c r="M59" s="340">
        <v>40764.034997626601</v>
      </c>
    </row>
    <row r="60" spans="1:13" s="249" customFormat="1" ht="13.15" hidden="1">
      <c r="A60" s="491" t="s">
        <v>429</v>
      </c>
      <c r="B60" s="339">
        <v>11153.23918134357</v>
      </c>
      <c r="C60" s="338">
        <v>13335.886831329419</v>
      </c>
      <c r="D60" s="338">
        <v>9354.7826426589454</v>
      </c>
      <c r="E60" s="338">
        <v>3829.8506983662564</v>
      </c>
      <c r="F60" s="338">
        <v>2977.7771926170335</v>
      </c>
      <c r="G60" s="340">
        <v>40651.536546315227</v>
      </c>
      <c r="H60" s="339">
        <v>0</v>
      </c>
      <c r="I60" s="338">
        <v>0</v>
      </c>
      <c r="J60" s="338">
        <v>0</v>
      </c>
      <c r="K60" s="338">
        <v>0</v>
      </c>
      <c r="L60" s="338">
        <v>0</v>
      </c>
      <c r="M60" s="340">
        <v>0</v>
      </c>
    </row>
    <row r="61" spans="1:13" s="249" customFormat="1" ht="13.15" hidden="1">
      <c r="A61" s="491" t="s">
        <v>430</v>
      </c>
      <c r="B61" s="339">
        <v>12261.901352864996</v>
      </c>
      <c r="C61" s="338">
        <v>10666.380316733887</v>
      </c>
      <c r="D61" s="338">
        <v>2831.2619452424615</v>
      </c>
      <c r="E61" s="338">
        <v>1071.4579372409655</v>
      </c>
      <c r="F61" s="338">
        <v>6770.1529249104369</v>
      </c>
      <c r="G61" s="340">
        <v>33601.15447699275</v>
      </c>
      <c r="H61" s="339">
        <v>12261.901352864996</v>
      </c>
      <c r="I61" s="338">
        <v>10666.380316733887</v>
      </c>
      <c r="J61" s="338">
        <v>0</v>
      </c>
      <c r="K61" s="338">
        <v>0</v>
      </c>
      <c r="L61" s="338">
        <v>0</v>
      </c>
      <c r="M61" s="340">
        <v>33601.15447699275</v>
      </c>
    </row>
    <row r="62" spans="1:13" s="249" customFormat="1" ht="13.15" hidden="1">
      <c r="A62" s="491" t="s">
        <v>431</v>
      </c>
      <c r="B62" s="339">
        <v>80605.784669613422</v>
      </c>
      <c r="C62" s="338">
        <v>49236.975044343228</v>
      </c>
      <c r="D62" s="338">
        <v>10354.364803989591</v>
      </c>
      <c r="E62" s="338">
        <v>5701.2154339954186</v>
      </c>
      <c r="F62" s="338">
        <v>16153.721443705144</v>
      </c>
      <c r="G62" s="340">
        <v>162052.06139564686</v>
      </c>
      <c r="H62" s="339">
        <v>80605.784669613422</v>
      </c>
      <c r="I62" s="338">
        <v>0</v>
      </c>
      <c r="J62" s="338">
        <v>0</v>
      </c>
      <c r="K62" s="338">
        <v>0</v>
      </c>
      <c r="L62" s="338">
        <v>0</v>
      </c>
      <c r="M62" s="340">
        <v>162052.06139564686</v>
      </c>
    </row>
    <row r="63" spans="1:13" s="249" customFormat="1" ht="13.15" hidden="1">
      <c r="A63" s="491" t="s">
        <v>432</v>
      </c>
      <c r="B63" s="339">
        <v>6525.3198581264696</v>
      </c>
      <c r="C63" s="338">
        <v>10968.355036489755</v>
      </c>
      <c r="D63" s="338">
        <v>2306.1578987433923</v>
      </c>
      <c r="E63" s="338">
        <v>2050.2475039919823</v>
      </c>
      <c r="F63" s="338">
        <v>613.98560638074491</v>
      </c>
      <c r="G63" s="340">
        <v>22464.065903732335</v>
      </c>
      <c r="H63" s="339">
        <v>0</v>
      </c>
      <c r="I63" s="338">
        <v>0</v>
      </c>
      <c r="J63" s="338">
        <v>0</v>
      </c>
      <c r="K63" s="338">
        <v>0</v>
      </c>
      <c r="L63" s="338">
        <v>0</v>
      </c>
      <c r="M63" s="340">
        <v>0</v>
      </c>
    </row>
    <row r="64" spans="1:13" s="249" customFormat="1" ht="13.15" hidden="1">
      <c r="A64" s="491" t="s">
        <v>433</v>
      </c>
      <c r="B64" s="339">
        <v>2791.165376195032</v>
      </c>
      <c r="C64" s="338">
        <v>2824.4311314125794</v>
      </c>
      <c r="D64" s="338">
        <v>2664.3978681879853</v>
      </c>
      <c r="E64" s="338">
        <v>951.79973030611598</v>
      </c>
      <c r="F64" s="338">
        <v>1958.5963957866206</v>
      </c>
      <c r="G64" s="340">
        <v>11190.390501888336</v>
      </c>
      <c r="H64" s="339">
        <v>0</v>
      </c>
      <c r="I64" s="338">
        <v>0</v>
      </c>
      <c r="J64" s="338">
        <v>0</v>
      </c>
      <c r="K64" s="338">
        <v>0</v>
      </c>
      <c r="L64" s="338">
        <v>0</v>
      </c>
      <c r="M64" s="340">
        <v>0</v>
      </c>
    </row>
    <row r="65" spans="1:17" s="249" customFormat="1" ht="13.15" hidden="1">
      <c r="A65" s="491" t="s">
        <v>434</v>
      </c>
      <c r="B65" s="339">
        <v>7579.1686274047861</v>
      </c>
      <c r="C65" s="338">
        <v>10386.010993909897</v>
      </c>
      <c r="D65" s="338">
        <v>7421.6188471942942</v>
      </c>
      <c r="E65" s="338">
        <v>2642.637820670222</v>
      </c>
      <c r="F65" s="338">
        <v>3481.0138609830233</v>
      </c>
      <c r="G65" s="340">
        <v>31510.450150162214</v>
      </c>
      <c r="H65" s="339">
        <v>0</v>
      </c>
      <c r="I65" s="338">
        <v>0</v>
      </c>
      <c r="J65" s="338">
        <v>0</v>
      </c>
      <c r="K65" s="338">
        <v>0</v>
      </c>
      <c r="L65" s="338">
        <v>0</v>
      </c>
      <c r="M65" s="340">
        <v>0</v>
      </c>
      <c r="N65" s="6"/>
      <c r="O65" s="6"/>
      <c r="P65" s="6"/>
      <c r="Q65" s="6"/>
    </row>
    <row r="66" spans="1:17" s="249" customFormat="1" ht="13.15" hidden="1">
      <c r="A66" s="491" t="s">
        <v>435</v>
      </c>
      <c r="B66" s="339">
        <v>5363.5935420605965</v>
      </c>
      <c r="C66" s="338">
        <v>12676.290359257242</v>
      </c>
      <c r="D66" s="338">
        <v>7990.6575004744682</v>
      </c>
      <c r="E66" s="338">
        <v>4097.6865638964509</v>
      </c>
      <c r="F66" s="338">
        <v>4780.4586498121407</v>
      </c>
      <c r="G66" s="340">
        <v>34908.686615500919</v>
      </c>
      <c r="H66" s="339">
        <v>0</v>
      </c>
      <c r="I66" s="338">
        <v>0</v>
      </c>
      <c r="J66" s="338">
        <v>0</v>
      </c>
      <c r="K66" s="338">
        <v>0</v>
      </c>
      <c r="L66" s="338">
        <v>0</v>
      </c>
      <c r="M66" s="340">
        <v>0</v>
      </c>
      <c r="N66" s="6"/>
      <c r="O66" s="6"/>
      <c r="P66" s="6"/>
      <c r="Q66" s="6"/>
    </row>
    <row r="67" spans="1:17" s="249" customFormat="1" ht="13.15" hidden="1">
      <c r="A67" s="491" t="s">
        <v>436</v>
      </c>
      <c r="B67" s="339">
        <v>15464.376805658367</v>
      </c>
      <c r="C67" s="338">
        <v>33781.677066732263</v>
      </c>
      <c r="D67" s="338">
        <v>6158.0382724230894</v>
      </c>
      <c r="E67" s="338">
        <v>2245.6254361515726</v>
      </c>
      <c r="F67" s="338">
        <v>2607.6682298140699</v>
      </c>
      <c r="G67" s="340">
        <v>60257.385810779408</v>
      </c>
      <c r="H67" s="339">
        <v>15464.376805658367</v>
      </c>
      <c r="I67" s="338">
        <v>33781.677066732263</v>
      </c>
      <c r="J67" s="338">
        <v>0</v>
      </c>
      <c r="K67" s="338">
        <v>0</v>
      </c>
      <c r="L67" s="338">
        <v>0</v>
      </c>
      <c r="M67" s="340">
        <v>60257.385810779408</v>
      </c>
      <c r="N67" s="6"/>
      <c r="O67" s="6"/>
      <c r="P67" s="6"/>
      <c r="Q67" s="6"/>
    </row>
    <row r="68" spans="1:17" s="249" customFormat="1" ht="13.15" hidden="1">
      <c r="A68" s="491" t="s">
        <v>437</v>
      </c>
      <c r="B68" s="339">
        <v>6659.2890374103326</v>
      </c>
      <c r="C68" s="338">
        <v>5922.0061045190896</v>
      </c>
      <c r="D68" s="338">
        <v>2160.3566863970491</v>
      </c>
      <c r="E68" s="338">
        <v>143.21594523859827</v>
      </c>
      <c r="F68" s="338">
        <v>3679.7168455295136</v>
      </c>
      <c r="G68" s="340">
        <v>18564.584619094585</v>
      </c>
      <c r="H68" s="339">
        <v>6659.2890374103326</v>
      </c>
      <c r="I68" s="338">
        <v>0</v>
      </c>
      <c r="J68" s="338">
        <v>0</v>
      </c>
      <c r="K68" s="338">
        <v>0</v>
      </c>
      <c r="L68" s="338">
        <v>3679.7168455295136</v>
      </c>
      <c r="M68" s="340">
        <v>18564.584619094585</v>
      </c>
      <c r="N68" s="6"/>
      <c r="O68" s="6"/>
      <c r="P68" s="6"/>
      <c r="Q68" s="6"/>
    </row>
    <row r="69" spans="1:17" s="249" customFormat="1" ht="13.15" hidden="1">
      <c r="A69" s="491" t="s">
        <v>438</v>
      </c>
      <c r="B69" s="339">
        <v>8753.6669242583102</v>
      </c>
      <c r="C69" s="338">
        <v>10325.815710979356</v>
      </c>
      <c r="D69" s="338">
        <v>4770.6935408574054</v>
      </c>
      <c r="E69" s="338">
        <v>1039.1204391532453</v>
      </c>
      <c r="F69" s="338">
        <v>501.91351245108672</v>
      </c>
      <c r="G69" s="340">
        <v>25391.210127699393</v>
      </c>
      <c r="H69" s="339">
        <v>8753.6669242583102</v>
      </c>
      <c r="I69" s="338">
        <v>10325.815710979356</v>
      </c>
      <c r="J69" s="338">
        <v>0</v>
      </c>
      <c r="K69" s="338">
        <v>0</v>
      </c>
      <c r="L69" s="338">
        <v>0</v>
      </c>
      <c r="M69" s="340">
        <v>25391.210127699393</v>
      </c>
      <c r="N69" s="6"/>
      <c r="O69" s="6"/>
      <c r="P69" s="6"/>
      <c r="Q69" s="6"/>
    </row>
    <row r="70" spans="1:17" s="249" customFormat="1" ht="13.15" hidden="1">
      <c r="A70" s="491" t="s">
        <v>439</v>
      </c>
      <c r="B70" s="339">
        <v>25755.64886759999</v>
      </c>
      <c r="C70" s="338">
        <v>8207.2074231950155</v>
      </c>
      <c r="D70" s="338">
        <v>952.52012724319161</v>
      </c>
      <c r="E70" s="338">
        <v>0</v>
      </c>
      <c r="F70" s="338">
        <v>543.47485269963977</v>
      </c>
      <c r="G70" s="340">
        <v>35458.851270737847</v>
      </c>
      <c r="H70" s="339">
        <v>25755.64886759999</v>
      </c>
      <c r="I70" s="338">
        <v>0</v>
      </c>
      <c r="J70" s="338">
        <v>0</v>
      </c>
      <c r="K70" s="338">
        <v>0</v>
      </c>
      <c r="L70" s="338">
        <v>0</v>
      </c>
      <c r="M70" s="340">
        <v>35458.851270737847</v>
      </c>
      <c r="N70" s="6"/>
      <c r="O70" s="6"/>
      <c r="P70" s="6"/>
      <c r="Q70" s="6"/>
    </row>
    <row r="71" spans="1:17" s="249" customFormat="1" hidden="1" thickBot="1">
      <c r="A71" s="492" t="s">
        <v>440</v>
      </c>
      <c r="B71" s="493">
        <v>8440.6119100051619</v>
      </c>
      <c r="C71" s="494">
        <v>2664.270108670979</v>
      </c>
      <c r="D71" s="494">
        <v>0</v>
      </c>
      <c r="E71" s="494">
        <v>1010.7947657491204</v>
      </c>
      <c r="F71" s="494">
        <v>1311.7005026617444</v>
      </c>
      <c r="G71" s="495">
        <v>13427.377287087003</v>
      </c>
      <c r="H71" s="493">
        <v>0</v>
      </c>
      <c r="I71" s="494">
        <v>0</v>
      </c>
      <c r="J71" s="494">
        <v>0</v>
      </c>
      <c r="K71" s="494">
        <v>0</v>
      </c>
      <c r="L71" s="494">
        <v>0</v>
      </c>
      <c r="M71" s="495">
        <v>0</v>
      </c>
      <c r="N71" s="6"/>
      <c r="O71" s="6"/>
      <c r="P71" s="6"/>
      <c r="Q71" s="6"/>
    </row>
    <row r="72" spans="1:17" s="249" customFormat="1" ht="13.15" hidden="1">
      <c r="A72" s="6"/>
      <c r="B72" s="6"/>
      <c r="C72" s="6"/>
      <c r="D72" s="6"/>
      <c r="E72" s="6"/>
      <c r="F72" s="6"/>
      <c r="G72" s="6"/>
      <c r="H72" s="6"/>
      <c r="I72" s="6"/>
      <c r="J72" s="6"/>
      <c r="K72" s="6"/>
      <c r="L72" s="6"/>
      <c r="M72" s="6"/>
      <c r="N72" s="6"/>
      <c r="O72" s="6"/>
      <c r="P72" s="6"/>
      <c r="Q72" s="6"/>
    </row>
    <row r="73" spans="1:17" s="249" customFormat="1" ht="13.15" hidden="1">
      <c r="A73" s="6"/>
      <c r="B73" s="6"/>
      <c r="C73" s="6"/>
      <c r="D73" s="6"/>
      <c r="E73" s="6"/>
      <c r="F73" s="6"/>
      <c r="G73" s="6"/>
      <c r="H73" s="6"/>
      <c r="I73" s="6"/>
      <c r="J73" s="6"/>
      <c r="K73" s="6"/>
      <c r="L73" s="6"/>
      <c r="M73" s="6"/>
      <c r="N73" s="6"/>
      <c r="O73" s="6"/>
      <c r="P73" s="6"/>
      <c r="Q73" s="6"/>
    </row>
    <row r="74" spans="1:17" s="249" customFormat="1" ht="13.15" hidden="1">
      <c r="A74" s="6"/>
      <c r="B74" s="6"/>
      <c r="C74" s="6"/>
      <c r="D74" s="6"/>
      <c r="E74" s="6"/>
      <c r="F74" s="6"/>
      <c r="G74" s="6"/>
      <c r="H74" s="6"/>
      <c r="I74" s="6"/>
      <c r="J74" s="6"/>
      <c r="K74" s="6"/>
      <c r="L74" s="6"/>
      <c r="M74" s="6"/>
      <c r="N74" s="6"/>
      <c r="O74" s="6"/>
      <c r="P74" s="6"/>
      <c r="Q74" s="6"/>
    </row>
    <row r="75" spans="1:17" s="249" customFormat="1" ht="41.65" hidden="1" customHeight="1">
      <c r="A75" s="93" t="s">
        <v>445</v>
      </c>
      <c r="B75" s="93" t="s">
        <v>414</v>
      </c>
      <c r="C75" s="95" t="s">
        <v>446</v>
      </c>
      <c r="D75" s="95" t="s">
        <v>447</v>
      </c>
      <c r="E75" s="95" t="s">
        <v>448</v>
      </c>
      <c r="F75" s="95" t="s">
        <v>449</v>
      </c>
      <c r="G75" s="95" t="s">
        <v>450</v>
      </c>
      <c r="H75" s="95" t="s">
        <v>451</v>
      </c>
      <c r="I75" s="95" t="s">
        <v>452</v>
      </c>
      <c r="J75" s="95" t="s">
        <v>453</v>
      </c>
      <c r="K75" s="95" t="s">
        <v>454</v>
      </c>
      <c r="L75" s="95" t="s">
        <v>455</v>
      </c>
      <c r="M75" s="95" t="s">
        <v>456</v>
      </c>
      <c r="N75" s="95" t="s">
        <v>457</v>
      </c>
      <c r="O75" s="95" t="s">
        <v>417</v>
      </c>
      <c r="P75" s="250" t="s">
        <v>458</v>
      </c>
      <c r="Q75" s="250"/>
    </row>
    <row r="76" spans="1:17" s="249" customFormat="1" ht="13.15" hidden="1">
      <c r="A76" s="96" t="s">
        <v>459</v>
      </c>
      <c r="B76" s="97" t="s">
        <v>419</v>
      </c>
      <c r="C76" s="99">
        <v>1.7104423998247367E-2</v>
      </c>
      <c r="D76" s="100">
        <v>1.2417275280612724E-2</v>
      </c>
      <c r="E76" s="100">
        <v>7.9352165650239809E-3</v>
      </c>
      <c r="F76" s="100">
        <v>8.9418436640751799E-3</v>
      </c>
      <c r="G76" s="100">
        <v>1.084758628833558E-2</v>
      </c>
      <c r="H76" s="100">
        <v>1.7519214545401833E-2</v>
      </c>
      <c r="I76" s="100">
        <v>1.0034892613347135E-2</v>
      </c>
      <c r="J76" s="100">
        <v>1.6942774731770888E-2</v>
      </c>
      <c r="K76" s="100">
        <v>1.5237651615982605E-2</v>
      </c>
      <c r="L76" s="100">
        <v>1.8299130590724383E-2</v>
      </c>
      <c r="M76" s="100">
        <v>2.606146976085812E-2</v>
      </c>
      <c r="N76" s="100">
        <v>0.83865852034562083</v>
      </c>
      <c r="O76" s="100">
        <v>1.0000000000000007</v>
      </c>
      <c r="P76" s="6"/>
      <c r="Q76" s="6"/>
    </row>
    <row r="77" spans="1:17" s="249" customFormat="1" ht="13.15" hidden="1">
      <c r="A77" s="96" t="s">
        <v>459</v>
      </c>
      <c r="B77" s="97" t="s">
        <v>421</v>
      </c>
      <c r="C77" s="99">
        <v>3.0728995969114103E-2</v>
      </c>
      <c r="D77" s="100">
        <v>2.2382608405686212E-2</v>
      </c>
      <c r="E77" s="100">
        <v>0</v>
      </c>
      <c r="F77" s="100">
        <v>1.1874108115510719E-2</v>
      </c>
      <c r="G77" s="100">
        <v>5.146991508703444E-3</v>
      </c>
      <c r="H77" s="100">
        <v>3.1133885860221335E-3</v>
      </c>
      <c r="I77" s="100">
        <v>3.5120950567483749E-3</v>
      </c>
      <c r="J77" s="100">
        <v>1.9879787016385844E-2</v>
      </c>
      <c r="K77" s="100">
        <v>1.2528377378375715E-2</v>
      </c>
      <c r="L77" s="100">
        <v>1.4572406178617625E-2</v>
      </c>
      <c r="M77" s="100">
        <v>3.127567120859108E-2</v>
      </c>
      <c r="N77" s="100">
        <v>0.84498557057624468</v>
      </c>
      <c r="O77" s="100">
        <v>1</v>
      </c>
      <c r="P77" s="6"/>
      <c r="Q77" s="6"/>
    </row>
    <row r="78" spans="1:17" s="249" customFormat="1" ht="13.15" hidden="1">
      <c r="A78" s="96" t="s">
        <v>459</v>
      </c>
      <c r="B78" s="97" t="s">
        <v>423</v>
      </c>
      <c r="C78" s="99">
        <v>0</v>
      </c>
      <c r="D78" s="100">
        <v>6.0807087809559082E-2</v>
      </c>
      <c r="E78" s="100">
        <v>0</v>
      </c>
      <c r="F78" s="100">
        <v>1.3298957002370836E-3</v>
      </c>
      <c r="G78" s="100">
        <v>3.7010845538403255E-3</v>
      </c>
      <c r="H78" s="100">
        <v>6.4598828168682718E-2</v>
      </c>
      <c r="I78" s="100">
        <v>2.5150962376568969E-2</v>
      </c>
      <c r="J78" s="100">
        <v>3.6562088787012018E-2</v>
      </c>
      <c r="K78" s="100">
        <v>2.1140770299136569E-2</v>
      </c>
      <c r="L78" s="100">
        <v>2.5676249116899898E-2</v>
      </c>
      <c r="M78" s="100">
        <v>2.2882934283682935E-2</v>
      </c>
      <c r="N78" s="100">
        <v>0.73815009890438066</v>
      </c>
      <c r="O78" s="100">
        <v>1.0000000000000002</v>
      </c>
      <c r="P78" s="6"/>
      <c r="Q78" s="6"/>
    </row>
    <row r="79" spans="1:17" s="249" customFormat="1" ht="13.15" hidden="1">
      <c r="A79" s="96" t="s">
        <v>459</v>
      </c>
      <c r="B79" s="97" t="s">
        <v>425</v>
      </c>
      <c r="C79" s="99">
        <v>0</v>
      </c>
      <c r="D79" s="100">
        <v>0</v>
      </c>
      <c r="E79" s="100">
        <v>0</v>
      </c>
      <c r="F79" s="100">
        <v>0</v>
      </c>
      <c r="G79" s="100">
        <v>0</v>
      </c>
      <c r="H79" s="100">
        <v>1.6922093255248547E-2</v>
      </c>
      <c r="I79" s="100">
        <v>0</v>
      </c>
      <c r="J79" s="100">
        <v>3.144405686478878E-2</v>
      </c>
      <c r="K79" s="100">
        <v>2.0411423116636112E-2</v>
      </c>
      <c r="L79" s="100">
        <v>0</v>
      </c>
      <c r="M79" s="100">
        <v>2.3997121430340374E-2</v>
      </c>
      <c r="N79" s="100">
        <v>0.90722530533298662</v>
      </c>
      <c r="O79" s="100">
        <v>1.0000000000000004</v>
      </c>
      <c r="P79" s="6"/>
      <c r="Q79" s="6"/>
    </row>
    <row r="80" spans="1:17" s="249" customFormat="1" ht="13.15" hidden="1">
      <c r="A80" s="96" t="s">
        <v>459</v>
      </c>
      <c r="B80" s="97" t="s">
        <v>427</v>
      </c>
      <c r="C80" s="99">
        <v>6.1760034574200062E-4</v>
      </c>
      <c r="D80" s="100">
        <v>2.9125470850332982E-2</v>
      </c>
      <c r="E80" s="100">
        <v>8.3851771067515665E-3</v>
      </c>
      <c r="F80" s="100">
        <v>7.2059522012094188E-3</v>
      </c>
      <c r="G80" s="100">
        <v>4.2738642266146605E-2</v>
      </c>
      <c r="H80" s="100">
        <v>4.2951296772057324E-3</v>
      </c>
      <c r="I80" s="100">
        <v>1.3063244474719746E-2</v>
      </c>
      <c r="J80" s="100">
        <v>1.8735458629710988E-2</v>
      </c>
      <c r="K80" s="100">
        <v>2.6802372068934661E-2</v>
      </c>
      <c r="L80" s="100">
        <v>4.3870203614339902E-2</v>
      </c>
      <c r="M80" s="100">
        <v>2.0409957852774146E-2</v>
      </c>
      <c r="N80" s="100">
        <v>0.78475079091213218</v>
      </c>
      <c r="O80" s="100">
        <v>0.99999999999999989</v>
      </c>
      <c r="P80" s="6"/>
      <c r="Q80" s="6"/>
    </row>
    <row r="81" spans="1:17" s="249" customFormat="1" ht="13.15" hidden="1">
      <c r="A81" s="96" t="s">
        <v>459</v>
      </c>
      <c r="B81" s="97" t="s">
        <v>429</v>
      </c>
      <c r="C81" s="99">
        <v>0</v>
      </c>
      <c r="D81" s="100">
        <v>0</v>
      </c>
      <c r="E81" s="100">
        <v>3.4179617355324945E-3</v>
      </c>
      <c r="F81" s="100">
        <v>5.7308169263715434E-3</v>
      </c>
      <c r="G81" s="100">
        <v>0</v>
      </c>
      <c r="H81" s="100">
        <v>5.4484571669259074E-2</v>
      </c>
      <c r="I81" s="100">
        <v>2.5249376133706029E-2</v>
      </c>
      <c r="J81" s="100">
        <v>8.292300931088405E-3</v>
      </c>
      <c r="K81" s="100">
        <v>1.0601656861117997E-2</v>
      </c>
      <c r="L81" s="100">
        <v>8.2882623089376248E-3</v>
      </c>
      <c r="M81" s="100">
        <v>4.406814179982279E-2</v>
      </c>
      <c r="N81" s="100">
        <v>0.83986691163416372</v>
      </c>
      <c r="O81" s="100">
        <v>0.99999999999999967</v>
      </c>
      <c r="P81" s="6"/>
      <c r="Q81" s="6"/>
    </row>
    <row r="82" spans="1:17" s="249" customFormat="1" ht="13.15" hidden="1">
      <c r="A82" s="96" t="s">
        <v>459</v>
      </c>
      <c r="B82" s="97" t="s">
        <v>430</v>
      </c>
      <c r="C82" s="99">
        <v>1.563357097018685E-2</v>
      </c>
      <c r="D82" s="100">
        <v>1.4558848068967516E-3</v>
      </c>
      <c r="E82" s="100">
        <v>2.5362863317640424E-2</v>
      </c>
      <c r="F82" s="100">
        <v>5.5925944983345405E-3</v>
      </c>
      <c r="G82" s="100">
        <v>0</v>
      </c>
      <c r="H82" s="100">
        <v>2.8430110778271903E-2</v>
      </c>
      <c r="I82" s="100">
        <v>0</v>
      </c>
      <c r="J82" s="100">
        <v>1.6797295853143816E-2</v>
      </c>
      <c r="K82" s="100">
        <v>3.9510431890408095E-3</v>
      </c>
      <c r="L82" s="100">
        <v>3.5589365896402654E-3</v>
      </c>
      <c r="M82" s="100">
        <v>6.3926385264792426E-2</v>
      </c>
      <c r="N82" s="100">
        <v>0.83529131473205243</v>
      </c>
      <c r="O82" s="100">
        <v>1.0000000000000002</v>
      </c>
      <c r="P82" s="6"/>
      <c r="Q82" s="6"/>
    </row>
    <row r="83" spans="1:17" s="249" customFormat="1" ht="13.15" hidden="1">
      <c r="A83" s="96" t="s">
        <v>459</v>
      </c>
      <c r="B83" s="97" t="s">
        <v>431</v>
      </c>
      <c r="C83" s="99">
        <v>7.5575877599816897E-3</v>
      </c>
      <c r="D83" s="100">
        <v>2.0661169883630405E-3</v>
      </c>
      <c r="E83" s="100">
        <v>7.0868244705452998E-4</v>
      </c>
      <c r="F83" s="100">
        <v>4.0030179100856399E-3</v>
      </c>
      <c r="G83" s="100">
        <v>9.1316559256154322E-3</v>
      </c>
      <c r="H83" s="100">
        <v>6.9586530406202584E-3</v>
      </c>
      <c r="I83" s="100">
        <v>4.9082629094426636E-3</v>
      </c>
      <c r="J83" s="100">
        <v>1.6693831809810138E-2</v>
      </c>
      <c r="K83" s="100">
        <v>1.5571216157032655E-2</v>
      </c>
      <c r="L83" s="100">
        <v>3.1899594144203396E-2</v>
      </c>
      <c r="M83" s="100">
        <v>9.1009749570914369E-3</v>
      </c>
      <c r="N83" s="100">
        <v>0.89140040595069903</v>
      </c>
      <c r="O83" s="100">
        <v>0.99999999999999989</v>
      </c>
      <c r="P83" s="6"/>
      <c r="Q83" s="6"/>
    </row>
    <row r="84" spans="1:17" s="249" customFormat="1" ht="13.15" hidden="1">
      <c r="A84" s="96" t="s">
        <v>459</v>
      </c>
      <c r="B84" s="97" t="s">
        <v>432</v>
      </c>
      <c r="C84" s="99">
        <v>0</v>
      </c>
      <c r="D84" s="100">
        <v>0</v>
      </c>
      <c r="E84" s="100">
        <v>1.6436395008867372E-2</v>
      </c>
      <c r="F84" s="100">
        <v>1.1706753582254498E-2</v>
      </c>
      <c r="G84" s="100">
        <v>3.5889849794763083E-2</v>
      </c>
      <c r="H84" s="100">
        <v>9.916651490624687E-3</v>
      </c>
      <c r="I84" s="100">
        <v>3.0033895982669E-3</v>
      </c>
      <c r="J84" s="100">
        <v>2.863838516852554E-2</v>
      </c>
      <c r="K84" s="100">
        <v>1.6612988449167594E-2</v>
      </c>
      <c r="L84" s="100">
        <v>4.4610355095048007E-3</v>
      </c>
      <c r="M84" s="100">
        <v>0</v>
      </c>
      <c r="N84" s="100">
        <v>0.87333455139802574</v>
      </c>
      <c r="O84" s="100">
        <v>1.0000000000000002</v>
      </c>
      <c r="P84" s="6"/>
      <c r="Q84" s="6"/>
    </row>
    <row r="85" spans="1:17" s="249" customFormat="1" ht="13.15" hidden="1">
      <c r="A85" s="96" t="s">
        <v>459</v>
      </c>
      <c r="B85" s="97" t="s">
        <v>433</v>
      </c>
      <c r="C85" s="99">
        <v>0</v>
      </c>
      <c r="D85" s="100">
        <v>0</v>
      </c>
      <c r="E85" s="100">
        <v>0</v>
      </c>
      <c r="F85" s="100">
        <v>0</v>
      </c>
      <c r="G85" s="100">
        <v>0</v>
      </c>
      <c r="H85" s="100">
        <v>2.3785940114332597E-2</v>
      </c>
      <c r="I85" s="100">
        <v>0</v>
      </c>
      <c r="J85" s="100">
        <v>5.1862762101170523E-2</v>
      </c>
      <c r="K85" s="100">
        <v>1.1227896723991167E-2</v>
      </c>
      <c r="L85" s="100">
        <v>2.7513391599088891E-2</v>
      </c>
      <c r="M85" s="100">
        <v>3.9721423357063607E-2</v>
      </c>
      <c r="N85" s="100">
        <v>0.84588858610435302</v>
      </c>
      <c r="O85" s="100">
        <v>0.99999999999999978</v>
      </c>
      <c r="P85" s="6"/>
      <c r="Q85" s="6"/>
    </row>
    <row r="86" spans="1:17" s="249" customFormat="1" ht="13.15" hidden="1">
      <c r="A86" s="96" t="s">
        <v>459</v>
      </c>
      <c r="B86" s="97" t="s">
        <v>434</v>
      </c>
      <c r="C86" s="99">
        <v>0</v>
      </c>
      <c r="D86" s="100">
        <v>0</v>
      </c>
      <c r="E86" s="100">
        <v>2.0764486040710725E-2</v>
      </c>
      <c r="F86" s="100">
        <v>0</v>
      </c>
      <c r="G86" s="100">
        <v>7.6019534676609506E-3</v>
      </c>
      <c r="H86" s="100">
        <v>5.6352072549354745E-2</v>
      </c>
      <c r="I86" s="100">
        <v>7.8524831330686728E-3</v>
      </c>
      <c r="J86" s="100">
        <v>5.2986294441362261E-3</v>
      </c>
      <c r="K86" s="100">
        <v>1.7720764971630266E-2</v>
      </c>
      <c r="L86" s="100">
        <v>6.9887454767499297E-3</v>
      </c>
      <c r="M86" s="100">
        <v>1.0933661804498108E-2</v>
      </c>
      <c r="N86" s="100">
        <v>0.86648720311219041</v>
      </c>
      <c r="O86" s="100">
        <v>1</v>
      </c>
      <c r="P86" s="6"/>
      <c r="Q86" s="6"/>
    </row>
    <row r="87" spans="1:17" s="249" customFormat="1" ht="13.15" hidden="1">
      <c r="A87" s="96" t="s">
        <v>459</v>
      </c>
      <c r="B87" s="97" t="s">
        <v>435</v>
      </c>
      <c r="C87" s="99">
        <v>0</v>
      </c>
      <c r="D87" s="100">
        <v>0</v>
      </c>
      <c r="E87" s="100">
        <v>8.0060403287326252E-3</v>
      </c>
      <c r="F87" s="100">
        <v>0</v>
      </c>
      <c r="G87" s="100">
        <v>0</v>
      </c>
      <c r="H87" s="100">
        <v>0</v>
      </c>
      <c r="I87" s="100">
        <v>1.4220307990360833E-2</v>
      </c>
      <c r="J87" s="100">
        <v>1.2955909463873327E-2</v>
      </c>
      <c r="K87" s="100">
        <v>0</v>
      </c>
      <c r="L87" s="100">
        <v>5.1658253454322138E-3</v>
      </c>
      <c r="M87" s="100">
        <v>1.2414960770047402E-2</v>
      </c>
      <c r="N87" s="100">
        <v>0.94723695610155367</v>
      </c>
      <c r="O87" s="100">
        <v>1</v>
      </c>
      <c r="P87" s="6"/>
      <c r="Q87" s="6"/>
    </row>
    <row r="88" spans="1:17" s="249" customFormat="1" ht="13.15" hidden="1">
      <c r="A88" s="96" t="s">
        <v>459</v>
      </c>
      <c r="B88" s="97" t="s">
        <v>436</v>
      </c>
      <c r="C88" s="99">
        <v>1.6457402691128602E-2</v>
      </c>
      <c r="D88" s="100">
        <v>3.5138774215982046E-3</v>
      </c>
      <c r="E88" s="100">
        <v>1.6081769040127605E-2</v>
      </c>
      <c r="F88" s="100">
        <v>2.6209659563476248E-2</v>
      </c>
      <c r="G88" s="100">
        <v>3.2591254068759616E-2</v>
      </c>
      <c r="H88" s="100">
        <v>5.6845314406062863E-3</v>
      </c>
      <c r="I88" s="100">
        <v>2.0562165352665623E-2</v>
      </c>
      <c r="J88" s="100">
        <v>8.0527081192028459E-3</v>
      </c>
      <c r="K88" s="100">
        <v>2.5617865149329601E-2</v>
      </c>
      <c r="L88" s="100">
        <v>9.6531898595976912E-3</v>
      </c>
      <c r="M88" s="100">
        <v>2.4484657712870592E-2</v>
      </c>
      <c r="N88" s="100">
        <v>0.81109091958063706</v>
      </c>
      <c r="O88" s="100">
        <v>1</v>
      </c>
      <c r="P88" s="6"/>
      <c r="Q88" s="6"/>
    </row>
    <row r="89" spans="1:17" s="249" customFormat="1" ht="13.15" hidden="1">
      <c r="A89" s="96" t="s">
        <v>459</v>
      </c>
      <c r="B89" s="97" t="s">
        <v>437</v>
      </c>
      <c r="C89" s="99">
        <v>4.1165541658366601E-3</v>
      </c>
      <c r="D89" s="100">
        <v>5.5074391322000656E-2</v>
      </c>
      <c r="E89" s="100">
        <v>2.6034544704264945E-2</v>
      </c>
      <c r="F89" s="100">
        <v>0</v>
      </c>
      <c r="G89" s="100">
        <v>0</v>
      </c>
      <c r="H89" s="100">
        <v>3.3653335544456868E-2</v>
      </c>
      <c r="I89" s="100">
        <v>2.7077554162801849E-2</v>
      </c>
      <c r="J89" s="100">
        <v>1.0335610331775547E-2</v>
      </c>
      <c r="K89" s="100">
        <v>2.1237036121642665E-2</v>
      </c>
      <c r="L89" s="100">
        <v>3.8035229220067762E-3</v>
      </c>
      <c r="M89" s="100">
        <v>4.3119571745808841E-2</v>
      </c>
      <c r="N89" s="100">
        <v>0.77554787897940536</v>
      </c>
      <c r="O89" s="100">
        <v>1.0000000000000002</v>
      </c>
      <c r="P89" s="6"/>
      <c r="Q89" s="6"/>
    </row>
    <row r="90" spans="1:17" s="249" customFormat="1" ht="13.15" hidden="1">
      <c r="A90" s="96" t="s">
        <v>459</v>
      </c>
      <c r="B90" s="97" t="s">
        <v>438</v>
      </c>
      <c r="C90" s="99">
        <v>1.6172055071889178E-3</v>
      </c>
      <c r="D90" s="100">
        <v>4.2788097421800489E-3</v>
      </c>
      <c r="E90" s="100">
        <v>2.3924327200254756E-2</v>
      </c>
      <c r="F90" s="100">
        <v>5.4604061673449784E-2</v>
      </c>
      <c r="G90" s="100">
        <v>1.4102313073682071E-2</v>
      </c>
      <c r="H90" s="100">
        <v>1.2821427023492276E-2</v>
      </c>
      <c r="I90" s="100">
        <v>2.6285243056669086E-2</v>
      </c>
      <c r="J90" s="100">
        <v>3.9870336144756782E-2</v>
      </c>
      <c r="K90" s="100">
        <v>3.4478737401241903E-2</v>
      </c>
      <c r="L90" s="100">
        <v>4.5957049881767048E-2</v>
      </c>
      <c r="M90" s="100">
        <v>6.26969229813443E-2</v>
      </c>
      <c r="N90" s="100">
        <v>0.67936356631397232</v>
      </c>
      <c r="O90" s="100">
        <v>0.99999999999999933</v>
      </c>
      <c r="P90" s="6"/>
      <c r="Q90" s="6"/>
    </row>
    <row r="91" spans="1:17" s="249" customFormat="1" ht="13.15" hidden="1">
      <c r="A91" s="96" t="s">
        <v>459</v>
      </c>
      <c r="B91" s="97" t="s">
        <v>439</v>
      </c>
      <c r="C91" s="99">
        <v>0.14813808363776851</v>
      </c>
      <c r="D91" s="100">
        <v>2.8365609404727429E-2</v>
      </c>
      <c r="E91" s="100">
        <v>0</v>
      </c>
      <c r="F91" s="100">
        <v>0</v>
      </c>
      <c r="G91" s="100">
        <v>0</v>
      </c>
      <c r="H91" s="100">
        <v>0</v>
      </c>
      <c r="I91" s="100">
        <v>0</v>
      </c>
      <c r="J91" s="100">
        <v>0</v>
      </c>
      <c r="K91" s="100">
        <v>0</v>
      </c>
      <c r="L91" s="100">
        <v>0</v>
      </c>
      <c r="M91" s="100">
        <v>5.2858963373605669E-2</v>
      </c>
      <c r="N91" s="100">
        <v>0.7706373435838979</v>
      </c>
      <c r="O91" s="100">
        <v>0.99999999999999956</v>
      </c>
      <c r="P91" s="6"/>
      <c r="Q91" s="6"/>
    </row>
    <row r="92" spans="1:17" s="249" customFormat="1" ht="13.15" hidden="1">
      <c r="A92" s="96" t="s">
        <v>459</v>
      </c>
      <c r="B92" s="97" t="s">
        <v>440</v>
      </c>
      <c r="C92" s="99">
        <v>0</v>
      </c>
      <c r="D92" s="100">
        <v>0</v>
      </c>
      <c r="E92" s="100">
        <v>3.805984137121441E-2</v>
      </c>
      <c r="F92" s="100">
        <v>0</v>
      </c>
      <c r="G92" s="100">
        <v>0</v>
      </c>
      <c r="H92" s="100">
        <v>0.10152129843585171</v>
      </c>
      <c r="I92" s="100">
        <v>0</v>
      </c>
      <c r="J92" s="100">
        <v>0</v>
      </c>
      <c r="K92" s="100">
        <v>0</v>
      </c>
      <c r="L92" s="100">
        <v>0</v>
      </c>
      <c r="M92" s="100">
        <v>0</v>
      </c>
      <c r="N92" s="100">
        <v>0.8604188601929339</v>
      </c>
      <c r="O92" s="100">
        <v>1</v>
      </c>
      <c r="P92" s="6"/>
      <c r="Q92" s="6"/>
    </row>
    <row r="93" spans="1:17" s="249" customFormat="1" ht="43.15" hidden="1" customHeight="1">
      <c r="A93" s="93" t="s">
        <v>445</v>
      </c>
      <c r="B93" s="93" t="s">
        <v>414</v>
      </c>
      <c r="C93" s="95" t="s">
        <v>446</v>
      </c>
      <c r="D93" s="95" t="s">
        <v>447</v>
      </c>
      <c r="E93" s="95" t="s">
        <v>448</v>
      </c>
      <c r="F93" s="95" t="s">
        <v>449</v>
      </c>
      <c r="G93" s="95" t="s">
        <v>450</v>
      </c>
      <c r="H93" s="95" t="s">
        <v>451</v>
      </c>
      <c r="I93" s="95" t="s">
        <v>452</v>
      </c>
      <c r="J93" s="95" t="s">
        <v>453</v>
      </c>
      <c r="K93" s="95" t="s">
        <v>454</v>
      </c>
      <c r="L93" s="95" t="s">
        <v>455</v>
      </c>
      <c r="M93" s="95" t="s">
        <v>456</v>
      </c>
      <c r="N93" s="95" t="s">
        <v>457</v>
      </c>
      <c r="O93" s="95" t="s">
        <v>417</v>
      </c>
      <c r="P93" s="250" t="s">
        <v>458</v>
      </c>
      <c r="Q93" s="250"/>
    </row>
    <row r="94" spans="1:17" s="249" customFormat="1" ht="13.15" hidden="1">
      <c r="A94" s="96" t="s">
        <v>460</v>
      </c>
      <c r="B94" s="97" t="s">
        <v>419</v>
      </c>
      <c r="C94" s="341">
        <v>13190.136819379217</v>
      </c>
      <c r="D94" s="226">
        <v>9575.6255745273756</v>
      </c>
      <c r="E94" s="226">
        <v>6119.2702072163029</v>
      </c>
      <c r="F94" s="226">
        <v>6895.534240658214</v>
      </c>
      <c r="G94" s="226">
        <v>8365.1543786466773</v>
      </c>
      <c r="H94" s="226">
        <v>13510.00401098492</v>
      </c>
      <c r="I94" s="226">
        <v>7738.4427883329618</v>
      </c>
      <c r="J94" s="226">
        <v>13065.480418099902</v>
      </c>
      <c r="K94" s="226">
        <v>11750.56872078474</v>
      </c>
      <c r="L94" s="226">
        <v>14111.439016717219</v>
      </c>
      <c r="M94" s="226">
        <v>20097.394211875016</v>
      </c>
      <c r="N94" s="226">
        <v>646734.47227631602</v>
      </c>
      <c r="O94" s="226">
        <v>771153.52266353858</v>
      </c>
      <c r="P94" s="6"/>
      <c r="Q94" s="6"/>
    </row>
    <row r="95" spans="1:17" s="249" customFormat="1" ht="13.15" hidden="1">
      <c r="A95" s="96" t="s">
        <v>460</v>
      </c>
      <c r="B95" s="97" t="s">
        <v>421</v>
      </c>
      <c r="C95" s="341">
        <v>3675.0520210541818</v>
      </c>
      <c r="D95" s="226">
        <v>2676.8609797879071</v>
      </c>
      <c r="E95" s="226">
        <v>0</v>
      </c>
      <c r="F95" s="226">
        <v>1420.0908181960876</v>
      </c>
      <c r="G95" s="226">
        <v>615.55742222822209</v>
      </c>
      <c r="H95" s="226">
        <v>372.34750614331654</v>
      </c>
      <c r="I95" s="226">
        <v>420.03103679048127</v>
      </c>
      <c r="J95" s="226">
        <v>2377.5346101814639</v>
      </c>
      <c r="K95" s="226">
        <v>1498.338528574337</v>
      </c>
      <c r="L95" s="226">
        <v>1742.7953335077705</v>
      </c>
      <c r="M95" s="226">
        <v>3740.4319620623246</v>
      </c>
      <c r="N95" s="226">
        <v>101056.53735088093</v>
      </c>
      <c r="O95" s="226">
        <v>119595.57756940702</v>
      </c>
      <c r="P95" s="6"/>
      <c r="Q95" s="6"/>
    </row>
    <row r="96" spans="1:17" s="249" customFormat="1" ht="13.15" hidden="1">
      <c r="A96" s="96" t="s">
        <v>460</v>
      </c>
      <c r="B96" s="97" t="s">
        <v>423</v>
      </c>
      <c r="C96" s="341">
        <v>0</v>
      </c>
      <c r="D96" s="226">
        <v>2044.151689605548</v>
      </c>
      <c r="E96" s="226">
        <v>0</v>
      </c>
      <c r="F96" s="226">
        <v>44.7070997899595</v>
      </c>
      <c r="G96" s="226">
        <v>124.41934841214946</v>
      </c>
      <c r="H96" s="226">
        <v>2171.618613953628</v>
      </c>
      <c r="I96" s="226">
        <v>845.49982722880577</v>
      </c>
      <c r="J96" s="226">
        <v>1229.1076297478851</v>
      </c>
      <c r="K96" s="226">
        <v>710.6892121176254</v>
      </c>
      <c r="L96" s="226">
        <v>863.15839001243671</v>
      </c>
      <c r="M96" s="226">
        <v>769.25553359208584</v>
      </c>
      <c r="N96" s="226">
        <v>24814.389674170339</v>
      </c>
      <c r="O96" s="226">
        <v>33616.997018630464</v>
      </c>
      <c r="P96" s="6"/>
      <c r="Q96" s="6"/>
    </row>
    <row r="97" spans="1:17" s="249" customFormat="1" ht="13.15" hidden="1">
      <c r="A97" s="96" t="s">
        <v>460</v>
      </c>
      <c r="B97" s="97" t="s">
        <v>425</v>
      </c>
      <c r="C97" s="341">
        <v>0</v>
      </c>
      <c r="D97" s="226">
        <v>0</v>
      </c>
      <c r="E97" s="226">
        <v>0</v>
      </c>
      <c r="F97" s="226">
        <v>0</v>
      </c>
      <c r="G97" s="226">
        <v>0</v>
      </c>
      <c r="H97" s="226">
        <v>159.15506133465675</v>
      </c>
      <c r="I97" s="226">
        <v>0</v>
      </c>
      <c r="J97" s="226">
        <v>295.73650986551007</v>
      </c>
      <c r="K97" s="226">
        <v>191.97278073433813</v>
      </c>
      <c r="L97" s="226">
        <v>0</v>
      </c>
      <c r="M97" s="226">
        <v>225.69686122704991</v>
      </c>
      <c r="N97" s="226">
        <v>8532.6027304476902</v>
      </c>
      <c r="O97" s="226">
        <v>9405.1639436092446</v>
      </c>
      <c r="P97" s="6"/>
      <c r="Q97" s="6"/>
    </row>
    <row r="98" spans="1:17" s="249" customFormat="1" ht="13.15" hidden="1">
      <c r="A98" s="96" t="s">
        <v>460</v>
      </c>
      <c r="B98" s="97" t="s">
        <v>427</v>
      </c>
      <c r="C98" s="341">
        <v>27.946000787598848</v>
      </c>
      <c r="D98" s="226">
        <v>1317.9079916879002</v>
      </c>
      <c r="E98" s="226">
        <v>379.42363155237962</v>
      </c>
      <c r="F98" s="226">
        <v>326.06449669074914</v>
      </c>
      <c r="G98" s="226">
        <v>1933.8948539539551</v>
      </c>
      <c r="H98" s="226">
        <v>194.35173275011931</v>
      </c>
      <c r="I98" s="226">
        <v>591.10303758090606</v>
      </c>
      <c r="J98" s="226">
        <v>847.76691792956399</v>
      </c>
      <c r="K98" s="226">
        <v>1212.7893323117801</v>
      </c>
      <c r="L98" s="226">
        <v>1985.0972448623252</v>
      </c>
      <c r="M98" s="226">
        <v>923.5368829711723</v>
      </c>
      <c r="N98" s="226">
        <v>35509.446152513461</v>
      </c>
      <c r="O98" s="226">
        <v>45249.328275591906</v>
      </c>
      <c r="P98" s="6"/>
      <c r="Q98" s="6"/>
    </row>
    <row r="99" spans="1:17" s="249" customFormat="1" ht="13.15" hidden="1">
      <c r="A99" s="96" t="s">
        <v>460</v>
      </c>
      <c r="B99" s="97" t="s">
        <v>429</v>
      </c>
      <c r="C99" s="341">
        <v>0</v>
      </c>
      <c r="D99" s="226">
        <v>0</v>
      </c>
      <c r="E99" s="226">
        <v>147.49566347544544</v>
      </c>
      <c r="F99" s="226">
        <v>247.30254760438285</v>
      </c>
      <c r="G99" s="226">
        <v>0</v>
      </c>
      <c r="H99" s="226">
        <v>2351.1784710722736</v>
      </c>
      <c r="I99" s="226">
        <v>1089.5889928977945</v>
      </c>
      <c r="J99" s="226">
        <v>357.83853717671633</v>
      </c>
      <c r="K99" s="226">
        <v>457.49441733466165</v>
      </c>
      <c r="L99" s="226">
        <v>357.66425808884259</v>
      </c>
      <c r="M99" s="226">
        <v>1901.6771736569017</v>
      </c>
      <c r="N99" s="226">
        <v>36242.865470012395</v>
      </c>
      <c r="O99" s="226">
        <v>43153.105531319416</v>
      </c>
      <c r="P99" s="6"/>
      <c r="Q99" s="6"/>
    </row>
    <row r="100" spans="1:17" s="249" customFormat="1" ht="13.15" hidden="1">
      <c r="A100" s="96" t="s">
        <v>460</v>
      </c>
      <c r="B100" s="97" t="s">
        <v>430</v>
      </c>
      <c r="C100" s="341">
        <v>546.46873744262268</v>
      </c>
      <c r="D100" s="226">
        <v>50.89019865032509</v>
      </c>
      <c r="E100" s="226">
        <v>886.55444885571899</v>
      </c>
      <c r="F100" s="226">
        <v>195.48816200480056</v>
      </c>
      <c r="G100" s="226">
        <v>0</v>
      </c>
      <c r="H100" s="226">
        <v>993.76954708451103</v>
      </c>
      <c r="I100" s="226">
        <v>0</v>
      </c>
      <c r="J100" s="226">
        <v>587.1465370785977</v>
      </c>
      <c r="K100" s="226">
        <v>138.10802325417782</v>
      </c>
      <c r="L100" s="226">
        <v>124.40200568941573</v>
      </c>
      <c r="M100" s="226">
        <v>2234.5356100369095</v>
      </c>
      <c r="N100" s="226">
        <v>29197.461733399323</v>
      </c>
      <c r="O100" s="226">
        <v>34954.8250034964</v>
      </c>
      <c r="P100" s="6"/>
      <c r="Q100" s="6"/>
    </row>
    <row r="101" spans="1:17" s="249" customFormat="1" ht="13.15" hidden="1">
      <c r="A101" s="96" t="s">
        <v>460</v>
      </c>
      <c r="B101" s="97" t="s">
        <v>431</v>
      </c>
      <c r="C101" s="341">
        <v>1270.6427000045417</v>
      </c>
      <c r="D101" s="226">
        <v>347.37227697442268</v>
      </c>
      <c r="E101" s="226">
        <v>119.1494173232565</v>
      </c>
      <c r="F101" s="226">
        <v>673.01970509305443</v>
      </c>
      <c r="G101" s="226">
        <v>1535.2877544176313</v>
      </c>
      <c r="H101" s="226">
        <v>1169.9449571393347</v>
      </c>
      <c r="I101" s="226">
        <v>825.21680642733054</v>
      </c>
      <c r="J101" s="226">
        <v>2806.7018469250629</v>
      </c>
      <c r="K101" s="226">
        <v>2617.9586355440815</v>
      </c>
      <c r="L101" s="226">
        <v>5363.2174338836749</v>
      </c>
      <c r="M101" s="226">
        <v>1530.1294221663657</v>
      </c>
      <c r="N101" s="226">
        <v>149869.436462235</v>
      </c>
      <c r="O101" s="226">
        <v>168128.07741813376</v>
      </c>
      <c r="P101" s="6"/>
      <c r="Q101" s="6"/>
    </row>
    <row r="102" spans="1:17" s="249" customFormat="1" ht="13.15" hidden="1">
      <c r="A102" s="96" t="s">
        <v>460</v>
      </c>
      <c r="B102" s="97" t="s">
        <v>432</v>
      </c>
      <c r="C102" s="341">
        <v>0</v>
      </c>
      <c r="D102" s="226">
        <v>0</v>
      </c>
      <c r="E102" s="226">
        <v>398.25173308779205</v>
      </c>
      <c r="F102" s="226">
        <v>283.65313077772311</v>
      </c>
      <c r="G102" s="226">
        <v>869.60643579774114</v>
      </c>
      <c r="H102" s="226">
        <v>240.27918776825899</v>
      </c>
      <c r="I102" s="226">
        <v>72.771742952292541</v>
      </c>
      <c r="J102" s="226">
        <v>693.90438232032682</v>
      </c>
      <c r="K102" s="226">
        <v>402.53056939061622</v>
      </c>
      <c r="L102" s="226">
        <v>108.09031555082433</v>
      </c>
      <c r="M102" s="226">
        <v>0</v>
      </c>
      <c r="N102" s="226">
        <v>21160.783643376337</v>
      </c>
      <c r="O102" s="226">
        <v>24229.871141021911</v>
      </c>
      <c r="P102" s="6"/>
      <c r="Q102" s="6"/>
    </row>
    <row r="103" spans="1:17" s="249" customFormat="1" ht="13.15" hidden="1">
      <c r="A103" s="96" t="s">
        <v>460</v>
      </c>
      <c r="B103" s="97" t="s">
        <v>433</v>
      </c>
      <c r="C103" s="341">
        <v>0</v>
      </c>
      <c r="D103" s="226">
        <v>0</v>
      </c>
      <c r="E103" s="226">
        <v>0</v>
      </c>
      <c r="F103" s="226">
        <v>0</v>
      </c>
      <c r="G103" s="226">
        <v>0</v>
      </c>
      <c r="H103" s="226">
        <v>278.11642718379863</v>
      </c>
      <c r="I103" s="226">
        <v>0</v>
      </c>
      <c r="J103" s="226">
        <v>606.40386842517614</v>
      </c>
      <c r="K103" s="226">
        <v>131.28186259005548</v>
      </c>
      <c r="L103" s="226">
        <v>321.69954748337034</v>
      </c>
      <c r="M103" s="226">
        <v>464.44161103663777</v>
      </c>
      <c r="N103" s="226">
        <v>9890.5281957361331</v>
      </c>
      <c r="O103" s="226">
        <v>11692.471512455171</v>
      </c>
      <c r="P103" s="6"/>
      <c r="Q103" s="6"/>
    </row>
    <row r="104" spans="1:17" s="249" customFormat="1" ht="13.15" hidden="1">
      <c r="A104" s="96" t="s">
        <v>460</v>
      </c>
      <c r="B104" s="97" t="s">
        <v>434</v>
      </c>
      <c r="C104" s="341">
        <v>0</v>
      </c>
      <c r="D104" s="226">
        <v>0</v>
      </c>
      <c r="E104" s="226">
        <v>699.01706927191981</v>
      </c>
      <c r="F104" s="226">
        <v>0</v>
      </c>
      <c r="G104" s="226">
        <v>255.91267817982467</v>
      </c>
      <c r="H104" s="226">
        <v>1897.0400001049234</v>
      </c>
      <c r="I104" s="226">
        <v>264.34652586262467</v>
      </c>
      <c r="J104" s="226">
        <v>178.37342171322203</v>
      </c>
      <c r="K104" s="226">
        <v>596.55303634481379</v>
      </c>
      <c r="L104" s="226">
        <v>235.26960269891225</v>
      </c>
      <c r="M104" s="226">
        <v>368.07153406090276</v>
      </c>
      <c r="N104" s="226">
        <v>29169.484093831899</v>
      </c>
      <c r="O104" s="226">
        <v>33664.067962069043</v>
      </c>
      <c r="P104" s="6"/>
      <c r="Q104" s="6"/>
    </row>
    <row r="105" spans="1:17" s="249" customFormat="1" ht="13.15" hidden="1">
      <c r="A105" s="96" t="s">
        <v>460</v>
      </c>
      <c r="B105" s="97" t="s">
        <v>435</v>
      </c>
      <c r="C105" s="341">
        <v>0</v>
      </c>
      <c r="D105" s="226">
        <v>0</v>
      </c>
      <c r="E105" s="226">
        <v>284.92049369232865</v>
      </c>
      <c r="F105" s="226">
        <v>0</v>
      </c>
      <c r="G105" s="226">
        <v>0</v>
      </c>
      <c r="H105" s="226">
        <v>0</v>
      </c>
      <c r="I105" s="226">
        <v>506.07503918381593</v>
      </c>
      <c r="J105" s="226">
        <v>461.07738271464075</v>
      </c>
      <c r="K105" s="226">
        <v>0</v>
      </c>
      <c r="L105" s="226">
        <v>183.84237991740014</v>
      </c>
      <c r="M105" s="226">
        <v>441.82599718839504</v>
      </c>
      <c r="N105" s="226">
        <v>33710.449872140111</v>
      </c>
      <c r="O105" s="226">
        <v>35588.191164836688</v>
      </c>
      <c r="P105" s="6"/>
      <c r="Q105" s="6"/>
    </row>
    <row r="106" spans="1:17" s="249" customFormat="1" ht="13.15" hidden="1">
      <c r="A106" s="96" t="s">
        <v>460</v>
      </c>
      <c r="B106" s="97" t="s">
        <v>436</v>
      </c>
      <c r="C106" s="341">
        <v>1093.4224705536035</v>
      </c>
      <c r="D106" s="226">
        <v>233.46044352536597</v>
      </c>
      <c r="E106" s="226">
        <v>1068.465538867051</v>
      </c>
      <c r="F106" s="226">
        <v>1741.3580532797778</v>
      </c>
      <c r="G106" s="226">
        <v>2165.3483366189362</v>
      </c>
      <c r="H106" s="226">
        <v>377.67772523898253</v>
      </c>
      <c r="I106" s="226">
        <v>1366.141065015255</v>
      </c>
      <c r="J106" s="226">
        <v>535.01832406958101</v>
      </c>
      <c r="K106" s="226">
        <v>1702.039497215955</v>
      </c>
      <c r="L106" s="226">
        <v>641.35361472889053</v>
      </c>
      <c r="M106" s="226">
        <v>1626.7497022174616</v>
      </c>
      <c r="N106" s="226">
        <v>53888.517755570312</v>
      </c>
      <c r="O106" s="226">
        <v>66439.55252690117</v>
      </c>
      <c r="P106" s="6"/>
      <c r="Q106" s="6"/>
    </row>
    <row r="107" spans="1:17" s="249" customFormat="1" ht="13.15" hidden="1">
      <c r="A107" s="96" t="s">
        <v>460</v>
      </c>
      <c r="B107" s="97" t="s">
        <v>437</v>
      </c>
      <c r="C107" s="341">
        <v>86.972826223246898</v>
      </c>
      <c r="D107" s="226">
        <v>1163.5885920198821</v>
      </c>
      <c r="E107" s="226">
        <v>550.04691816199761</v>
      </c>
      <c r="F107" s="226">
        <v>0</v>
      </c>
      <c r="G107" s="226">
        <v>0</v>
      </c>
      <c r="H107" s="226">
        <v>711.01352884683547</v>
      </c>
      <c r="I107" s="226">
        <v>572.08318362386501</v>
      </c>
      <c r="J107" s="226">
        <v>218.36643102059395</v>
      </c>
      <c r="K107" s="226">
        <v>448.68717322684518</v>
      </c>
      <c r="L107" s="226">
        <v>80.359233671008482</v>
      </c>
      <c r="M107" s="226">
        <v>911.01218863880808</v>
      </c>
      <c r="N107" s="226">
        <v>16385.449623392597</v>
      </c>
      <c r="O107" s="226">
        <v>21127.579698825677</v>
      </c>
      <c r="P107" s="6"/>
      <c r="Q107" s="6"/>
    </row>
    <row r="108" spans="1:17" s="249" customFormat="1" ht="13.15" hidden="1">
      <c r="A108" s="96" t="s">
        <v>460</v>
      </c>
      <c r="B108" s="97" t="s">
        <v>438</v>
      </c>
      <c r="C108" s="341">
        <v>47.061204665246095</v>
      </c>
      <c r="D108" s="226">
        <v>124.51475097336599</v>
      </c>
      <c r="E108" s="226">
        <v>696.20567939234547</v>
      </c>
      <c r="F108" s="226">
        <v>1588.9959009815261</v>
      </c>
      <c r="G108" s="226">
        <v>410.3818833560274</v>
      </c>
      <c r="H108" s="226">
        <v>373.10768394668861</v>
      </c>
      <c r="I108" s="226">
        <v>764.90909638062328</v>
      </c>
      <c r="J108" s="226">
        <v>1160.2397104385868</v>
      </c>
      <c r="K108" s="226">
        <v>1003.3424386858529</v>
      </c>
      <c r="L108" s="226">
        <v>1337.3650539047483</v>
      </c>
      <c r="M108" s="226">
        <v>1824.5007892874648</v>
      </c>
      <c r="N108" s="226">
        <v>19769.700074783686</v>
      </c>
      <c r="O108" s="226">
        <v>29100.324266796164</v>
      </c>
      <c r="P108" s="6"/>
      <c r="Q108" s="6"/>
    </row>
    <row r="109" spans="1:17" s="249" customFormat="1" ht="13.15" hidden="1">
      <c r="A109" s="96" t="s">
        <v>460</v>
      </c>
      <c r="B109" s="97" t="s">
        <v>439</v>
      </c>
      <c r="C109" s="341">
        <v>5725.5299916345357</v>
      </c>
      <c r="D109" s="226">
        <v>1096.329474430644</v>
      </c>
      <c r="E109" s="226">
        <v>0</v>
      </c>
      <c r="F109" s="226">
        <v>0</v>
      </c>
      <c r="G109" s="226">
        <v>0</v>
      </c>
      <c r="H109" s="226">
        <v>0</v>
      </c>
      <c r="I109" s="226">
        <v>0</v>
      </c>
      <c r="J109" s="226">
        <v>0</v>
      </c>
      <c r="K109" s="226">
        <v>0</v>
      </c>
      <c r="L109" s="226">
        <v>0</v>
      </c>
      <c r="M109" s="226">
        <v>2042.9964576990772</v>
      </c>
      <c r="N109" s="226">
        <v>29785.097221537413</v>
      </c>
      <c r="O109" s="226">
        <v>38649.953145301668</v>
      </c>
      <c r="P109" s="6"/>
      <c r="Q109" s="6"/>
    </row>
    <row r="110" spans="1:17" s="249" customFormat="1" ht="13.15" hidden="1">
      <c r="A110" s="96" t="s">
        <v>460</v>
      </c>
      <c r="B110" s="97" t="s">
        <v>440</v>
      </c>
      <c r="C110" s="341">
        <v>0</v>
      </c>
      <c r="D110" s="226">
        <v>0</v>
      </c>
      <c r="E110" s="226">
        <v>557.08447318706556</v>
      </c>
      <c r="F110" s="226">
        <v>0</v>
      </c>
      <c r="G110" s="226">
        <v>0</v>
      </c>
      <c r="H110" s="226">
        <v>1485.9741138904997</v>
      </c>
      <c r="I110" s="226">
        <v>0</v>
      </c>
      <c r="J110" s="226">
        <v>0</v>
      </c>
      <c r="K110" s="226">
        <v>0</v>
      </c>
      <c r="L110" s="226">
        <v>0</v>
      </c>
      <c r="M110" s="226">
        <v>0</v>
      </c>
      <c r="N110" s="226">
        <v>12594.009070498176</v>
      </c>
      <c r="O110" s="226">
        <v>14637.067657575741</v>
      </c>
      <c r="P110" s="6"/>
      <c r="Q110" s="6"/>
    </row>
    <row r="111" spans="1:17" s="249" customFormat="1" ht="13.15" hidden="1">
      <c r="A111" s="6"/>
      <c r="B111" s="6"/>
      <c r="C111" s="6"/>
      <c r="D111" s="6"/>
      <c r="E111" s="6"/>
      <c r="F111" s="6"/>
      <c r="G111" s="6"/>
      <c r="H111" s="6"/>
      <c r="I111" s="6"/>
      <c r="J111" s="6"/>
      <c r="K111" s="6"/>
      <c r="L111" s="6"/>
      <c r="M111" s="6"/>
      <c r="N111" s="6"/>
      <c r="O111" s="6"/>
      <c r="P111" s="6"/>
      <c r="Q111" s="6"/>
    </row>
  </sheetData>
  <mergeCells count="5">
    <mergeCell ref="H53:M53"/>
    <mergeCell ref="B31:C31"/>
    <mergeCell ref="D31:E31"/>
    <mergeCell ref="B53:G53"/>
    <mergeCell ref="A1:K1"/>
  </mergeCells>
  <phoneticPr fontId="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3AA08-0AC5-4FCC-829D-381EF7CA031C}">
  <sheetPr codeName="Sheet10"/>
  <dimension ref="A1:J60"/>
  <sheetViews>
    <sheetView zoomScaleNormal="100" workbookViewId="0">
      <selection sqref="A1:G1"/>
    </sheetView>
  </sheetViews>
  <sheetFormatPr defaultColWidth="8.7109375" defaultRowHeight="13.15"/>
  <cols>
    <col min="1" max="1" width="25.28515625" style="6" customWidth="1"/>
    <col min="2" max="2" width="30.28515625" style="6" customWidth="1"/>
    <col min="3" max="4" width="22.5703125" style="6" customWidth="1"/>
    <col min="5" max="5" width="22.7109375" style="6" customWidth="1"/>
    <col min="6" max="7" width="19.7109375" style="6" customWidth="1"/>
    <col min="8" max="8" width="10.5703125" style="6" customWidth="1"/>
    <col min="9" max="9" width="14.42578125" style="6" customWidth="1"/>
    <col min="10" max="10" width="28.85546875" style="6" customWidth="1"/>
    <col min="11" max="12" width="15.28515625" style="6" customWidth="1"/>
    <col min="13" max="13" width="12.28515625" style="6" customWidth="1"/>
    <col min="14" max="14" width="13.28515625" style="6" customWidth="1"/>
    <col min="15" max="15" width="15.28515625" style="6" customWidth="1"/>
    <col min="16" max="16" width="11" style="6" customWidth="1"/>
    <col min="17" max="20" width="15.28515625" style="6" customWidth="1"/>
    <col min="21" max="21" width="7.7109375" style="6" customWidth="1"/>
    <col min="22" max="22" width="12.42578125" style="6" customWidth="1"/>
    <col min="23" max="38" width="6.5703125" style="6" customWidth="1"/>
    <col min="39" max="39" width="15.28515625" style="6" customWidth="1"/>
    <col min="40" max="40" width="11.28515625" style="6" customWidth="1"/>
    <col min="41" max="41" width="6.28515625" style="6" customWidth="1"/>
    <col min="42" max="45" width="4.7109375" style="6" customWidth="1"/>
    <col min="46" max="46" width="6.28515625" style="6" customWidth="1"/>
    <col min="47" max="61" width="4.7109375" style="6" customWidth="1"/>
    <col min="62" max="16384" width="8.7109375" style="6"/>
  </cols>
  <sheetData>
    <row r="1" spans="1:7" ht="24" customHeight="1">
      <c r="A1" s="815" t="str">
        <f>"Water Heater - "&amp;Prototype!A2</f>
        <v>Water Heater - OfficeSmall</v>
      </c>
      <c r="B1" s="783"/>
      <c r="C1" s="783"/>
      <c r="D1" s="783"/>
      <c r="E1" s="783"/>
      <c r="F1" s="783"/>
      <c r="G1" s="783"/>
    </row>
    <row r="2" spans="1:7" ht="22.15" customHeight="1">
      <c r="A2" s="535" t="s">
        <v>160</v>
      </c>
      <c r="B2" s="535" t="s">
        <v>461</v>
      </c>
      <c r="C2" s="535" t="s">
        <v>462</v>
      </c>
      <c r="D2" s="535" t="s">
        <v>463</v>
      </c>
      <c r="E2" s="535" t="s">
        <v>464</v>
      </c>
      <c r="F2" s="535" t="s">
        <v>87</v>
      </c>
      <c r="G2" s="535" t="s">
        <v>277</v>
      </c>
    </row>
    <row r="3" spans="1:7" ht="25.15" customHeight="1">
      <c r="A3" s="652" t="s">
        <v>278</v>
      </c>
      <c r="B3" s="652" t="s">
        <v>465</v>
      </c>
      <c r="C3" s="652">
        <v>0.8</v>
      </c>
      <c r="D3" s="536">
        <f>F30</f>
        <v>50</v>
      </c>
      <c r="E3" s="537">
        <f>G30</f>
        <v>855.51464680520235</v>
      </c>
      <c r="F3" s="538" t="s">
        <v>466</v>
      </c>
      <c r="G3" s="814" t="s">
        <v>467</v>
      </c>
    </row>
    <row r="4" spans="1:7" ht="24" customHeight="1">
      <c r="A4" s="652" t="s">
        <v>283</v>
      </c>
      <c r="B4" s="652" t="s">
        <v>465</v>
      </c>
      <c r="C4" s="652">
        <v>0.8</v>
      </c>
      <c r="D4" s="536">
        <f>F30</f>
        <v>50</v>
      </c>
      <c r="E4" s="539">
        <f>G34</f>
        <v>855.51464680520235</v>
      </c>
      <c r="F4" s="538" t="s">
        <v>466</v>
      </c>
      <c r="G4" s="814"/>
    </row>
    <row r="5" spans="1:7" ht="14.65" customHeight="1">
      <c r="A5" s="314"/>
      <c r="B5" s="314"/>
      <c r="C5" s="314"/>
      <c r="D5" s="314"/>
      <c r="E5" s="314"/>
    </row>
    <row r="6" spans="1:7" ht="14.65" customHeight="1"/>
    <row r="7" spans="1:7" ht="13.9" customHeight="1"/>
    <row r="8" spans="1:7" ht="24" customHeight="1">
      <c r="A8" s="752" t="s">
        <v>468</v>
      </c>
      <c r="B8" s="752"/>
      <c r="C8" s="752"/>
      <c r="D8" s="752"/>
      <c r="E8" s="752"/>
      <c r="F8" s="752"/>
      <c r="G8" s="752"/>
    </row>
    <row r="9" spans="1:7" ht="79.150000000000006">
      <c r="A9" s="667" t="s">
        <v>469</v>
      </c>
      <c r="B9" s="667" t="s">
        <v>470</v>
      </c>
      <c r="C9" s="667" t="s">
        <v>471</v>
      </c>
      <c r="D9" s="667" t="s">
        <v>105</v>
      </c>
      <c r="E9" s="667" t="s">
        <v>472</v>
      </c>
      <c r="F9" s="667" t="s">
        <v>473</v>
      </c>
      <c r="G9" s="667" t="s">
        <v>474</v>
      </c>
    </row>
    <row r="10" spans="1:7" ht="16.149999999999999" customHeight="1">
      <c r="A10" s="53" t="str">
        <f>Zones!A3</f>
        <v>Open_Office_N</v>
      </c>
      <c r="B10" s="53" t="s">
        <v>465</v>
      </c>
      <c r="C10" s="513">
        <f>Zones!G3*Zones!I3</f>
        <v>912.69749999999999</v>
      </c>
      <c r="D10" s="514">
        <f>Zones!J3*Zones!I3</f>
        <v>4.5634874999999999</v>
      </c>
      <c r="E10" s="515">
        <v>0.18</v>
      </c>
      <c r="F10" s="517">
        <f>E10*D10</f>
        <v>0.8214277499999999</v>
      </c>
      <c r="G10" s="518">
        <f>F10/60</f>
        <v>1.3690462499999998E-2</v>
      </c>
    </row>
    <row r="11" spans="1:7" ht="16.149999999999999" customHeight="1">
      <c r="A11" s="53" t="str">
        <f>Zones!A4</f>
        <v>Closed_Office_W</v>
      </c>
      <c r="B11" s="53" t="s">
        <v>465</v>
      </c>
      <c r="C11" s="513">
        <f>Zones!G4*Zones!I4</f>
        <v>908.46</v>
      </c>
      <c r="D11" s="514">
        <f>Zones!J4*Zones!I4</f>
        <v>4.5423</v>
      </c>
      <c r="E11" s="515">
        <v>0.18</v>
      </c>
      <c r="F11" s="517">
        <f t="shared" ref="F11:F23" si="0">E11*D11</f>
        <v>0.81761399999999995</v>
      </c>
      <c r="G11" s="518">
        <f t="shared" ref="G11:G23" si="1">F11/60</f>
        <v>1.3626899999999999E-2</v>
      </c>
    </row>
    <row r="12" spans="1:7" ht="16.149999999999999" customHeight="1">
      <c r="A12" s="53" t="str">
        <f>Zones!A5</f>
        <v>Closed_Office_E</v>
      </c>
      <c r="B12" s="53" t="s">
        <v>465</v>
      </c>
      <c r="C12" s="513">
        <f>Zones!G5*Zones!I5</f>
        <v>908.46</v>
      </c>
      <c r="D12" s="514">
        <f>Zones!J5*Zones!I5</f>
        <v>4.5423</v>
      </c>
      <c r="E12" s="515">
        <v>0.18</v>
      </c>
      <c r="F12" s="517">
        <f t="shared" si="0"/>
        <v>0.81761399999999995</v>
      </c>
      <c r="G12" s="518">
        <f t="shared" si="1"/>
        <v>1.3626899999999999E-2</v>
      </c>
    </row>
    <row r="13" spans="1:7" ht="16.149999999999999" customHeight="1">
      <c r="A13" s="53" t="str">
        <f>Zones!A6</f>
        <v>Conference</v>
      </c>
      <c r="B13" s="53" t="s">
        <v>465</v>
      </c>
      <c r="C13" s="513">
        <f>Zones!G6*Zones!I6</f>
        <v>456.35</v>
      </c>
      <c r="D13" s="514">
        <f>Zones!J6*Zones!I6</f>
        <v>15.059550000000002</v>
      </c>
      <c r="E13" s="516">
        <v>0.09</v>
      </c>
      <c r="F13" s="517">
        <f t="shared" si="0"/>
        <v>1.3553595000000001</v>
      </c>
      <c r="G13" s="518">
        <f t="shared" si="1"/>
        <v>2.2589325E-2</v>
      </c>
    </row>
    <row r="14" spans="1:7" ht="16.149999999999999" customHeight="1">
      <c r="A14" s="53" t="str">
        <f>Zones!A7</f>
        <v>Lobby_Lounge</v>
      </c>
      <c r="B14" s="53" t="s">
        <v>465</v>
      </c>
      <c r="C14" s="513">
        <f>Zones!G7*Zones!I7</f>
        <v>456.35</v>
      </c>
      <c r="D14" s="514">
        <f>Zones!J7*Zones!I7</f>
        <v>4.5635000000000003</v>
      </c>
      <c r="E14" s="516">
        <v>0.09</v>
      </c>
      <c r="F14" s="517">
        <f t="shared" si="0"/>
        <v>0.410715</v>
      </c>
      <c r="G14" s="518">
        <f t="shared" si="1"/>
        <v>6.8452499999999998E-3</v>
      </c>
    </row>
    <row r="15" spans="1:7" ht="16.149999999999999" customHeight="1">
      <c r="A15" s="53" t="str">
        <f>Zones!A8</f>
        <v>Storage</v>
      </c>
      <c r="B15" s="53" t="s">
        <v>465</v>
      </c>
      <c r="C15" s="513">
        <f>Zones!G8*Zones!I8</f>
        <v>743.88791000000003</v>
      </c>
      <c r="D15" s="514">
        <f>Zones!J8*Zones!I8</f>
        <v>1.48777582</v>
      </c>
      <c r="E15" s="516">
        <v>0</v>
      </c>
      <c r="F15" s="517">
        <f t="shared" si="0"/>
        <v>0</v>
      </c>
      <c r="G15" s="518">
        <f t="shared" si="1"/>
        <v>0</v>
      </c>
    </row>
    <row r="16" spans="1:7" ht="16.149999999999999" customHeight="1">
      <c r="A16" s="53" t="str">
        <f>Zones!A9</f>
        <v>Mechanical_Electrical</v>
      </c>
      <c r="B16" s="53" t="s">
        <v>465</v>
      </c>
      <c r="C16" s="513">
        <f>Zones!G9*Zones!I9</f>
        <v>114.23</v>
      </c>
      <c r="D16" s="541">
        <f>Zones!J9*Zones!I9</f>
        <v>0</v>
      </c>
      <c r="E16" s="516">
        <v>0.18</v>
      </c>
      <c r="F16" s="517">
        <f t="shared" si="0"/>
        <v>0</v>
      </c>
      <c r="G16" s="518">
        <f t="shared" si="1"/>
        <v>0</v>
      </c>
    </row>
    <row r="17" spans="1:10" ht="16.149999999999999" customHeight="1">
      <c r="A17" s="53" t="str">
        <f>Zones!A10</f>
        <v>Restroom</v>
      </c>
      <c r="B17" s="53" t="s">
        <v>465</v>
      </c>
      <c r="C17" s="513">
        <f>Zones!G10*Zones!I10</f>
        <v>224.28</v>
      </c>
      <c r="D17" s="541">
        <f>Zones!J10*Zones!I10</f>
        <v>0</v>
      </c>
      <c r="E17" s="516">
        <v>0</v>
      </c>
      <c r="F17" s="517">
        <f t="shared" si="0"/>
        <v>0</v>
      </c>
      <c r="G17" s="518">
        <f t="shared" si="1"/>
        <v>0</v>
      </c>
    </row>
    <row r="18" spans="1:10" ht="16.149999999999999" customHeight="1">
      <c r="A18" s="53" t="str">
        <f>Zones!A11</f>
        <v>Break_CopyRoom</v>
      </c>
      <c r="B18" s="53" t="s">
        <v>465</v>
      </c>
      <c r="C18" s="513">
        <f>Zones!G11*Zones!I11</f>
        <v>110.05</v>
      </c>
      <c r="D18" s="514">
        <f>Zones!J11*Zones!I11</f>
        <v>3.63165</v>
      </c>
      <c r="E18" s="516">
        <v>0.09</v>
      </c>
      <c r="F18" s="517">
        <f t="shared" si="0"/>
        <v>0.32684849999999999</v>
      </c>
      <c r="G18" s="518">
        <f t="shared" si="1"/>
        <v>5.4474749999999994E-3</v>
      </c>
    </row>
    <row r="19" spans="1:10" ht="16.149999999999999" customHeight="1">
      <c r="A19" s="53" t="str">
        <f>Zones!A12</f>
        <v>Corridor_W</v>
      </c>
      <c r="B19" s="53" t="s">
        <v>465</v>
      </c>
      <c r="C19" s="513">
        <f>Zones!G12*Zones!I12</f>
        <v>122.26</v>
      </c>
      <c r="D19" s="514">
        <f>Zones!J12*Zones!I12</f>
        <v>0.61130000000000007</v>
      </c>
      <c r="E19" s="516">
        <v>0</v>
      </c>
      <c r="F19" s="517">
        <f t="shared" si="0"/>
        <v>0</v>
      </c>
      <c r="G19" s="518">
        <f t="shared" si="1"/>
        <v>0</v>
      </c>
    </row>
    <row r="20" spans="1:10" ht="16.149999999999999" customHeight="1">
      <c r="A20" s="53" t="str">
        <f>Zones!A13</f>
        <v>Corridor_N</v>
      </c>
      <c r="B20" s="53" t="s">
        <v>465</v>
      </c>
      <c r="C20" s="513">
        <f>Zones!G13*Zones!I13</f>
        <v>211.39</v>
      </c>
      <c r="D20" s="514">
        <f>Zones!J13*Zones!I13</f>
        <v>1.0569499999999998</v>
      </c>
      <c r="E20" s="516">
        <v>0</v>
      </c>
      <c r="F20" s="517">
        <f t="shared" si="0"/>
        <v>0</v>
      </c>
      <c r="G20" s="518">
        <f t="shared" si="1"/>
        <v>0</v>
      </c>
    </row>
    <row r="21" spans="1:10" ht="16.149999999999999" customHeight="1">
      <c r="A21" s="53" t="str">
        <f>Zones!A14</f>
        <v>Corridor_E</v>
      </c>
      <c r="B21" s="53" t="s">
        <v>465</v>
      </c>
      <c r="C21" s="513">
        <f>Zones!G14*Zones!I14</f>
        <v>122.26</v>
      </c>
      <c r="D21" s="514">
        <f>Zones!J14*Zones!I14</f>
        <v>0.61130000000000007</v>
      </c>
      <c r="E21" s="516">
        <v>0</v>
      </c>
      <c r="F21" s="517">
        <f t="shared" si="0"/>
        <v>0</v>
      </c>
      <c r="G21" s="518">
        <f t="shared" si="1"/>
        <v>0</v>
      </c>
    </row>
    <row r="22" spans="1:10" ht="16.149999999999999" customHeight="1">
      <c r="A22" s="53" t="str">
        <f>Zones!A15</f>
        <v>Corridor_S</v>
      </c>
      <c r="B22" s="53" t="s">
        <v>465</v>
      </c>
      <c r="C22" s="513">
        <f>Zones!G15*Zones!I15</f>
        <v>211.39</v>
      </c>
      <c r="D22" s="514">
        <f>Zones!J15*Zones!I15</f>
        <v>1.0569499999999998</v>
      </c>
      <c r="E22" s="516">
        <v>0</v>
      </c>
      <c r="F22" s="517">
        <f t="shared" si="0"/>
        <v>0</v>
      </c>
      <c r="G22" s="518">
        <f t="shared" si="1"/>
        <v>0</v>
      </c>
    </row>
    <row r="23" spans="1:10" ht="16.149999999999999" customHeight="1">
      <c r="A23" s="53" t="str">
        <f>Zones!A16</f>
        <v>Attic</v>
      </c>
      <c r="B23" s="53" t="s">
        <v>465</v>
      </c>
      <c r="C23" s="513">
        <f>Zones!G16*Zones!I16</f>
        <v>6114.3046999999997</v>
      </c>
      <c r="D23" s="514">
        <f>Zones!J16*Zones!I16</f>
        <v>0</v>
      </c>
      <c r="E23" s="516">
        <v>0</v>
      </c>
      <c r="F23" s="517">
        <f t="shared" si="0"/>
        <v>0</v>
      </c>
      <c r="G23" s="518">
        <f t="shared" si="1"/>
        <v>0</v>
      </c>
    </row>
    <row r="24" spans="1:10" ht="16.149999999999999" customHeight="1">
      <c r="A24" s="614"/>
      <c r="B24" s="614"/>
      <c r="C24" s="614"/>
      <c r="D24" s="614"/>
      <c r="E24" s="614"/>
      <c r="F24" s="614"/>
      <c r="G24" s="614"/>
    </row>
    <row r="25" spans="1:10" ht="16.149999999999999" customHeight="1">
      <c r="A25" s="614"/>
      <c r="B25" s="614"/>
      <c r="C25" s="614"/>
      <c r="D25" s="614"/>
      <c r="E25" s="614"/>
      <c r="F25" s="614"/>
      <c r="G25" s="614"/>
    </row>
    <row r="26" spans="1:10" ht="16.149999999999999" customHeight="1">
      <c r="A26" s="614"/>
      <c r="B26" s="614"/>
      <c r="C26" s="614"/>
      <c r="D26" s="614"/>
      <c r="E26" s="614"/>
      <c r="F26" s="614"/>
      <c r="G26" s="614"/>
    </row>
    <row r="27" spans="1:10" ht="16.149999999999999" customHeight="1">
      <c r="A27" s="614"/>
      <c r="B27" s="614"/>
      <c r="C27" s="614"/>
      <c r="D27" s="614"/>
      <c r="E27" s="614"/>
      <c r="F27" s="614"/>
      <c r="G27" s="614"/>
    </row>
    <row r="28" spans="1:10" ht="24" customHeight="1">
      <c r="A28" s="752" t="s">
        <v>475</v>
      </c>
      <c r="B28" s="752"/>
      <c r="C28" s="752"/>
      <c r="D28" s="752"/>
      <c r="E28" s="752"/>
      <c r="F28" s="752"/>
      <c r="G28" s="752"/>
      <c r="H28" s="752"/>
      <c r="I28" s="752"/>
      <c r="J28" s="752"/>
    </row>
    <row r="29" spans="1:10" ht="40.9" customHeight="1">
      <c r="A29" s="519" t="s">
        <v>461</v>
      </c>
      <c r="B29" s="510" t="s">
        <v>473</v>
      </c>
      <c r="C29" s="510" t="s">
        <v>476</v>
      </c>
      <c r="D29" s="510" t="s">
        <v>477</v>
      </c>
      <c r="E29" s="510" t="s">
        <v>478</v>
      </c>
      <c r="F29" s="510" t="s">
        <v>479</v>
      </c>
      <c r="G29" s="816" t="s">
        <v>480</v>
      </c>
      <c r="H29" s="816"/>
      <c r="I29" s="667" t="s">
        <v>481</v>
      </c>
      <c r="J29" s="520" t="s">
        <v>277</v>
      </c>
    </row>
    <row r="30" spans="1:10" ht="24" customHeight="1">
      <c r="A30" s="521" t="s">
        <v>482</v>
      </c>
      <c r="B30" s="522">
        <f>MAX(125,SUMIFS(F10:F23,B10:B23,"Gas"))</f>
        <v>125</v>
      </c>
      <c r="C30" s="522">
        <f>B30*(B34-B35)*8.2877*1</f>
        <v>82876.999999999985</v>
      </c>
      <c r="D30" s="522">
        <f>C30*B36</f>
        <v>49726.19999999999</v>
      </c>
      <c r="E30" s="511">
        <f>D30/C3</f>
        <v>62157.749999999985</v>
      </c>
      <c r="F30" s="523">
        <f>ROUNDUP((B30*F32)/B32,0)</f>
        <v>50</v>
      </c>
      <c r="G30" s="524">
        <f>(E30/800)+110*SQRT(F30)</f>
        <v>855.51464680520235</v>
      </c>
      <c r="H30" s="525" t="s">
        <v>466</v>
      </c>
      <c r="I30" s="526">
        <f>G30/B41</f>
        <v>12.581097747135329</v>
      </c>
      <c r="J30" s="811" t="s">
        <v>483</v>
      </c>
    </row>
    <row r="31" spans="1:10" ht="22.9" customHeight="1">
      <c r="A31" s="521" t="s">
        <v>484</v>
      </c>
      <c r="B31" s="522"/>
      <c r="C31" s="522"/>
      <c r="D31" s="522">
        <f>C31*B36</f>
        <v>0</v>
      </c>
      <c r="E31" s="511">
        <f>D31/1</f>
        <v>0</v>
      </c>
      <c r="F31" s="523">
        <f>ROUNDUP((B31*F32)/B32,0)</f>
        <v>0</v>
      </c>
      <c r="G31" s="527">
        <f>IFERROR(0.3+(27/F31),0)</f>
        <v>0</v>
      </c>
      <c r="H31" s="525" t="s">
        <v>485</v>
      </c>
      <c r="I31" s="528">
        <f>0.0834*G31*F31</f>
        <v>0</v>
      </c>
      <c r="J31" s="812"/>
    </row>
    <row r="32" spans="1:10" ht="22.15" customHeight="1">
      <c r="A32" s="529" t="s">
        <v>417</v>
      </c>
      <c r="B32" s="522">
        <f>B30+B31</f>
        <v>125</v>
      </c>
      <c r="C32" s="530"/>
      <c r="D32" s="530"/>
      <c r="E32" s="511"/>
      <c r="F32" s="523">
        <f>B32*1*B37</f>
        <v>50</v>
      </c>
      <c r="G32" s="531"/>
      <c r="H32" s="525"/>
      <c r="I32" s="54"/>
      <c r="J32" s="812"/>
    </row>
    <row r="33" spans="1:10" ht="15" customHeight="1"/>
    <row r="34" spans="1:10" ht="27.6" customHeight="1">
      <c r="A34" s="6" t="s">
        <v>486</v>
      </c>
      <c r="B34" s="622">
        <v>135</v>
      </c>
      <c r="C34" s="6" t="s">
        <v>487</v>
      </c>
      <c r="F34" s="540" t="s">
        <v>488</v>
      </c>
      <c r="G34" s="533">
        <f>G30</f>
        <v>855.51464680520235</v>
      </c>
      <c r="H34" s="534" t="s">
        <v>489</v>
      </c>
      <c r="I34" s="526">
        <f>I30</f>
        <v>12.581097747135329</v>
      </c>
    </row>
    <row r="35" spans="1:10" ht="16.149999999999999" customHeight="1">
      <c r="A35" s="6" t="s">
        <v>490</v>
      </c>
      <c r="B35" s="622">
        <v>55</v>
      </c>
      <c r="C35" s="6" t="s">
        <v>491</v>
      </c>
      <c r="G35" s="532"/>
      <c r="H35" s="532"/>
      <c r="I35" s="532"/>
    </row>
    <row r="36" spans="1:10" ht="16.149999999999999" customHeight="1">
      <c r="A36" t="s">
        <v>492</v>
      </c>
      <c r="B36" s="622">
        <v>0.6</v>
      </c>
      <c r="C36" s="6" t="s">
        <v>491</v>
      </c>
      <c r="G36" s="532"/>
      <c r="H36" s="532"/>
      <c r="I36" s="532"/>
    </row>
    <row r="37" spans="1:10" ht="16.149999999999999" customHeight="1">
      <c r="A37" s="6" t="s">
        <v>493</v>
      </c>
      <c r="B37" s="622">
        <v>0.4</v>
      </c>
      <c r="C37" s="6" t="s">
        <v>494</v>
      </c>
    </row>
    <row r="38" spans="1:10" ht="27" customHeight="1">
      <c r="A38" s="813" t="s">
        <v>495</v>
      </c>
      <c r="B38" s="813"/>
      <c r="C38" s="813"/>
      <c r="D38" s="813"/>
      <c r="E38" s="813"/>
      <c r="F38" s="813"/>
      <c r="G38" s="813"/>
      <c r="H38" s="813"/>
      <c r="I38" s="813"/>
      <c r="J38" s="813"/>
    </row>
    <row r="39" spans="1:10" ht="16.149999999999999" customHeight="1">
      <c r="A39" s="11"/>
      <c r="B39" s="11"/>
      <c r="C39" s="11"/>
      <c r="D39" s="11"/>
      <c r="E39" s="11"/>
      <c r="F39" s="11"/>
      <c r="G39" s="11"/>
      <c r="H39" s="11"/>
      <c r="I39" s="11"/>
      <c r="J39" s="11"/>
    </row>
    <row r="40" spans="1:10" ht="16.149999999999999" customHeight="1">
      <c r="A40" s="649"/>
      <c r="B40" s="649"/>
      <c r="C40" s="649"/>
      <c r="D40" s="649"/>
      <c r="E40" s="649"/>
      <c r="F40" s="649"/>
      <c r="G40" s="649"/>
      <c r="H40" s="649"/>
      <c r="I40" s="649"/>
      <c r="J40" s="649"/>
    </row>
    <row r="41" spans="1:10" ht="16.149999999999999" customHeight="1">
      <c r="A41" t="s">
        <v>496</v>
      </c>
      <c r="B41" s="89">
        <v>68</v>
      </c>
      <c r="C41" s="649"/>
      <c r="D41" s="649"/>
      <c r="E41" s="649"/>
      <c r="F41" s="649"/>
      <c r="G41" s="649"/>
      <c r="H41" s="649"/>
      <c r="I41" s="649"/>
      <c r="J41" s="649"/>
    </row>
    <row r="42" spans="1:10" ht="16.149999999999999" customHeight="1">
      <c r="A42" t="s">
        <v>497</v>
      </c>
      <c r="B42" s="89">
        <f>B34-B41</f>
        <v>67</v>
      </c>
      <c r="C42" s="649"/>
      <c r="D42" s="649"/>
      <c r="E42" s="649"/>
      <c r="F42" s="649"/>
      <c r="G42" s="649"/>
      <c r="H42" s="649"/>
      <c r="I42" s="649"/>
      <c r="J42" s="649"/>
    </row>
    <row r="43" spans="1:10" ht="16.149999999999999" customHeight="1">
      <c r="A43" s="614"/>
      <c r="B43" s="614"/>
      <c r="C43" s="614"/>
      <c r="D43" s="614"/>
      <c r="E43" s="614"/>
      <c r="F43" s="614"/>
      <c r="G43" s="614"/>
    </row>
    <row r="44" spans="1:10" ht="16.149999999999999" customHeight="1">
      <c r="A44" s="614"/>
      <c r="B44" s="614"/>
      <c r="C44" s="614"/>
      <c r="D44" s="614"/>
      <c r="E44" s="614"/>
      <c r="F44" s="614"/>
      <c r="G44" s="614"/>
    </row>
    <row r="45" spans="1:10" ht="16.149999999999999" customHeight="1">
      <c r="A45" s="614"/>
      <c r="B45" s="614"/>
      <c r="C45" s="614"/>
      <c r="D45" s="614"/>
      <c r="E45" s="614"/>
      <c r="F45" s="614"/>
      <c r="G45" s="614"/>
    </row>
    <row r="46" spans="1:10" ht="16.149999999999999" customHeight="1">
      <c r="A46" s="620"/>
      <c r="B46" s="620"/>
      <c r="C46" s="620"/>
    </row>
    <row r="47" spans="1:10" s="35" customFormat="1" hidden="1">
      <c r="A47" s="35" t="s">
        <v>85</v>
      </c>
      <c r="E47" s="36"/>
      <c r="F47" s="37"/>
      <c r="G47" s="38"/>
    </row>
    <row r="48" spans="1:10" ht="22.9" hidden="1" customHeight="1">
      <c r="A48" s="314"/>
      <c r="B48" s="314"/>
      <c r="C48" s="314"/>
    </row>
    <row r="49" spans="1:5" ht="20.45" hidden="1" customHeight="1">
      <c r="A49" s="192" t="s">
        <v>498</v>
      </c>
      <c r="B49" s="284" t="s">
        <v>499</v>
      </c>
      <c r="C49" s="284" t="s">
        <v>150</v>
      </c>
      <c r="D49" s="284" t="s">
        <v>149</v>
      </c>
    </row>
    <row r="50" spans="1:5" ht="40.15" hidden="1" customHeight="1">
      <c r="A50" s="285" t="s">
        <v>500</v>
      </c>
      <c r="B50" s="652">
        <f>6.416*10^-2</f>
        <v>6.4160000000000009E-2</v>
      </c>
      <c r="C50" s="652" t="s">
        <v>501</v>
      </c>
      <c r="D50" s="652" t="s">
        <v>502</v>
      </c>
      <c r="E50" s="8" t="s">
        <v>503</v>
      </c>
    </row>
    <row r="51" spans="1:5" ht="20.45" hidden="1" customHeight="1">
      <c r="A51" s="285" t="s">
        <v>504</v>
      </c>
      <c r="B51" s="652">
        <v>120</v>
      </c>
      <c r="C51" s="652">
        <v>135</v>
      </c>
      <c r="D51" s="652">
        <v>135</v>
      </c>
    </row>
    <row r="52" spans="1:5" ht="20.45" hidden="1" customHeight="1">
      <c r="A52" s="286" t="s">
        <v>505</v>
      </c>
      <c r="B52" s="652">
        <v>0.2</v>
      </c>
      <c r="C52" s="652">
        <v>0.2</v>
      </c>
      <c r="D52" s="639" t="s">
        <v>184</v>
      </c>
    </row>
    <row r="53" spans="1:5" ht="20.45" hidden="1" customHeight="1">
      <c r="A53" s="286" t="s">
        <v>506</v>
      </c>
      <c r="B53" s="639">
        <v>0.05</v>
      </c>
      <c r="C53" s="639">
        <v>0.05</v>
      </c>
      <c r="D53" s="639" t="s">
        <v>184</v>
      </c>
    </row>
    <row r="54" spans="1:5" ht="20.45" hidden="1" customHeight="1">
      <c r="A54" s="314"/>
      <c r="B54" s="314"/>
    </row>
    <row r="55" spans="1:5" ht="22.9" hidden="1" customHeight="1">
      <c r="A55" s="314"/>
      <c r="B55" s="314"/>
      <c r="C55" s="314"/>
    </row>
    <row r="56" spans="1:5" ht="15" hidden="1" customHeight="1">
      <c r="A56" s="81" t="s">
        <v>342</v>
      </c>
      <c r="B56" s="82" t="s">
        <v>507</v>
      </c>
      <c r="C56" s="314"/>
    </row>
    <row r="57" spans="1:5" ht="26.45" hidden="1">
      <c r="A57" s="83" t="s">
        <v>344</v>
      </c>
      <c r="B57" s="84">
        <v>0.92962911380081059</v>
      </c>
      <c r="C57" s="314"/>
    </row>
    <row r="58" spans="1:5" hidden="1">
      <c r="A58" s="83" t="s">
        <v>345</v>
      </c>
      <c r="B58" s="632" t="s">
        <v>346</v>
      </c>
      <c r="C58" s="314"/>
    </row>
    <row r="59" spans="1:5" hidden="1">
      <c r="A59" s="83" t="s">
        <v>508</v>
      </c>
      <c r="B59" s="632" t="s">
        <v>509</v>
      </c>
      <c r="C59" s="314"/>
    </row>
    <row r="60" spans="1:5" ht="15" customHeight="1">
      <c r="B60" s="314"/>
      <c r="C60" s="314"/>
      <c r="D60" s="314"/>
    </row>
  </sheetData>
  <mergeCells count="7">
    <mergeCell ref="J30:J32"/>
    <mergeCell ref="A38:J38"/>
    <mergeCell ref="G3:G4"/>
    <mergeCell ref="A1:G1"/>
    <mergeCell ref="A8:G8"/>
    <mergeCell ref="A28:J28"/>
    <mergeCell ref="G29:H29"/>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U120"/>
  <sheetViews>
    <sheetView zoomScaleNormal="100" workbookViewId="0">
      <selection sqref="A1:H1"/>
    </sheetView>
  </sheetViews>
  <sheetFormatPr defaultColWidth="8.7109375" defaultRowHeight="13.15"/>
  <cols>
    <col min="1" max="1" width="48.28515625" style="6" customWidth="1"/>
    <col min="2" max="2" width="19" style="6" customWidth="1"/>
    <col min="3" max="3" width="23.5703125" style="6" customWidth="1"/>
    <col min="4" max="4" width="21.42578125" style="6" bestFit="1" customWidth="1"/>
    <col min="5" max="5" width="21.28515625" style="6" customWidth="1"/>
    <col min="6" max="6" width="22.7109375" style="6" customWidth="1"/>
    <col min="7" max="7" width="19.7109375" style="6" customWidth="1"/>
    <col min="8" max="8" width="31.28515625" style="6" customWidth="1"/>
    <col min="9" max="9" width="9.7109375" style="6" customWidth="1"/>
    <col min="10" max="10" width="13.28515625" style="6" customWidth="1"/>
    <col min="11" max="11" width="24" style="6" customWidth="1"/>
    <col min="12" max="12" width="10.5703125" style="6" customWidth="1"/>
    <col min="13" max="13" width="11.42578125" style="6" customWidth="1"/>
    <col min="14" max="14" width="10.5703125" style="6" customWidth="1"/>
    <col min="15" max="15" width="13.28515625" style="6" customWidth="1"/>
    <col min="16" max="16" width="9.7109375" style="6" customWidth="1"/>
    <col min="17" max="17" width="9.42578125" style="6" customWidth="1"/>
    <col min="18" max="18" width="12.7109375" style="6" customWidth="1"/>
    <col min="19" max="19" width="14.7109375" style="6" customWidth="1"/>
    <col min="20" max="20" width="20.7109375" style="6" customWidth="1"/>
    <col min="21" max="21" width="19.7109375" style="6" customWidth="1"/>
    <col min="22" max="27" width="8.7109375" style="6"/>
    <col min="28" max="28" width="13.7109375" style="6" bestFit="1" customWidth="1"/>
    <col min="29" max="16384" width="8.7109375" style="6"/>
  </cols>
  <sheetData>
    <row r="1" spans="1:8" ht="21" customHeight="1">
      <c r="A1" s="819" t="str">
        <f>"Interior Lighting - " &amp; Prototype!A2</f>
        <v>Interior Lighting - OfficeSmall</v>
      </c>
      <c r="B1" s="752"/>
      <c r="C1" s="752"/>
      <c r="D1" s="752"/>
      <c r="E1" s="752"/>
      <c r="F1" s="752"/>
      <c r="G1" s="752"/>
      <c r="H1" s="752"/>
    </row>
    <row r="2" spans="1:8" ht="19.899999999999999" customHeight="1">
      <c r="A2" s="820" t="s">
        <v>97</v>
      </c>
      <c r="B2" s="821" t="s">
        <v>510</v>
      </c>
      <c r="C2" s="821"/>
      <c r="D2" s="821"/>
      <c r="E2" s="821" t="s">
        <v>310</v>
      </c>
      <c r="F2" s="821"/>
      <c r="G2" s="821"/>
      <c r="H2" s="821" t="s">
        <v>92</v>
      </c>
    </row>
    <row r="3" spans="1:8" ht="27" customHeight="1">
      <c r="A3" s="820"/>
      <c r="B3" s="654" t="s">
        <v>511</v>
      </c>
      <c r="C3" s="654" t="s">
        <v>512</v>
      </c>
      <c r="D3" s="654" t="s">
        <v>277</v>
      </c>
      <c r="E3" s="654" t="s">
        <v>513</v>
      </c>
      <c r="F3" s="654" t="s">
        <v>512</v>
      </c>
      <c r="G3" s="654" t="s">
        <v>277</v>
      </c>
      <c r="H3" s="821"/>
    </row>
    <row r="4" spans="1:8" ht="20.65" customHeight="1">
      <c r="A4" s="25" t="s">
        <v>108</v>
      </c>
      <c r="B4" s="652">
        <v>0.6</v>
      </c>
      <c r="C4" s="652"/>
      <c r="D4" s="818" t="s">
        <v>514</v>
      </c>
      <c r="E4" s="652">
        <v>0.75</v>
      </c>
      <c r="F4" s="17"/>
      <c r="G4" s="818" t="s">
        <v>515</v>
      </c>
      <c r="H4" s="639"/>
    </row>
    <row r="5" spans="1:8" ht="19.899999999999999" customHeight="1">
      <c r="A5" s="25" t="s">
        <v>117</v>
      </c>
      <c r="B5" s="652">
        <v>0.75</v>
      </c>
      <c r="C5" s="639"/>
      <c r="D5" s="818"/>
      <c r="E5" s="652">
        <v>1.4</v>
      </c>
      <c r="F5" s="17"/>
      <c r="G5" s="818"/>
      <c r="H5" s="639"/>
    </row>
    <row r="6" spans="1:8" ht="19.899999999999999" customHeight="1">
      <c r="A6" s="25" t="s">
        <v>120</v>
      </c>
      <c r="B6" s="652">
        <v>0.7</v>
      </c>
      <c r="C6" s="639"/>
      <c r="D6" s="818"/>
      <c r="E6" s="652">
        <v>1.5</v>
      </c>
      <c r="F6" s="17"/>
      <c r="G6" s="818"/>
      <c r="H6" s="639"/>
    </row>
    <row r="7" spans="1:8" ht="19.899999999999999" customHeight="1">
      <c r="A7" s="25" t="s">
        <v>123</v>
      </c>
      <c r="B7" s="652">
        <v>0.4</v>
      </c>
      <c r="C7" s="639"/>
      <c r="D7" s="818"/>
      <c r="E7" s="43">
        <v>0.6</v>
      </c>
      <c r="F7" s="17"/>
      <c r="G7" s="818"/>
      <c r="H7" s="639"/>
    </row>
    <row r="8" spans="1:8" ht="19.899999999999999" customHeight="1">
      <c r="A8" s="25" t="s">
        <v>125</v>
      </c>
      <c r="B8" s="652">
        <v>0.4</v>
      </c>
      <c r="C8" s="639"/>
      <c r="D8" s="818"/>
      <c r="E8" s="652">
        <v>0.7</v>
      </c>
      <c r="F8" s="17"/>
      <c r="G8" s="818"/>
      <c r="H8" s="639"/>
    </row>
    <row r="9" spans="1:8" ht="19.899999999999999" customHeight="1">
      <c r="A9" s="25" t="s">
        <v>128</v>
      </c>
      <c r="B9" s="652">
        <v>0.6</v>
      </c>
      <c r="C9" s="639"/>
      <c r="D9" s="818"/>
      <c r="E9" s="652">
        <v>0.6</v>
      </c>
      <c r="F9" s="17"/>
      <c r="G9" s="818"/>
      <c r="H9" s="639"/>
    </row>
    <row r="10" spans="1:8" ht="19.899999999999999" customHeight="1">
      <c r="A10" s="465" t="s">
        <v>130</v>
      </c>
      <c r="B10" s="652">
        <v>0.55000000000000004</v>
      </c>
      <c r="C10" s="639"/>
      <c r="D10" s="818"/>
      <c r="E10" s="652">
        <v>1.1000000000000001</v>
      </c>
      <c r="F10" s="17"/>
      <c r="G10" s="818"/>
      <c r="H10" s="639" t="s">
        <v>516</v>
      </c>
    </row>
    <row r="11" spans="1:8" ht="19.899999999999999" customHeight="1">
      <c r="A11" s="25" t="s">
        <v>132</v>
      </c>
      <c r="B11" s="652">
        <v>0.4</v>
      </c>
      <c r="C11" s="639"/>
      <c r="D11" s="818"/>
      <c r="E11" s="652">
        <v>0.6</v>
      </c>
      <c r="F11" s="17"/>
      <c r="G11" s="818"/>
      <c r="H11" s="542"/>
    </row>
    <row r="12" spans="1:8" ht="31.15" customHeight="1">
      <c r="A12" s="25" t="s">
        <v>136</v>
      </c>
      <c r="B12" s="639"/>
      <c r="C12" s="652"/>
      <c r="D12" s="818"/>
      <c r="E12" s="53"/>
      <c r="F12" s="639"/>
      <c r="G12" s="818"/>
      <c r="H12" s="54"/>
    </row>
    <row r="13" spans="1:8" ht="13.15" customHeight="1">
      <c r="B13" s="31"/>
      <c r="C13" s="31"/>
      <c r="D13" s="314"/>
    </row>
    <row r="14" spans="1:8" ht="13.15" customHeight="1">
      <c r="A14" s="6" t="s">
        <v>517</v>
      </c>
      <c r="B14" s="31"/>
      <c r="C14" s="31"/>
      <c r="D14" s="31"/>
    </row>
    <row r="15" spans="1:8" ht="21" customHeight="1">
      <c r="A15" s="79"/>
      <c r="B15" s="31"/>
      <c r="C15" s="31"/>
      <c r="D15" s="31"/>
    </row>
    <row r="16" spans="1:8" ht="13.15" customHeight="1">
      <c r="B16" s="31"/>
      <c r="C16" s="31"/>
      <c r="D16" s="31"/>
    </row>
    <row r="17" spans="1:7" ht="13.15" customHeight="1">
      <c r="B17" s="817" t="s">
        <v>518</v>
      </c>
      <c r="C17" s="817"/>
      <c r="D17" s="31"/>
    </row>
    <row r="18" spans="1:7" ht="13.15" customHeight="1">
      <c r="B18" s="626">
        <v>2025</v>
      </c>
      <c r="C18" s="626">
        <v>2013</v>
      </c>
      <c r="D18" s="31"/>
    </row>
    <row r="19" spans="1:7" ht="13.15" customHeight="1">
      <c r="A19" s="639" t="s">
        <v>519</v>
      </c>
      <c r="B19" s="652">
        <v>0.6</v>
      </c>
      <c r="C19" s="652">
        <v>0.8</v>
      </c>
      <c r="D19" s="6" t="s">
        <v>520</v>
      </c>
    </row>
    <row r="20" spans="1:7" ht="13.15" customHeight="1">
      <c r="B20" s="31"/>
      <c r="C20" s="31"/>
      <c r="D20" s="31"/>
    </row>
    <row r="21" spans="1:7" ht="13.15" customHeight="1">
      <c r="B21" s="31"/>
      <c r="C21" s="31"/>
      <c r="D21" s="31"/>
    </row>
    <row r="22" spans="1:7" ht="13.15" customHeight="1">
      <c r="B22" s="31"/>
      <c r="C22" s="31"/>
      <c r="D22" s="31"/>
    </row>
    <row r="23" spans="1:7" ht="13.15" customHeight="1">
      <c r="B23" s="31"/>
      <c r="C23" s="31"/>
      <c r="D23" s="31"/>
    </row>
    <row r="24" spans="1:7" s="35" customFormat="1" hidden="1">
      <c r="A24" s="35" t="s">
        <v>521</v>
      </c>
      <c r="E24" s="36"/>
      <c r="F24" s="37"/>
      <c r="G24" s="38"/>
    </row>
    <row r="25" spans="1:7" s="7" customFormat="1" hidden="1">
      <c r="E25" s="73"/>
      <c r="F25" s="74"/>
      <c r="G25" s="648"/>
    </row>
    <row r="26" spans="1:7" ht="13.15" hidden="1" customHeight="1">
      <c r="A26" s="822" t="s">
        <v>522</v>
      </c>
      <c r="B26" s="822"/>
      <c r="C26" s="822"/>
      <c r="D26" s="823"/>
    </row>
    <row r="27" spans="1:7" ht="42" hidden="1" customHeight="1">
      <c r="A27" s="71" t="s">
        <v>523</v>
      </c>
      <c r="B27" s="43" t="s">
        <v>524</v>
      </c>
      <c r="C27" s="43" t="s">
        <v>525</v>
      </c>
      <c r="D27" s="43" t="s">
        <v>526</v>
      </c>
      <c r="E27" s="43" t="s">
        <v>92</v>
      </c>
    </row>
    <row r="28" spans="1:7" ht="13.15" hidden="1" customHeight="1">
      <c r="A28" s="43">
        <v>2025</v>
      </c>
      <c r="B28" s="43">
        <v>0.6</v>
      </c>
      <c r="C28" s="43" t="s">
        <v>527</v>
      </c>
      <c r="D28" s="43" t="s">
        <v>528</v>
      </c>
      <c r="E28" s="54"/>
    </row>
    <row r="29" spans="1:7" ht="13.15" hidden="1" customHeight="1">
      <c r="A29" s="43">
        <v>2022</v>
      </c>
      <c r="B29" s="43">
        <v>0.6</v>
      </c>
      <c r="C29" s="43" t="s">
        <v>527</v>
      </c>
      <c r="D29" s="43"/>
      <c r="E29" s="54"/>
    </row>
    <row r="30" spans="1:7" ht="13.15" hidden="1" customHeight="1">
      <c r="A30" s="43">
        <v>2019</v>
      </c>
      <c r="B30" s="43">
        <v>0.65</v>
      </c>
      <c r="C30" s="43"/>
      <c r="D30" s="43"/>
      <c r="E30" s="54"/>
    </row>
    <row r="31" spans="1:7" ht="13.15" hidden="1" customHeight="1">
      <c r="A31" s="43">
        <v>2016</v>
      </c>
      <c r="B31" s="43">
        <v>0.8</v>
      </c>
      <c r="C31" s="43"/>
      <c r="D31" s="43"/>
      <c r="E31" s="54"/>
    </row>
    <row r="32" spans="1:7" ht="13.15" hidden="1" customHeight="1">
      <c r="A32" s="43">
        <v>2013</v>
      </c>
      <c r="B32" s="43">
        <v>0.8</v>
      </c>
      <c r="C32" s="43">
        <v>0.75</v>
      </c>
      <c r="D32" s="43"/>
      <c r="E32" s="54"/>
    </row>
    <row r="33" spans="1:7" ht="13.15" hidden="1" customHeight="1">
      <c r="A33" s="43">
        <v>2010</v>
      </c>
      <c r="B33" s="43">
        <v>0.85</v>
      </c>
      <c r="C33" s="43"/>
      <c r="D33" s="43"/>
      <c r="E33" s="54"/>
    </row>
    <row r="34" spans="1:7" ht="13.15" hidden="1" customHeight="1">
      <c r="A34" s="43">
        <v>2008</v>
      </c>
      <c r="B34" s="43">
        <v>8.5000000000000006E-2</v>
      </c>
      <c r="C34" s="43">
        <v>0.9</v>
      </c>
      <c r="D34" s="43" t="s">
        <v>529</v>
      </c>
      <c r="E34" s="54"/>
    </row>
    <row r="35" spans="1:7" ht="13.15" hidden="1" customHeight="1">
      <c r="A35" s="31">
        <v>2005</v>
      </c>
      <c r="B35" s="31"/>
      <c r="C35" s="31">
        <v>1.2</v>
      </c>
      <c r="D35" s="31"/>
    </row>
    <row r="36" spans="1:7" ht="13.15" hidden="1" customHeight="1">
      <c r="A36" s="6" t="s">
        <v>530</v>
      </c>
    </row>
    <row r="37" spans="1:7" ht="13.15" hidden="1" customHeight="1"/>
    <row r="38" spans="1:7" ht="13.15" hidden="1" customHeight="1"/>
    <row r="39" spans="1:7" ht="13.15" hidden="1" customHeight="1">
      <c r="D39" s="31"/>
    </row>
    <row r="40" spans="1:7" s="7" customFormat="1" ht="39.6" hidden="1">
      <c r="A40" s="6"/>
      <c r="B40" s="31" t="s">
        <v>531</v>
      </c>
      <c r="C40" s="31" t="s">
        <v>532</v>
      </c>
      <c r="E40" s="6" t="s">
        <v>533</v>
      </c>
      <c r="F40" s="10" t="s">
        <v>534</v>
      </c>
      <c r="G40" s="648"/>
    </row>
    <row r="41" spans="1:7" ht="13.15" hidden="1" customHeight="1">
      <c r="A41" s="708" t="s">
        <v>535</v>
      </c>
      <c r="B41" s="622">
        <v>0.8</v>
      </c>
      <c r="C41" s="622"/>
      <c r="D41" s="31"/>
      <c r="E41" s="6" t="s">
        <v>536</v>
      </c>
      <c r="F41" s="10" t="s">
        <v>537</v>
      </c>
    </row>
    <row r="42" spans="1:7" ht="13.15" hidden="1" customHeight="1">
      <c r="A42" s="708"/>
      <c r="B42" s="649" t="s">
        <v>538</v>
      </c>
      <c r="C42" s="622"/>
      <c r="D42" s="31"/>
      <c r="E42" s="6" t="s">
        <v>539</v>
      </c>
      <c r="F42" s="10" t="s">
        <v>537</v>
      </c>
    </row>
    <row r="43" spans="1:7" ht="13.15" hidden="1" customHeight="1">
      <c r="A43" s="708"/>
      <c r="B43" s="622">
        <v>1.2</v>
      </c>
      <c r="C43" s="622"/>
      <c r="D43" s="31"/>
      <c r="E43" s="7"/>
      <c r="F43" s="7"/>
      <c r="G43" s="7"/>
    </row>
    <row r="44" spans="1:7" ht="13.15" hidden="1" customHeight="1">
      <c r="A44" s="708"/>
      <c r="B44" s="32">
        <v>0.6</v>
      </c>
      <c r="C44" s="622"/>
      <c r="D44" s="31"/>
    </row>
    <row r="45" spans="1:7" ht="13.15" hidden="1" customHeight="1">
      <c r="A45" s="708"/>
      <c r="B45" s="622">
        <v>0.55000000000000004</v>
      </c>
      <c r="C45" s="622"/>
      <c r="D45" s="31"/>
    </row>
    <row r="46" spans="1:7" ht="13.15" hidden="1" customHeight="1">
      <c r="A46" s="708"/>
      <c r="B46" s="75">
        <v>0.95</v>
      </c>
      <c r="C46" s="44">
        <v>0.5</v>
      </c>
      <c r="D46" s="31"/>
    </row>
    <row r="47" spans="1:7" ht="13.15" hidden="1" customHeight="1">
      <c r="A47" s="708"/>
      <c r="B47" s="622">
        <v>0.9</v>
      </c>
      <c r="C47" s="44">
        <v>0.5</v>
      </c>
      <c r="D47" s="31"/>
    </row>
    <row r="48" spans="1:7" ht="13.15" hidden="1" customHeight="1">
      <c r="A48" s="708"/>
      <c r="B48" s="622">
        <v>0.6</v>
      </c>
      <c r="C48" s="622"/>
      <c r="D48" s="31"/>
    </row>
    <row r="49" spans="1:13" ht="13.15" hidden="1" customHeight="1">
      <c r="A49" s="708"/>
      <c r="B49" s="622">
        <v>0.6</v>
      </c>
      <c r="C49" s="622"/>
      <c r="D49" s="31"/>
    </row>
    <row r="50" spans="1:13" ht="13.15" hidden="1" customHeight="1">
      <c r="A50" s="708"/>
      <c r="B50" s="622">
        <v>0.6</v>
      </c>
      <c r="C50" s="622"/>
      <c r="D50" s="31"/>
    </row>
    <row r="51" spans="1:13" ht="13.15" hidden="1" customHeight="1">
      <c r="A51" s="829" t="s">
        <v>540</v>
      </c>
      <c r="B51" s="829"/>
      <c r="C51" s="829"/>
      <c r="D51" s="829"/>
      <c r="E51" s="829"/>
      <c r="F51" s="829"/>
      <c r="G51" s="829"/>
      <c r="H51" s="829"/>
    </row>
    <row r="52" spans="1:13" ht="13.15" hidden="1" customHeight="1">
      <c r="A52" s="45" t="s">
        <v>541</v>
      </c>
      <c r="B52" s="46" t="s">
        <v>542</v>
      </c>
      <c r="C52" s="46" t="s">
        <v>543</v>
      </c>
      <c r="D52" s="47" t="s">
        <v>544</v>
      </c>
      <c r="E52" s="46" t="s">
        <v>87</v>
      </c>
      <c r="F52" s="635" t="s">
        <v>545</v>
      </c>
      <c r="G52" s="635" t="s">
        <v>546</v>
      </c>
      <c r="H52" s="635" t="s">
        <v>547</v>
      </c>
      <c r="K52" s="6" t="s">
        <v>548</v>
      </c>
      <c r="L52" s="6">
        <f>52*5-L55</f>
        <v>249</v>
      </c>
    </row>
    <row r="53" spans="1:13" ht="13.15" hidden="1" customHeight="1">
      <c r="A53" s="833" t="s">
        <v>549</v>
      </c>
      <c r="B53" s="834">
        <v>45474</v>
      </c>
      <c r="C53" s="631" t="s">
        <v>550</v>
      </c>
      <c r="D53" s="48">
        <v>6.7005816899999999</v>
      </c>
      <c r="E53" s="635" t="s">
        <v>551</v>
      </c>
      <c r="F53" s="49">
        <f>F101*L52+G101*L53+H101*(L54+L55)</f>
        <v>2238.1</v>
      </c>
      <c r="G53" s="49">
        <f>D53*F53</f>
        <v>14996.571880388999</v>
      </c>
      <c r="H53" s="838">
        <f>145.94/(929.25/2-145.94)</f>
        <v>0.45794436512543735</v>
      </c>
      <c r="K53" s="6" t="s">
        <v>383</v>
      </c>
      <c r="L53" s="6">
        <v>52</v>
      </c>
    </row>
    <row r="54" spans="1:13" ht="13.15" hidden="1" customHeight="1">
      <c r="A54" s="833"/>
      <c r="B54" s="835"/>
      <c r="C54" s="635" t="s">
        <v>552</v>
      </c>
      <c r="D54" s="48">
        <v>13.460512400000001</v>
      </c>
      <c r="E54" s="635" t="s">
        <v>551</v>
      </c>
      <c r="F54" s="49">
        <f>F101*L52+G101*L53+H101*(L54+L55)</f>
        <v>2238.1</v>
      </c>
      <c r="G54" s="49">
        <f>D54*F54</f>
        <v>30125.972802439999</v>
      </c>
      <c r="H54" s="838"/>
      <c r="K54" s="6" t="s">
        <v>384</v>
      </c>
      <c r="L54" s="6">
        <v>52</v>
      </c>
    </row>
    <row r="55" spans="1:13" ht="13.15" hidden="1" customHeight="1">
      <c r="A55" s="650" t="s">
        <v>148</v>
      </c>
      <c r="B55" s="50">
        <v>45323</v>
      </c>
      <c r="C55" s="631" t="s">
        <v>553</v>
      </c>
      <c r="D55" s="51">
        <v>6.181254</v>
      </c>
      <c r="E55" s="635" t="s">
        <v>551</v>
      </c>
      <c r="F55" s="49">
        <f>J101*L52+K101*L53+L101*(L54+L55)</f>
        <v>2468.4140902560002</v>
      </c>
      <c r="G55" s="49">
        <f>D55*F55</f>
        <v>15257.894469051262</v>
      </c>
      <c r="H55" s="28">
        <f>149.66/(511.16-149.66)</f>
        <v>0.41399723374827108</v>
      </c>
      <c r="K55" s="6" t="s">
        <v>554</v>
      </c>
      <c r="L55" s="6">
        <v>11</v>
      </c>
    </row>
    <row r="56" spans="1:13" ht="13.15" hidden="1" customHeight="1">
      <c r="A56" s="52" t="s">
        <v>555</v>
      </c>
      <c r="B56" s="50">
        <v>45444</v>
      </c>
      <c r="C56" s="631" t="s">
        <v>553</v>
      </c>
      <c r="D56" s="51">
        <v>6.45834625</v>
      </c>
      <c r="E56" s="635" t="s">
        <v>551</v>
      </c>
      <c r="F56" s="49">
        <f>B101*L52+C101*L53+D101*(L54+L55)</f>
        <v>2238.1</v>
      </c>
      <c r="G56" s="49">
        <f>D56*F56</f>
        <v>14454.424742125</v>
      </c>
      <c r="H56" s="28">
        <f>149.66/(511.16-149.66)</f>
        <v>0.41399723374827108</v>
      </c>
    </row>
    <row r="57" spans="1:13" ht="13.15" hidden="1" customHeight="1">
      <c r="B57" s="31"/>
      <c r="C57" s="31"/>
      <c r="D57" s="31"/>
    </row>
    <row r="58" spans="1:13" ht="13.15" hidden="1" customHeight="1">
      <c r="B58" s="31"/>
      <c r="C58" s="31"/>
      <c r="D58" s="31"/>
    </row>
    <row r="59" spans="1:13" ht="21" hidden="1" customHeight="1">
      <c r="A59" s="836" t="s">
        <v>556</v>
      </c>
      <c r="B59" s="836"/>
      <c r="C59" s="836"/>
      <c r="D59" s="836"/>
      <c r="E59" s="836"/>
      <c r="F59" s="836"/>
      <c r="G59" s="836"/>
      <c r="H59" s="836"/>
      <c r="I59" s="836"/>
      <c r="J59" s="836"/>
      <c r="K59" s="836"/>
      <c r="L59" s="836"/>
      <c r="M59" s="836"/>
    </row>
    <row r="60" spans="1:13" ht="13.15" hidden="1" customHeight="1"/>
    <row r="61" spans="1:13" ht="13.15" hidden="1" customHeight="1"/>
    <row r="62" spans="1:13" ht="13.15" hidden="1" customHeight="1"/>
    <row r="63" spans="1:13" ht="13.15" hidden="1" customHeight="1"/>
    <row r="64" spans="1:13" ht="13.15" hidden="1" customHeight="1"/>
    <row r="65" spans="1:12" ht="13.15" hidden="1" customHeight="1"/>
    <row r="66" spans="1:12" ht="13.15" hidden="1" customHeight="1"/>
    <row r="67" spans="1:12" ht="13.15" hidden="1" customHeight="1"/>
    <row r="68" spans="1:12" ht="13.15" hidden="1" customHeight="1"/>
    <row r="69" spans="1:12" ht="13.15" hidden="1" customHeight="1"/>
    <row r="70" spans="1:12" ht="13.15" hidden="1" customHeight="1"/>
    <row r="71" spans="1:12" ht="13.15" hidden="1" customHeight="1"/>
    <row r="72" spans="1:12" ht="13.15" hidden="1" customHeight="1"/>
    <row r="73" spans="1:12" ht="13.15" hidden="1" customHeight="1"/>
    <row r="74" spans="1:12" ht="13.15" hidden="1" customHeight="1"/>
    <row r="75" spans="1:12" ht="13.15" hidden="1" customHeight="1">
      <c r="B75" s="837" t="s">
        <v>149</v>
      </c>
      <c r="C75" s="837"/>
      <c r="D75" s="837"/>
      <c r="F75" s="837" t="s">
        <v>150</v>
      </c>
      <c r="G75" s="837"/>
      <c r="H75" s="837"/>
      <c r="J75" s="837" t="s">
        <v>148</v>
      </c>
      <c r="K75" s="837"/>
      <c r="L75" s="837"/>
    </row>
    <row r="76" spans="1:12" ht="13.15" hidden="1" customHeight="1">
      <c r="A76" s="6" t="s">
        <v>557</v>
      </c>
      <c r="B76" s="6" t="s">
        <v>558</v>
      </c>
      <c r="C76" s="6" t="s">
        <v>559</v>
      </c>
      <c r="D76" s="6" t="s">
        <v>560</v>
      </c>
      <c r="F76" s="6" t="s">
        <v>561</v>
      </c>
      <c r="G76" s="6" t="s">
        <v>562</v>
      </c>
      <c r="H76" s="6" t="s">
        <v>563</v>
      </c>
      <c r="J76" s="6" t="s">
        <v>564</v>
      </c>
      <c r="K76" s="6" t="s">
        <v>565</v>
      </c>
      <c r="L76" s="6" t="s">
        <v>566</v>
      </c>
    </row>
    <row r="77" spans="1:12" ht="13.15" hidden="1" customHeight="1">
      <c r="A77" s="622">
        <v>1</v>
      </c>
      <c r="B77" s="6">
        <v>0.05</v>
      </c>
      <c r="C77" s="6">
        <v>0.05</v>
      </c>
      <c r="D77" s="6">
        <v>0.05</v>
      </c>
      <c r="F77" s="6">
        <v>0.05</v>
      </c>
      <c r="G77" s="6">
        <v>0.05</v>
      </c>
      <c r="H77" s="6">
        <v>0.05</v>
      </c>
      <c r="J77" s="398">
        <v>0.12093490599999999</v>
      </c>
      <c r="K77" s="398">
        <v>0.12093490599999999</v>
      </c>
      <c r="L77" s="398">
        <v>0.12093490599999999</v>
      </c>
    </row>
    <row r="78" spans="1:12" ht="13.15" hidden="1" customHeight="1">
      <c r="A78" s="622">
        <f>1+A77</f>
        <v>2</v>
      </c>
      <c r="B78" s="6">
        <v>0.05</v>
      </c>
      <c r="C78" s="6">
        <v>0.05</v>
      </c>
      <c r="D78" s="6">
        <v>0.05</v>
      </c>
      <c r="F78" s="6">
        <v>0.05</v>
      </c>
      <c r="G78" s="6">
        <v>0.05</v>
      </c>
      <c r="H78" s="6">
        <v>0.05</v>
      </c>
      <c r="J78" s="398">
        <v>0.12093490599999999</v>
      </c>
      <c r="K78" s="398">
        <v>0.12093490599999999</v>
      </c>
      <c r="L78" s="398">
        <v>0.12093490599999999</v>
      </c>
    </row>
    <row r="79" spans="1:12" ht="13.15" hidden="1" customHeight="1">
      <c r="A79" s="622">
        <f t="shared" ref="A79:A99" si="0">1+A78</f>
        <v>3</v>
      </c>
      <c r="B79" s="6">
        <v>0.05</v>
      </c>
      <c r="C79" s="6">
        <v>0.05</v>
      </c>
      <c r="D79" s="6">
        <v>0.05</v>
      </c>
      <c r="F79" s="6">
        <v>0.05</v>
      </c>
      <c r="G79" s="6">
        <v>0.05</v>
      </c>
      <c r="H79" s="6">
        <v>0.05</v>
      </c>
      <c r="J79" s="398">
        <v>0.12093490599999999</v>
      </c>
      <c r="K79" s="398">
        <v>0.12093490599999999</v>
      </c>
      <c r="L79" s="398">
        <v>0.12093490599999999</v>
      </c>
    </row>
    <row r="80" spans="1:12" ht="13.15" hidden="1" customHeight="1">
      <c r="A80" s="622">
        <f t="shared" si="0"/>
        <v>4</v>
      </c>
      <c r="B80" s="6">
        <v>0.05</v>
      </c>
      <c r="C80" s="6">
        <v>0.05</v>
      </c>
      <c r="D80" s="6">
        <v>0.05</v>
      </c>
      <c r="F80" s="6">
        <v>0.05</v>
      </c>
      <c r="G80" s="6">
        <v>0.05</v>
      </c>
      <c r="H80" s="6">
        <v>0.05</v>
      </c>
      <c r="J80" s="398">
        <v>0.12093490599999999</v>
      </c>
      <c r="K80" s="398">
        <v>0.12093490599999999</v>
      </c>
      <c r="L80" s="398">
        <v>0.12093490599999999</v>
      </c>
    </row>
    <row r="81" spans="1:12" ht="13.15" hidden="1" customHeight="1">
      <c r="A81" s="622">
        <f t="shared" si="0"/>
        <v>5</v>
      </c>
      <c r="B81" s="6">
        <v>0.05</v>
      </c>
      <c r="C81" s="6">
        <v>0.05</v>
      </c>
      <c r="D81" s="6">
        <v>0.05</v>
      </c>
      <c r="F81" s="6">
        <v>0.05</v>
      </c>
      <c r="G81" s="6">
        <v>0.05</v>
      </c>
      <c r="H81" s="6">
        <v>0.05</v>
      </c>
      <c r="J81" s="398">
        <v>0.12093490599999999</v>
      </c>
      <c r="K81" s="398">
        <v>0.12093490599999999</v>
      </c>
      <c r="L81" s="398">
        <v>0.12093490599999999</v>
      </c>
    </row>
    <row r="82" spans="1:12" ht="13.15" hidden="1" customHeight="1">
      <c r="A82" s="622">
        <f t="shared" si="0"/>
        <v>6</v>
      </c>
      <c r="B82" s="6">
        <v>0.1</v>
      </c>
      <c r="C82" s="6">
        <v>0.05</v>
      </c>
      <c r="D82" s="6">
        <v>0.05</v>
      </c>
      <c r="F82" s="6">
        <v>0.1</v>
      </c>
      <c r="G82" s="6">
        <v>0.05</v>
      </c>
      <c r="H82" s="6">
        <v>0.05</v>
      </c>
      <c r="J82" s="398">
        <v>0.15452683149999999</v>
      </c>
      <c r="K82" s="398">
        <v>0.12093490599999999</v>
      </c>
      <c r="L82" s="398">
        <v>0.12093490599999999</v>
      </c>
    </row>
    <row r="83" spans="1:12" ht="13.15" hidden="1" customHeight="1">
      <c r="A83" s="622">
        <f t="shared" si="0"/>
        <v>7</v>
      </c>
      <c r="B83" s="6">
        <v>0.1</v>
      </c>
      <c r="C83" s="6">
        <v>0.1</v>
      </c>
      <c r="D83" s="6">
        <v>0.05</v>
      </c>
      <c r="F83" s="6">
        <v>0.1</v>
      </c>
      <c r="G83" s="6">
        <v>0.1</v>
      </c>
      <c r="H83" s="6">
        <v>0.05</v>
      </c>
      <c r="J83" s="398">
        <v>0.15452683149999999</v>
      </c>
      <c r="K83" s="398">
        <v>0.12093490599999999</v>
      </c>
      <c r="L83" s="398">
        <v>0.12093490599999999</v>
      </c>
    </row>
    <row r="84" spans="1:12" ht="13.15" hidden="1" customHeight="1">
      <c r="A84" s="622">
        <f t="shared" si="0"/>
        <v>8</v>
      </c>
      <c r="B84" s="6">
        <v>0.3</v>
      </c>
      <c r="C84" s="6">
        <v>0.1</v>
      </c>
      <c r="D84" s="6">
        <v>0.05</v>
      </c>
      <c r="F84" s="6">
        <v>0.3</v>
      </c>
      <c r="G84" s="6">
        <v>0.1</v>
      </c>
      <c r="H84" s="6">
        <v>0.05</v>
      </c>
      <c r="J84" s="398">
        <v>0.60466459449999999</v>
      </c>
      <c r="K84" s="398">
        <v>0.12093490599999999</v>
      </c>
      <c r="L84" s="398">
        <v>0.12093490599999999</v>
      </c>
    </row>
    <row r="85" spans="1:12" ht="13.15" hidden="1" customHeight="1">
      <c r="A85" s="75">
        <f t="shared" si="0"/>
        <v>9</v>
      </c>
      <c r="B85" s="6">
        <v>0.65</v>
      </c>
      <c r="C85" s="6">
        <v>0.3</v>
      </c>
      <c r="D85" s="6">
        <v>0.05</v>
      </c>
      <c r="F85" s="6">
        <v>0.65</v>
      </c>
      <c r="G85" s="6">
        <v>0.3</v>
      </c>
      <c r="H85" s="6">
        <v>0.05</v>
      </c>
      <c r="J85" s="398">
        <v>0.60466459449999999</v>
      </c>
      <c r="K85" s="398">
        <v>0.12093490599999999</v>
      </c>
      <c r="L85" s="398">
        <v>0.12093490599999999</v>
      </c>
    </row>
    <row r="86" spans="1:12" ht="13.15" hidden="1" customHeight="1">
      <c r="A86" s="75">
        <f t="shared" si="0"/>
        <v>10</v>
      </c>
      <c r="B86" s="6">
        <v>0.65</v>
      </c>
      <c r="C86" s="6">
        <v>0.3</v>
      </c>
      <c r="D86" s="6">
        <v>0.05</v>
      </c>
      <c r="F86" s="6">
        <v>0.65</v>
      </c>
      <c r="G86" s="6">
        <v>0.3</v>
      </c>
      <c r="H86" s="6">
        <v>0.05</v>
      </c>
      <c r="J86" s="398">
        <v>0.60466459449999999</v>
      </c>
      <c r="K86" s="398">
        <v>0.12093490599999999</v>
      </c>
      <c r="L86" s="398">
        <v>0.12093490599999999</v>
      </c>
    </row>
    <row r="87" spans="1:12" ht="13.15" hidden="1" customHeight="1">
      <c r="A87" s="75">
        <f t="shared" si="0"/>
        <v>11</v>
      </c>
      <c r="B87" s="6">
        <v>0.65</v>
      </c>
      <c r="C87" s="6">
        <v>0.3</v>
      </c>
      <c r="D87" s="6">
        <v>0.05</v>
      </c>
      <c r="F87" s="6">
        <v>0.65</v>
      </c>
      <c r="G87" s="6">
        <v>0.3</v>
      </c>
      <c r="H87" s="6">
        <v>0.05</v>
      </c>
      <c r="J87" s="398">
        <v>0.60466459449999999</v>
      </c>
      <c r="K87" s="398">
        <v>0.12093490599999999</v>
      </c>
      <c r="L87" s="398">
        <v>0.12093490599999999</v>
      </c>
    </row>
    <row r="88" spans="1:12" ht="13.15" hidden="1" customHeight="1">
      <c r="A88" s="75">
        <f t="shared" si="0"/>
        <v>12</v>
      </c>
      <c r="B88" s="6">
        <v>0.65</v>
      </c>
      <c r="C88" s="6">
        <v>0.3</v>
      </c>
      <c r="D88" s="6">
        <v>0.05</v>
      </c>
      <c r="F88" s="6">
        <v>0.65</v>
      </c>
      <c r="G88" s="6">
        <v>0.3</v>
      </c>
      <c r="H88" s="6">
        <v>0.05</v>
      </c>
      <c r="J88" s="398">
        <v>0.60466459449999999</v>
      </c>
      <c r="K88" s="398">
        <v>0.12093490599999999</v>
      </c>
      <c r="L88" s="398">
        <v>0.12093490599999999</v>
      </c>
    </row>
    <row r="89" spans="1:12" ht="13.15" hidden="1" customHeight="1">
      <c r="A89" s="75">
        <f t="shared" si="0"/>
        <v>13</v>
      </c>
      <c r="B89" s="6">
        <v>0.65</v>
      </c>
      <c r="C89" s="6">
        <v>0.15</v>
      </c>
      <c r="D89" s="6">
        <v>0.05</v>
      </c>
      <c r="F89" s="6">
        <v>0.65</v>
      </c>
      <c r="G89" s="6">
        <v>0.15</v>
      </c>
      <c r="H89" s="6">
        <v>0.05</v>
      </c>
      <c r="J89" s="398">
        <v>0.53748074349999997</v>
      </c>
      <c r="K89" s="398">
        <v>0.12093490599999999</v>
      </c>
      <c r="L89" s="398">
        <v>0.12093490599999999</v>
      </c>
    </row>
    <row r="90" spans="1:12" ht="13.15" hidden="1" customHeight="1">
      <c r="A90" s="75">
        <f t="shared" si="0"/>
        <v>14</v>
      </c>
      <c r="B90" s="6">
        <v>0.65</v>
      </c>
      <c r="C90" s="6">
        <v>0.15</v>
      </c>
      <c r="D90" s="6">
        <v>0.05</v>
      </c>
      <c r="F90" s="6">
        <v>0.65</v>
      </c>
      <c r="G90" s="6">
        <v>0.15</v>
      </c>
      <c r="H90" s="6">
        <v>0.05</v>
      </c>
      <c r="J90" s="398">
        <v>0.60466459449999999</v>
      </c>
      <c r="K90" s="398">
        <v>0.12093490599999999</v>
      </c>
      <c r="L90" s="398">
        <v>0.12093490599999999</v>
      </c>
    </row>
    <row r="91" spans="1:12" ht="13.15" hidden="1" customHeight="1">
      <c r="A91" s="75">
        <f t="shared" si="0"/>
        <v>15</v>
      </c>
      <c r="B91" s="6">
        <v>0.65</v>
      </c>
      <c r="C91" s="6">
        <v>0.15</v>
      </c>
      <c r="D91" s="6">
        <v>0.05</v>
      </c>
      <c r="F91" s="6">
        <v>0.65</v>
      </c>
      <c r="G91" s="6">
        <v>0.15</v>
      </c>
      <c r="H91" s="6">
        <v>0.05</v>
      </c>
      <c r="J91" s="398">
        <v>0.60466459449999999</v>
      </c>
      <c r="K91" s="398">
        <v>0.12093490599999999</v>
      </c>
      <c r="L91" s="398">
        <v>0.12093490599999999</v>
      </c>
    </row>
    <row r="92" spans="1:12" ht="13.15" hidden="1" customHeight="1">
      <c r="A92" s="75">
        <f t="shared" si="0"/>
        <v>16</v>
      </c>
      <c r="B92" s="6">
        <v>0.65</v>
      </c>
      <c r="C92" s="6">
        <v>0.15</v>
      </c>
      <c r="D92" s="6">
        <v>0.05</v>
      </c>
      <c r="F92" s="6">
        <v>0.65</v>
      </c>
      <c r="G92" s="6">
        <v>0.15</v>
      </c>
      <c r="H92" s="6">
        <v>0.05</v>
      </c>
      <c r="J92" s="398">
        <v>0.60466459449999999</v>
      </c>
      <c r="K92" s="398">
        <v>0.12093490599999999</v>
      </c>
      <c r="L92" s="398">
        <v>0.12093490599999999</v>
      </c>
    </row>
    <row r="93" spans="1:12" ht="13.15" hidden="1" customHeight="1">
      <c r="A93" s="75">
        <f t="shared" si="0"/>
        <v>17</v>
      </c>
      <c r="B93" s="6">
        <v>0.65</v>
      </c>
      <c r="C93" s="6">
        <v>0.15</v>
      </c>
      <c r="D93" s="6">
        <v>0.05</v>
      </c>
      <c r="F93" s="6">
        <v>0.65</v>
      </c>
      <c r="G93" s="6">
        <v>0.15</v>
      </c>
      <c r="H93" s="6">
        <v>0.05</v>
      </c>
      <c r="J93" s="398">
        <v>0.60466459449999999</v>
      </c>
      <c r="K93" s="398">
        <v>0.12093490599999999</v>
      </c>
      <c r="L93" s="398">
        <v>0.12093490599999999</v>
      </c>
    </row>
    <row r="94" spans="1:12" ht="13.15" hidden="1" customHeight="1">
      <c r="A94" s="622">
        <f t="shared" si="0"/>
        <v>18</v>
      </c>
      <c r="B94" s="6">
        <v>0.35</v>
      </c>
      <c r="C94" s="6">
        <v>0.05</v>
      </c>
      <c r="D94" s="6">
        <v>0.05</v>
      </c>
      <c r="F94" s="6">
        <v>0.35</v>
      </c>
      <c r="G94" s="6">
        <v>0.05</v>
      </c>
      <c r="H94" s="6">
        <v>0.05</v>
      </c>
      <c r="J94" s="398">
        <v>0.4098294395</v>
      </c>
      <c r="K94" s="398">
        <v>0.12093490599999999</v>
      </c>
      <c r="L94" s="398">
        <v>0.12093490599999999</v>
      </c>
    </row>
    <row r="95" spans="1:12" ht="13.15" hidden="1" customHeight="1">
      <c r="A95" s="622">
        <f t="shared" si="0"/>
        <v>19</v>
      </c>
      <c r="B95" s="6">
        <v>0.3</v>
      </c>
      <c r="C95" s="6">
        <v>0.05</v>
      </c>
      <c r="D95" s="6">
        <v>0.05</v>
      </c>
      <c r="F95" s="6">
        <v>0.3</v>
      </c>
      <c r="G95" s="6">
        <v>0.05</v>
      </c>
      <c r="H95" s="6">
        <v>0.05</v>
      </c>
      <c r="J95" s="398">
        <v>0.28217813549999998</v>
      </c>
      <c r="K95" s="398">
        <v>0.12093490599999999</v>
      </c>
      <c r="L95" s="398">
        <v>0.12093490599999999</v>
      </c>
    </row>
    <row r="96" spans="1:12" ht="13.15" hidden="1" customHeight="1">
      <c r="A96" s="622">
        <f t="shared" si="0"/>
        <v>20</v>
      </c>
      <c r="B96" s="6">
        <v>0.3</v>
      </c>
      <c r="C96" s="6">
        <v>0.05</v>
      </c>
      <c r="D96" s="6">
        <v>0.05</v>
      </c>
      <c r="F96" s="6">
        <v>0.3</v>
      </c>
      <c r="G96" s="6">
        <v>0.05</v>
      </c>
      <c r="H96" s="6">
        <v>0.05</v>
      </c>
      <c r="J96" s="398">
        <v>0.28217813549999998</v>
      </c>
      <c r="K96" s="398">
        <v>0.12093490599999999</v>
      </c>
      <c r="L96" s="398">
        <v>0.12093490599999999</v>
      </c>
    </row>
    <row r="97" spans="1:14" ht="13.15" hidden="1" customHeight="1">
      <c r="A97" s="622">
        <f t="shared" si="0"/>
        <v>21</v>
      </c>
      <c r="B97" s="6">
        <v>0.2</v>
      </c>
      <c r="C97" s="6">
        <v>0.05</v>
      </c>
      <c r="D97" s="6">
        <v>0.05</v>
      </c>
      <c r="F97" s="6">
        <v>0.2</v>
      </c>
      <c r="G97" s="6">
        <v>0.05</v>
      </c>
      <c r="H97" s="6">
        <v>0.05</v>
      </c>
      <c r="J97" s="398">
        <v>0.21499428449999999</v>
      </c>
      <c r="K97" s="398">
        <v>0.12093490599999999</v>
      </c>
      <c r="L97" s="398">
        <v>0.12093490599999999</v>
      </c>
    </row>
    <row r="98" spans="1:14" ht="13.15" hidden="1" customHeight="1">
      <c r="A98" s="622">
        <f t="shared" si="0"/>
        <v>22</v>
      </c>
      <c r="B98" s="6">
        <v>0.2</v>
      </c>
      <c r="C98" s="6">
        <v>0.05</v>
      </c>
      <c r="D98" s="6">
        <v>0.05</v>
      </c>
      <c r="F98" s="6">
        <v>0.2</v>
      </c>
      <c r="G98" s="6">
        <v>0.05</v>
      </c>
      <c r="H98" s="6">
        <v>0.05</v>
      </c>
      <c r="J98" s="398">
        <v>0.21499428449999999</v>
      </c>
      <c r="K98" s="398">
        <v>0.12093490599999999</v>
      </c>
      <c r="L98" s="398">
        <v>0.12093490599999999</v>
      </c>
    </row>
    <row r="99" spans="1:14" ht="13.15" hidden="1" customHeight="1">
      <c r="A99" s="622">
        <f t="shared" si="0"/>
        <v>23</v>
      </c>
      <c r="B99" s="6">
        <v>0.1</v>
      </c>
      <c r="C99" s="6">
        <v>0.05</v>
      </c>
      <c r="D99" s="6">
        <v>0.05</v>
      </c>
      <c r="F99" s="6">
        <v>0.1</v>
      </c>
      <c r="G99" s="6">
        <v>0.05</v>
      </c>
      <c r="H99" s="6">
        <v>0.05</v>
      </c>
      <c r="J99" s="398">
        <v>0.15452683149999999</v>
      </c>
      <c r="K99" s="398">
        <v>0.12093490599999999</v>
      </c>
      <c r="L99" s="398">
        <v>0.12093490599999999</v>
      </c>
    </row>
    <row r="100" spans="1:14" ht="13.15" hidden="1" customHeight="1">
      <c r="A100" s="622">
        <f>1+A99</f>
        <v>24</v>
      </c>
      <c r="B100" s="6">
        <v>0.05</v>
      </c>
      <c r="C100" s="6">
        <v>0.05</v>
      </c>
      <c r="D100" s="6">
        <v>0.05</v>
      </c>
      <c r="F100" s="6">
        <v>0.05</v>
      </c>
      <c r="G100" s="6">
        <v>0.05</v>
      </c>
      <c r="H100" s="6">
        <v>0.05</v>
      </c>
      <c r="J100" s="398">
        <v>0.12093490599999999</v>
      </c>
      <c r="K100" s="398">
        <v>0.12093490599999999</v>
      </c>
      <c r="L100" s="398">
        <v>0.12093490599999999</v>
      </c>
    </row>
    <row r="101" spans="1:14" ht="13.15" hidden="1" customHeight="1">
      <c r="A101" s="11" t="s">
        <v>567</v>
      </c>
      <c r="B101" s="6">
        <f>SUM(B77:B100)</f>
        <v>8.1000000000000014</v>
      </c>
      <c r="C101" s="6">
        <f>SUM(C77:C100)</f>
        <v>2.7999999999999985</v>
      </c>
      <c r="D101" s="6">
        <f>SUM(D77:D100)</f>
        <v>1.2000000000000004</v>
      </c>
      <c r="F101" s="6">
        <f>SUM(F77:F100)</f>
        <v>8.1000000000000014</v>
      </c>
      <c r="G101" s="6">
        <f>SUM(G77:G100)</f>
        <v>2.7999999999999985</v>
      </c>
      <c r="H101" s="6">
        <f>SUM(H77:H100)</f>
        <v>1.2000000000000004</v>
      </c>
      <c r="J101" s="398">
        <f>SUM(J77:J100)</f>
        <v>8.5728263039999995</v>
      </c>
      <c r="K101" s="398">
        <f>SUM(K77:K100)</f>
        <v>2.9024377439999998</v>
      </c>
      <c r="L101" s="398">
        <f>SUM(L77:L100)</f>
        <v>2.9024377439999998</v>
      </c>
    </row>
    <row r="102" spans="1:14" ht="13.15" hidden="1" customHeight="1">
      <c r="B102" s="31"/>
      <c r="C102" s="31"/>
      <c r="D102" s="31"/>
    </row>
    <row r="103" spans="1:14" ht="13.15" hidden="1" customHeight="1">
      <c r="B103" s="31"/>
      <c r="C103" s="31"/>
      <c r="D103" s="31"/>
    </row>
    <row r="104" spans="1:14" ht="13.15" hidden="1" customHeight="1">
      <c r="B104" s="31"/>
      <c r="C104" s="31"/>
      <c r="D104" s="31"/>
    </row>
    <row r="105" spans="1:14" s="7" customFormat="1" ht="26.45" hidden="1">
      <c r="E105" s="73"/>
      <c r="F105" s="74"/>
      <c r="G105" s="648"/>
      <c r="I105" s="53" t="s">
        <v>568</v>
      </c>
      <c r="J105" s="53" t="s">
        <v>569</v>
      </c>
      <c r="K105" s="53" t="s">
        <v>570</v>
      </c>
      <c r="L105" s="53" t="s">
        <v>571</v>
      </c>
      <c r="M105" s="53" t="s">
        <v>572</v>
      </c>
    </row>
    <row r="106" spans="1:14" s="7" customFormat="1" hidden="1">
      <c r="A106" s="831" t="s">
        <v>5</v>
      </c>
      <c r="B106" s="830" t="s">
        <v>573</v>
      </c>
      <c r="C106" s="830"/>
      <c r="D106" s="830"/>
      <c r="E106" s="830"/>
      <c r="F106" s="830"/>
      <c r="G106" s="6"/>
      <c r="H106" s="54" t="s">
        <v>574</v>
      </c>
      <c r="I106" s="54">
        <v>130</v>
      </c>
      <c r="J106" s="54">
        <v>20</v>
      </c>
      <c r="K106" s="54">
        <v>110</v>
      </c>
      <c r="L106" s="54">
        <v>70</v>
      </c>
      <c r="M106" s="54">
        <v>15</v>
      </c>
      <c r="N106" s="6"/>
    </row>
    <row r="107" spans="1:14" s="7" customFormat="1" hidden="1">
      <c r="A107" s="832"/>
      <c r="B107" s="53" t="s">
        <v>568</v>
      </c>
      <c r="C107" s="53" t="s">
        <v>569</v>
      </c>
      <c r="D107" s="53" t="s">
        <v>570</v>
      </c>
      <c r="E107" s="53" t="s">
        <v>571</v>
      </c>
      <c r="F107" s="53" t="s">
        <v>572</v>
      </c>
      <c r="G107" s="11"/>
      <c r="H107" s="54" t="s">
        <v>575</v>
      </c>
      <c r="I107" s="54">
        <f>$K$106/I106*$K$107</f>
        <v>0.50769230769230766</v>
      </c>
      <c r="J107" s="54">
        <f>$K$106/J106*$K$107</f>
        <v>3.3</v>
      </c>
      <c r="K107" s="54">
        <v>0.6</v>
      </c>
      <c r="L107" s="55">
        <f>$K$106/L106*$K$107</f>
        <v>0.94285714285714284</v>
      </c>
      <c r="M107" s="54">
        <f>$K$106/M106*$K$107</f>
        <v>4.3999999999999995</v>
      </c>
      <c r="N107" s="11"/>
    </row>
    <row r="108" spans="1:14" s="7" customFormat="1" ht="26.45" hidden="1">
      <c r="A108" s="56" t="s">
        <v>576</v>
      </c>
      <c r="B108" s="57">
        <v>9.4368904138583537E-2</v>
      </c>
      <c r="C108" s="57">
        <v>0.33987041451030492</v>
      </c>
      <c r="D108" s="57">
        <v>0.47057800276228245</v>
      </c>
      <c r="E108" s="58">
        <v>6.528288215800046E-2</v>
      </c>
      <c r="F108" s="58">
        <v>2.9899796430828532E-2</v>
      </c>
      <c r="G108" s="6"/>
      <c r="H108" s="18" t="s">
        <v>577</v>
      </c>
      <c r="I108" s="59">
        <f>I107*B108</f>
        <v>4.7910366716511638E-2</v>
      </c>
      <c r="J108" s="59">
        <f>J107*C108</f>
        <v>1.1215723678840062</v>
      </c>
      <c r="K108" s="59">
        <f>K107*D108</f>
        <v>0.28234680165736947</v>
      </c>
      <c r="L108" s="59">
        <f>L107*E108</f>
        <v>6.1552431748971861E-2</v>
      </c>
      <c r="M108" s="59">
        <f>M107*F108</f>
        <v>0.13155910429564552</v>
      </c>
      <c r="N108" s="76">
        <f>SUM(I108:M108)</f>
        <v>1.6449410723025049</v>
      </c>
    </row>
    <row r="109" spans="1:14" s="7" customFormat="1" hidden="1">
      <c r="A109" s="8"/>
      <c r="B109" s="77"/>
      <c r="C109" s="624"/>
      <c r="D109" s="78"/>
      <c r="E109" s="646"/>
      <c r="F109" s="6"/>
      <c r="G109" s="6"/>
    </row>
    <row r="110" spans="1:14" s="7" customFormat="1" hidden="1">
      <c r="A110" s="800" t="s">
        <v>578</v>
      </c>
      <c r="B110" s="828" t="s">
        <v>579</v>
      </c>
      <c r="C110" s="828"/>
      <c r="D110" s="828"/>
      <c r="E110" s="828"/>
      <c r="F110" s="828"/>
      <c r="G110" s="828"/>
      <c r="H110" s="828"/>
      <c r="I110" s="828"/>
      <c r="J110" s="828"/>
      <c r="K110" s="828"/>
      <c r="L110" s="828"/>
      <c r="M110" s="828"/>
      <c r="N110" s="828"/>
    </row>
    <row r="111" spans="1:14" s="7" customFormat="1" hidden="1">
      <c r="A111" s="827"/>
      <c r="B111" s="639" t="s">
        <v>446</v>
      </c>
      <c r="C111" s="60" t="s">
        <v>580</v>
      </c>
      <c r="D111" s="652" t="s">
        <v>581</v>
      </c>
      <c r="E111" s="639" t="s">
        <v>582</v>
      </c>
      <c r="F111" s="639" t="s">
        <v>583</v>
      </c>
      <c r="G111" s="639" t="s">
        <v>584</v>
      </c>
      <c r="H111" s="639" t="s">
        <v>585</v>
      </c>
      <c r="I111" s="639" t="s">
        <v>586</v>
      </c>
      <c r="J111" s="639" t="s">
        <v>587</v>
      </c>
      <c r="K111" s="639" t="s">
        <v>588</v>
      </c>
      <c r="L111" s="639" t="s">
        <v>589</v>
      </c>
      <c r="M111" s="639" t="s">
        <v>457</v>
      </c>
      <c r="N111" s="639" t="s">
        <v>444</v>
      </c>
    </row>
    <row r="112" spans="1:14" s="7" customFormat="1" hidden="1">
      <c r="A112" s="17" t="s">
        <v>590</v>
      </c>
      <c r="B112" s="61">
        <v>0.45383761241222154</v>
      </c>
      <c r="C112" s="61">
        <v>3.8976515353301017E-2</v>
      </c>
      <c r="D112" s="62">
        <v>2.567126811837233E-2</v>
      </c>
      <c r="E112" s="651">
        <v>3.8286350663751197E-2</v>
      </c>
      <c r="F112" s="651">
        <v>1.3033623546932245E-2</v>
      </c>
      <c r="G112" s="651">
        <v>3.9543773217890821E-2</v>
      </c>
      <c r="H112" s="651">
        <v>5.909116556847757E-3</v>
      </c>
      <c r="I112" s="61">
        <v>2.0201112832016588E-2</v>
      </c>
      <c r="J112" s="61">
        <v>4.4945760365706681E-2</v>
      </c>
      <c r="K112" s="61">
        <v>3.8347850579937774E-2</v>
      </c>
      <c r="L112" s="61">
        <v>5.1173090324612373E-3</v>
      </c>
      <c r="M112" s="61">
        <v>0.27302382207840953</v>
      </c>
      <c r="N112" s="651">
        <v>3.1058852421513598E-3</v>
      </c>
    </row>
    <row r="113" spans="1:21" s="7" customFormat="1" hidden="1">
      <c r="A113" s="8"/>
      <c r="B113" s="63"/>
      <c r="C113" s="63"/>
      <c r="D113" s="64"/>
      <c r="E113" s="63"/>
      <c r="F113" s="63"/>
      <c r="G113" s="63"/>
      <c r="H113" s="63"/>
      <c r="I113" s="63"/>
      <c r="J113" s="63"/>
      <c r="K113" s="63"/>
      <c r="L113" s="63"/>
      <c r="M113" s="63"/>
      <c r="N113" s="65"/>
    </row>
    <row r="114" spans="1:21" s="7" customFormat="1" hidden="1">
      <c r="A114" s="800" t="s">
        <v>578</v>
      </c>
      <c r="B114" s="824" t="s">
        <v>591</v>
      </c>
      <c r="C114" s="825"/>
      <c r="D114" s="825"/>
      <c r="E114" s="826"/>
      <c r="F114" s="66"/>
      <c r="G114" s="63"/>
      <c r="H114" s="63"/>
      <c r="I114" s="63"/>
      <c r="J114" s="63"/>
      <c r="K114" s="63"/>
      <c r="L114" s="63"/>
      <c r="M114" s="63"/>
      <c r="N114" s="65"/>
    </row>
    <row r="115" spans="1:21" s="7" customFormat="1" hidden="1">
      <c r="A115" s="827"/>
      <c r="B115" s="647" t="s">
        <v>592</v>
      </c>
      <c r="C115" s="647" t="s">
        <v>593</v>
      </c>
      <c r="D115" s="647" t="s">
        <v>594</v>
      </c>
      <c r="E115" s="647" t="s">
        <v>444</v>
      </c>
      <c r="F115" s="67"/>
      <c r="H115" s="63"/>
      <c r="I115" s="63"/>
      <c r="J115" s="63"/>
      <c r="K115" s="63"/>
      <c r="L115" s="63"/>
      <c r="M115" s="63"/>
      <c r="N115" s="65"/>
    </row>
    <row r="116" spans="1:21" s="7" customFormat="1" hidden="1">
      <c r="A116" s="17" t="s">
        <v>590</v>
      </c>
      <c r="B116" s="68">
        <v>0</v>
      </c>
      <c r="C116" s="68">
        <v>6.1717719548663175E-3</v>
      </c>
      <c r="D116" s="68">
        <v>0.7931543385133869</v>
      </c>
      <c r="E116" s="68">
        <v>0.20067388953174684</v>
      </c>
      <c r="F116" s="69" t="s">
        <v>595</v>
      </c>
      <c r="G116" s="70"/>
      <c r="H116" s="70"/>
      <c r="I116" s="63"/>
      <c r="J116" s="63"/>
      <c r="K116" s="63"/>
      <c r="L116" s="63"/>
      <c r="M116" s="63"/>
      <c r="N116" s="65"/>
    </row>
    <row r="117" spans="1:21" ht="13.15" hidden="1" customHeight="1">
      <c r="A117" s="79"/>
      <c r="B117" s="31"/>
      <c r="C117" s="31"/>
      <c r="D117" s="31"/>
      <c r="U117" s="7"/>
    </row>
    <row r="118" spans="1:21" ht="13.15" hidden="1" customHeight="1"/>
    <row r="119" spans="1:21" ht="13.15" hidden="1" customHeight="1"/>
    <row r="120" spans="1:21" ht="13.15" customHeight="1">
      <c r="A120" s="7"/>
    </row>
  </sheetData>
  <mergeCells count="24">
    <mergeCell ref="A26:D26"/>
    <mergeCell ref="B114:E114"/>
    <mergeCell ref="A41:A50"/>
    <mergeCell ref="A114:A115"/>
    <mergeCell ref="B110:N110"/>
    <mergeCell ref="A110:A111"/>
    <mergeCell ref="A51:H51"/>
    <mergeCell ref="B106:F106"/>
    <mergeCell ref="A106:A107"/>
    <mergeCell ref="A53:A54"/>
    <mergeCell ref="B53:B54"/>
    <mergeCell ref="A59:M59"/>
    <mergeCell ref="F75:H75"/>
    <mergeCell ref="B75:D75"/>
    <mergeCell ref="J75:L75"/>
    <mergeCell ref="H53:H54"/>
    <mergeCell ref="B17:C17"/>
    <mergeCell ref="D4:D12"/>
    <mergeCell ref="G4:G12"/>
    <mergeCell ref="A1:H1"/>
    <mergeCell ref="A2:A3"/>
    <mergeCell ref="B2:D2"/>
    <mergeCell ref="E2:G2"/>
    <mergeCell ref="H2:H3"/>
  </mergeCells>
  <phoneticPr fontId="7" type="noConversion"/>
  <hyperlinks>
    <hyperlink ref="A26" r:id="rId1" display="Ref: Title 24, Part 6- Table 140.6-C (office area &gt;250nSF)" xr:uid="{FEDBB14A-1404-4299-B4F2-1AA675950D8F}"/>
    <hyperlink ref="F42" r:id="rId2" xr:uid="{01D7992D-44E6-48CC-A1B9-F74017160D35}"/>
    <hyperlink ref="F41" r:id="rId3" xr:uid="{270A026A-E4AF-4B7A-8CD3-03EA7CE141D2}"/>
    <hyperlink ref="F40" r:id="rId4" xr:uid="{39763020-6A2D-4AB4-BEC0-FED08D2C3562}"/>
  </hyperlinks>
  <pageMargins left="0.7" right="0.7" top="0.75" bottom="0.75" header="0.3" footer="0.3"/>
  <drawing r:id="rId5"/>
  <legacyDrawing r:id="rId6"/>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1E176D1F-2AB2-43E3-BFE1-290BD5F42A92}">
          <x14:formula1>
            <xm:f>Data!$A$2:$A$201</xm:f>
          </x14:formula1>
          <xm:sqref>A4:A11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J73"/>
  <sheetViews>
    <sheetView zoomScale="85" zoomScaleNormal="85" workbookViewId="0">
      <selection sqref="A1:D1"/>
    </sheetView>
  </sheetViews>
  <sheetFormatPr defaultColWidth="8.7109375" defaultRowHeight="13.15"/>
  <cols>
    <col min="1" max="1" width="35.7109375" style="6" customWidth="1"/>
    <col min="2" max="2" width="42.28515625" style="6" customWidth="1"/>
    <col min="3" max="3" width="17.28515625" style="6" customWidth="1"/>
    <col min="4" max="4" width="28.140625" style="6" customWidth="1"/>
    <col min="5" max="5" width="27.28515625" style="6" customWidth="1"/>
    <col min="6" max="6" width="24.7109375" style="6" customWidth="1"/>
    <col min="7" max="7" width="19.85546875" style="6" customWidth="1"/>
    <col min="8" max="8" width="15.5703125" style="6" customWidth="1"/>
    <col min="9" max="9" width="13.28515625" style="6" customWidth="1"/>
    <col min="10" max="10" width="17.140625" style="6" customWidth="1"/>
    <col min="11" max="16384" width="8.7109375" style="6"/>
  </cols>
  <sheetData>
    <row r="1" spans="1:7" ht="25.15" customHeight="1">
      <c r="A1" s="851" t="str">
        <f>"Exterior Lighting - " &amp; Prototype!A2</f>
        <v>Exterior Lighting - OfficeSmall</v>
      </c>
      <c r="B1" s="851"/>
      <c r="C1" s="851"/>
      <c r="D1" s="851"/>
    </row>
    <row r="2" spans="1:7" ht="37.15" customHeight="1">
      <c r="A2" s="140" t="s">
        <v>596</v>
      </c>
      <c r="B2" s="140" t="s">
        <v>597</v>
      </c>
      <c r="C2" s="140" t="s">
        <v>598</v>
      </c>
      <c r="D2" s="140" t="s">
        <v>277</v>
      </c>
    </row>
    <row r="3" spans="1:7" ht="51.6" customHeight="1">
      <c r="A3" s="150">
        <f>G12</f>
        <v>382.26278846400004</v>
      </c>
      <c r="B3" s="150">
        <f>G13</f>
        <v>155.151445787</v>
      </c>
      <c r="C3" s="150">
        <f>A3+B3</f>
        <v>537.41423425100004</v>
      </c>
      <c r="D3" s="652" t="s">
        <v>599</v>
      </c>
    </row>
    <row r="4" spans="1:7" ht="22.15" customHeight="1">
      <c r="A4" s="233"/>
      <c r="B4" s="233"/>
      <c r="C4" s="233"/>
    </row>
    <row r="5" spans="1:7" ht="22.15" customHeight="1">
      <c r="A5" s="851" t="s">
        <v>600</v>
      </c>
      <c r="B5" s="851"/>
      <c r="C5" s="851"/>
      <c r="D5" s="851"/>
      <c r="E5" s="851"/>
      <c r="F5" s="851"/>
      <c r="G5" s="851"/>
    </row>
    <row r="6" spans="1:7" ht="44.45" customHeight="1">
      <c r="A6" s="466" t="s">
        <v>601</v>
      </c>
      <c r="B6" s="853" t="s">
        <v>602</v>
      </c>
      <c r="C6" s="854"/>
      <c r="D6" s="467" t="s">
        <v>87</v>
      </c>
      <c r="E6" s="467" t="s">
        <v>603</v>
      </c>
      <c r="F6" s="467" t="s">
        <v>87</v>
      </c>
      <c r="G6" s="467" t="s">
        <v>604</v>
      </c>
    </row>
    <row r="7" spans="1:7">
      <c r="A7" s="17" t="s">
        <v>605</v>
      </c>
      <c r="B7" s="17"/>
      <c r="C7" s="468"/>
      <c r="D7" s="639"/>
      <c r="E7" s="639">
        <v>200</v>
      </c>
      <c r="F7" s="639" t="s">
        <v>606</v>
      </c>
      <c r="G7" s="469">
        <f>$E7</f>
        <v>200</v>
      </c>
    </row>
    <row r="8" spans="1:7" ht="39.6">
      <c r="A8" s="18" t="s">
        <v>607</v>
      </c>
      <c r="B8" s="18" t="s">
        <v>608</v>
      </c>
      <c r="C8" s="470">
        <f>B19/250*400</f>
        <v>8803.3046560000021</v>
      </c>
      <c r="D8" s="639" t="s">
        <v>609</v>
      </c>
      <c r="E8" s="639">
        <v>1.9E-2</v>
      </c>
      <c r="F8" s="639" t="s">
        <v>610</v>
      </c>
      <c r="G8" s="469">
        <f>$E8*C8</f>
        <v>167.26278846400004</v>
      </c>
    </row>
    <row r="9" spans="1:7">
      <c r="A9" s="17" t="s">
        <v>611</v>
      </c>
      <c r="B9" s="471" t="s">
        <v>612</v>
      </c>
      <c r="C9" s="472">
        <v>1</v>
      </c>
      <c r="D9" s="639" t="s">
        <v>613</v>
      </c>
      <c r="E9" s="639">
        <v>15</v>
      </c>
      <c r="F9" s="639" t="s">
        <v>614</v>
      </c>
      <c r="G9" s="469">
        <f>E9*C9</f>
        <v>15</v>
      </c>
    </row>
    <row r="10" spans="1:7" ht="26.45">
      <c r="A10" s="17" t="s">
        <v>615</v>
      </c>
      <c r="B10" s="471" t="s">
        <v>616</v>
      </c>
      <c r="C10" s="473">
        <f>B19*0.1</f>
        <v>550.20654100000013</v>
      </c>
      <c r="D10" s="639" t="s">
        <v>609</v>
      </c>
      <c r="E10" s="639">
        <v>7.0000000000000001E-3</v>
      </c>
      <c r="F10" s="639" t="s">
        <v>610</v>
      </c>
      <c r="G10" s="474">
        <f>E10*C10</f>
        <v>3.8514457870000012</v>
      </c>
    </row>
    <row r="11" spans="1:7" ht="92.45">
      <c r="A11" s="17" t="s">
        <v>617</v>
      </c>
      <c r="B11" s="471" t="s">
        <v>618</v>
      </c>
      <c r="C11" s="473">
        <f>B18*0.5*10</f>
        <v>1513</v>
      </c>
      <c r="D11" s="639" t="s">
        <v>609</v>
      </c>
      <c r="E11" s="639">
        <v>0.1</v>
      </c>
      <c r="F11" s="639" t="s">
        <v>610</v>
      </c>
      <c r="G11" s="474">
        <f>E11*C11</f>
        <v>151.30000000000001</v>
      </c>
    </row>
    <row r="12" spans="1:7">
      <c r="A12" s="855" t="s">
        <v>619</v>
      </c>
      <c r="B12" s="855"/>
      <c r="C12" s="855"/>
      <c r="D12" s="855"/>
      <c r="E12" s="855"/>
      <c r="F12" s="855"/>
      <c r="G12" s="475">
        <f>G8+G7+G9</f>
        <v>382.26278846400004</v>
      </c>
    </row>
    <row r="13" spans="1:7">
      <c r="A13" s="855" t="s">
        <v>620</v>
      </c>
      <c r="B13" s="855"/>
      <c r="C13" s="855"/>
      <c r="D13" s="855"/>
      <c r="E13" s="855"/>
      <c r="F13" s="855"/>
      <c r="G13" s="475">
        <f>G10+G11</f>
        <v>155.151445787</v>
      </c>
    </row>
    <row r="14" spans="1:7">
      <c r="A14" s="855" t="s">
        <v>417</v>
      </c>
      <c r="B14" s="855"/>
      <c r="C14" s="855"/>
      <c r="D14" s="855"/>
      <c r="E14" s="855"/>
      <c r="F14" s="855"/>
      <c r="G14" s="475">
        <f>G12+G13</f>
        <v>537.41423425100004</v>
      </c>
    </row>
    <row r="15" spans="1:7">
      <c r="A15" s="233"/>
      <c r="B15" s="233"/>
      <c r="C15" s="233"/>
    </row>
    <row r="16" spans="1:7">
      <c r="A16" s="6" t="s">
        <v>621</v>
      </c>
      <c r="C16" s="233"/>
    </row>
    <row r="17" spans="1:7">
      <c r="C17" s="233"/>
    </row>
    <row r="18" spans="1:7">
      <c r="A18" s="6" t="s">
        <v>622</v>
      </c>
      <c r="B18" s="183">
        <f>(90.8+60.5)*2</f>
        <v>302.60000000000002</v>
      </c>
      <c r="C18" s="233"/>
    </row>
    <row r="19" spans="1:7">
      <c r="A19" s="6" t="s">
        <v>623</v>
      </c>
      <c r="B19" s="183">
        <f>Zones!G17</f>
        <v>5502.0654100000011</v>
      </c>
      <c r="C19" s="233"/>
    </row>
    <row r="20" spans="1:7">
      <c r="A20" s="6" t="s">
        <v>624</v>
      </c>
      <c r="B20" s="622">
        <v>1</v>
      </c>
      <c r="C20" s="233"/>
    </row>
    <row r="21" spans="1:7">
      <c r="A21" s="233"/>
      <c r="B21" s="233"/>
      <c r="C21" s="233"/>
    </row>
    <row r="22" spans="1:7">
      <c r="A22" s="233"/>
      <c r="B22" s="233"/>
      <c r="C22" s="233"/>
    </row>
    <row r="23" spans="1:7">
      <c r="A23" s="233"/>
      <c r="B23" s="233"/>
      <c r="C23" s="233"/>
    </row>
    <row r="24" spans="1:7">
      <c r="A24" s="233"/>
      <c r="B24" s="233"/>
      <c r="C24" s="233"/>
    </row>
    <row r="25" spans="1:7">
      <c r="A25" s="233"/>
      <c r="B25" s="233"/>
      <c r="C25" s="233"/>
    </row>
    <row r="26" spans="1:7">
      <c r="A26" s="233"/>
      <c r="B26" s="233"/>
      <c r="C26" s="233"/>
    </row>
    <row r="27" spans="1:7">
      <c r="A27" s="233"/>
      <c r="B27" s="233"/>
      <c r="C27" s="233"/>
    </row>
    <row r="28" spans="1:7">
      <c r="A28" s="233"/>
      <c r="B28" s="233"/>
      <c r="C28" s="233"/>
    </row>
    <row r="29" spans="1:7">
      <c r="A29" s="233"/>
      <c r="B29" s="233"/>
      <c r="C29" s="233"/>
    </row>
    <row r="31" spans="1:7" s="35" customFormat="1" hidden="1">
      <c r="A31" s="35" t="s">
        <v>85</v>
      </c>
      <c r="E31" s="36"/>
      <c r="F31" s="37"/>
      <c r="G31" s="38"/>
    </row>
    <row r="32" spans="1:7" s="7" customFormat="1" hidden="1">
      <c r="E32" s="73"/>
      <c r="F32" s="74"/>
      <c r="G32" s="648"/>
    </row>
    <row r="33" spans="1:4" hidden="1">
      <c r="A33" s="6" t="s">
        <v>148</v>
      </c>
    </row>
    <row r="34" spans="1:4" hidden="1">
      <c r="A34" s="17" t="s">
        <v>625</v>
      </c>
      <c r="B34" s="17" t="s">
        <v>626</v>
      </c>
    </row>
    <row r="35" spans="1:4" ht="26.45" hidden="1">
      <c r="A35" s="476" t="s">
        <v>627</v>
      </c>
      <c r="B35" s="476" t="s">
        <v>628</v>
      </c>
    </row>
    <row r="36" spans="1:4" ht="13.9" hidden="1" thickBot="1"/>
    <row r="37" spans="1:4" hidden="1">
      <c r="A37" s="842" t="s">
        <v>629</v>
      </c>
      <c r="B37" s="843"/>
      <c r="C37" s="843"/>
      <c r="D37" s="844"/>
    </row>
    <row r="38" spans="1:4" hidden="1">
      <c r="A38" s="845" t="s">
        <v>630</v>
      </c>
      <c r="B38" s="846"/>
      <c r="C38" s="846"/>
      <c r="D38" s="847"/>
    </row>
    <row r="39" spans="1:4" ht="26.45" hidden="1">
      <c r="A39" s="141" t="s">
        <v>523</v>
      </c>
      <c r="B39" s="43" t="s">
        <v>631</v>
      </c>
      <c r="C39" s="43" t="s">
        <v>632</v>
      </c>
      <c r="D39" s="142"/>
    </row>
    <row r="40" spans="1:4" hidden="1">
      <c r="A40" s="6">
        <v>2022</v>
      </c>
      <c r="B40" s="6">
        <v>0.1</v>
      </c>
      <c r="C40" s="6">
        <v>1</v>
      </c>
    </row>
    <row r="41" spans="1:4" hidden="1">
      <c r="A41" s="6">
        <v>2019</v>
      </c>
      <c r="B41" s="6">
        <v>0.1</v>
      </c>
      <c r="C41" s="6">
        <v>0.5</v>
      </c>
    </row>
    <row r="42" spans="1:4" hidden="1">
      <c r="A42" s="6">
        <v>2016</v>
      </c>
      <c r="B42" s="6">
        <v>0.14000000000000001</v>
      </c>
      <c r="C42" s="6">
        <v>0.6</v>
      </c>
    </row>
    <row r="43" spans="1:4" hidden="1">
      <c r="A43" s="6" t="s">
        <v>633</v>
      </c>
    </row>
    <row r="44" spans="1:4" hidden="1"/>
    <row r="45" spans="1:4" hidden="1"/>
    <row r="46" spans="1:4" hidden="1">
      <c r="A46" s="852" t="s">
        <v>634</v>
      </c>
      <c r="B46" s="852"/>
      <c r="C46" s="852"/>
    </row>
    <row r="47" spans="1:4" ht="26.45" hidden="1">
      <c r="A47" s="143" t="s">
        <v>6</v>
      </c>
      <c r="B47" s="143" t="s">
        <v>635</v>
      </c>
      <c r="C47" s="140" t="s">
        <v>636</v>
      </c>
    </row>
    <row r="48" spans="1:4" hidden="1">
      <c r="A48" s="774" t="s">
        <v>53</v>
      </c>
      <c r="B48" s="139">
        <v>1</v>
      </c>
      <c r="C48" s="144">
        <v>0.71923409293352769</v>
      </c>
    </row>
    <row r="49" spans="1:3" hidden="1">
      <c r="A49" s="775"/>
      <c r="B49" s="139">
        <v>2</v>
      </c>
      <c r="C49" s="144">
        <v>0.79760196190075294</v>
      </c>
    </row>
    <row r="50" spans="1:3" hidden="1">
      <c r="A50" s="775"/>
      <c r="B50" s="139">
        <v>3</v>
      </c>
      <c r="C50" s="144">
        <v>0.68666481503676391</v>
      </c>
    </row>
    <row r="51" spans="1:3" hidden="1">
      <c r="A51" s="775"/>
      <c r="B51" s="139">
        <v>4</v>
      </c>
      <c r="C51" s="144">
        <v>0.68665487639414202</v>
      </c>
    </row>
    <row r="52" spans="1:3" hidden="1">
      <c r="A52" s="775"/>
      <c r="B52" s="139">
        <v>5</v>
      </c>
      <c r="C52" s="144">
        <v>0.66513285354272256</v>
      </c>
    </row>
    <row r="53" spans="1:3" hidden="1">
      <c r="A53" s="775"/>
      <c r="B53" s="139">
        <v>6</v>
      </c>
      <c r="C53" s="144">
        <v>0.6136255195275272</v>
      </c>
    </row>
    <row r="54" spans="1:3" hidden="1">
      <c r="A54" s="775"/>
      <c r="B54" s="139">
        <v>7</v>
      </c>
      <c r="C54" s="144">
        <v>0.55425225437509362</v>
      </c>
    </row>
    <row r="55" spans="1:3" hidden="1">
      <c r="A55" s="775"/>
      <c r="B55" s="139">
        <v>8</v>
      </c>
      <c r="C55" s="144">
        <v>0.60372866390580082</v>
      </c>
    </row>
    <row r="56" spans="1:3" hidden="1">
      <c r="A56" s="775"/>
      <c r="B56" s="139">
        <v>9</v>
      </c>
      <c r="C56" s="144">
        <v>0.63197902117440896</v>
      </c>
    </row>
    <row r="57" spans="1:3" hidden="1">
      <c r="A57" s="775"/>
      <c r="B57" s="139">
        <v>10</v>
      </c>
      <c r="C57" s="144">
        <v>0.53255875148578224</v>
      </c>
    </row>
    <row r="58" spans="1:3" hidden="1">
      <c r="A58" s="775"/>
      <c r="B58" s="139">
        <v>11</v>
      </c>
      <c r="C58" s="144">
        <v>0.67978449692819543</v>
      </c>
    </row>
    <row r="59" spans="1:3" hidden="1">
      <c r="A59" s="775"/>
      <c r="B59" s="139">
        <v>12</v>
      </c>
      <c r="C59" s="144">
        <v>0.69865094552043139</v>
      </c>
    </row>
    <row r="60" spans="1:3" hidden="1">
      <c r="A60" s="775"/>
      <c r="B60" s="139">
        <v>13</v>
      </c>
      <c r="C60" s="144">
        <v>0.69516839674032949</v>
      </c>
    </row>
    <row r="61" spans="1:3" hidden="1">
      <c r="A61" s="775"/>
      <c r="B61" s="139">
        <v>14</v>
      </c>
      <c r="C61" s="144">
        <v>0.58743940416380225</v>
      </c>
    </row>
    <row r="62" spans="1:3" hidden="1">
      <c r="A62" s="775"/>
      <c r="B62" s="139">
        <v>15</v>
      </c>
      <c r="C62" s="144">
        <v>0.5151453561028615</v>
      </c>
    </row>
    <row r="63" spans="1:3" hidden="1">
      <c r="A63" s="776"/>
      <c r="B63" s="139">
        <v>16</v>
      </c>
      <c r="C63" s="144">
        <v>0.61771546377607522</v>
      </c>
    </row>
    <row r="64" spans="1:3" hidden="1">
      <c r="A64" s="6" t="s">
        <v>637</v>
      </c>
    </row>
    <row r="65" spans="1:10" hidden="1">
      <c r="A65" s="6" t="s">
        <v>638</v>
      </c>
    </row>
    <row r="66" spans="1:10" hidden="1"/>
    <row r="67" spans="1:10" hidden="1">
      <c r="B67" s="145" t="s">
        <v>639</v>
      </c>
      <c r="C67" s="848" t="s">
        <v>640</v>
      </c>
      <c r="D67" s="849"/>
      <c r="E67" s="850"/>
      <c r="F67" s="145" t="s">
        <v>641</v>
      </c>
      <c r="G67" s="848" t="s">
        <v>642</v>
      </c>
      <c r="H67" s="849"/>
      <c r="I67" s="849"/>
      <c r="J67" s="849"/>
    </row>
    <row r="68" spans="1:10" ht="26.45" hidden="1">
      <c r="A68" s="18" t="s">
        <v>643</v>
      </c>
      <c r="B68" s="146" t="s">
        <v>644</v>
      </c>
      <c r="C68" s="642">
        <v>514.91999999999996</v>
      </c>
      <c r="D68" s="642">
        <v>144.07</v>
      </c>
      <c r="E68" s="642">
        <v>88.49</v>
      </c>
      <c r="F68" s="146" t="s">
        <v>644</v>
      </c>
      <c r="G68" s="303" t="s">
        <v>645</v>
      </c>
      <c r="H68" s="304" t="s">
        <v>646</v>
      </c>
      <c r="I68" s="304" t="s">
        <v>647</v>
      </c>
      <c r="J68" s="305" t="s">
        <v>648</v>
      </c>
    </row>
    <row r="69" spans="1:10" hidden="1">
      <c r="A69" s="839" t="s">
        <v>649</v>
      </c>
      <c r="B69" s="147"/>
      <c r="C69" s="655" t="s">
        <v>650</v>
      </c>
      <c r="D69" s="655" t="s">
        <v>650</v>
      </c>
      <c r="E69" s="655" t="s">
        <v>651</v>
      </c>
      <c r="F69" s="147"/>
      <c r="G69" s="302" t="s">
        <v>652</v>
      </c>
      <c r="H69" s="6" t="s">
        <v>652</v>
      </c>
      <c r="I69" s="6" t="s">
        <v>652</v>
      </c>
      <c r="J69" s="148" t="s">
        <v>652</v>
      </c>
    </row>
    <row r="70" spans="1:10" hidden="1">
      <c r="A70" s="840"/>
      <c r="B70" s="148"/>
      <c r="C70" s="656" t="s">
        <v>653</v>
      </c>
      <c r="D70" s="656" t="s">
        <v>654</v>
      </c>
      <c r="E70" s="656" t="s">
        <v>654</v>
      </c>
      <c r="F70" s="148"/>
      <c r="G70" s="302"/>
      <c r="J70" s="148"/>
    </row>
    <row r="71" spans="1:10" hidden="1">
      <c r="A71" s="841"/>
      <c r="B71" s="149"/>
      <c r="C71" s="657" t="s">
        <v>655</v>
      </c>
      <c r="D71" s="657"/>
      <c r="E71" s="657"/>
      <c r="F71" s="149"/>
      <c r="G71" s="297"/>
      <c r="H71" s="298"/>
      <c r="I71" s="298"/>
      <c r="J71" s="149"/>
    </row>
    <row r="72" spans="1:10" hidden="1">
      <c r="C72" s="623"/>
      <c r="D72" s="623"/>
      <c r="E72" s="623"/>
      <c r="F72" s="278"/>
    </row>
    <row r="73" spans="1:10">
      <c r="C73" s="623"/>
      <c r="D73" s="623"/>
      <c r="E73" s="623"/>
    </row>
  </sheetData>
  <mergeCells count="13">
    <mergeCell ref="A1:D1"/>
    <mergeCell ref="A46:C46"/>
    <mergeCell ref="A5:G5"/>
    <mergeCell ref="B6:C6"/>
    <mergeCell ref="A12:F12"/>
    <mergeCell ref="A13:F13"/>
    <mergeCell ref="A14:F14"/>
    <mergeCell ref="A69:A71"/>
    <mergeCell ref="A37:D37"/>
    <mergeCell ref="A38:D38"/>
    <mergeCell ref="A48:A63"/>
    <mergeCell ref="G67:J67"/>
    <mergeCell ref="C67:E67"/>
  </mergeCells>
  <hyperlinks>
    <hyperlink ref="A38" r:id="rId1" display="Ref: Title 24, Part 6- Table 140.6-C (office area &gt;250nSF)" xr:uid="{25B27E79-6EE5-4341-8518-EEAB1CB5EF6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9"/>
  <dimension ref="A1:F53"/>
  <sheetViews>
    <sheetView zoomScale="70" zoomScaleNormal="70" workbookViewId="0">
      <selection sqref="A1:E1"/>
    </sheetView>
  </sheetViews>
  <sheetFormatPr defaultColWidth="8.7109375" defaultRowHeight="13.15"/>
  <cols>
    <col min="1" max="1" width="47.140625" style="6" customWidth="1"/>
    <col min="2" max="2" width="32.140625" style="6" customWidth="1"/>
    <col min="3" max="3" width="23.7109375" style="6" customWidth="1"/>
    <col min="4" max="4" width="19.28515625" style="6" customWidth="1"/>
    <col min="5" max="5" width="35.28515625" style="6" customWidth="1"/>
    <col min="6" max="6" width="18.7109375" style="6" customWidth="1"/>
    <col min="7" max="7" width="14.28515625" style="6" customWidth="1"/>
    <col min="8" max="8" width="8.7109375" style="6"/>
    <col min="9" max="9" width="10.5703125" style="6" bestFit="1" customWidth="1"/>
    <col min="10" max="10" width="16.28515625" style="6" customWidth="1"/>
    <col min="11" max="11" width="10.7109375" style="6" bestFit="1" customWidth="1"/>
    <col min="12" max="12" width="10.5703125" style="6" bestFit="1" customWidth="1"/>
    <col min="13" max="16384" width="8.7109375" style="6"/>
  </cols>
  <sheetData>
    <row r="1" spans="1:6" ht="23.45" customHeight="1">
      <c r="A1" s="857" t="str">
        <f>"Equipment - " &amp; Prototype!A2</f>
        <v>Equipment - OfficeSmall</v>
      </c>
      <c r="B1" s="857"/>
      <c r="C1" s="857"/>
      <c r="D1" s="857"/>
      <c r="E1" s="857"/>
    </row>
    <row r="2" spans="1:6" ht="33" customHeight="1">
      <c r="A2" s="241" t="s">
        <v>469</v>
      </c>
      <c r="B2" s="654" t="s">
        <v>656</v>
      </c>
      <c r="C2" s="654" t="s">
        <v>657</v>
      </c>
      <c r="D2" s="654" t="s">
        <v>658</v>
      </c>
      <c r="E2" s="653" t="s">
        <v>277</v>
      </c>
    </row>
    <row r="3" spans="1:6" ht="26.45">
      <c r="A3" s="25" t="s">
        <v>108</v>
      </c>
      <c r="B3" s="639">
        <v>0.7</v>
      </c>
      <c r="C3" s="54"/>
      <c r="D3" s="17"/>
      <c r="E3" s="18" t="s">
        <v>659</v>
      </c>
    </row>
    <row r="4" spans="1:6" ht="25.15" customHeight="1">
      <c r="A4" s="25" t="s">
        <v>117</v>
      </c>
      <c r="B4" s="639">
        <v>0.8</v>
      </c>
      <c r="C4" s="54"/>
      <c r="D4" s="17"/>
      <c r="E4" s="858" t="s">
        <v>660</v>
      </c>
      <c r="F4" s="240"/>
    </row>
    <row r="5" spans="1:6" ht="18" customHeight="1">
      <c r="A5" s="25" t="s">
        <v>120</v>
      </c>
      <c r="B5" s="639">
        <v>0.5</v>
      </c>
      <c r="C5" s="54"/>
      <c r="D5" s="17"/>
      <c r="E5" s="859"/>
      <c r="F5" s="240"/>
    </row>
    <row r="6" spans="1:6" ht="18" customHeight="1">
      <c r="A6" s="25" t="s">
        <v>123</v>
      </c>
      <c r="B6" s="639">
        <v>0.2</v>
      </c>
      <c r="C6" s="54"/>
      <c r="D6" s="17"/>
      <c r="E6" s="859"/>
      <c r="F6" s="240"/>
    </row>
    <row r="7" spans="1:6" ht="18" customHeight="1">
      <c r="A7" s="25" t="s">
        <v>125</v>
      </c>
      <c r="B7" s="235">
        <v>3</v>
      </c>
      <c r="C7" s="54"/>
      <c r="D7" s="17"/>
      <c r="E7" s="859"/>
      <c r="F7" s="240"/>
    </row>
    <row r="8" spans="1:6" ht="18" customHeight="1">
      <c r="A8" s="25" t="s">
        <v>128</v>
      </c>
      <c r="B8" s="639">
        <v>0</v>
      </c>
      <c r="C8" s="54"/>
      <c r="D8" s="17"/>
      <c r="E8" s="859"/>
      <c r="F8" s="240"/>
    </row>
    <row r="9" spans="1:6" ht="18" customHeight="1">
      <c r="A9" s="465" t="s">
        <v>130</v>
      </c>
      <c r="B9" s="639">
        <v>0.5</v>
      </c>
      <c r="C9" s="54"/>
      <c r="D9" s="17"/>
      <c r="E9" s="859"/>
      <c r="F9" s="240"/>
    </row>
    <row r="10" spans="1:6" ht="18" customHeight="1">
      <c r="A10" s="25" t="s">
        <v>132</v>
      </c>
      <c r="B10" s="639">
        <v>0</v>
      </c>
      <c r="C10" s="54"/>
      <c r="D10" s="17"/>
      <c r="E10" s="860"/>
      <c r="F10" s="29"/>
    </row>
    <row r="12" spans="1:6">
      <c r="A12" s="7"/>
    </row>
    <row r="13" spans="1:6" ht="15" customHeight="1"/>
    <row r="14" spans="1:6" ht="12.6" customHeight="1">
      <c r="A14" s="2"/>
    </row>
    <row r="20" spans="1:1" s="479" customFormat="1">
      <c r="A20" s="478"/>
    </row>
    <row r="23" spans="1:1">
      <c r="A23" s="8"/>
    </row>
    <row r="24" spans="1:1">
      <c r="A24" s="8"/>
    </row>
    <row r="25" spans="1:1">
      <c r="A25" s="8"/>
    </row>
    <row r="26" spans="1:1">
      <c r="A26" s="8"/>
    </row>
    <row r="27" spans="1:1">
      <c r="A27" s="8"/>
    </row>
    <row r="28" spans="1:1">
      <c r="A28" s="8"/>
    </row>
    <row r="29" spans="1:1">
      <c r="A29" s="8"/>
    </row>
    <row r="30" spans="1:1">
      <c r="A30" s="8"/>
    </row>
    <row r="31" spans="1:1">
      <c r="A31" s="8"/>
    </row>
    <row r="32" spans="1:1">
      <c r="A32" s="8"/>
    </row>
    <row r="33" spans="1:1">
      <c r="A33" s="8"/>
    </row>
    <row r="34" spans="1:1">
      <c r="A34" s="8"/>
    </row>
    <row r="35" spans="1:1">
      <c r="A35" s="8"/>
    </row>
    <row r="36" spans="1:1">
      <c r="A36" s="8"/>
    </row>
    <row r="37" spans="1:1">
      <c r="A37" s="8"/>
    </row>
    <row r="38" spans="1:1">
      <c r="A38" s="8"/>
    </row>
    <row r="39" spans="1:1">
      <c r="A39" s="8"/>
    </row>
    <row r="40" spans="1:1">
      <c r="A40" s="8"/>
    </row>
    <row r="41" spans="1:1">
      <c r="A41" s="8"/>
    </row>
    <row r="42" spans="1:1">
      <c r="A42" s="8"/>
    </row>
    <row r="43" spans="1:1">
      <c r="A43" s="8"/>
    </row>
    <row r="44" spans="1:1">
      <c r="A44" s="8"/>
    </row>
    <row r="45" spans="1:1">
      <c r="A45" s="8"/>
    </row>
    <row r="46" spans="1:1">
      <c r="A46" s="8"/>
    </row>
    <row r="47" spans="1:1">
      <c r="A47" s="8"/>
    </row>
    <row r="48" spans="1:1">
      <c r="A48" s="8"/>
    </row>
    <row r="49" spans="1:1">
      <c r="A49" s="8"/>
    </row>
    <row r="53" spans="1:1" s="479" customFormat="1">
      <c r="A53" s="478"/>
    </row>
  </sheetData>
  <mergeCells count="2">
    <mergeCell ref="A1:E1"/>
    <mergeCell ref="E4:E10"/>
  </mergeCells>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708A612D-8903-41C1-9C52-43525DDB11CF}">
          <x14:formula1>
            <xm:f>Data!$A$2:$A$201</xm:f>
          </x14:formula1>
          <xm:sqref>A3:A10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sheetPr codeName="Sheet11"/>
  <dimension ref="A1:AM90"/>
  <sheetViews>
    <sheetView zoomScale="85" zoomScaleNormal="85" workbookViewId="0"/>
  </sheetViews>
  <sheetFormatPr defaultColWidth="9.28515625" defaultRowHeight="11.45"/>
  <cols>
    <col min="1" max="1" width="18.140625" style="156" customWidth="1"/>
    <col min="2" max="2" width="18.28515625" style="156" customWidth="1"/>
    <col min="3" max="3" width="17.85546875" style="156" customWidth="1"/>
    <col min="4" max="4" width="19.28515625" style="156" customWidth="1"/>
    <col min="5" max="5" width="9.28515625" style="156"/>
    <col min="6" max="29" width="5.7109375" style="156" customWidth="1"/>
    <col min="30" max="16384" width="9.28515625" style="156"/>
  </cols>
  <sheetData>
    <row r="1" spans="1:39" ht="24" customHeight="1">
      <c r="A1" s="783" t="str">
        <f>"Schedules - "&amp;Prototype!A2</f>
        <v>Schedules - OfficeSmall</v>
      </c>
      <c r="B1" s="783"/>
      <c r="C1" s="783"/>
      <c r="D1" s="783"/>
      <c r="E1" s="783"/>
      <c r="F1" s="783"/>
      <c r="G1" s="783"/>
      <c r="H1" s="783"/>
      <c r="I1" s="783"/>
      <c r="J1" s="783"/>
      <c r="K1" s="783"/>
      <c r="L1" s="783"/>
      <c r="M1" s="783"/>
      <c r="N1" s="783"/>
      <c r="O1" s="783"/>
      <c r="P1" s="783"/>
      <c r="Q1" s="783"/>
      <c r="R1" s="783"/>
      <c r="S1" s="783"/>
      <c r="T1" s="783"/>
      <c r="U1" s="783"/>
      <c r="V1" s="783"/>
      <c r="W1" s="783"/>
      <c r="X1" s="783"/>
      <c r="Y1" s="783"/>
      <c r="Z1" s="783"/>
      <c r="AA1" s="783"/>
      <c r="AB1" s="783"/>
      <c r="AC1" s="864"/>
      <c r="AD1" s="166"/>
      <c r="AE1" s="166"/>
      <c r="AF1" s="166"/>
      <c r="AG1" s="166"/>
      <c r="AH1" s="166"/>
      <c r="AI1" s="167"/>
      <c r="AJ1" s="167"/>
      <c r="AK1" s="167"/>
    </row>
    <row r="2" spans="1:39" ht="24" customHeight="1">
      <c r="A2" s="820" t="s">
        <v>543</v>
      </c>
      <c r="B2" s="820" t="s">
        <v>99</v>
      </c>
      <c r="C2" s="820" t="s">
        <v>244</v>
      </c>
      <c r="D2" s="820" t="s">
        <v>277</v>
      </c>
      <c r="E2" s="820" t="s">
        <v>661</v>
      </c>
      <c r="F2" s="937" t="s">
        <v>557</v>
      </c>
      <c r="G2" s="937"/>
      <c r="H2" s="937"/>
      <c r="I2" s="937"/>
      <c r="J2" s="937"/>
      <c r="K2" s="937"/>
      <c r="L2" s="937"/>
      <c r="M2" s="937"/>
      <c r="N2" s="937"/>
      <c r="O2" s="937"/>
      <c r="P2" s="937"/>
      <c r="Q2" s="937"/>
      <c r="R2" s="937"/>
      <c r="S2" s="937"/>
      <c r="T2" s="937"/>
      <c r="U2" s="937"/>
      <c r="V2" s="937"/>
      <c r="W2" s="937"/>
      <c r="X2" s="937"/>
      <c r="Y2" s="937"/>
      <c r="Z2" s="937"/>
      <c r="AA2" s="937"/>
      <c r="AB2" s="937"/>
      <c r="AC2" s="937"/>
      <c r="AD2" s="166"/>
      <c r="AE2" s="166"/>
      <c r="AF2" s="166"/>
      <c r="AG2" s="166"/>
      <c r="AH2" s="166"/>
      <c r="AI2" s="167"/>
      <c r="AJ2" s="167"/>
      <c r="AK2" s="167"/>
    </row>
    <row r="3" spans="1:39" ht="25.15" customHeight="1" thickBot="1">
      <c r="A3" s="865"/>
      <c r="B3" s="865"/>
      <c r="C3" s="865"/>
      <c r="D3" s="865"/>
      <c r="E3" s="865"/>
      <c r="F3" s="668">
        <v>1</v>
      </c>
      <c r="G3" s="668">
        <v>2</v>
      </c>
      <c r="H3" s="668">
        <v>3</v>
      </c>
      <c r="I3" s="668">
        <v>4</v>
      </c>
      <c r="J3" s="668">
        <v>5</v>
      </c>
      <c r="K3" s="668">
        <v>6</v>
      </c>
      <c r="L3" s="668">
        <v>7</v>
      </c>
      <c r="M3" s="668">
        <v>8</v>
      </c>
      <c r="N3" s="668">
        <v>9</v>
      </c>
      <c r="O3" s="668">
        <v>10</v>
      </c>
      <c r="P3" s="668">
        <v>11</v>
      </c>
      <c r="Q3" s="668">
        <v>12</v>
      </c>
      <c r="R3" s="668">
        <v>13</v>
      </c>
      <c r="S3" s="668">
        <v>14</v>
      </c>
      <c r="T3" s="668">
        <v>15</v>
      </c>
      <c r="U3" s="668">
        <v>16</v>
      </c>
      <c r="V3" s="668">
        <v>17</v>
      </c>
      <c r="W3" s="668">
        <v>18</v>
      </c>
      <c r="X3" s="668">
        <v>19</v>
      </c>
      <c r="Y3" s="668">
        <v>20</v>
      </c>
      <c r="Z3" s="668">
        <v>21</v>
      </c>
      <c r="AA3" s="668">
        <v>22</v>
      </c>
      <c r="AB3" s="668">
        <v>23</v>
      </c>
      <c r="AC3" s="668">
        <v>24</v>
      </c>
      <c r="AD3" s="167"/>
      <c r="AE3" s="167"/>
      <c r="AF3" s="167"/>
      <c r="AG3" s="167"/>
      <c r="AH3" s="167"/>
      <c r="AI3" s="167"/>
      <c r="AJ3" s="167"/>
      <c r="AK3" s="167"/>
    </row>
    <row r="4" spans="1:39" ht="35.450000000000003" customHeight="1">
      <c r="A4" s="861" t="s">
        <v>662</v>
      </c>
      <c r="B4" s="869" t="s">
        <v>110</v>
      </c>
      <c r="C4" s="935" t="s">
        <v>663</v>
      </c>
      <c r="D4" s="866" t="s">
        <v>664</v>
      </c>
      <c r="E4" s="415" t="s">
        <v>382</v>
      </c>
      <c r="F4" s="416">
        <v>0</v>
      </c>
      <c r="G4" s="416">
        <v>0</v>
      </c>
      <c r="H4" s="416">
        <v>0</v>
      </c>
      <c r="I4" s="416">
        <v>0</v>
      </c>
      <c r="J4" s="416">
        <v>0</v>
      </c>
      <c r="K4" s="416">
        <v>0</v>
      </c>
      <c r="L4" s="416">
        <v>0.1</v>
      </c>
      <c r="M4" s="416">
        <v>0.2</v>
      </c>
      <c r="N4" s="416">
        <v>0.95</v>
      </c>
      <c r="O4" s="416">
        <v>0.95</v>
      </c>
      <c r="P4" s="416">
        <v>0.95</v>
      </c>
      <c r="Q4" s="416">
        <v>0.95</v>
      </c>
      <c r="R4" s="416">
        <v>0.5</v>
      </c>
      <c r="S4" s="416">
        <v>0.95</v>
      </c>
      <c r="T4" s="416">
        <v>0.95</v>
      </c>
      <c r="U4" s="416">
        <v>0.95</v>
      </c>
      <c r="V4" s="416">
        <v>0.95</v>
      </c>
      <c r="W4" s="416">
        <v>0.3</v>
      </c>
      <c r="X4" s="416">
        <v>0.1</v>
      </c>
      <c r="Y4" s="416">
        <v>0.1</v>
      </c>
      <c r="Z4" s="416">
        <v>0.1</v>
      </c>
      <c r="AA4" s="416">
        <v>0.1</v>
      </c>
      <c r="AB4" s="416">
        <v>0.05</v>
      </c>
      <c r="AC4" s="417">
        <v>0.05</v>
      </c>
      <c r="AD4" s="167"/>
      <c r="AE4" s="167"/>
      <c r="AF4" s="167"/>
      <c r="AG4" s="167"/>
      <c r="AH4" s="167"/>
      <c r="AI4" s="167"/>
      <c r="AJ4" s="167"/>
      <c r="AK4" s="167"/>
    </row>
    <row r="5" spans="1:39" ht="33" customHeight="1">
      <c r="A5" s="862"/>
      <c r="B5" s="870"/>
      <c r="C5" s="876"/>
      <c r="D5" s="867"/>
      <c r="E5" s="418" t="s">
        <v>383</v>
      </c>
      <c r="F5" s="419">
        <v>0</v>
      </c>
      <c r="G5" s="419">
        <v>0</v>
      </c>
      <c r="H5" s="419">
        <v>0</v>
      </c>
      <c r="I5" s="419">
        <v>0</v>
      </c>
      <c r="J5" s="419">
        <v>0</v>
      </c>
      <c r="K5" s="419">
        <v>0</v>
      </c>
      <c r="L5" s="420">
        <v>0.05</v>
      </c>
      <c r="M5" s="420">
        <v>0.05</v>
      </c>
      <c r="N5" s="420">
        <v>0.05</v>
      </c>
      <c r="O5" s="420">
        <v>0.05</v>
      </c>
      <c r="P5" s="420">
        <v>0.05</v>
      </c>
      <c r="Q5" s="420">
        <v>0.05</v>
      </c>
      <c r="R5" s="420">
        <v>0.05</v>
      </c>
      <c r="S5" s="420">
        <v>0.05</v>
      </c>
      <c r="T5" s="420">
        <v>0.05</v>
      </c>
      <c r="U5" s="420">
        <v>0.05</v>
      </c>
      <c r="V5" s="420">
        <v>0.05</v>
      </c>
      <c r="W5" s="420">
        <v>0.05</v>
      </c>
      <c r="X5" s="421">
        <v>0</v>
      </c>
      <c r="Y5" s="419">
        <v>0</v>
      </c>
      <c r="Z5" s="419">
        <v>0</v>
      </c>
      <c r="AA5" s="419">
        <v>0</v>
      </c>
      <c r="AB5" s="419">
        <v>0</v>
      </c>
      <c r="AC5" s="422">
        <v>0</v>
      </c>
      <c r="AD5" s="167"/>
      <c r="AE5" s="167"/>
      <c r="AF5" s="167"/>
      <c r="AG5" s="167"/>
      <c r="AH5" s="167"/>
      <c r="AI5" s="167"/>
      <c r="AJ5" s="167"/>
      <c r="AK5" s="167"/>
    </row>
    <row r="6" spans="1:39" ht="33.6" customHeight="1" thickBot="1">
      <c r="A6" s="863"/>
      <c r="B6" s="871"/>
      <c r="C6" s="878"/>
      <c r="D6" s="915"/>
      <c r="E6" s="423" t="s">
        <v>384</v>
      </c>
      <c r="F6" s="424">
        <v>0</v>
      </c>
      <c r="G6" s="424">
        <v>0</v>
      </c>
      <c r="H6" s="424">
        <v>0</v>
      </c>
      <c r="I6" s="424">
        <v>0</v>
      </c>
      <c r="J6" s="424">
        <v>0</v>
      </c>
      <c r="K6" s="424">
        <v>0</v>
      </c>
      <c r="L6" s="424">
        <v>0.05</v>
      </c>
      <c r="M6" s="424">
        <v>0.05</v>
      </c>
      <c r="N6" s="424">
        <v>0.05</v>
      </c>
      <c r="O6" s="424">
        <v>0.05</v>
      </c>
      <c r="P6" s="424">
        <v>0.05</v>
      </c>
      <c r="Q6" s="424">
        <v>0.05</v>
      </c>
      <c r="R6" s="424">
        <v>0.05</v>
      </c>
      <c r="S6" s="424">
        <v>0.05</v>
      </c>
      <c r="T6" s="424">
        <v>0.05</v>
      </c>
      <c r="U6" s="424">
        <v>0.05</v>
      </c>
      <c r="V6" s="424">
        <v>0.05</v>
      </c>
      <c r="W6" s="424">
        <v>0.05</v>
      </c>
      <c r="X6" s="424">
        <v>0</v>
      </c>
      <c r="Y6" s="424">
        <v>0</v>
      </c>
      <c r="Z6" s="424">
        <v>0</v>
      </c>
      <c r="AA6" s="424">
        <v>0</v>
      </c>
      <c r="AB6" s="424">
        <v>0</v>
      </c>
      <c r="AC6" s="425">
        <v>0</v>
      </c>
      <c r="AD6" s="167"/>
      <c r="AE6" s="167"/>
      <c r="AF6" s="167"/>
      <c r="AG6" s="167"/>
      <c r="AH6" s="167"/>
      <c r="AI6" s="167"/>
      <c r="AJ6" s="167"/>
      <c r="AK6" s="167"/>
    </row>
    <row r="7" spans="1:39" ht="38.65" customHeight="1">
      <c r="A7" s="861" t="str">
        <f>A4</f>
        <v>All zones</v>
      </c>
      <c r="B7" s="869" t="s">
        <v>110</v>
      </c>
      <c r="C7" s="875" t="s">
        <v>665</v>
      </c>
      <c r="D7" s="866" t="s">
        <v>666</v>
      </c>
      <c r="E7" s="426" t="s">
        <v>382</v>
      </c>
      <c r="F7" s="416">
        <v>0.05</v>
      </c>
      <c r="G7" s="416">
        <v>0.05</v>
      </c>
      <c r="H7" s="416">
        <v>0.05</v>
      </c>
      <c r="I7" s="416">
        <v>0.05</v>
      </c>
      <c r="J7" s="416">
        <v>0.05</v>
      </c>
      <c r="K7" s="550">
        <v>0.1</v>
      </c>
      <c r="L7" s="550">
        <v>0.1</v>
      </c>
      <c r="M7" s="550">
        <v>0.3</v>
      </c>
      <c r="N7" s="550">
        <v>0.65</v>
      </c>
      <c r="O7" s="550">
        <v>0.65</v>
      </c>
      <c r="P7" s="550">
        <v>0.65</v>
      </c>
      <c r="Q7" s="550">
        <v>0.65</v>
      </c>
      <c r="R7" s="550">
        <v>0.65</v>
      </c>
      <c r="S7" s="550">
        <v>0.65</v>
      </c>
      <c r="T7" s="550">
        <v>0.65</v>
      </c>
      <c r="U7" s="550">
        <v>0.65</v>
      </c>
      <c r="V7" s="550">
        <v>0.65</v>
      </c>
      <c r="W7" s="550">
        <v>0.35</v>
      </c>
      <c r="X7" s="550">
        <v>0.3</v>
      </c>
      <c r="Y7" s="550">
        <v>0.3</v>
      </c>
      <c r="Z7" s="416">
        <v>0.2</v>
      </c>
      <c r="AA7" s="416">
        <v>0.2</v>
      </c>
      <c r="AB7" s="416">
        <v>0.1</v>
      </c>
      <c r="AC7" s="417">
        <v>0.05</v>
      </c>
      <c r="AD7" s="167"/>
      <c r="AE7" s="167"/>
      <c r="AF7" s="167"/>
      <c r="AG7" s="167"/>
      <c r="AH7" s="167"/>
      <c r="AI7" s="167"/>
      <c r="AJ7" s="167"/>
      <c r="AK7" s="167"/>
      <c r="AM7" s="239"/>
    </row>
    <row r="8" spans="1:39" ht="38.65" customHeight="1">
      <c r="A8" s="862"/>
      <c r="B8" s="870"/>
      <c r="C8" s="876"/>
      <c r="D8" s="867"/>
      <c r="E8" s="427" t="s">
        <v>383</v>
      </c>
      <c r="F8" s="419">
        <v>0.05</v>
      </c>
      <c r="G8" s="419">
        <v>0.05</v>
      </c>
      <c r="H8" s="419">
        <v>0.05</v>
      </c>
      <c r="I8" s="419">
        <v>0.05</v>
      </c>
      <c r="J8" s="419">
        <v>0.05</v>
      </c>
      <c r="K8" s="421">
        <v>0.05</v>
      </c>
      <c r="L8" s="421">
        <v>0.05</v>
      </c>
      <c r="M8" s="421">
        <v>0.05</v>
      </c>
      <c r="N8" s="421">
        <v>0.05</v>
      </c>
      <c r="O8" s="421">
        <v>0.05</v>
      </c>
      <c r="P8" s="421">
        <v>0.05</v>
      </c>
      <c r="Q8" s="421">
        <v>0.05</v>
      </c>
      <c r="R8" s="421">
        <v>0.05</v>
      </c>
      <c r="S8" s="421">
        <v>0.05</v>
      </c>
      <c r="T8" s="421">
        <v>0.05</v>
      </c>
      <c r="U8" s="421">
        <v>0.05</v>
      </c>
      <c r="V8" s="421">
        <v>0.05</v>
      </c>
      <c r="W8" s="419">
        <v>0.05</v>
      </c>
      <c r="X8" s="419">
        <v>0.05</v>
      </c>
      <c r="Y8" s="419">
        <v>0.05</v>
      </c>
      <c r="Z8" s="419">
        <v>0.05</v>
      </c>
      <c r="AA8" s="419">
        <v>0.05</v>
      </c>
      <c r="AB8" s="419">
        <v>0.05</v>
      </c>
      <c r="AC8" s="422">
        <v>0.05</v>
      </c>
      <c r="AD8" s="167"/>
      <c r="AE8" s="167"/>
      <c r="AF8" s="167"/>
      <c r="AG8" s="167"/>
      <c r="AH8" s="167"/>
      <c r="AI8" s="167"/>
      <c r="AJ8" s="167"/>
      <c r="AK8" s="167"/>
      <c r="AM8" s="239"/>
    </row>
    <row r="9" spans="1:39" ht="38.65" customHeight="1" thickBot="1">
      <c r="A9" s="863"/>
      <c r="B9" s="871"/>
      <c r="C9" s="878"/>
      <c r="D9" s="868"/>
      <c r="E9" s="428" t="s">
        <v>384</v>
      </c>
      <c r="F9" s="429">
        <v>0.05</v>
      </c>
      <c r="G9" s="429">
        <v>0.05</v>
      </c>
      <c r="H9" s="429">
        <v>0.05</v>
      </c>
      <c r="I9" s="429">
        <v>0.05</v>
      </c>
      <c r="J9" s="429">
        <v>0.05</v>
      </c>
      <c r="K9" s="429">
        <v>0.05</v>
      </c>
      <c r="L9" s="429">
        <v>0.05</v>
      </c>
      <c r="M9" s="429">
        <v>0.05</v>
      </c>
      <c r="N9" s="429">
        <v>0.05</v>
      </c>
      <c r="O9" s="429">
        <v>0.05</v>
      </c>
      <c r="P9" s="429">
        <v>0.05</v>
      </c>
      <c r="Q9" s="429">
        <v>0.05</v>
      </c>
      <c r="R9" s="429">
        <v>0.05</v>
      </c>
      <c r="S9" s="429">
        <v>0.05</v>
      </c>
      <c r="T9" s="429">
        <v>0.05</v>
      </c>
      <c r="U9" s="429">
        <v>0.05</v>
      </c>
      <c r="V9" s="429">
        <v>0.05</v>
      </c>
      <c r="W9" s="429">
        <v>0.05</v>
      </c>
      <c r="X9" s="429">
        <v>0.05</v>
      </c>
      <c r="Y9" s="429">
        <v>0.05</v>
      </c>
      <c r="Z9" s="429">
        <v>0.05</v>
      </c>
      <c r="AA9" s="429">
        <v>0.05</v>
      </c>
      <c r="AB9" s="429">
        <v>0.05</v>
      </c>
      <c r="AC9" s="430">
        <v>0.05</v>
      </c>
      <c r="AD9" s="167"/>
      <c r="AE9" s="167"/>
      <c r="AF9" s="167"/>
      <c r="AG9" s="167"/>
      <c r="AH9" s="167"/>
      <c r="AI9" s="167"/>
      <c r="AJ9" s="167"/>
      <c r="AK9" s="167"/>
      <c r="AM9" s="239"/>
    </row>
    <row r="10" spans="1:39" ht="36" customHeight="1">
      <c r="A10" s="861" t="str">
        <f>A7</f>
        <v>All zones</v>
      </c>
      <c r="B10" s="869" t="s">
        <v>110</v>
      </c>
      <c r="C10" s="875" t="s">
        <v>667</v>
      </c>
      <c r="D10" s="872" t="s">
        <v>668</v>
      </c>
      <c r="E10" s="426" t="s">
        <v>382</v>
      </c>
      <c r="F10" s="431">
        <v>0.45</v>
      </c>
      <c r="G10" s="431">
        <v>0.45</v>
      </c>
      <c r="H10" s="431">
        <v>0.45</v>
      </c>
      <c r="I10" s="431">
        <v>0.45</v>
      </c>
      <c r="J10" s="431">
        <v>0.45</v>
      </c>
      <c r="K10" s="431">
        <v>0.45</v>
      </c>
      <c r="L10" s="431">
        <v>0.45</v>
      </c>
      <c r="M10" s="431">
        <v>0.74</v>
      </c>
      <c r="N10" s="431">
        <v>0.87</v>
      </c>
      <c r="O10" s="431">
        <v>0.9</v>
      </c>
      <c r="P10" s="431">
        <v>0.9</v>
      </c>
      <c r="Q10" s="431">
        <v>0.9</v>
      </c>
      <c r="R10" s="431">
        <v>0.9</v>
      </c>
      <c r="S10" s="431">
        <v>0.9</v>
      </c>
      <c r="T10" s="431">
        <v>0.9</v>
      </c>
      <c r="U10" s="431">
        <v>0.9</v>
      </c>
      <c r="V10" s="431">
        <v>0.9</v>
      </c>
      <c r="W10" s="431">
        <v>0.7</v>
      </c>
      <c r="X10" s="431">
        <v>0.5</v>
      </c>
      <c r="Y10" s="431">
        <v>0.5</v>
      </c>
      <c r="Z10" s="431">
        <v>0.5</v>
      </c>
      <c r="AA10" s="431">
        <v>0.45</v>
      </c>
      <c r="AB10" s="431">
        <v>0.45</v>
      </c>
      <c r="AC10" s="432">
        <v>0.45</v>
      </c>
      <c r="AD10" s="168"/>
      <c r="AE10" s="167"/>
      <c r="AF10" s="167"/>
      <c r="AG10" s="167"/>
      <c r="AH10" s="167"/>
      <c r="AI10" s="167"/>
      <c r="AJ10" s="167"/>
      <c r="AK10" s="167"/>
      <c r="AM10" s="239"/>
    </row>
    <row r="11" spans="1:39" ht="36" customHeight="1">
      <c r="A11" s="862"/>
      <c r="B11" s="870"/>
      <c r="C11" s="876"/>
      <c r="D11" s="873"/>
      <c r="E11" s="427" t="s">
        <v>383</v>
      </c>
      <c r="F11" s="433">
        <v>0.43</v>
      </c>
      <c r="G11" s="433">
        <v>0.43</v>
      </c>
      <c r="H11" s="433">
        <v>0.43</v>
      </c>
      <c r="I11" s="433">
        <v>0.43</v>
      </c>
      <c r="J11" s="433">
        <v>0.43</v>
      </c>
      <c r="K11" s="433">
        <v>0.43</v>
      </c>
      <c r="L11" s="433">
        <v>0.43</v>
      </c>
      <c r="M11" s="433">
        <v>0.43</v>
      </c>
      <c r="N11" s="433">
        <v>0.43</v>
      </c>
      <c r="O11" s="433">
        <v>0.43</v>
      </c>
      <c r="P11" s="433">
        <v>0.43</v>
      </c>
      <c r="Q11" s="433">
        <v>0.43</v>
      </c>
      <c r="R11" s="433">
        <v>0.43</v>
      </c>
      <c r="S11" s="433">
        <v>0.43</v>
      </c>
      <c r="T11" s="433">
        <v>0.43</v>
      </c>
      <c r="U11" s="433">
        <v>0.43</v>
      </c>
      <c r="V11" s="433">
        <v>0.43</v>
      </c>
      <c r="W11" s="433">
        <v>0.43</v>
      </c>
      <c r="X11" s="433">
        <v>0.43</v>
      </c>
      <c r="Y11" s="433">
        <v>0.43</v>
      </c>
      <c r="Z11" s="433">
        <v>0.43</v>
      </c>
      <c r="AA11" s="433">
        <v>0.43</v>
      </c>
      <c r="AB11" s="433">
        <v>0.43</v>
      </c>
      <c r="AC11" s="434">
        <v>0.43</v>
      </c>
      <c r="AD11" s="168"/>
      <c r="AE11" s="167"/>
      <c r="AF11" s="167"/>
      <c r="AG11" s="167"/>
      <c r="AH11" s="167"/>
      <c r="AI11" s="167"/>
      <c r="AJ11" s="167"/>
      <c r="AK11" s="167"/>
      <c r="AM11" s="239"/>
    </row>
    <row r="12" spans="1:39" ht="36" customHeight="1" thickBot="1">
      <c r="A12" s="863"/>
      <c r="B12" s="871"/>
      <c r="C12" s="877"/>
      <c r="D12" s="874"/>
      <c r="E12" s="435" t="s">
        <v>384</v>
      </c>
      <c r="F12" s="436">
        <v>0.43</v>
      </c>
      <c r="G12" s="436">
        <v>0.43</v>
      </c>
      <c r="H12" s="436">
        <v>0.43</v>
      </c>
      <c r="I12" s="436">
        <v>0.43</v>
      </c>
      <c r="J12" s="436">
        <v>0.43</v>
      </c>
      <c r="K12" s="436">
        <v>0.43</v>
      </c>
      <c r="L12" s="436">
        <v>0.43</v>
      </c>
      <c r="M12" s="436">
        <v>0.43</v>
      </c>
      <c r="N12" s="436">
        <v>0.43</v>
      </c>
      <c r="O12" s="436">
        <v>0.43</v>
      </c>
      <c r="P12" s="436">
        <v>0.43</v>
      </c>
      <c r="Q12" s="436">
        <v>0.43</v>
      </c>
      <c r="R12" s="436">
        <v>0.43</v>
      </c>
      <c r="S12" s="436">
        <v>0.43</v>
      </c>
      <c r="T12" s="436">
        <v>0.43</v>
      </c>
      <c r="U12" s="436">
        <v>0.43</v>
      </c>
      <c r="V12" s="436">
        <v>0.43</v>
      </c>
      <c r="W12" s="436">
        <v>0.43</v>
      </c>
      <c r="X12" s="436">
        <v>0.43</v>
      </c>
      <c r="Y12" s="436">
        <v>0.43</v>
      </c>
      <c r="Z12" s="436">
        <v>0.43</v>
      </c>
      <c r="AA12" s="436">
        <v>0.43</v>
      </c>
      <c r="AB12" s="436">
        <v>0.43</v>
      </c>
      <c r="AC12" s="437">
        <v>0.43</v>
      </c>
      <c r="AD12" s="168"/>
      <c r="AE12" s="167"/>
      <c r="AF12" s="167"/>
      <c r="AG12" s="167"/>
      <c r="AH12" s="167"/>
      <c r="AI12" s="167"/>
      <c r="AJ12" s="167"/>
      <c r="AK12" s="167"/>
      <c r="AM12" s="239"/>
    </row>
    <row r="13" spans="1:39" ht="33" customHeight="1">
      <c r="A13" s="861" t="str">
        <f>A4</f>
        <v>All zones</v>
      </c>
      <c r="B13" s="869" t="s">
        <v>110</v>
      </c>
      <c r="C13" s="914" t="s">
        <v>669</v>
      </c>
      <c r="D13" s="866" t="s">
        <v>670</v>
      </c>
      <c r="E13" s="438" t="s">
        <v>382</v>
      </c>
      <c r="F13" s="439">
        <v>0</v>
      </c>
      <c r="G13" s="439">
        <v>0</v>
      </c>
      <c r="H13" s="439">
        <v>0</v>
      </c>
      <c r="I13" s="439">
        <v>0</v>
      </c>
      <c r="J13" s="439">
        <v>0</v>
      </c>
      <c r="K13" s="439">
        <v>1</v>
      </c>
      <c r="L13" s="439">
        <v>1</v>
      </c>
      <c r="M13" s="439">
        <v>1</v>
      </c>
      <c r="N13" s="439">
        <v>1</v>
      </c>
      <c r="O13" s="439">
        <v>1</v>
      </c>
      <c r="P13" s="439">
        <v>1</v>
      </c>
      <c r="Q13" s="439">
        <v>1</v>
      </c>
      <c r="R13" s="439">
        <v>1</v>
      </c>
      <c r="S13" s="439">
        <v>1</v>
      </c>
      <c r="T13" s="439">
        <v>1</v>
      </c>
      <c r="U13" s="439">
        <v>1</v>
      </c>
      <c r="V13" s="439">
        <v>1</v>
      </c>
      <c r="W13" s="439">
        <v>1</v>
      </c>
      <c r="X13" s="439">
        <v>1</v>
      </c>
      <c r="Y13" s="439">
        <v>1</v>
      </c>
      <c r="Z13" s="439">
        <v>1</v>
      </c>
      <c r="AA13" s="439">
        <v>1</v>
      </c>
      <c r="AB13" s="439">
        <v>1</v>
      </c>
      <c r="AC13" s="440">
        <v>1</v>
      </c>
      <c r="AD13" s="167"/>
      <c r="AE13" s="167"/>
      <c r="AF13" s="167"/>
      <c r="AG13" s="167"/>
      <c r="AH13" s="167"/>
      <c r="AI13" s="167"/>
      <c r="AJ13" s="167"/>
      <c r="AK13" s="167"/>
    </row>
    <row r="14" spans="1:39" ht="33" customHeight="1">
      <c r="A14" s="862"/>
      <c r="B14" s="870"/>
      <c r="C14" s="876"/>
      <c r="D14" s="867"/>
      <c r="E14" s="427" t="s">
        <v>383</v>
      </c>
      <c r="F14" s="419">
        <v>0</v>
      </c>
      <c r="G14" s="419">
        <v>0</v>
      </c>
      <c r="H14" s="419">
        <v>0</v>
      </c>
      <c r="I14" s="419">
        <v>0</v>
      </c>
      <c r="J14" s="419">
        <v>0</v>
      </c>
      <c r="K14" s="421">
        <v>0</v>
      </c>
      <c r="L14" s="421">
        <v>0</v>
      </c>
      <c r="M14" s="421">
        <v>0</v>
      </c>
      <c r="N14" s="421">
        <v>0</v>
      </c>
      <c r="O14" s="421">
        <v>0</v>
      </c>
      <c r="P14" s="421">
        <v>0</v>
      </c>
      <c r="Q14" s="421">
        <v>0</v>
      </c>
      <c r="R14" s="421">
        <v>0</v>
      </c>
      <c r="S14" s="421">
        <v>0</v>
      </c>
      <c r="T14" s="421">
        <v>0</v>
      </c>
      <c r="U14" s="421">
        <v>0</v>
      </c>
      <c r="V14" s="421">
        <v>0</v>
      </c>
      <c r="W14" s="421">
        <v>0</v>
      </c>
      <c r="X14" s="421">
        <v>0</v>
      </c>
      <c r="Y14" s="419">
        <v>0</v>
      </c>
      <c r="Z14" s="419">
        <v>0</v>
      </c>
      <c r="AA14" s="419">
        <v>0</v>
      </c>
      <c r="AB14" s="419">
        <v>0</v>
      </c>
      <c r="AC14" s="422">
        <v>0</v>
      </c>
      <c r="AD14" s="167"/>
      <c r="AE14" s="167"/>
      <c r="AF14" s="167"/>
      <c r="AG14" s="167"/>
      <c r="AH14" s="167"/>
      <c r="AI14" s="167"/>
      <c r="AJ14" s="167"/>
      <c r="AK14" s="167"/>
    </row>
    <row r="15" spans="1:39" ht="33" customHeight="1" thickBot="1">
      <c r="A15" s="863"/>
      <c r="B15" s="871"/>
      <c r="C15" s="877"/>
      <c r="D15" s="915"/>
      <c r="E15" s="435" t="s">
        <v>384</v>
      </c>
      <c r="F15" s="429">
        <v>0</v>
      </c>
      <c r="G15" s="429">
        <v>0</v>
      </c>
      <c r="H15" s="429">
        <v>0</v>
      </c>
      <c r="I15" s="429">
        <v>0</v>
      </c>
      <c r="J15" s="429">
        <v>0</v>
      </c>
      <c r="K15" s="429">
        <v>0</v>
      </c>
      <c r="L15" s="429">
        <v>0</v>
      </c>
      <c r="M15" s="429">
        <v>0</v>
      </c>
      <c r="N15" s="429">
        <v>0</v>
      </c>
      <c r="O15" s="429">
        <v>0</v>
      </c>
      <c r="P15" s="429">
        <v>0</v>
      </c>
      <c r="Q15" s="429">
        <v>0</v>
      </c>
      <c r="R15" s="429">
        <v>0</v>
      </c>
      <c r="S15" s="429">
        <v>0</v>
      </c>
      <c r="T15" s="429">
        <v>0</v>
      </c>
      <c r="U15" s="429">
        <v>0</v>
      </c>
      <c r="V15" s="429">
        <v>0</v>
      </c>
      <c r="W15" s="429">
        <v>0</v>
      </c>
      <c r="X15" s="429">
        <v>0</v>
      </c>
      <c r="Y15" s="429">
        <v>0</v>
      </c>
      <c r="Z15" s="429">
        <v>0</v>
      </c>
      <c r="AA15" s="429">
        <v>0</v>
      </c>
      <c r="AB15" s="429">
        <v>0</v>
      </c>
      <c r="AC15" s="430">
        <v>0</v>
      </c>
      <c r="AD15" s="167"/>
      <c r="AE15" s="167"/>
      <c r="AF15" s="167"/>
      <c r="AG15" s="167"/>
      <c r="AH15" s="167"/>
      <c r="AI15" s="167"/>
      <c r="AJ15" s="167"/>
      <c r="AK15" s="167"/>
    </row>
    <row r="16" spans="1:39" ht="39.6" customHeight="1">
      <c r="A16" s="861" t="str">
        <f>A4</f>
        <v>All zones</v>
      </c>
      <c r="B16" s="869" t="s">
        <v>110</v>
      </c>
      <c r="C16" s="914" t="s">
        <v>671</v>
      </c>
      <c r="D16" s="917" t="s">
        <v>666</v>
      </c>
      <c r="E16" s="438" t="s">
        <v>382</v>
      </c>
      <c r="F16" s="441">
        <v>0.05</v>
      </c>
      <c r="G16" s="441">
        <v>0.05</v>
      </c>
      <c r="H16" s="441">
        <v>0.05</v>
      </c>
      <c r="I16" s="441">
        <v>0.05</v>
      </c>
      <c r="J16" s="441">
        <v>0.05</v>
      </c>
      <c r="K16" s="441">
        <v>0.08</v>
      </c>
      <c r="L16" s="441">
        <v>7.0000000000000007E-2</v>
      </c>
      <c r="M16" s="441">
        <v>0.19</v>
      </c>
      <c r="N16" s="441">
        <v>0.35</v>
      </c>
      <c r="O16" s="441">
        <v>0.38</v>
      </c>
      <c r="P16" s="441">
        <v>0.39</v>
      </c>
      <c r="Q16" s="441">
        <v>0.47</v>
      </c>
      <c r="R16" s="441">
        <v>0.56999999999999995</v>
      </c>
      <c r="S16" s="441">
        <v>0.54</v>
      </c>
      <c r="T16" s="441">
        <v>0.34</v>
      </c>
      <c r="U16" s="441">
        <v>0.33</v>
      </c>
      <c r="V16" s="441">
        <v>0.44</v>
      </c>
      <c r="W16" s="441">
        <v>0.26</v>
      </c>
      <c r="X16" s="441">
        <v>0.21</v>
      </c>
      <c r="Y16" s="441">
        <v>0.15</v>
      </c>
      <c r="Z16" s="441">
        <v>0.17</v>
      </c>
      <c r="AA16" s="441">
        <v>0.08</v>
      </c>
      <c r="AB16" s="441">
        <v>0.05</v>
      </c>
      <c r="AC16" s="442">
        <v>0.05</v>
      </c>
      <c r="AD16" s="167"/>
      <c r="AE16" s="167"/>
      <c r="AF16" s="167"/>
      <c r="AG16" s="167"/>
      <c r="AH16" s="167"/>
      <c r="AI16" s="167"/>
      <c r="AJ16" s="167"/>
      <c r="AK16" s="167"/>
    </row>
    <row r="17" spans="1:37" ht="39.6" customHeight="1">
      <c r="A17" s="862"/>
      <c r="B17" s="870"/>
      <c r="C17" s="876"/>
      <c r="D17" s="895"/>
      <c r="E17" s="427" t="s">
        <v>383</v>
      </c>
      <c r="F17" s="443">
        <v>0.05</v>
      </c>
      <c r="G17" s="443">
        <v>0.05</v>
      </c>
      <c r="H17" s="443">
        <v>0.05</v>
      </c>
      <c r="I17" s="443">
        <v>0.05</v>
      </c>
      <c r="J17" s="443">
        <v>0.05</v>
      </c>
      <c r="K17" s="443">
        <v>0.08</v>
      </c>
      <c r="L17" s="443">
        <v>7.0000000000000007E-2</v>
      </c>
      <c r="M17" s="443">
        <v>0.11</v>
      </c>
      <c r="N17" s="443">
        <v>0.15</v>
      </c>
      <c r="O17" s="443">
        <v>0.21</v>
      </c>
      <c r="P17" s="443">
        <v>0.19</v>
      </c>
      <c r="Q17" s="443">
        <v>0.23</v>
      </c>
      <c r="R17" s="443">
        <v>0.2</v>
      </c>
      <c r="S17" s="443">
        <v>0.19</v>
      </c>
      <c r="T17" s="443">
        <v>0.15</v>
      </c>
      <c r="U17" s="443">
        <v>0.12</v>
      </c>
      <c r="V17" s="443">
        <v>0.14000000000000001</v>
      </c>
      <c r="W17" s="443">
        <v>7.0000000000000007E-2</v>
      </c>
      <c r="X17" s="443">
        <v>7.0000000000000007E-2</v>
      </c>
      <c r="Y17" s="443">
        <v>7.0000000000000007E-2</v>
      </c>
      <c r="Z17" s="443">
        <v>7.0000000000000007E-2</v>
      </c>
      <c r="AA17" s="443">
        <v>0.09</v>
      </c>
      <c r="AB17" s="443">
        <v>0.05</v>
      </c>
      <c r="AC17" s="444">
        <v>0.05</v>
      </c>
      <c r="AD17" s="167"/>
      <c r="AE17" s="167"/>
      <c r="AF17" s="167"/>
      <c r="AG17" s="167"/>
      <c r="AH17" s="167"/>
      <c r="AI17" s="167"/>
      <c r="AJ17" s="167"/>
      <c r="AK17" s="167"/>
    </row>
    <row r="18" spans="1:37" ht="39.6" customHeight="1" thickBot="1">
      <c r="A18" s="863"/>
      <c r="B18" s="871"/>
      <c r="C18" s="877"/>
      <c r="D18" s="918"/>
      <c r="E18" s="435" t="s">
        <v>384</v>
      </c>
      <c r="F18" s="445">
        <v>0.04</v>
      </c>
      <c r="G18" s="445">
        <v>0.04</v>
      </c>
      <c r="H18" s="445">
        <v>0.04</v>
      </c>
      <c r="I18" s="445">
        <v>0.04</v>
      </c>
      <c r="J18" s="445">
        <v>0.04</v>
      </c>
      <c r="K18" s="445">
        <v>7.0000000000000007E-2</v>
      </c>
      <c r="L18" s="445">
        <v>0.04</v>
      </c>
      <c r="M18" s="445">
        <v>0.04</v>
      </c>
      <c r="N18" s="445">
        <v>0.04</v>
      </c>
      <c r="O18" s="445">
        <v>0.04</v>
      </c>
      <c r="P18" s="445">
        <v>0.04</v>
      </c>
      <c r="Q18" s="445">
        <v>0.06</v>
      </c>
      <c r="R18" s="445">
        <v>0.06</v>
      </c>
      <c r="S18" s="445">
        <v>0.09</v>
      </c>
      <c r="T18" s="445">
        <v>0.06</v>
      </c>
      <c r="U18" s="445">
        <v>0.04</v>
      </c>
      <c r="V18" s="445">
        <v>0.04</v>
      </c>
      <c r="W18" s="445">
        <v>0.04</v>
      </c>
      <c r="X18" s="445">
        <v>0.04</v>
      </c>
      <c r="Y18" s="445">
        <v>0.04</v>
      </c>
      <c r="Z18" s="445">
        <v>0.04</v>
      </c>
      <c r="AA18" s="445">
        <v>7.0000000000000007E-2</v>
      </c>
      <c r="AB18" s="445">
        <v>0.04</v>
      </c>
      <c r="AC18" s="446">
        <v>0.04</v>
      </c>
      <c r="AD18" s="167"/>
      <c r="AE18" s="167"/>
      <c r="AF18" s="167"/>
      <c r="AG18" s="167"/>
      <c r="AH18" s="167"/>
      <c r="AI18" s="167"/>
      <c r="AJ18" s="167"/>
      <c r="AK18" s="167"/>
    </row>
    <row r="19" spans="1:37" ht="39.6" customHeight="1">
      <c r="A19" s="861" t="str">
        <f>A4</f>
        <v>All zones</v>
      </c>
      <c r="B19" s="869" t="s">
        <v>110</v>
      </c>
      <c r="C19" s="875" t="s">
        <v>204</v>
      </c>
      <c r="D19" s="917" t="s">
        <v>670</v>
      </c>
      <c r="E19" s="426" t="s">
        <v>382</v>
      </c>
      <c r="F19" s="439">
        <v>1</v>
      </c>
      <c r="G19" s="439">
        <v>1</v>
      </c>
      <c r="H19" s="439">
        <v>1</v>
      </c>
      <c r="I19" s="439">
        <v>1</v>
      </c>
      <c r="J19" s="439">
        <v>1</v>
      </c>
      <c r="K19" s="439">
        <v>0.25</v>
      </c>
      <c r="L19" s="439">
        <v>0.25</v>
      </c>
      <c r="M19" s="439">
        <v>0.25</v>
      </c>
      <c r="N19" s="439">
        <v>0.25</v>
      </c>
      <c r="O19" s="439">
        <v>0.25</v>
      </c>
      <c r="P19" s="439">
        <v>0.25</v>
      </c>
      <c r="Q19" s="439">
        <v>0.25</v>
      </c>
      <c r="R19" s="439">
        <v>0.25</v>
      </c>
      <c r="S19" s="439">
        <v>0.25</v>
      </c>
      <c r="T19" s="439">
        <v>0.25</v>
      </c>
      <c r="U19" s="439">
        <v>0.25</v>
      </c>
      <c r="V19" s="439">
        <v>0.25</v>
      </c>
      <c r="W19" s="439">
        <v>0.25</v>
      </c>
      <c r="X19" s="439">
        <v>0.25</v>
      </c>
      <c r="Y19" s="439">
        <v>0.25</v>
      </c>
      <c r="Z19" s="439">
        <v>0.25</v>
      </c>
      <c r="AA19" s="439">
        <v>0.25</v>
      </c>
      <c r="AB19" s="439">
        <v>0.25</v>
      </c>
      <c r="AC19" s="440">
        <v>0.25</v>
      </c>
      <c r="AD19" s="167"/>
      <c r="AE19" s="167"/>
      <c r="AF19" s="167"/>
      <c r="AG19" s="167"/>
      <c r="AH19" s="167"/>
      <c r="AI19" s="167"/>
      <c r="AJ19" s="167"/>
      <c r="AK19" s="167"/>
    </row>
    <row r="20" spans="1:37" ht="39.6" customHeight="1">
      <c r="A20" s="862"/>
      <c r="B20" s="870"/>
      <c r="C20" s="876"/>
      <c r="D20" s="895"/>
      <c r="E20" s="427" t="s">
        <v>383</v>
      </c>
      <c r="F20" s="419">
        <v>1</v>
      </c>
      <c r="G20" s="419">
        <v>1</v>
      </c>
      <c r="H20" s="419">
        <v>1</v>
      </c>
      <c r="I20" s="419">
        <v>1</v>
      </c>
      <c r="J20" s="419">
        <v>1</v>
      </c>
      <c r="K20" s="421">
        <v>1</v>
      </c>
      <c r="L20" s="421">
        <v>1</v>
      </c>
      <c r="M20" s="421">
        <v>1</v>
      </c>
      <c r="N20" s="421">
        <v>1</v>
      </c>
      <c r="O20" s="421">
        <v>1</v>
      </c>
      <c r="P20" s="421">
        <v>1</v>
      </c>
      <c r="Q20" s="421">
        <v>1</v>
      </c>
      <c r="R20" s="421">
        <v>1</v>
      </c>
      <c r="S20" s="421">
        <v>1</v>
      </c>
      <c r="T20" s="421">
        <v>1</v>
      </c>
      <c r="U20" s="421">
        <v>1</v>
      </c>
      <c r="V20" s="421">
        <v>1</v>
      </c>
      <c r="W20" s="421">
        <v>1</v>
      </c>
      <c r="X20" s="421">
        <v>1</v>
      </c>
      <c r="Y20" s="419">
        <v>1</v>
      </c>
      <c r="Z20" s="419">
        <v>1</v>
      </c>
      <c r="AA20" s="419">
        <v>1</v>
      </c>
      <c r="AB20" s="419">
        <v>1</v>
      </c>
      <c r="AC20" s="422">
        <v>1</v>
      </c>
      <c r="AD20" s="167"/>
      <c r="AE20" s="167"/>
      <c r="AF20" s="167"/>
      <c r="AG20" s="167"/>
      <c r="AH20" s="167"/>
      <c r="AI20" s="167"/>
      <c r="AJ20" s="167"/>
      <c r="AK20" s="167"/>
    </row>
    <row r="21" spans="1:37" ht="39.6" customHeight="1" thickBot="1">
      <c r="A21" s="863"/>
      <c r="B21" s="871"/>
      <c r="C21" s="878"/>
      <c r="D21" s="918"/>
      <c r="E21" s="428" t="s">
        <v>384</v>
      </c>
      <c r="F21" s="424">
        <v>1</v>
      </c>
      <c r="G21" s="424">
        <v>1</v>
      </c>
      <c r="H21" s="424">
        <v>1</v>
      </c>
      <c r="I21" s="424">
        <v>1</v>
      </c>
      <c r="J21" s="424">
        <v>1</v>
      </c>
      <c r="K21" s="424">
        <v>1</v>
      </c>
      <c r="L21" s="424">
        <v>1</v>
      </c>
      <c r="M21" s="424">
        <v>1</v>
      </c>
      <c r="N21" s="424">
        <v>1</v>
      </c>
      <c r="O21" s="424">
        <v>1</v>
      </c>
      <c r="P21" s="424">
        <v>1</v>
      </c>
      <c r="Q21" s="424">
        <v>1</v>
      </c>
      <c r="R21" s="424">
        <v>1</v>
      </c>
      <c r="S21" s="424">
        <v>1</v>
      </c>
      <c r="T21" s="424">
        <v>1</v>
      </c>
      <c r="U21" s="424">
        <v>1</v>
      </c>
      <c r="V21" s="424">
        <v>1</v>
      </c>
      <c r="W21" s="424">
        <v>1</v>
      </c>
      <c r="X21" s="424">
        <v>1</v>
      </c>
      <c r="Y21" s="424">
        <v>1</v>
      </c>
      <c r="Z21" s="424">
        <v>1</v>
      </c>
      <c r="AA21" s="424">
        <v>1</v>
      </c>
      <c r="AB21" s="424">
        <v>1</v>
      </c>
      <c r="AC21" s="425">
        <v>1</v>
      </c>
      <c r="AD21" s="167"/>
      <c r="AE21" s="167"/>
      <c r="AF21" s="167"/>
      <c r="AG21" s="167"/>
      <c r="AH21" s="167"/>
      <c r="AI21" s="167"/>
      <c r="AJ21" s="167"/>
      <c r="AK21" s="167"/>
    </row>
    <row r="22" spans="1:37" ht="31.9" customHeight="1">
      <c r="A22" s="861" t="str">
        <f t="shared" ref="A22" si="0">A7</f>
        <v>All zones</v>
      </c>
      <c r="B22" s="869" t="s">
        <v>110</v>
      </c>
      <c r="C22" s="879" t="s">
        <v>672</v>
      </c>
      <c r="D22" s="882"/>
      <c r="E22" s="662" t="s">
        <v>382</v>
      </c>
      <c r="F22" s="448">
        <f>IF((F13=1),Thermostat!$B$3,Thermostat!$B$4)</f>
        <v>60</v>
      </c>
      <c r="G22" s="448">
        <f>IF((G13=1),Thermostat!$B$3,Thermostat!$B$4)</f>
        <v>60</v>
      </c>
      <c r="H22" s="448">
        <f>IF((H13=1),Thermostat!$B$3,Thermostat!$B$4)</f>
        <v>60</v>
      </c>
      <c r="I22" s="448">
        <f>IF((I13=1),Thermostat!$B$3,Thermostat!$B$4)</f>
        <v>60</v>
      </c>
      <c r="J22" s="448">
        <f>IF((J13=1),Thermostat!$B$3,Thermostat!$B$4)</f>
        <v>60</v>
      </c>
      <c r="K22" s="448">
        <f>IF((K13=1),Thermostat!$B$3,Thermostat!$B$4)</f>
        <v>70</v>
      </c>
      <c r="L22" s="448">
        <f>IF((L13=1),Thermostat!$B$3,Thermostat!$B$4)</f>
        <v>70</v>
      </c>
      <c r="M22" s="448">
        <f>IF((M13=1),Thermostat!$B$3,Thermostat!$B$4)</f>
        <v>70</v>
      </c>
      <c r="N22" s="448">
        <f>IF((N13=1),Thermostat!$B$3,Thermostat!$B$4)</f>
        <v>70</v>
      </c>
      <c r="O22" s="448">
        <f>IF((O13=1),Thermostat!$B$3,Thermostat!$B$4)</f>
        <v>70</v>
      </c>
      <c r="P22" s="448">
        <f>IF((P13=1),Thermostat!$B$3,Thermostat!$B$4)</f>
        <v>70</v>
      </c>
      <c r="Q22" s="448">
        <f>IF((Q13=1),Thermostat!$B$3,Thermostat!$B$4)</f>
        <v>70</v>
      </c>
      <c r="R22" s="448">
        <f>IF((R13=1),Thermostat!$B$3,Thermostat!$B$4)</f>
        <v>70</v>
      </c>
      <c r="S22" s="448">
        <f>IF((S13=1),Thermostat!$B$3,Thermostat!$B$4)</f>
        <v>70</v>
      </c>
      <c r="T22" s="448">
        <f>IF((T13=1),Thermostat!$B$3,Thermostat!$B$4)</f>
        <v>70</v>
      </c>
      <c r="U22" s="448">
        <f>IF((U13=1),Thermostat!$B$3,Thermostat!$B$4)</f>
        <v>70</v>
      </c>
      <c r="V22" s="448">
        <f>IF((V13=1),Thermostat!$B$3,Thermostat!$B$4)</f>
        <v>70</v>
      </c>
      <c r="W22" s="448">
        <f>IF((W13=1),Thermostat!$B$3,Thermostat!$B$4)</f>
        <v>70</v>
      </c>
      <c r="X22" s="448">
        <f>IF((X13=1),Thermostat!$B$3,Thermostat!$B$4)</f>
        <v>70</v>
      </c>
      <c r="Y22" s="448">
        <f>IF((Y13=1),Thermostat!$B$3,Thermostat!$B$4)</f>
        <v>70</v>
      </c>
      <c r="Z22" s="448">
        <f>IF((Z13=1),Thermostat!$B$3,Thermostat!$B$4)</f>
        <v>70</v>
      </c>
      <c r="AA22" s="448">
        <f>IF((AA13=1),Thermostat!$B$3,Thermostat!$B$4)</f>
        <v>70</v>
      </c>
      <c r="AB22" s="448">
        <f>IF((AB13=1),Thermostat!$B$3,Thermostat!$B$4)</f>
        <v>70</v>
      </c>
      <c r="AC22" s="449">
        <f>IF((AC13=1),Thermostat!$B$3,Thermostat!$B$4)</f>
        <v>70</v>
      </c>
    </row>
    <row r="23" spans="1:37" ht="31.9" customHeight="1">
      <c r="A23" s="862"/>
      <c r="B23" s="870"/>
      <c r="C23" s="880"/>
      <c r="D23" s="883"/>
      <c r="E23" s="663" t="s">
        <v>383</v>
      </c>
      <c r="F23" s="447">
        <f>IF((F14=1),Thermostat!$B$3,Thermostat!$B$4)</f>
        <v>60</v>
      </c>
      <c r="G23" s="447">
        <f>IF((G14=1),Thermostat!$B$3,Thermostat!$B$4)</f>
        <v>60</v>
      </c>
      <c r="H23" s="447">
        <f>IF((H14=1),Thermostat!$B$3,Thermostat!$B$4)</f>
        <v>60</v>
      </c>
      <c r="I23" s="447">
        <f>IF((I14=1),Thermostat!$B$3,Thermostat!$B$4)</f>
        <v>60</v>
      </c>
      <c r="J23" s="447">
        <f>IF((J14=1),Thermostat!$B$3,Thermostat!$B$4)</f>
        <v>60</v>
      </c>
      <c r="K23" s="447">
        <f>IF((K14=1),Thermostat!$B$3,Thermostat!$B$4)</f>
        <v>60</v>
      </c>
      <c r="L23" s="447">
        <f>IF((L14=1),Thermostat!$B$3,Thermostat!$B$4)</f>
        <v>60</v>
      </c>
      <c r="M23" s="447">
        <f>IF((M14=1),Thermostat!$B$3,Thermostat!$B$4)</f>
        <v>60</v>
      </c>
      <c r="N23" s="447">
        <f>IF((N14=1),Thermostat!$B$3,Thermostat!$B$4)</f>
        <v>60</v>
      </c>
      <c r="O23" s="447">
        <f>IF((O14=1),Thermostat!$B$3,Thermostat!$B$4)</f>
        <v>60</v>
      </c>
      <c r="P23" s="447">
        <f>IF((P14=1),Thermostat!$B$3,Thermostat!$B$4)</f>
        <v>60</v>
      </c>
      <c r="Q23" s="447">
        <f>IF((Q14=1),Thermostat!$B$3,Thermostat!$B$4)</f>
        <v>60</v>
      </c>
      <c r="R23" s="447">
        <f>IF((R14=1),Thermostat!$B$3,Thermostat!$B$4)</f>
        <v>60</v>
      </c>
      <c r="S23" s="447">
        <f>IF((S14=1),Thermostat!$B$3,Thermostat!$B$4)</f>
        <v>60</v>
      </c>
      <c r="T23" s="447">
        <f>IF((T14=1),Thermostat!$B$3,Thermostat!$B$4)</f>
        <v>60</v>
      </c>
      <c r="U23" s="447">
        <f>IF((U14=1),Thermostat!$B$3,Thermostat!$B$4)</f>
        <v>60</v>
      </c>
      <c r="V23" s="447">
        <f>IF((V14=1),Thermostat!$B$3,Thermostat!$B$4)</f>
        <v>60</v>
      </c>
      <c r="W23" s="447">
        <f>IF((W14=1),Thermostat!$B$3,Thermostat!$B$4)</f>
        <v>60</v>
      </c>
      <c r="X23" s="447">
        <f>IF((X14=1),Thermostat!$B$3,Thermostat!$B$4)</f>
        <v>60</v>
      </c>
      <c r="Y23" s="447">
        <f>IF((Y14=1),Thermostat!$B$3,Thermostat!$B$4)</f>
        <v>60</v>
      </c>
      <c r="Z23" s="447">
        <f>IF((Z14=1),Thermostat!$B$3,Thermostat!$B$4)</f>
        <v>60</v>
      </c>
      <c r="AA23" s="447">
        <f>IF((AA14=1),Thermostat!$B$3,Thermostat!$B$4)</f>
        <v>60</v>
      </c>
      <c r="AB23" s="447">
        <f>IF((AB14=1),Thermostat!$B$3,Thermostat!$B$4)</f>
        <v>60</v>
      </c>
      <c r="AC23" s="450">
        <f>IF((AC14=1),Thermostat!$B$3,Thermostat!$B$4)</f>
        <v>60</v>
      </c>
    </row>
    <row r="24" spans="1:37" ht="31.9" customHeight="1" thickBot="1">
      <c r="A24" s="863"/>
      <c r="B24" s="871"/>
      <c r="C24" s="881"/>
      <c r="D24" s="884"/>
      <c r="E24" s="664" t="s">
        <v>384</v>
      </c>
      <c r="F24" s="451">
        <f>IF((F15=1),Thermostat!$B$3,Thermostat!$B$4)</f>
        <v>60</v>
      </c>
      <c r="G24" s="451">
        <f>IF((G15=1),Thermostat!$B$3,Thermostat!$B$4)</f>
        <v>60</v>
      </c>
      <c r="H24" s="451">
        <f>IF((H15=1),Thermostat!$B$3,Thermostat!$B$4)</f>
        <v>60</v>
      </c>
      <c r="I24" s="451">
        <f>IF((I15=1),Thermostat!$B$3,Thermostat!$B$4)</f>
        <v>60</v>
      </c>
      <c r="J24" s="451">
        <f>IF((J15=1),Thermostat!$B$3,Thermostat!$B$4)</f>
        <v>60</v>
      </c>
      <c r="K24" s="451">
        <f>IF((K15=1),Thermostat!$B$3,Thermostat!$B$4)</f>
        <v>60</v>
      </c>
      <c r="L24" s="451">
        <f>IF((L15=1),Thermostat!$B$3,Thermostat!$B$4)</f>
        <v>60</v>
      </c>
      <c r="M24" s="451">
        <f>IF((M15=1),Thermostat!$B$3,Thermostat!$B$4)</f>
        <v>60</v>
      </c>
      <c r="N24" s="451">
        <f>IF((N15=1),Thermostat!$B$3,Thermostat!$B$4)</f>
        <v>60</v>
      </c>
      <c r="O24" s="451">
        <f>IF((O15=1),Thermostat!$B$3,Thermostat!$B$4)</f>
        <v>60</v>
      </c>
      <c r="P24" s="451">
        <f>IF((P15=1),Thermostat!$B$3,Thermostat!$B$4)</f>
        <v>60</v>
      </c>
      <c r="Q24" s="451">
        <f>IF((Q15=1),Thermostat!$B$3,Thermostat!$B$4)</f>
        <v>60</v>
      </c>
      <c r="R24" s="451">
        <f>IF((R15=1),Thermostat!$B$3,Thermostat!$B$4)</f>
        <v>60</v>
      </c>
      <c r="S24" s="451">
        <f>IF((S15=1),Thermostat!$B$3,Thermostat!$B$4)</f>
        <v>60</v>
      </c>
      <c r="T24" s="451">
        <f>IF((T15=1),Thermostat!$B$3,Thermostat!$B$4)</f>
        <v>60</v>
      </c>
      <c r="U24" s="451">
        <f>IF((U15=1),Thermostat!$B$3,Thermostat!$B$4)</f>
        <v>60</v>
      </c>
      <c r="V24" s="451">
        <f>IF((V15=1),Thermostat!$B$3,Thermostat!$B$4)</f>
        <v>60</v>
      </c>
      <c r="W24" s="451">
        <f>IF((W15=1),Thermostat!$B$3,Thermostat!$B$4)</f>
        <v>60</v>
      </c>
      <c r="X24" s="451">
        <f>IF((X15=1),Thermostat!$B$3,Thermostat!$B$4)</f>
        <v>60</v>
      </c>
      <c r="Y24" s="451">
        <f>IF((Y15=1),Thermostat!$B$3,Thermostat!$B$4)</f>
        <v>60</v>
      </c>
      <c r="Z24" s="451">
        <f>IF((Z15=1),Thermostat!$B$3,Thermostat!$B$4)</f>
        <v>60</v>
      </c>
      <c r="AA24" s="451">
        <f>IF((AA15=1),Thermostat!$B$3,Thermostat!$B$4)</f>
        <v>60</v>
      </c>
      <c r="AB24" s="451">
        <f>IF((AB15=1),Thermostat!$B$3,Thermostat!$B$4)</f>
        <v>60</v>
      </c>
      <c r="AC24" s="452">
        <f>IF((AC15=1),Thermostat!$B$3,Thermostat!$B$4)</f>
        <v>60</v>
      </c>
    </row>
    <row r="25" spans="1:37" ht="31.9" customHeight="1">
      <c r="A25" s="861" t="str">
        <f t="shared" ref="A25" si="1">A10</f>
        <v>All zones</v>
      </c>
      <c r="B25" s="869" t="s">
        <v>110</v>
      </c>
      <c r="C25" s="879" t="s">
        <v>673</v>
      </c>
      <c r="D25" s="886"/>
      <c r="E25" s="665" t="s">
        <v>382</v>
      </c>
      <c r="F25" s="453">
        <f>IF((F13=1),Thermostat!$B$5,Thermostat!$B$6)</f>
        <v>85</v>
      </c>
      <c r="G25" s="453">
        <f>IF((G13=1),Thermostat!$B$5,Thermostat!$B$6)</f>
        <v>85</v>
      </c>
      <c r="H25" s="453">
        <f>IF((H13=1),Thermostat!$B$5,Thermostat!$B$6)</f>
        <v>85</v>
      </c>
      <c r="I25" s="453">
        <f>IF((I13=1),Thermostat!$B$5,Thermostat!$B$6)</f>
        <v>85</v>
      </c>
      <c r="J25" s="453">
        <f>IF((J13=1),Thermostat!$B$5,Thermostat!$B$6)</f>
        <v>85</v>
      </c>
      <c r="K25" s="453">
        <f>IF((K13=1),Thermostat!$B$5,Thermostat!$B$6)</f>
        <v>75</v>
      </c>
      <c r="L25" s="453">
        <f>IF((L13=1),Thermostat!$B$5,Thermostat!$B$6)</f>
        <v>75</v>
      </c>
      <c r="M25" s="453">
        <f>IF((M13=1),Thermostat!$B$5,Thermostat!$B$6)</f>
        <v>75</v>
      </c>
      <c r="N25" s="453">
        <f>IF((N13=1),Thermostat!$B$5,Thermostat!$B$6)</f>
        <v>75</v>
      </c>
      <c r="O25" s="453">
        <f>IF((O13=1),Thermostat!$B$5,Thermostat!$B$6)</f>
        <v>75</v>
      </c>
      <c r="P25" s="453">
        <f>IF((P13=1),Thermostat!$B$5,Thermostat!$B$6)</f>
        <v>75</v>
      </c>
      <c r="Q25" s="453">
        <f>IF((Q13=1),Thermostat!$B$5,Thermostat!$B$6)</f>
        <v>75</v>
      </c>
      <c r="R25" s="453">
        <f>IF((R13=1),Thermostat!$B$5,Thermostat!$B$6)</f>
        <v>75</v>
      </c>
      <c r="S25" s="453">
        <f>IF((S13=1),Thermostat!$B$5,Thermostat!$B$6)</f>
        <v>75</v>
      </c>
      <c r="T25" s="453">
        <f>IF((T13=1),Thermostat!$B$5,Thermostat!$B$6)</f>
        <v>75</v>
      </c>
      <c r="U25" s="453">
        <f>IF((U13=1),Thermostat!$B$5,Thermostat!$B$6)</f>
        <v>75</v>
      </c>
      <c r="V25" s="453">
        <f>IF((V13=1),Thermostat!$B$5,Thermostat!$B$6)</f>
        <v>75</v>
      </c>
      <c r="W25" s="453">
        <f>IF((W13=1),Thermostat!$B$5,Thermostat!$B$6)</f>
        <v>75</v>
      </c>
      <c r="X25" s="453">
        <f>IF((X13=1),Thermostat!$B$5,Thermostat!$B$6)</f>
        <v>75</v>
      </c>
      <c r="Y25" s="453">
        <f>IF((Y13=1),Thermostat!$B$5,Thermostat!$B$6)</f>
        <v>75</v>
      </c>
      <c r="Z25" s="453">
        <f>IF((Z13=1),Thermostat!$B$5,Thermostat!$B$6)</f>
        <v>75</v>
      </c>
      <c r="AA25" s="453">
        <f>IF((AA13=1),Thermostat!$B$5,Thermostat!$B$6)</f>
        <v>75</v>
      </c>
      <c r="AB25" s="453">
        <f>IF((AB13=1),Thermostat!$B$5,Thermostat!$B$6)</f>
        <v>75</v>
      </c>
      <c r="AC25" s="454">
        <f>IF((AC13=1),Thermostat!$B$5,Thermostat!$B$6)</f>
        <v>75</v>
      </c>
    </row>
    <row r="26" spans="1:37" ht="31.9" customHeight="1">
      <c r="A26" s="862"/>
      <c r="B26" s="870"/>
      <c r="C26" s="880"/>
      <c r="D26" s="887"/>
      <c r="E26" s="663" t="s">
        <v>383</v>
      </c>
      <c r="F26" s="447">
        <f>IF((F14=1),Thermostat!$B$5,Thermostat!$B$6)</f>
        <v>85</v>
      </c>
      <c r="G26" s="447">
        <f>IF((G14=1),Thermostat!$B$5,Thermostat!$B$6)</f>
        <v>85</v>
      </c>
      <c r="H26" s="447">
        <f>IF((H14=1),Thermostat!$B$5,Thermostat!$B$6)</f>
        <v>85</v>
      </c>
      <c r="I26" s="447">
        <f>IF((I14=1),Thermostat!$B$5,Thermostat!$B$6)</f>
        <v>85</v>
      </c>
      <c r="J26" s="447">
        <f>IF((J14=1),Thermostat!$B$5,Thermostat!$B$6)</f>
        <v>85</v>
      </c>
      <c r="K26" s="447">
        <f>IF((K14=1),Thermostat!$B$5,Thermostat!$B$6)</f>
        <v>85</v>
      </c>
      <c r="L26" s="447">
        <f>IF((L14=1),Thermostat!$B$5,Thermostat!$B$6)</f>
        <v>85</v>
      </c>
      <c r="M26" s="447">
        <f>IF((M14=1),Thermostat!$B$5,Thermostat!$B$6)</f>
        <v>85</v>
      </c>
      <c r="N26" s="447">
        <f>IF((N14=1),Thermostat!$B$5,Thermostat!$B$6)</f>
        <v>85</v>
      </c>
      <c r="O26" s="447">
        <f>IF((O14=1),Thermostat!$B$5,Thermostat!$B$6)</f>
        <v>85</v>
      </c>
      <c r="P26" s="447">
        <f>IF((P14=1),Thermostat!$B$5,Thermostat!$B$6)</f>
        <v>85</v>
      </c>
      <c r="Q26" s="447">
        <f>IF((Q14=1),Thermostat!$B$5,Thermostat!$B$6)</f>
        <v>85</v>
      </c>
      <c r="R26" s="447">
        <f>IF((R14=1),Thermostat!$B$5,Thermostat!$B$6)</f>
        <v>85</v>
      </c>
      <c r="S26" s="447">
        <f>IF((S14=1),Thermostat!$B$5,Thermostat!$B$6)</f>
        <v>85</v>
      </c>
      <c r="T26" s="447">
        <f>IF((T14=1),Thermostat!$B$5,Thermostat!$B$6)</f>
        <v>85</v>
      </c>
      <c r="U26" s="447">
        <f>IF((U14=1),Thermostat!$B$5,Thermostat!$B$6)</f>
        <v>85</v>
      </c>
      <c r="V26" s="447">
        <f>IF((V14=1),Thermostat!$B$5,Thermostat!$B$6)</f>
        <v>85</v>
      </c>
      <c r="W26" s="447">
        <f>IF((W14=1),Thermostat!$B$5,Thermostat!$B$6)</f>
        <v>85</v>
      </c>
      <c r="X26" s="447">
        <f>IF((X14=1),Thermostat!$B$5,Thermostat!$B$6)</f>
        <v>85</v>
      </c>
      <c r="Y26" s="447">
        <f>IF((Y14=1),Thermostat!$B$5,Thermostat!$B$6)</f>
        <v>85</v>
      </c>
      <c r="Z26" s="447">
        <f>IF((Z14=1),Thermostat!$B$5,Thermostat!$B$6)</f>
        <v>85</v>
      </c>
      <c r="AA26" s="447">
        <f>IF((AA14=1),Thermostat!$B$5,Thermostat!$B$6)</f>
        <v>85</v>
      </c>
      <c r="AB26" s="447">
        <f>IF((AB14=1),Thermostat!$B$5,Thermostat!$B$6)</f>
        <v>85</v>
      </c>
      <c r="AC26" s="450">
        <f>IF((AC14=1),Thermostat!$B$5,Thermostat!$B$6)</f>
        <v>85</v>
      </c>
    </row>
    <row r="27" spans="1:37" ht="31.9" customHeight="1">
      <c r="A27" s="863"/>
      <c r="B27" s="870"/>
      <c r="C27" s="885"/>
      <c r="D27" s="888"/>
      <c r="E27" s="599" t="s">
        <v>384</v>
      </c>
      <c r="F27" s="600">
        <f>IF((F15=1),Thermostat!$B$5,Thermostat!$B$6)</f>
        <v>85</v>
      </c>
      <c r="G27" s="600">
        <f>IF((G15=1),Thermostat!$B$5,Thermostat!$B$6)</f>
        <v>85</v>
      </c>
      <c r="H27" s="600">
        <f>IF((H15=1),Thermostat!$B$5,Thermostat!$B$6)</f>
        <v>85</v>
      </c>
      <c r="I27" s="600">
        <f>IF((I15=1),Thermostat!$B$5,Thermostat!$B$6)</f>
        <v>85</v>
      </c>
      <c r="J27" s="600">
        <f>IF((J15=1),Thermostat!$B$5,Thermostat!$B$6)</f>
        <v>85</v>
      </c>
      <c r="K27" s="600">
        <f>IF((K15=1),Thermostat!$B$5,Thermostat!$B$6)</f>
        <v>85</v>
      </c>
      <c r="L27" s="600">
        <f>IF((L15=1),Thermostat!$B$5,Thermostat!$B$6)</f>
        <v>85</v>
      </c>
      <c r="M27" s="600">
        <f>IF((M15=1),Thermostat!$B$5,Thermostat!$B$6)</f>
        <v>85</v>
      </c>
      <c r="N27" s="600">
        <f>IF((N15=1),Thermostat!$B$5,Thermostat!$B$6)</f>
        <v>85</v>
      </c>
      <c r="O27" s="600">
        <f>IF((O15=1),Thermostat!$B$5,Thermostat!$B$6)</f>
        <v>85</v>
      </c>
      <c r="P27" s="600">
        <f>IF((P15=1),Thermostat!$B$5,Thermostat!$B$6)</f>
        <v>85</v>
      </c>
      <c r="Q27" s="600">
        <f>IF((Q15=1),Thermostat!$B$5,Thermostat!$B$6)</f>
        <v>85</v>
      </c>
      <c r="R27" s="600">
        <f>IF((R15=1),Thermostat!$B$5,Thermostat!$B$6)</f>
        <v>85</v>
      </c>
      <c r="S27" s="600">
        <f>IF((S15=1),Thermostat!$B$5,Thermostat!$B$6)</f>
        <v>85</v>
      </c>
      <c r="T27" s="600">
        <f>IF((T15=1),Thermostat!$B$5,Thermostat!$B$6)</f>
        <v>85</v>
      </c>
      <c r="U27" s="600">
        <f>IF((U15=1),Thermostat!$B$5,Thermostat!$B$6)</f>
        <v>85</v>
      </c>
      <c r="V27" s="600">
        <f>IF((V15=1),Thermostat!$B$5,Thermostat!$B$6)</f>
        <v>85</v>
      </c>
      <c r="W27" s="600">
        <f>IF((W15=1),Thermostat!$B$5,Thermostat!$B$6)</f>
        <v>85</v>
      </c>
      <c r="X27" s="600">
        <f>IF((X15=1),Thermostat!$B$5,Thermostat!$B$6)</f>
        <v>85</v>
      </c>
      <c r="Y27" s="600">
        <f>IF((Y15=1),Thermostat!$B$5,Thermostat!$B$6)</f>
        <v>85</v>
      </c>
      <c r="Z27" s="600">
        <f>IF((Z15=1),Thermostat!$B$5,Thermostat!$B$6)</f>
        <v>85</v>
      </c>
      <c r="AA27" s="600">
        <f>IF((AA15=1),Thermostat!$B$5,Thermostat!$B$6)</f>
        <v>85</v>
      </c>
      <c r="AB27" s="600">
        <f>IF((AB15=1),Thermostat!$B$5,Thermostat!$B$6)</f>
        <v>85</v>
      </c>
      <c r="AC27" s="601">
        <f>IF((AC15=1),Thermostat!$B$5,Thermostat!$B$6)</f>
        <v>85</v>
      </c>
    </row>
    <row r="28" spans="1:37" ht="31.9" customHeight="1">
      <c r="A28" s="953" t="s">
        <v>674</v>
      </c>
      <c r="B28" s="956" t="s">
        <v>110</v>
      </c>
      <c r="C28" s="889" t="s">
        <v>675</v>
      </c>
      <c r="D28" s="889"/>
      <c r="E28" s="610" t="s">
        <v>382</v>
      </c>
      <c r="F28" s="603">
        <v>60</v>
      </c>
      <c r="G28" s="603">
        <v>60</v>
      </c>
      <c r="H28" s="603">
        <v>60</v>
      </c>
      <c r="I28" s="603">
        <v>60</v>
      </c>
      <c r="J28" s="603">
        <v>60</v>
      </c>
      <c r="K28" s="603">
        <v>65</v>
      </c>
      <c r="L28" s="603">
        <v>65</v>
      </c>
      <c r="M28" s="603">
        <v>65</v>
      </c>
      <c r="N28" s="603">
        <v>65</v>
      </c>
      <c r="O28" s="603">
        <v>65</v>
      </c>
      <c r="P28" s="603">
        <v>65</v>
      </c>
      <c r="Q28" s="603">
        <v>65</v>
      </c>
      <c r="R28" s="603">
        <v>65</v>
      </c>
      <c r="S28" s="603">
        <v>65</v>
      </c>
      <c r="T28" s="603">
        <v>65</v>
      </c>
      <c r="U28" s="603">
        <v>65</v>
      </c>
      <c r="V28" s="603">
        <v>65</v>
      </c>
      <c r="W28" s="603">
        <v>65</v>
      </c>
      <c r="X28" s="603">
        <v>65</v>
      </c>
      <c r="Y28" s="603">
        <v>65</v>
      </c>
      <c r="Z28" s="603">
        <v>65</v>
      </c>
      <c r="AA28" s="603">
        <v>65</v>
      </c>
      <c r="AB28" s="603">
        <v>65</v>
      </c>
      <c r="AC28" s="604">
        <v>65</v>
      </c>
    </row>
    <row r="29" spans="1:37" ht="31.9" customHeight="1">
      <c r="A29" s="954"/>
      <c r="B29" s="926"/>
      <c r="C29" s="890"/>
      <c r="D29" s="890"/>
      <c r="E29" s="611" t="s">
        <v>383</v>
      </c>
      <c r="F29" s="602">
        <v>60</v>
      </c>
      <c r="G29" s="602">
        <v>60</v>
      </c>
      <c r="H29" s="602">
        <v>60</v>
      </c>
      <c r="I29" s="602">
        <v>60</v>
      </c>
      <c r="J29" s="602">
        <v>60</v>
      </c>
      <c r="K29" s="602">
        <v>60</v>
      </c>
      <c r="L29" s="602">
        <v>60</v>
      </c>
      <c r="M29" s="602">
        <v>60</v>
      </c>
      <c r="N29" s="602">
        <v>60</v>
      </c>
      <c r="O29" s="602">
        <v>60</v>
      </c>
      <c r="P29" s="602">
        <v>60</v>
      </c>
      <c r="Q29" s="602">
        <v>60</v>
      </c>
      <c r="R29" s="602">
        <v>60</v>
      </c>
      <c r="S29" s="602">
        <v>60</v>
      </c>
      <c r="T29" s="602">
        <v>60</v>
      </c>
      <c r="U29" s="602">
        <v>60</v>
      </c>
      <c r="V29" s="602">
        <v>60</v>
      </c>
      <c r="W29" s="602">
        <v>60</v>
      </c>
      <c r="X29" s="602">
        <v>60</v>
      </c>
      <c r="Y29" s="602">
        <v>60</v>
      </c>
      <c r="Z29" s="602">
        <v>60</v>
      </c>
      <c r="AA29" s="602">
        <v>60</v>
      </c>
      <c r="AB29" s="602">
        <v>60</v>
      </c>
      <c r="AC29" s="605">
        <v>60</v>
      </c>
    </row>
    <row r="30" spans="1:37" ht="31.9" customHeight="1">
      <c r="A30" s="955"/>
      <c r="B30" s="957"/>
      <c r="C30" s="938"/>
      <c r="D30" s="938"/>
      <c r="E30" s="612" t="s">
        <v>384</v>
      </c>
      <c r="F30" s="608">
        <v>60</v>
      </c>
      <c r="G30" s="608">
        <v>60</v>
      </c>
      <c r="H30" s="608">
        <v>60</v>
      </c>
      <c r="I30" s="608">
        <v>60</v>
      </c>
      <c r="J30" s="608">
        <v>60</v>
      </c>
      <c r="K30" s="608">
        <v>60</v>
      </c>
      <c r="L30" s="608">
        <v>60</v>
      </c>
      <c r="M30" s="608">
        <v>60</v>
      </c>
      <c r="N30" s="608">
        <v>60</v>
      </c>
      <c r="O30" s="608">
        <v>60</v>
      </c>
      <c r="P30" s="608">
        <v>60</v>
      </c>
      <c r="Q30" s="608">
        <v>60</v>
      </c>
      <c r="R30" s="608">
        <v>60</v>
      </c>
      <c r="S30" s="608">
        <v>60</v>
      </c>
      <c r="T30" s="608">
        <v>60</v>
      </c>
      <c r="U30" s="608">
        <v>60</v>
      </c>
      <c r="V30" s="608">
        <v>60</v>
      </c>
      <c r="W30" s="608">
        <v>60</v>
      </c>
      <c r="X30" s="608">
        <v>60</v>
      </c>
      <c r="Y30" s="608">
        <v>60</v>
      </c>
      <c r="Z30" s="608">
        <v>60</v>
      </c>
      <c r="AA30" s="608">
        <v>60</v>
      </c>
      <c r="AB30" s="608">
        <v>60</v>
      </c>
      <c r="AC30" s="609">
        <v>60</v>
      </c>
    </row>
    <row r="31" spans="1:37" ht="31.9" customHeight="1">
      <c r="A31" s="953" t="s">
        <v>674</v>
      </c>
      <c r="B31" s="956" t="s">
        <v>110</v>
      </c>
      <c r="C31" s="889" t="s">
        <v>676</v>
      </c>
      <c r="D31" s="889"/>
      <c r="E31" s="610" t="s">
        <v>382</v>
      </c>
      <c r="F31" s="603">
        <v>85</v>
      </c>
      <c r="G31" s="603">
        <v>85</v>
      </c>
      <c r="H31" s="603">
        <v>85</v>
      </c>
      <c r="I31" s="603">
        <v>85</v>
      </c>
      <c r="J31" s="603">
        <v>85</v>
      </c>
      <c r="K31" s="603">
        <v>78</v>
      </c>
      <c r="L31" s="603">
        <v>78</v>
      </c>
      <c r="M31" s="603">
        <v>78</v>
      </c>
      <c r="N31" s="603">
        <v>78</v>
      </c>
      <c r="O31" s="603">
        <v>78</v>
      </c>
      <c r="P31" s="603">
        <v>78</v>
      </c>
      <c r="Q31" s="603">
        <v>78</v>
      </c>
      <c r="R31" s="603">
        <v>78</v>
      </c>
      <c r="S31" s="603">
        <v>78</v>
      </c>
      <c r="T31" s="603">
        <v>78</v>
      </c>
      <c r="U31" s="603">
        <v>78</v>
      </c>
      <c r="V31" s="603">
        <v>78</v>
      </c>
      <c r="W31" s="603">
        <v>78</v>
      </c>
      <c r="X31" s="603">
        <v>78</v>
      </c>
      <c r="Y31" s="603">
        <v>78</v>
      </c>
      <c r="Z31" s="603">
        <v>78</v>
      </c>
      <c r="AA31" s="603">
        <v>78</v>
      </c>
      <c r="AB31" s="603">
        <v>78</v>
      </c>
      <c r="AC31" s="604">
        <v>78</v>
      </c>
    </row>
    <row r="32" spans="1:37" ht="31.9" customHeight="1">
      <c r="A32" s="954"/>
      <c r="B32" s="926"/>
      <c r="C32" s="890"/>
      <c r="D32" s="890"/>
      <c r="E32" s="611" t="s">
        <v>383</v>
      </c>
      <c r="F32" s="602">
        <v>85</v>
      </c>
      <c r="G32" s="602">
        <v>85</v>
      </c>
      <c r="H32" s="602">
        <v>85</v>
      </c>
      <c r="I32" s="602">
        <v>85</v>
      </c>
      <c r="J32" s="602">
        <v>85</v>
      </c>
      <c r="K32" s="602">
        <v>85</v>
      </c>
      <c r="L32" s="602">
        <v>85</v>
      </c>
      <c r="M32" s="602">
        <v>85</v>
      </c>
      <c r="N32" s="602">
        <v>85</v>
      </c>
      <c r="O32" s="602">
        <v>85</v>
      </c>
      <c r="P32" s="602">
        <v>85</v>
      </c>
      <c r="Q32" s="602">
        <v>85</v>
      </c>
      <c r="R32" s="602">
        <v>85</v>
      </c>
      <c r="S32" s="602">
        <v>85</v>
      </c>
      <c r="T32" s="602">
        <v>85</v>
      </c>
      <c r="U32" s="602">
        <v>85</v>
      </c>
      <c r="V32" s="602">
        <v>85</v>
      </c>
      <c r="W32" s="602">
        <v>85</v>
      </c>
      <c r="X32" s="602">
        <v>85</v>
      </c>
      <c r="Y32" s="602">
        <v>85</v>
      </c>
      <c r="Z32" s="602">
        <v>85</v>
      </c>
      <c r="AA32" s="602">
        <v>85</v>
      </c>
      <c r="AB32" s="602">
        <v>85</v>
      </c>
      <c r="AC32" s="605">
        <v>85</v>
      </c>
    </row>
    <row r="33" spans="1:39" ht="31.9" customHeight="1">
      <c r="A33" s="958"/>
      <c r="B33" s="959"/>
      <c r="C33" s="891"/>
      <c r="D33" s="891"/>
      <c r="E33" s="613" t="s">
        <v>384</v>
      </c>
      <c r="F33" s="606">
        <v>85</v>
      </c>
      <c r="G33" s="606">
        <v>85</v>
      </c>
      <c r="H33" s="606">
        <v>85</v>
      </c>
      <c r="I33" s="606">
        <v>85</v>
      </c>
      <c r="J33" s="606">
        <v>85</v>
      </c>
      <c r="K33" s="606">
        <v>85</v>
      </c>
      <c r="L33" s="606">
        <v>85</v>
      </c>
      <c r="M33" s="606">
        <v>85</v>
      </c>
      <c r="N33" s="606">
        <v>85</v>
      </c>
      <c r="O33" s="606">
        <v>85</v>
      </c>
      <c r="P33" s="606">
        <v>85</v>
      </c>
      <c r="Q33" s="606">
        <v>85</v>
      </c>
      <c r="R33" s="606">
        <v>85</v>
      </c>
      <c r="S33" s="606">
        <v>85</v>
      </c>
      <c r="T33" s="606">
        <v>85</v>
      </c>
      <c r="U33" s="606">
        <v>85</v>
      </c>
      <c r="V33" s="606">
        <v>85</v>
      </c>
      <c r="W33" s="606">
        <v>85</v>
      </c>
      <c r="X33" s="606">
        <v>85</v>
      </c>
      <c r="Y33" s="606">
        <v>85</v>
      </c>
      <c r="Z33" s="606">
        <v>85</v>
      </c>
      <c r="AA33" s="606">
        <v>85</v>
      </c>
      <c r="AB33" s="606">
        <v>85</v>
      </c>
      <c r="AC33" s="607">
        <v>85</v>
      </c>
    </row>
    <row r="34" spans="1:39" ht="33.6" customHeight="1">
      <c r="A34" s="897" t="s">
        <v>677</v>
      </c>
      <c r="B34" s="898"/>
      <c r="C34" s="898"/>
      <c r="D34" s="898"/>
      <c r="E34" s="898"/>
      <c r="F34" s="898"/>
      <c r="G34" s="898"/>
      <c r="H34" s="898"/>
      <c r="I34" s="898"/>
      <c r="J34" s="898"/>
      <c r="K34" s="898"/>
      <c r="L34" s="898"/>
      <c r="M34" s="898"/>
      <c r="N34" s="898"/>
      <c r="O34" s="898"/>
      <c r="P34" s="898"/>
      <c r="Q34" s="898"/>
      <c r="R34" s="898"/>
      <c r="S34" s="898"/>
      <c r="T34" s="898"/>
      <c r="U34" s="898"/>
      <c r="V34" s="898"/>
      <c r="W34" s="898"/>
      <c r="X34" s="898"/>
      <c r="Y34" s="898"/>
      <c r="Z34" s="898"/>
      <c r="AA34" s="898"/>
      <c r="AB34" s="898"/>
      <c r="AC34" s="899"/>
    </row>
    <row r="35" spans="1:39" ht="34.9" customHeight="1">
      <c r="A35" s="861"/>
      <c r="B35" s="901" t="s">
        <v>678</v>
      </c>
      <c r="C35" s="904" t="s">
        <v>679</v>
      </c>
      <c r="D35" s="907"/>
      <c r="E35" s="686" t="s">
        <v>382</v>
      </c>
      <c r="F35" s="687">
        <v>1</v>
      </c>
      <c r="G35" s="687">
        <v>1</v>
      </c>
      <c r="H35" s="687">
        <v>1</v>
      </c>
      <c r="I35" s="687">
        <v>1</v>
      </c>
      <c r="J35" s="687">
        <v>1</v>
      </c>
      <c r="K35" s="687">
        <v>1</v>
      </c>
      <c r="L35" s="687">
        <v>1</v>
      </c>
      <c r="M35" s="687">
        <v>1</v>
      </c>
      <c r="N35" s="687">
        <v>1</v>
      </c>
      <c r="O35" s="687">
        <v>1</v>
      </c>
      <c r="P35" s="687">
        <v>1</v>
      </c>
      <c r="Q35" s="687">
        <v>1</v>
      </c>
      <c r="R35" s="687">
        <v>1</v>
      </c>
      <c r="S35" s="687">
        <v>1</v>
      </c>
      <c r="T35" s="687">
        <v>1</v>
      </c>
      <c r="U35" s="687">
        <v>1</v>
      </c>
      <c r="V35" s="687">
        <v>1</v>
      </c>
      <c r="W35" s="687">
        <v>1</v>
      </c>
      <c r="X35" s="687">
        <v>1</v>
      </c>
      <c r="Y35" s="687">
        <v>1</v>
      </c>
      <c r="Z35" s="687">
        <v>1</v>
      </c>
      <c r="AA35" s="687">
        <v>1</v>
      </c>
      <c r="AB35" s="687">
        <v>1</v>
      </c>
      <c r="AC35" s="688">
        <v>1</v>
      </c>
    </row>
    <row r="36" spans="1:39" ht="34.9" customHeight="1">
      <c r="A36" s="862"/>
      <c r="B36" s="902"/>
      <c r="C36" s="905"/>
      <c r="D36" s="908"/>
      <c r="E36" s="689" t="s">
        <v>383</v>
      </c>
      <c r="F36" s="690">
        <v>1</v>
      </c>
      <c r="G36" s="690">
        <v>1</v>
      </c>
      <c r="H36" s="690">
        <v>1</v>
      </c>
      <c r="I36" s="690">
        <v>1</v>
      </c>
      <c r="J36" s="690">
        <v>1</v>
      </c>
      <c r="K36" s="690">
        <v>1</v>
      </c>
      <c r="L36" s="690">
        <v>1</v>
      </c>
      <c r="M36" s="690">
        <v>1</v>
      </c>
      <c r="N36" s="690">
        <v>1</v>
      </c>
      <c r="O36" s="690">
        <v>1</v>
      </c>
      <c r="P36" s="690">
        <v>1</v>
      </c>
      <c r="Q36" s="690">
        <v>1</v>
      </c>
      <c r="R36" s="690">
        <v>1</v>
      </c>
      <c r="S36" s="690">
        <v>1</v>
      </c>
      <c r="T36" s="690">
        <v>1</v>
      </c>
      <c r="U36" s="690">
        <v>1</v>
      </c>
      <c r="V36" s="690">
        <v>1</v>
      </c>
      <c r="W36" s="690">
        <v>1</v>
      </c>
      <c r="X36" s="690">
        <v>1</v>
      </c>
      <c r="Y36" s="690">
        <v>1</v>
      </c>
      <c r="Z36" s="690">
        <v>1</v>
      </c>
      <c r="AA36" s="690">
        <v>1</v>
      </c>
      <c r="AB36" s="690">
        <v>1</v>
      </c>
      <c r="AC36" s="691">
        <v>1</v>
      </c>
    </row>
    <row r="37" spans="1:39" ht="34.9" customHeight="1" thickBot="1">
      <c r="A37" s="900"/>
      <c r="B37" s="903"/>
      <c r="C37" s="906"/>
      <c r="D37" s="909"/>
      <c r="E37" s="692" t="s">
        <v>384</v>
      </c>
      <c r="F37" s="693">
        <v>1</v>
      </c>
      <c r="G37" s="693">
        <v>1</v>
      </c>
      <c r="H37" s="693">
        <v>1</v>
      </c>
      <c r="I37" s="693">
        <v>1</v>
      </c>
      <c r="J37" s="693">
        <v>1</v>
      </c>
      <c r="K37" s="693">
        <v>1</v>
      </c>
      <c r="L37" s="693">
        <v>1</v>
      </c>
      <c r="M37" s="693">
        <v>1</v>
      </c>
      <c r="N37" s="693">
        <v>1</v>
      </c>
      <c r="O37" s="693">
        <v>1</v>
      </c>
      <c r="P37" s="693">
        <v>1</v>
      </c>
      <c r="Q37" s="693">
        <v>1</v>
      </c>
      <c r="R37" s="693">
        <v>1</v>
      </c>
      <c r="S37" s="693">
        <v>1</v>
      </c>
      <c r="T37" s="693">
        <v>1</v>
      </c>
      <c r="U37" s="693">
        <v>1</v>
      </c>
      <c r="V37" s="693">
        <v>1</v>
      </c>
      <c r="W37" s="693">
        <v>1</v>
      </c>
      <c r="X37" s="693">
        <v>1</v>
      </c>
      <c r="Y37" s="693">
        <v>1</v>
      </c>
      <c r="Z37" s="693">
        <v>1</v>
      </c>
      <c r="AA37" s="693">
        <v>1</v>
      </c>
      <c r="AB37" s="693">
        <v>1</v>
      </c>
      <c r="AC37" s="694">
        <v>1</v>
      </c>
    </row>
    <row r="38" spans="1:39" ht="34.9" customHeight="1">
      <c r="A38" s="962"/>
      <c r="B38" s="965" t="s">
        <v>678</v>
      </c>
      <c r="C38" s="939" t="s">
        <v>680</v>
      </c>
      <c r="D38" s="908"/>
      <c r="E38" s="695" t="s">
        <v>382</v>
      </c>
      <c r="F38" s="696">
        <v>0</v>
      </c>
      <c r="G38" s="696">
        <v>0</v>
      </c>
      <c r="H38" s="696">
        <v>0</v>
      </c>
      <c r="I38" s="696">
        <v>0</v>
      </c>
      <c r="J38" s="696">
        <v>0</v>
      </c>
      <c r="K38" s="696">
        <v>1</v>
      </c>
      <c r="L38" s="696">
        <v>1</v>
      </c>
      <c r="M38" s="696">
        <v>1</v>
      </c>
      <c r="N38" s="696">
        <v>1</v>
      </c>
      <c r="O38" s="696">
        <v>1</v>
      </c>
      <c r="P38" s="696">
        <v>1</v>
      </c>
      <c r="Q38" s="696">
        <v>1</v>
      </c>
      <c r="R38" s="696">
        <v>1</v>
      </c>
      <c r="S38" s="696">
        <v>1</v>
      </c>
      <c r="T38" s="696">
        <v>1</v>
      </c>
      <c r="U38" s="696">
        <v>1</v>
      </c>
      <c r="V38" s="696">
        <v>1</v>
      </c>
      <c r="W38" s="696">
        <v>1</v>
      </c>
      <c r="X38" s="696">
        <v>1</v>
      </c>
      <c r="Y38" s="696">
        <v>1</v>
      </c>
      <c r="Z38" s="696">
        <v>1</v>
      </c>
      <c r="AA38" s="696">
        <v>1</v>
      </c>
      <c r="AB38" s="696">
        <v>0</v>
      </c>
      <c r="AC38" s="697">
        <v>0</v>
      </c>
    </row>
    <row r="39" spans="1:39" ht="34.9" customHeight="1">
      <c r="A39" s="963"/>
      <c r="B39" s="902"/>
      <c r="C39" s="905"/>
      <c r="D39" s="908"/>
      <c r="E39" s="689" t="s">
        <v>383</v>
      </c>
      <c r="F39" s="690">
        <v>0</v>
      </c>
      <c r="G39" s="690">
        <v>0</v>
      </c>
      <c r="H39" s="690">
        <v>0</v>
      </c>
      <c r="I39" s="690">
        <v>0</v>
      </c>
      <c r="J39" s="690">
        <v>0</v>
      </c>
      <c r="K39" s="690">
        <v>1</v>
      </c>
      <c r="L39" s="690">
        <v>1</v>
      </c>
      <c r="M39" s="690">
        <v>1</v>
      </c>
      <c r="N39" s="690">
        <v>1</v>
      </c>
      <c r="O39" s="690">
        <v>1</v>
      </c>
      <c r="P39" s="690">
        <v>1</v>
      </c>
      <c r="Q39" s="690">
        <v>1</v>
      </c>
      <c r="R39" s="690">
        <v>1</v>
      </c>
      <c r="S39" s="690">
        <v>1</v>
      </c>
      <c r="T39" s="690">
        <v>1</v>
      </c>
      <c r="U39" s="690">
        <v>1</v>
      </c>
      <c r="V39" s="690">
        <v>1</v>
      </c>
      <c r="W39" s="690">
        <v>1</v>
      </c>
      <c r="X39" s="690">
        <v>1</v>
      </c>
      <c r="Y39" s="690">
        <v>1</v>
      </c>
      <c r="Z39" s="690">
        <v>1</v>
      </c>
      <c r="AA39" s="690">
        <v>1</v>
      </c>
      <c r="AB39" s="690">
        <v>1</v>
      </c>
      <c r="AC39" s="698">
        <v>1</v>
      </c>
    </row>
    <row r="40" spans="1:39" ht="34.9" customHeight="1" thickBot="1">
      <c r="A40" s="964"/>
      <c r="B40" s="966"/>
      <c r="C40" s="940"/>
      <c r="D40" s="941"/>
      <c r="E40" s="699" t="s">
        <v>384</v>
      </c>
      <c r="F40" s="700">
        <v>0</v>
      </c>
      <c r="G40" s="700">
        <v>0</v>
      </c>
      <c r="H40" s="700">
        <v>0</v>
      </c>
      <c r="I40" s="700">
        <v>0</v>
      </c>
      <c r="J40" s="700">
        <v>0</v>
      </c>
      <c r="K40" s="700">
        <v>1</v>
      </c>
      <c r="L40" s="700">
        <v>1</v>
      </c>
      <c r="M40" s="700">
        <v>1</v>
      </c>
      <c r="N40" s="700">
        <v>1</v>
      </c>
      <c r="O40" s="700">
        <v>1</v>
      </c>
      <c r="P40" s="700">
        <v>1</v>
      </c>
      <c r="Q40" s="700">
        <v>1</v>
      </c>
      <c r="R40" s="700">
        <v>1</v>
      </c>
      <c r="S40" s="700">
        <v>1</v>
      </c>
      <c r="T40" s="700">
        <v>1</v>
      </c>
      <c r="U40" s="700">
        <v>1</v>
      </c>
      <c r="V40" s="700">
        <v>1</v>
      </c>
      <c r="W40" s="700">
        <v>1</v>
      </c>
      <c r="X40" s="700">
        <v>1</v>
      </c>
      <c r="Y40" s="700">
        <v>1</v>
      </c>
      <c r="Z40" s="700">
        <v>1</v>
      </c>
      <c r="AA40" s="700">
        <v>1</v>
      </c>
      <c r="AB40" s="700">
        <v>1</v>
      </c>
      <c r="AC40" s="701">
        <v>1</v>
      </c>
    </row>
    <row r="41" spans="1:39" ht="34.9" customHeight="1">
      <c r="A41" s="960" t="s">
        <v>110</v>
      </c>
      <c r="B41" s="875" t="s">
        <v>678</v>
      </c>
      <c r="C41" s="875" t="s">
        <v>681</v>
      </c>
      <c r="D41" s="894" t="s">
        <v>682</v>
      </c>
      <c r="E41" s="426" t="s">
        <v>382</v>
      </c>
      <c r="F41" s="455">
        <v>131.9</v>
      </c>
      <c r="G41" s="455">
        <v>131.9</v>
      </c>
      <c r="H41" s="455">
        <v>131.9</v>
      </c>
      <c r="I41" s="455">
        <v>131.9</v>
      </c>
      <c r="J41" s="455">
        <v>131.9</v>
      </c>
      <c r="K41" s="455">
        <v>131.9</v>
      </c>
      <c r="L41" s="455">
        <v>131.9</v>
      </c>
      <c r="M41" s="455">
        <v>131.9</v>
      </c>
      <c r="N41" s="455">
        <v>131.9</v>
      </c>
      <c r="O41" s="455">
        <v>131.9</v>
      </c>
      <c r="P41" s="455">
        <v>131.9</v>
      </c>
      <c r="Q41" s="455">
        <v>131.9</v>
      </c>
      <c r="R41" s="455">
        <v>131.9</v>
      </c>
      <c r="S41" s="455">
        <v>131.9</v>
      </c>
      <c r="T41" s="455">
        <v>131.9</v>
      </c>
      <c r="U41" s="455">
        <v>131.9</v>
      </c>
      <c r="V41" s="455">
        <v>131.9</v>
      </c>
      <c r="W41" s="455">
        <v>131.9</v>
      </c>
      <c r="X41" s="455">
        <v>131.9</v>
      </c>
      <c r="Y41" s="455">
        <v>131.9</v>
      </c>
      <c r="Z41" s="455">
        <v>131.9</v>
      </c>
      <c r="AA41" s="455">
        <v>131.9</v>
      </c>
      <c r="AB41" s="455">
        <v>131.9</v>
      </c>
      <c r="AC41" s="456">
        <v>131.9</v>
      </c>
    </row>
    <row r="42" spans="1:39" ht="34.9" customHeight="1">
      <c r="A42" s="933"/>
      <c r="B42" s="892"/>
      <c r="C42" s="892"/>
      <c r="D42" s="895"/>
      <c r="E42" s="427" t="s">
        <v>383</v>
      </c>
      <c r="F42" s="457">
        <v>131.9</v>
      </c>
      <c r="G42" s="457">
        <v>131.9</v>
      </c>
      <c r="H42" s="457">
        <v>131.9</v>
      </c>
      <c r="I42" s="457">
        <v>131.9</v>
      </c>
      <c r="J42" s="457">
        <v>131.9</v>
      </c>
      <c r="K42" s="457">
        <v>131.9</v>
      </c>
      <c r="L42" s="457">
        <v>131.9</v>
      </c>
      <c r="M42" s="457">
        <v>131.9</v>
      </c>
      <c r="N42" s="457">
        <v>131.9</v>
      </c>
      <c r="O42" s="457">
        <v>131.9</v>
      </c>
      <c r="P42" s="457">
        <v>131.9</v>
      </c>
      <c r="Q42" s="457">
        <v>131.9</v>
      </c>
      <c r="R42" s="457">
        <v>131.9</v>
      </c>
      <c r="S42" s="457">
        <v>131.9</v>
      </c>
      <c r="T42" s="457">
        <v>131.9</v>
      </c>
      <c r="U42" s="457">
        <v>131.9</v>
      </c>
      <c r="V42" s="457">
        <v>131.9</v>
      </c>
      <c r="W42" s="457">
        <v>131.9</v>
      </c>
      <c r="X42" s="457">
        <v>131.9</v>
      </c>
      <c r="Y42" s="457">
        <v>131.9</v>
      </c>
      <c r="Z42" s="457">
        <v>131.9</v>
      </c>
      <c r="AA42" s="457">
        <v>131.9</v>
      </c>
      <c r="AB42" s="457">
        <v>131.9</v>
      </c>
      <c r="AC42" s="458">
        <v>131.9</v>
      </c>
    </row>
    <row r="43" spans="1:39" ht="34.9" customHeight="1" thickBot="1">
      <c r="A43" s="934"/>
      <c r="B43" s="961"/>
      <c r="C43" s="893"/>
      <c r="D43" s="896"/>
      <c r="E43" s="435" t="s">
        <v>384</v>
      </c>
      <c r="F43" s="459">
        <v>131.9</v>
      </c>
      <c r="G43" s="459">
        <v>131.9</v>
      </c>
      <c r="H43" s="459">
        <v>131.9</v>
      </c>
      <c r="I43" s="459">
        <v>131.9</v>
      </c>
      <c r="J43" s="459">
        <v>131.9</v>
      </c>
      <c r="K43" s="459">
        <v>131.9</v>
      </c>
      <c r="L43" s="459">
        <v>131.9</v>
      </c>
      <c r="M43" s="459">
        <v>131.9</v>
      </c>
      <c r="N43" s="459">
        <v>131.9</v>
      </c>
      <c r="O43" s="459">
        <v>131.9</v>
      </c>
      <c r="P43" s="459">
        <v>131.9</v>
      </c>
      <c r="Q43" s="459">
        <v>131.9</v>
      </c>
      <c r="R43" s="459">
        <v>131.9</v>
      </c>
      <c r="S43" s="459">
        <v>131.9</v>
      </c>
      <c r="T43" s="459">
        <v>131.9</v>
      </c>
      <c r="U43" s="459">
        <v>131.9</v>
      </c>
      <c r="V43" s="459">
        <v>131.9</v>
      </c>
      <c r="W43" s="459">
        <v>131.9</v>
      </c>
      <c r="X43" s="459">
        <v>131.9</v>
      </c>
      <c r="Y43" s="459">
        <v>131.9</v>
      </c>
      <c r="Z43" s="459">
        <v>131.9</v>
      </c>
      <c r="AA43" s="459">
        <v>131.9</v>
      </c>
      <c r="AB43" s="459">
        <v>131.9</v>
      </c>
      <c r="AC43" s="460">
        <v>131.9</v>
      </c>
    </row>
    <row r="44" spans="1:39" ht="30" customHeight="1">
      <c r="A44" s="960" t="s">
        <v>683</v>
      </c>
      <c r="B44" s="875" t="s">
        <v>678</v>
      </c>
      <c r="C44" s="875" t="s">
        <v>684</v>
      </c>
      <c r="D44" s="894" t="s">
        <v>682</v>
      </c>
      <c r="E44" s="426" t="s">
        <v>382</v>
      </c>
      <c r="F44" s="455">
        <v>117.2</v>
      </c>
      <c r="G44" s="455">
        <v>117.2</v>
      </c>
      <c r="H44" s="455">
        <v>117.2</v>
      </c>
      <c r="I44" s="455">
        <v>117.2</v>
      </c>
      <c r="J44" s="455">
        <v>117.2</v>
      </c>
      <c r="K44" s="455">
        <v>117.2</v>
      </c>
      <c r="L44" s="455">
        <v>117.2</v>
      </c>
      <c r="M44" s="455">
        <v>117.2</v>
      </c>
      <c r="N44" s="455">
        <v>117.2</v>
      </c>
      <c r="O44" s="455">
        <v>117.2</v>
      </c>
      <c r="P44" s="455">
        <v>117.2</v>
      </c>
      <c r="Q44" s="455">
        <v>117.2</v>
      </c>
      <c r="R44" s="455">
        <v>117.2</v>
      </c>
      <c r="S44" s="455">
        <v>117.2</v>
      </c>
      <c r="T44" s="455">
        <v>117.2</v>
      </c>
      <c r="U44" s="455">
        <v>117.2</v>
      </c>
      <c r="V44" s="455">
        <v>117.2</v>
      </c>
      <c r="W44" s="455">
        <v>117.2</v>
      </c>
      <c r="X44" s="455">
        <v>117.2</v>
      </c>
      <c r="Y44" s="455">
        <v>117.2</v>
      </c>
      <c r="Z44" s="455">
        <v>117.2</v>
      </c>
      <c r="AA44" s="455">
        <v>117.2</v>
      </c>
      <c r="AB44" s="455">
        <v>117.2</v>
      </c>
      <c r="AC44" s="456">
        <v>117.2</v>
      </c>
      <c r="AD44" s="168"/>
      <c r="AE44" s="167"/>
      <c r="AF44" s="167"/>
      <c r="AG44" s="167"/>
      <c r="AH44" s="167"/>
      <c r="AI44" s="167"/>
      <c r="AJ44" s="167"/>
      <c r="AK44" s="167"/>
      <c r="AM44" s="239"/>
    </row>
    <row r="45" spans="1:39" ht="30" customHeight="1">
      <c r="A45" s="933"/>
      <c r="B45" s="892"/>
      <c r="C45" s="892"/>
      <c r="D45" s="895"/>
      <c r="E45" s="427" t="s">
        <v>383</v>
      </c>
      <c r="F45" s="457">
        <v>117.2</v>
      </c>
      <c r="G45" s="457">
        <v>117.2</v>
      </c>
      <c r="H45" s="457">
        <v>117.2</v>
      </c>
      <c r="I45" s="457">
        <v>117.2</v>
      </c>
      <c r="J45" s="457">
        <v>117.2</v>
      </c>
      <c r="K45" s="457">
        <v>117.2</v>
      </c>
      <c r="L45" s="457">
        <v>117.2</v>
      </c>
      <c r="M45" s="457">
        <v>117.2</v>
      </c>
      <c r="N45" s="457">
        <v>117.2</v>
      </c>
      <c r="O45" s="457">
        <v>117.2</v>
      </c>
      <c r="P45" s="457">
        <v>117.2</v>
      </c>
      <c r="Q45" s="457">
        <v>117.2</v>
      </c>
      <c r="R45" s="457">
        <v>117.2</v>
      </c>
      <c r="S45" s="457">
        <v>117.2</v>
      </c>
      <c r="T45" s="457">
        <v>117.2</v>
      </c>
      <c r="U45" s="457">
        <v>117.2</v>
      </c>
      <c r="V45" s="457">
        <v>117.2</v>
      </c>
      <c r="W45" s="457">
        <v>117.2</v>
      </c>
      <c r="X45" s="457">
        <v>117.2</v>
      </c>
      <c r="Y45" s="457">
        <v>117.2</v>
      </c>
      <c r="Z45" s="457">
        <v>117.2</v>
      </c>
      <c r="AA45" s="457">
        <v>117.2</v>
      </c>
      <c r="AB45" s="457">
        <v>117.2</v>
      </c>
      <c r="AC45" s="458">
        <v>117.2</v>
      </c>
      <c r="AD45" s="168"/>
      <c r="AE45" s="167"/>
      <c r="AF45" s="167"/>
      <c r="AG45" s="167"/>
      <c r="AH45" s="167"/>
      <c r="AI45" s="167"/>
      <c r="AJ45" s="167"/>
      <c r="AK45" s="167"/>
      <c r="AM45" s="239"/>
    </row>
    <row r="46" spans="1:39" ht="30" customHeight="1" thickBot="1">
      <c r="A46" s="933"/>
      <c r="B46" s="892"/>
      <c r="C46" s="892"/>
      <c r="D46" s="918"/>
      <c r="E46" s="428" t="s">
        <v>384</v>
      </c>
      <c r="F46" s="551">
        <v>117.2</v>
      </c>
      <c r="G46" s="551">
        <v>117.2</v>
      </c>
      <c r="H46" s="551">
        <v>117.2</v>
      </c>
      <c r="I46" s="551">
        <v>117.2</v>
      </c>
      <c r="J46" s="551">
        <v>117.2</v>
      </c>
      <c r="K46" s="551">
        <v>117.2</v>
      </c>
      <c r="L46" s="551">
        <v>117.2</v>
      </c>
      <c r="M46" s="551">
        <v>117.2</v>
      </c>
      <c r="N46" s="551">
        <v>117.2</v>
      </c>
      <c r="O46" s="551">
        <v>117.2</v>
      </c>
      <c r="P46" s="551">
        <v>117.2</v>
      </c>
      <c r="Q46" s="551">
        <v>117.2</v>
      </c>
      <c r="R46" s="551">
        <v>117.2</v>
      </c>
      <c r="S46" s="551">
        <v>117.2</v>
      </c>
      <c r="T46" s="551">
        <v>117.2</v>
      </c>
      <c r="U46" s="551">
        <v>117.2</v>
      </c>
      <c r="V46" s="551">
        <v>117.2</v>
      </c>
      <c r="W46" s="551">
        <v>117.2</v>
      </c>
      <c r="X46" s="551">
        <v>117.2</v>
      </c>
      <c r="Y46" s="551">
        <v>117.2</v>
      </c>
      <c r="Z46" s="551">
        <v>117.2</v>
      </c>
      <c r="AA46" s="551">
        <v>117.2</v>
      </c>
      <c r="AB46" s="551">
        <v>117.2</v>
      </c>
      <c r="AC46" s="552">
        <v>117.2</v>
      </c>
      <c r="AD46" s="168"/>
      <c r="AE46" s="167"/>
      <c r="AF46" s="167"/>
      <c r="AG46" s="167"/>
      <c r="AH46" s="167"/>
      <c r="AI46" s="167"/>
      <c r="AJ46" s="167"/>
      <c r="AK46" s="167"/>
      <c r="AM46" s="239"/>
    </row>
    <row r="47" spans="1:39" ht="30" customHeight="1">
      <c r="A47" s="861" t="s">
        <v>685</v>
      </c>
      <c r="B47" s="935" t="s">
        <v>678</v>
      </c>
      <c r="C47" s="935" t="s">
        <v>686</v>
      </c>
      <c r="D47" s="917" t="s">
        <v>682</v>
      </c>
      <c r="E47" s="461" t="s">
        <v>382</v>
      </c>
      <c r="F47" s="553">
        <v>146.5</v>
      </c>
      <c r="G47" s="553">
        <v>146.5</v>
      </c>
      <c r="H47" s="553">
        <v>146.5</v>
      </c>
      <c r="I47" s="553">
        <v>146.5</v>
      </c>
      <c r="J47" s="553">
        <v>146.5</v>
      </c>
      <c r="K47" s="553">
        <v>146.5</v>
      </c>
      <c r="L47" s="553">
        <v>146.5</v>
      </c>
      <c r="M47" s="553">
        <v>146.5</v>
      </c>
      <c r="N47" s="553">
        <v>146.5</v>
      </c>
      <c r="O47" s="553">
        <v>146.5</v>
      </c>
      <c r="P47" s="553">
        <v>146.5</v>
      </c>
      <c r="Q47" s="553">
        <v>146.5</v>
      </c>
      <c r="R47" s="553">
        <v>146.5</v>
      </c>
      <c r="S47" s="553">
        <v>146.5</v>
      </c>
      <c r="T47" s="553">
        <v>146.5</v>
      </c>
      <c r="U47" s="553">
        <v>146.5</v>
      </c>
      <c r="V47" s="553">
        <v>146.5</v>
      </c>
      <c r="W47" s="553">
        <v>146.5</v>
      </c>
      <c r="X47" s="553">
        <v>146.5</v>
      </c>
      <c r="Y47" s="553">
        <v>146.5</v>
      </c>
      <c r="Z47" s="553">
        <v>146.5</v>
      </c>
      <c r="AA47" s="553">
        <v>146.5</v>
      </c>
      <c r="AB47" s="553">
        <v>146.5</v>
      </c>
      <c r="AC47" s="554">
        <v>146.5</v>
      </c>
      <c r="AD47" s="168"/>
      <c r="AE47" s="167"/>
      <c r="AF47" s="167"/>
      <c r="AG47" s="167"/>
      <c r="AH47" s="167"/>
      <c r="AI47" s="167"/>
      <c r="AJ47" s="167"/>
      <c r="AK47" s="167"/>
      <c r="AM47" s="239"/>
    </row>
    <row r="48" spans="1:39" ht="30" customHeight="1">
      <c r="A48" s="933"/>
      <c r="B48" s="892"/>
      <c r="C48" s="892"/>
      <c r="D48" s="895"/>
      <c r="E48" s="427" t="s">
        <v>383</v>
      </c>
      <c r="F48" s="457">
        <v>146.5</v>
      </c>
      <c r="G48" s="457">
        <v>146.5</v>
      </c>
      <c r="H48" s="457">
        <v>146.5</v>
      </c>
      <c r="I48" s="457">
        <v>146.5</v>
      </c>
      <c r="J48" s="457">
        <v>146.5</v>
      </c>
      <c r="K48" s="457">
        <v>146.5</v>
      </c>
      <c r="L48" s="457">
        <v>146.5</v>
      </c>
      <c r="M48" s="457">
        <v>146.5</v>
      </c>
      <c r="N48" s="457">
        <v>146.5</v>
      </c>
      <c r="O48" s="457">
        <v>146.5</v>
      </c>
      <c r="P48" s="457">
        <v>146.5</v>
      </c>
      <c r="Q48" s="457">
        <v>146.5</v>
      </c>
      <c r="R48" s="457">
        <v>146.5</v>
      </c>
      <c r="S48" s="457">
        <v>146.5</v>
      </c>
      <c r="T48" s="457">
        <v>146.5</v>
      </c>
      <c r="U48" s="457">
        <v>146.5</v>
      </c>
      <c r="V48" s="457">
        <v>146.5</v>
      </c>
      <c r="W48" s="457">
        <v>146.5</v>
      </c>
      <c r="X48" s="457">
        <v>146.5</v>
      </c>
      <c r="Y48" s="457">
        <v>146.5</v>
      </c>
      <c r="Z48" s="457">
        <v>146.5</v>
      </c>
      <c r="AA48" s="457">
        <v>146.5</v>
      </c>
      <c r="AB48" s="457">
        <v>146.5</v>
      </c>
      <c r="AC48" s="555">
        <v>146.5</v>
      </c>
      <c r="AD48" s="168"/>
      <c r="AE48" s="167"/>
      <c r="AF48" s="167"/>
      <c r="AG48" s="167"/>
      <c r="AH48" s="167"/>
      <c r="AI48" s="167"/>
      <c r="AJ48" s="167"/>
      <c r="AK48" s="167"/>
      <c r="AM48" s="239"/>
    </row>
    <row r="49" spans="1:39" ht="30" customHeight="1" thickBot="1">
      <c r="A49" s="934"/>
      <c r="B49" s="893"/>
      <c r="C49" s="893"/>
      <c r="D49" s="936"/>
      <c r="E49" s="462" t="s">
        <v>384</v>
      </c>
      <c r="F49" s="556">
        <v>146.5</v>
      </c>
      <c r="G49" s="556">
        <v>146.5</v>
      </c>
      <c r="H49" s="556">
        <v>146.5</v>
      </c>
      <c r="I49" s="556">
        <v>146.5</v>
      </c>
      <c r="J49" s="556">
        <v>146.5</v>
      </c>
      <c r="K49" s="556">
        <v>146.5</v>
      </c>
      <c r="L49" s="556">
        <v>146.5</v>
      </c>
      <c r="M49" s="556">
        <v>146.5</v>
      </c>
      <c r="N49" s="556">
        <v>146.5</v>
      </c>
      <c r="O49" s="556">
        <v>146.5</v>
      </c>
      <c r="P49" s="556">
        <v>146.5</v>
      </c>
      <c r="Q49" s="556">
        <v>146.5</v>
      </c>
      <c r="R49" s="556">
        <v>146.5</v>
      </c>
      <c r="S49" s="556">
        <v>146.5</v>
      </c>
      <c r="T49" s="556">
        <v>146.5</v>
      </c>
      <c r="U49" s="556">
        <v>146.5</v>
      </c>
      <c r="V49" s="556">
        <v>146.5</v>
      </c>
      <c r="W49" s="556">
        <v>146.5</v>
      </c>
      <c r="X49" s="556">
        <v>146.5</v>
      </c>
      <c r="Y49" s="556">
        <v>146.5</v>
      </c>
      <c r="Z49" s="556">
        <v>146.5</v>
      </c>
      <c r="AA49" s="556">
        <v>146.5</v>
      </c>
      <c r="AB49" s="556">
        <v>146.5</v>
      </c>
      <c r="AC49" s="557">
        <v>146.5</v>
      </c>
      <c r="AD49" s="168"/>
      <c r="AE49" s="167"/>
      <c r="AF49" s="167"/>
      <c r="AG49" s="167"/>
      <c r="AH49" s="167"/>
      <c r="AI49" s="167"/>
      <c r="AJ49" s="167"/>
      <c r="AK49" s="167"/>
      <c r="AM49" s="239"/>
    </row>
    <row r="54" spans="1:39" s="238" customFormat="1" ht="21.6" hidden="1" customHeight="1">
      <c r="A54" s="463" t="s">
        <v>85</v>
      </c>
      <c r="B54" s="463"/>
      <c r="C54" s="463"/>
      <c r="D54" s="463"/>
      <c r="E54" s="463"/>
      <c r="F54" s="463"/>
    </row>
    <row r="55" spans="1:39" ht="21.6" hidden="1" customHeight="1" thickBot="1"/>
    <row r="56" spans="1:39" ht="34.9" hidden="1" customHeight="1">
      <c r="B56" s="922" t="s">
        <v>687</v>
      </c>
      <c r="C56" s="925" t="s">
        <v>148</v>
      </c>
      <c r="D56" s="913" t="s">
        <v>688</v>
      </c>
      <c r="E56" s="669" t="s">
        <v>382</v>
      </c>
      <c r="F56" s="161">
        <v>0.40947755650000001</v>
      </c>
      <c r="G56" s="161">
        <v>0.40947755650000001</v>
      </c>
      <c r="H56" s="161">
        <v>0.40947755650000001</v>
      </c>
      <c r="I56" s="161">
        <v>0.40947755650000001</v>
      </c>
      <c r="J56" s="161">
        <v>0.40947755650000001</v>
      </c>
      <c r="K56" s="161">
        <v>0.40947755650000001</v>
      </c>
      <c r="L56" s="161">
        <v>0.47975263350000003</v>
      </c>
      <c r="M56" s="161">
        <v>0.47975263350000003</v>
      </c>
      <c r="N56" s="161">
        <v>0.95950526700000005</v>
      </c>
      <c r="O56" s="161">
        <v>0.95950526700000005</v>
      </c>
      <c r="P56" s="161">
        <v>0.95950526700000005</v>
      </c>
      <c r="Q56" s="161">
        <v>0.95950526700000005</v>
      </c>
      <c r="R56" s="161">
        <v>0.90193495097999998</v>
      </c>
      <c r="S56" s="161">
        <v>0.95950526700000005</v>
      </c>
      <c r="T56" s="161">
        <v>0.95950526700000005</v>
      </c>
      <c r="U56" s="161">
        <v>0.95950526700000005</v>
      </c>
      <c r="V56" s="161">
        <v>0.95950526700000005</v>
      </c>
      <c r="W56" s="161">
        <v>0.47975263350000003</v>
      </c>
      <c r="X56" s="161">
        <v>0.19190105339999999</v>
      </c>
      <c r="Y56" s="161">
        <v>0.19190105339999999</v>
      </c>
      <c r="Z56" s="161">
        <v>0.19190105339999999</v>
      </c>
      <c r="AA56" s="161">
        <v>0.19190105339999999</v>
      </c>
      <c r="AB56" s="161">
        <v>0.19190105339999999</v>
      </c>
      <c r="AC56" s="162">
        <v>0.1637910226</v>
      </c>
      <c r="AM56" s="239"/>
    </row>
    <row r="57" spans="1:39" ht="34.9" hidden="1" customHeight="1">
      <c r="B57" s="923"/>
      <c r="C57" s="926"/>
      <c r="D57" s="890"/>
      <c r="E57" s="658" t="s">
        <v>383</v>
      </c>
      <c r="F57" s="157">
        <v>0.1637910226</v>
      </c>
      <c r="G57" s="157">
        <v>0.1637910226</v>
      </c>
      <c r="H57" s="157">
        <v>0.1637910226</v>
      </c>
      <c r="I57" s="157">
        <v>0.1637910226</v>
      </c>
      <c r="J57" s="157">
        <v>0.1637910226</v>
      </c>
      <c r="K57" s="157">
        <v>0.1637910226</v>
      </c>
      <c r="L57" s="157">
        <v>0.1637910226</v>
      </c>
      <c r="M57" s="157">
        <v>0.1637910226</v>
      </c>
      <c r="N57" s="157">
        <v>0.1637910226</v>
      </c>
      <c r="O57" s="157">
        <v>0.1637910226</v>
      </c>
      <c r="P57" s="157">
        <v>0.1637910226</v>
      </c>
      <c r="Q57" s="157">
        <v>0.1637910226</v>
      </c>
      <c r="R57" s="157">
        <v>0.1637910226</v>
      </c>
      <c r="S57" s="157">
        <v>0.1637910226</v>
      </c>
      <c r="T57" s="157">
        <v>0.1637910226</v>
      </c>
      <c r="U57" s="157">
        <v>0.1637910226</v>
      </c>
      <c r="V57" s="157">
        <v>0.1637910226</v>
      </c>
      <c r="W57" s="157">
        <v>0.1637910226</v>
      </c>
      <c r="X57" s="157">
        <v>0.1637910226</v>
      </c>
      <c r="Y57" s="157">
        <v>0.1637910226</v>
      </c>
      <c r="Z57" s="157">
        <v>0.1637910226</v>
      </c>
      <c r="AA57" s="157">
        <v>0.1637910226</v>
      </c>
      <c r="AB57" s="157">
        <v>0.1637910226</v>
      </c>
      <c r="AC57" s="163">
        <v>0.1637910226</v>
      </c>
      <c r="AM57" s="239"/>
    </row>
    <row r="58" spans="1:39" ht="34.9" hidden="1" customHeight="1" thickBot="1">
      <c r="B58" s="924"/>
      <c r="C58" s="927"/>
      <c r="D58" s="928"/>
      <c r="E58" s="670" t="s">
        <v>384</v>
      </c>
      <c r="F58" s="164">
        <v>0.1637910226</v>
      </c>
      <c r="G58" s="164">
        <v>0.1637910226</v>
      </c>
      <c r="H58" s="164">
        <v>0.1637910226</v>
      </c>
      <c r="I58" s="164">
        <v>0.1637910226</v>
      </c>
      <c r="J58" s="164">
        <v>0.1637910226</v>
      </c>
      <c r="K58" s="164">
        <v>0.1637910226</v>
      </c>
      <c r="L58" s="164">
        <v>0.1637910226</v>
      </c>
      <c r="M58" s="164">
        <v>0.1637910226</v>
      </c>
      <c r="N58" s="164">
        <v>0.1637910226</v>
      </c>
      <c r="O58" s="164">
        <v>0.1637910226</v>
      </c>
      <c r="P58" s="164">
        <v>0.1637910226</v>
      </c>
      <c r="Q58" s="164">
        <v>0.1637910226</v>
      </c>
      <c r="R58" s="164">
        <v>0.1637910226</v>
      </c>
      <c r="S58" s="164">
        <v>0.1637910226</v>
      </c>
      <c r="T58" s="164">
        <v>0.1637910226</v>
      </c>
      <c r="U58" s="164">
        <v>0.1637910226</v>
      </c>
      <c r="V58" s="164">
        <v>0.1637910226</v>
      </c>
      <c r="W58" s="164">
        <v>0.1637910226</v>
      </c>
      <c r="X58" s="164">
        <v>0.1637910226</v>
      </c>
      <c r="Y58" s="164">
        <v>0.1637910226</v>
      </c>
      <c r="Z58" s="164">
        <v>0.1637910226</v>
      </c>
      <c r="AA58" s="164">
        <v>0.1637910226</v>
      </c>
      <c r="AB58" s="164">
        <v>0.1637910226</v>
      </c>
      <c r="AC58" s="165">
        <v>0.1637910226</v>
      </c>
      <c r="AM58" s="239"/>
    </row>
    <row r="59" spans="1:39" ht="12" hidden="1" thickBot="1"/>
    <row r="60" spans="1:39" ht="33" hidden="1" customHeight="1" thickBot="1">
      <c r="B60" s="930" t="s">
        <v>689</v>
      </c>
      <c r="C60" s="931"/>
      <c r="D60" s="931"/>
      <c r="E60" s="931"/>
      <c r="F60" s="931"/>
      <c r="G60" s="931"/>
      <c r="H60" s="931"/>
      <c r="I60" s="931"/>
      <c r="J60" s="931"/>
      <c r="K60" s="931"/>
      <c r="L60" s="931"/>
      <c r="M60" s="931"/>
      <c r="N60" s="931"/>
      <c r="O60" s="931"/>
      <c r="P60" s="931"/>
      <c r="Q60" s="931"/>
      <c r="R60" s="931"/>
      <c r="S60" s="931"/>
      <c r="T60" s="931"/>
      <c r="U60" s="931"/>
      <c r="V60" s="931"/>
      <c r="W60" s="931"/>
      <c r="X60" s="931"/>
      <c r="Y60" s="931"/>
      <c r="Z60" s="931"/>
      <c r="AA60" s="931"/>
      <c r="AB60" s="931"/>
      <c r="AC60" s="932"/>
    </row>
    <row r="61" spans="1:39" ht="33" hidden="1" customHeight="1">
      <c r="B61" s="919" t="s">
        <v>690</v>
      </c>
      <c r="C61" s="913" t="s">
        <v>691</v>
      </c>
      <c r="D61" s="913" t="s">
        <v>692</v>
      </c>
      <c r="E61" s="669" t="s">
        <v>382</v>
      </c>
      <c r="F61" s="669">
        <f>0</f>
        <v>0</v>
      </c>
      <c r="G61" s="669">
        <v>0</v>
      </c>
      <c r="H61" s="669">
        <v>0</v>
      </c>
      <c r="I61" s="669">
        <v>0</v>
      </c>
      <c r="J61" s="669">
        <v>0</v>
      </c>
      <c r="K61" s="669">
        <v>0</v>
      </c>
      <c r="L61" s="669">
        <v>0.2</v>
      </c>
      <c r="M61" s="669">
        <v>0.7</v>
      </c>
      <c r="N61" s="669">
        <v>1</v>
      </c>
      <c r="O61" s="669">
        <v>1</v>
      </c>
      <c r="P61" s="669">
        <v>1</v>
      </c>
      <c r="Q61" s="669">
        <v>1</v>
      </c>
      <c r="R61" s="669">
        <v>1</v>
      </c>
      <c r="S61" s="669">
        <v>1</v>
      </c>
      <c r="T61" s="669">
        <v>1</v>
      </c>
      <c r="U61" s="669">
        <v>1</v>
      </c>
      <c r="V61" s="669">
        <v>1</v>
      </c>
      <c r="W61" s="669">
        <v>0.7</v>
      </c>
      <c r="X61" s="669">
        <v>0.5</v>
      </c>
      <c r="Y61" s="669">
        <v>0.3</v>
      </c>
      <c r="Z61" s="669">
        <v>0.2</v>
      </c>
      <c r="AA61" s="669">
        <v>0.2</v>
      </c>
      <c r="AB61" s="669">
        <v>0</v>
      </c>
      <c r="AC61" s="158">
        <v>0</v>
      </c>
    </row>
    <row r="62" spans="1:39" ht="33" hidden="1" customHeight="1">
      <c r="B62" s="920"/>
      <c r="C62" s="929"/>
      <c r="D62" s="929"/>
      <c r="E62" s="342" t="s">
        <v>383</v>
      </c>
      <c r="F62" s="345">
        <v>0</v>
      </c>
      <c r="G62" s="345">
        <v>0</v>
      </c>
      <c r="H62" s="345">
        <v>0</v>
      </c>
      <c r="I62" s="345">
        <v>0</v>
      </c>
      <c r="J62" s="345">
        <v>0</v>
      </c>
      <c r="K62" s="345">
        <v>0</v>
      </c>
      <c r="L62" s="345">
        <v>0.1</v>
      </c>
      <c r="M62" s="345">
        <v>0.1</v>
      </c>
      <c r="N62" s="345">
        <v>0.5</v>
      </c>
      <c r="O62" s="345">
        <v>0.5</v>
      </c>
      <c r="P62" s="345">
        <v>0.5</v>
      </c>
      <c r="Q62" s="345">
        <v>0.5</v>
      </c>
      <c r="R62" s="345">
        <v>0.1</v>
      </c>
      <c r="S62" s="345">
        <v>0.1</v>
      </c>
      <c r="T62" s="345">
        <v>0.1</v>
      </c>
      <c r="U62" s="345">
        <v>0.1</v>
      </c>
      <c r="V62" s="345">
        <v>0.1</v>
      </c>
      <c r="W62" s="345">
        <v>0.05</v>
      </c>
      <c r="X62" s="345">
        <v>5.0000000000000001E-3</v>
      </c>
      <c r="Y62" s="345">
        <v>0</v>
      </c>
      <c r="Z62" s="345">
        <v>0</v>
      </c>
      <c r="AA62" s="345">
        <v>0</v>
      </c>
      <c r="AB62" s="345">
        <v>0</v>
      </c>
      <c r="AC62" s="346">
        <v>0</v>
      </c>
    </row>
    <row r="63" spans="1:39" ht="33" hidden="1" customHeight="1" thickBot="1">
      <c r="B63" s="921"/>
      <c r="C63" s="928"/>
      <c r="D63" s="928"/>
      <c r="E63" s="670" t="s">
        <v>384</v>
      </c>
      <c r="F63" s="343"/>
      <c r="G63" s="343"/>
      <c r="H63" s="343"/>
      <c r="I63" s="343"/>
      <c r="J63" s="343"/>
      <c r="K63" s="343"/>
      <c r="L63" s="343"/>
      <c r="M63" s="343"/>
      <c r="N63" s="343"/>
      <c r="O63" s="343"/>
      <c r="P63" s="343"/>
      <c r="Q63" s="343"/>
      <c r="R63" s="343"/>
      <c r="S63" s="343"/>
      <c r="T63" s="343"/>
      <c r="U63" s="343"/>
      <c r="V63" s="343"/>
      <c r="W63" s="343"/>
      <c r="X63" s="343"/>
      <c r="Y63" s="343"/>
      <c r="Z63" s="343"/>
      <c r="AA63" s="343"/>
      <c r="AB63" s="343"/>
      <c r="AC63" s="344"/>
    </row>
    <row r="64" spans="1:39" ht="26.45" hidden="1" customHeight="1" thickBot="1">
      <c r="B64" s="916" t="s">
        <v>693</v>
      </c>
      <c r="C64" s="916"/>
      <c r="D64" s="916"/>
      <c r="E64" s="916"/>
      <c r="F64" s="916"/>
      <c r="G64" s="916"/>
      <c r="H64" s="916"/>
      <c r="I64" s="916"/>
      <c r="J64" s="916"/>
      <c r="K64" s="916"/>
      <c r="L64" s="916"/>
      <c r="M64" s="916"/>
      <c r="N64" s="916"/>
      <c r="O64" s="916"/>
      <c r="P64" s="916"/>
      <c r="Q64" s="916"/>
      <c r="R64" s="916"/>
      <c r="S64" s="916"/>
      <c r="T64" s="916"/>
      <c r="U64" s="916"/>
      <c r="V64" s="916"/>
      <c r="W64" s="916"/>
      <c r="X64" s="916"/>
      <c r="Y64" s="916"/>
      <c r="Z64" s="916"/>
      <c r="AA64" s="916"/>
      <c r="AB64" s="916"/>
      <c r="AC64" s="916"/>
      <c r="AD64" s="167"/>
      <c r="AE64" s="167"/>
      <c r="AF64" s="167"/>
      <c r="AG64" s="167"/>
      <c r="AH64" s="167"/>
      <c r="AI64" s="167"/>
      <c r="AJ64" s="167"/>
      <c r="AK64" s="167"/>
    </row>
    <row r="65" spans="2:37" ht="39.6" hidden="1" customHeight="1">
      <c r="B65" s="910" t="s">
        <v>694</v>
      </c>
      <c r="C65" s="945" t="s">
        <v>695</v>
      </c>
      <c r="D65" s="913" t="s">
        <v>696</v>
      </c>
      <c r="E65" s="669" t="s">
        <v>382</v>
      </c>
      <c r="F65" s="669">
        <v>0</v>
      </c>
      <c r="G65" s="669">
        <v>0</v>
      </c>
      <c r="H65" s="669">
        <v>0</v>
      </c>
      <c r="I65" s="669">
        <v>0</v>
      </c>
      <c r="J65" s="669">
        <v>0</v>
      </c>
      <c r="K65" s="669">
        <v>0</v>
      </c>
      <c r="L65" s="669">
        <v>0</v>
      </c>
      <c r="M65" s="669">
        <v>1</v>
      </c>
      <c r="N65" s="669">
        <v>1</v>
      </c>
      <c r="O65" s="669">
        <v>1</v>
      </c>
      <c r="P65" s="669">
        <v>1</v>
      </c>
      <c r="Q65" s="669">
        <v>1</v>
      </c>
      <c r="R65" s="669">
        <v>1</v>
      </c>
      <c r="S65" s="669">
        <v>1</v>
      </c>
      <c r="T65" s="669">
        <v>1</v>
      </c>
      <c r="U65" s="669">
        <v>1</v>
      </c>
      <c r="V65" s="669">
        <v>1</v>
      </c>
      <c r="W65" s="669">
        <v>1</v>
      </c>
      <c r="X65" s="669">
        <v>0</v>
      </c>
      <c r="Y65" s="669">
        <v>0</v>
      </c>
      <c r="Z65" s="669">
        <v>0</v>
      </c>
      <c r="AA65" s="669">
        <v>0</v>
      </c>
      <c r="AB65" s="669">
        <v>0</v>
      </c>
      <c r="AC65" s="158">
        <v>0</v>
      </c>
      <c r="AD65" s="167"/>
      <c r="AE65" s="167"/>
      <c r="AF65" s="167"/>
      <c r="AG65" s="167"/>
      <c r="AH65" s="167"/>
      <c r="AI65" s="167"/>
      <c r="AJ65" s="167"/>
      <c r="AK65" s="167"/>
    </row>
    <row r="66" spans="2:37" ht="39.6" hidden="1" customHeight="1">
      <c r="B66" s="911"/>
      <c r="C66" s="946"/>
      <c r="D66" s="890"/>
      <c r="E66" s="658" t="s">
        <v>383</v>
      </c>
      <c r="F66" s="658">
        <v>0</v>
      </c>
      <c r="G66" s="658">
        <v>0</v>
      </c>
      <c r="H66" s="658">
        <v>0</v>
      </c>
      <c r="I66" s="658">
        <v>0</v>
      </c>
      <c r="J66" s="658">
        <v>0</v>
      </c>
      <c r="K66" s="658">
        <v>0</v>
      </c>
      <c r="L66" s="658">
        <v>0</v>
      </c>
      <c r="M66" s="658">
        <v>0</v>
      </c>
      <c r="N66" s="658">
        <v>1</v>
      </c>
      <c r="O66" s="658">
        <v>1</v>
      </c>
      <c r="P66" s="658">
        <v>1</v>
      </c>
      <c r="Q66" s="658">
        <v>1</v>
      </c>
      <c r="R66" s="658">
        <v>0</v>
      </c>
      <c r="S66" s="658">
        <v>0</v>
      </c>
      <c r="T66" s="658">
        <v>0</v>
      </c>
      <c r="U66" s="658">
        <v>0</v>
      </c>
      <c r="V66" s="658">
        <v>0</v>
      </c>
      <c r="W66" s="658">
        <v>0</v>
      </c>
      <c r="X66" s="658">
        <v>0</v>
      </c>
      <c r="Y66" s="658">
        <v>0</v>
      </c>
      <c r="Z66" s="658">
        <v>0</v>
      </c>
      <c r="AA66" s="658">
        <v>0</v>
      </c>
      <c r="AB66" s="658">
        <v>0</v>
      </c>
      <c r="AC66" s="159">
        <v>0</v>
      </c>
      <c r="AD66" s="167"/>
      <c r="AE66" s="167"/>
      <c r="AF66" s="167"/>
      <c r="AG66" s="167"/>
      <c r="AH66" s="167"/>
      <c r="AI66" s="167"/>
      <c r="AJ66" s="167"/>
      <c r="AK66" s="167"/>
    </row>
    <row r="67" spans="2:37" ht="39.6" hidden="1" customHeight="1">
      <c r="B67" s="911"/>
      <c r="C67" s="946"/>
      <c r="D67" s="890"/>
      <c r="E67" s="658" t="s">
        <v>384</v>
      </c>
      <c r="F67" s="658">
        <v>0</v>
      </c>
      <c r="G67" s="658">
        <v>0</v>
      </c>
      <c r="H67" s="658">
        <v>0</v>
      </c>
      <c r="I67" s="658">
        <v>0</v>
      </c>
      <c r="J67" s="658">
        <v>0</v>
      </c>
      <c r="K67" s="658">
        <v>0</v>
      </c>
      <c r="L67" s="658">
        <v>0</v>
      </c>
      <c r="M67" s="658">
        <v>0</v>
      </c>
      <c r="N67" s="658">
        <v>0</v>
      </c>
      <c r="O67" s="658">
        <v>0</v>
      </c>
      <c r="P67" s="658">
        <v>0</v>
      </c>
      <c r="Q67" s="658">
        <v>0</v>
      </c>
      <c r="R67" s="658">
        <v>0</v>
      </c>
      <c r="S67" s="658">
        <v>0</v>
      </c>
      <c r="T67" s="658">
        <v>0</v>
      </c>
      <c r="U67" s="658">
        <v>0</v>
      </c>
      <c r="V67" s="658">
        <v>0</v>
      </c>
      <c r="W67" s="658">
        <v>0</v>
      </c>
      <c r="X67" s="658">
        <v>0</v>
      </c>
      <c r="Y67" s="658">
        <v>0</v>
      </c>
      <c r="Z67" s="658">
        <v>0</v>
      </c>
      <c r="AA67" s="658">
        <v>0</v>
      </c>
      <c r="AB67" s="658">
        <v>0</v>
      </c>
      <c r="AC67" s="159">
        <v>0</v>
      </c>
      <c r="AD67" s="167"/>
      <c r="AE67" s="167"/>
      <c r="AF67" s="167"/>
      <c r="AG67" s="167"/>
      <c r="AH67" s="167"/>
      <c r="AI67" s="167"/>
      <c r="AJ67" s="167"/>
      <c r="AK67" s="167"/>
    </row>
    <row r="68" spans="2:37" ht="39.6" hidden="1" customHeight="1">
      <c r="B68" s="911"/>
      <c r="C68" s="946"/>
      <c r="D68" s="890" t="s">
        <v>697</v>
      </c>
      <c r="E68" s="658" t="s">
        <v>382</v>
      </c>
      <c r="F68" s="658">
        <v>0</v>
      </c>
      <c r="G68" s="658">
        <v>0</v>
      </c>
      <c r="H68" s="658">
        <v>0</v>
      </c>
      <c r="I68" s="658">
        <v>0</v>
      </c>
      <c r="J68" s="658">
        <v>0</v>
      </c>
      <c r="K68" s="658">
        <v>0</v>
      </c>
      <c r="L68" s="658">
        <v>1</v>
      </c>
      <c r="M68" s="658">
        <v>1</v>
      </c>
      <c r="N68" s="658">
        <v>1</v>
      </c>
      <c r="O68" s="658">
        <v>1</v>
      </c>
      <c r="P68" s="658">
        <v>1</v>
      </c>
      <c r="Q68" s="658">
        <v>1</v>
      </c>
      <c r="R68" s="658">
        <v>1</v>
      </c>
      <c r="S68" s="658">
        <v>1</v>
      </c>
      <c r="T68" s="658">
        <v>1</v>
      </c>
      <c r="U68" s="658">
        <v>1</v>
      </c>
      <c r="V68" s="658">
        <v>1</v>
      </c>
      <c r="W68" s="658">
        <v>1</v>
      </c>
      <c r="X68" s="658">
        <v>1</v>
      </c>
      <c r="Y68" s="658">
        <v>1</v>
      </c>
      <c r="Z68" s="658">
        <v>1</v>
      </c>
      <c r="AA68" s="658">
        <v>1</v>
      </c>
      <c r="AB68" s="658">
        <v>0</v>
      </c>
      <c r="AC68" s="159">
        <v>0</v>
      </c>
      <c r="AD68" s="167"/>
      <c r="AE68" s="167"/>
      <c r="AF68" s="167"/>
      <c r="AG68" s="167"/>
      <c r="AH68" s="167"/>
      <c r="AI68" s="167"/>
      <c r="AJ68" s="167"/>
      <c r="AK68" s="167"/>
    </row>
    <row r="69" spans="2:37" ht="39.6" hidden="1" customHeight="1">
      <c r="B69" s="911"/>
      <c r="C69" s="946"/>
      <c r="D69" s="890"/>
      <c r="E69" s="658" t="s">
        <v>383</v>
      </c>
      <c r="F69" s="658">
        <v>0</v>
      </c>
      <c r="G69" s="658">
        <v>0</v>
      </c>
      <c r="H69" s="658">
        <v>0</v>
      </c>
      <c r="I69" s="658">
        <v>0</v>
      </c>
      <c r="J69" s="658">
        <v>0</v>
      </c>
      <c r="K69" s="658">
        <v>0</v>
      </c>
      <c r="L69" s="658">
        <v>0</v>
      </c>
      <c r="M69" s="658">
        <v>0</v>
      </c>
      <c r="N69" s="658">
        <v>0</v>
      </c>
      <c r="O69" s="658">
        <v>0</v>
      </c>
      <c r="P69" s="658">
        <v>0</v>
      </c>
      <c r="Q69" s="658">
        <v>0</v>
      </c>
      <c r="R69" s="658">
        <v>0</v>
      </c>
      <c r="S69" s="658">
        <v>0</v>
      </c>
      <c r="T69" s="658">
        <v>0</v>
      </c>
      <c r="U69" s="658">
        <v>0</v>
      </c>
      <c r="V69" s="658">
        <v>0</v>
      </c>
      <c r="W69" s="658">
        <v>0</v>
      </c>
      <c r="X69" s="658">
        <v>0</v>
      </c>
      <c r="Y69" s="658">
        <v>0</v>
      </c>
      <c r="Z69" s="658">
        <v>0</v>
      </c>
      <c r="AA69" s="658">
        <v>0</v>
      </c>
      <c r="AB69" s="658">
        <v>0</v>
      </c>
      <c r="AC69" s="159">
        <v>0</v>
      </c>
      <c r="AD69" s="167"/>
      <c r="AE69" s="167"/>
      <c r="AF69" s="167"/>
      <c r="AG69" s="167"/>
      <c r="AH69" s="167"/>
      <c r="AI69" s="167"/>
      <c r="AJ69" s="167"/>
      <c r="AK69" s="167"/>
    </row>
    <row r="70" spans="2:37" ht="39.6" hidden="1" customHeight="1" thickBot="1">
      <c r="B70" s="912"/>
      <c r="C70" s="947"/>
      <c r="D70" s="928"/>
      <c r="E70" s="670" t="s">
        <v>384</v>
      </c>
      <c r="F70" s="670">
        <v>0</v>
      </c>
      <c r="G70" s="670">
        <v>0</v>
      </c>
      <c r="H70" s="670">
        <v>0</v>
      </c>
      <c r="I70" s="670">
        <v>0</v>
      </c>
      <c r="J70" s="670">
        <v>0</v>
      </c>
      <c r="K70" s="670">
        <v>0</v>
      </c>
      <c r="L70" s="670">
        <v>0</v>
      </c>
      <c r="M70" s="670">
        <v>0</v>
      </c>
      <c r="N70" s="670">
        <v>0</v>
      </c>
      <c r="O70" s="670">
        <v>0</v>
      </c>
      <c r="P70" s="670">
        <v>0</v>
      </c>
      <c r="Q70" s="670">
        <v>0</v>
      </c>
      <c r="R70" s="670">
        <v>0</v>
      </c>
      <c r="S70" s="670">
        <v>0</v>
      </c>
      <c r="T70" s="670">
        <v>0</v>
      </c>
      <c r="U70" s="670">
        <v>0</v>
      </c>
      <c r="V70" s="670">
        <v>0</v>
      </c>
      <c r="W70" s="670">
        <v>0</v>
      </c>
      <c r="X70" s="670">
        <v>0</v>
      </c>
      <c r="Y70" s="670">
        <v>0</v>
      </c>
      <c r="Z70" s="670">
        <v>0</v>
      </c>
      <c r="AA70" s="670">
        <v>0</v>
      </c>
      <c r="AB70" s="670">
        <v>0</v>
      </c>
      <c r="AC70" s="160">
        <v>0</v>
      </c>
      <c r="AD70" s="167"/>
      <c r="AE70" s="167"/>
      <c r="AF70" s="167"/>
      <c r="AG70" s="167"/>
      <c r="AH70" s="167"/>
      <c r="AI70" s="167"/>
      <c r="AJ70" s="167"/>
      <c r="AK70" s="167"/>
    </row>
    <row r="71" spans="2:37" ht="39.6" hidden="1" customHeight="1"/>
    <row r="72" spans="2:37" hidden="1"/>
    <row r="73" spans="2:37" hidden="1"/>
    <row r="74" spans="2:37" hidden="1"/>
    <row r="75" spans="2:37" hidden="1"/>
    <row r="76" spans="2:37" s="6" customFormat="1" ht="13.9" hidden="1" thickBot="1">
      <c r="S76" s="9"/>
    </row>
    <row r="77" spans="2:37" ht="28.9" hidden="1" customHeight="1">
      <c r="C77" s="948" t="s">
        <v>698</v>
      </c>
      <c r="D77" s="942" t="s">
        <v>699</v>
      </c>
      <c r="E77" s="659" t="s">
        <v>382</v>
      </c>
      <c r="F77" s="545">
        <v>0.05</v>
      </c>
      <c r="G77" s="545">
        <v>0.05</v>
      </c>
      <c r="H77" s="545">
        <v>0.05</v>
      </c>
      <c r="I77" s="545">
        <v>0.05</v>
      </c>
      <c r="J77" s="545">
        <v>0.05</v>
      </c>
      <c r="K77" s="545">
        <v>0.1</v>
      </c>
      <c r="L77" s="545">
        <v>0.1</v>
      </c>
      <c r="M77" s="545">
        <v>0.3</v>
      </c>
      <c r="N77" s="545">
        <v>0.9</v>
      </c>
      <c r="O77" s="545">
        <v>0.9</v>
      </c>
      <c r="P77" s="545">
        <v>0.9</v>
      </c>
      <c r="Q77" s="545">
        <v>0.9</v>
      </c>
      <c r="R77" s="545">
        <v>0.9</v>
      </c>
      <c r="S77" s="545">
        <v>0.9</v>
      </c>
      <c r="T77" s="545">
        <v>0.9</v>
      </c>
      <c r="U77" s="545">
        <v>0.9</v>
      </c>
      <c r="V77" s="545">
        <v>0.9</v>
      </c>
      <c r="W77" s="545">
        <v>0.5</v>
      </c>
      <c r="X77" s="545">
        <v>0.3</v>
      </c>
      <c r="Y77" s="545">
        <v>0.3</v>
      </c>
      <c r="Z77" s="545">
        <v>0.2</v>
      </c>
      <c r="AA77" s="545">
        <v>0.2</v>
      </c>
      <c r="AB77" s="545">
        <v>0.1</v>
      </c>
      <c r="AC77" s="545">
        <v>0.05</v>
      </c>
    </row>
    <row r="78" spans="2:37" ht="28.9" hidden="1" customHeight="1">
      <c r="C78" s="949"/>
      <c r="D78" s="943"/>
      <c r="E78" s="660" t="s">
        <v>383</v>
      </c>
      <c r="F78" s="54">
        <v>0.05</v>
      </c>
      <c r="G78" s="54">
        <v>0.05</v>
      </c>
      <c r="H78" s="54">
        <v>0.05</v>
      </c>
      <c r="I78" s="54">
        <v>0.05</v>
      </c>
      <c r="J78" s="54">
        <v>0.05</v>
      </c>
      <c r="K78" s="54">
        <v>0.05</v>
      </c>
      <c r="L78" s="54">
        <v>0.1</v>
      </c>
      <c r="M78" s="54">
        <v>0.1</v>
      </c>
      <c r="N78" s="54">
        <v>0.3</v>
      </c>
      <c r="O78" s="54">
        <v>0.3</v>
      </c>
      <c r="P78" s="54">
        <v>0.3</v>
      </c>
      <c r="Q78" s="54">
        <v>0.3</v>
      </c>
      <c r="R78" s="54">
        <v>0.15</v>
      </c>
      <c r="S78" s="54">
        <v>0.15</v>
      </c>
      <c r="T78" s="54">
        <v>0.15</v>
      </c>
      <c r="U78" s="54">
        <v>0.15</v>
      </c>
      <c r="V78" s="54">
        <v>0.15</v>
      </c>
      <c r="W78" s="54">
        <v>0.05</v>
      </c>
      <c r="X78" s="54">
        <v>0.05</v>
      </c>
      <c r="Y78" s="54">
        <v>0.05</v>
      </c>
      <c r="Z78" s="54">
        <v>0.05</v>
      </c>
      <c r="AA78" s="54">
        <v>0.05</v>
      </c>
      <c r="AB78" s="54">
        <v>0.05</v>
      </c>
      <c r="AC78" s="54">
        <v>0.05</v>
      </c>
    </row>
    <row r="79" spans="2:37" ht="28.9" hidden="1" customHeight="1" thickBot="1">
      <c r="C79" s="950"/>
      <c r="D79" s="944"/>
      <c r="E79" s="661" t="s">
        <v>384</v>
      </c>
      <c r="F79" s="546">
        <v>0.05</v>
      </c>
      <c r="G79" s="546">
        <v>0.05</v>
      </c>
      <c r="H79" s="546">
        <v>0.05</v>
      </c>
      <c r="I79" s="546">
        <v>0.05</v>
      </c>
      <c r="J79" s="546">
        <v>0.05</v>
      </c>
      <c r="K79" s="546">
        <v>0.05</v>
      </c>
      <c r="L79" s="546">
        <v>0.05</v>
      </c>
      <c r="M79" s="546">
        <v>0.05</v>
      </c>
      <c r="N79" s="546">
        <v>0.05</v>
      </c>
      <c r="O79" s="546">
        <v>0.05</v>
      </c>
      <c r="P79" s="546">
        <v>0.05</v>
      </c>
      <c r="Q79" s="546">
        <v>0.05</v>
      </c>
      <c r="R79" s="546">
        <v>0.05</v>
      </c>
      <c r="S79" s="546">
        <v>0.05</v>
      </c>
      <c r="T79" s="546">
        <v>0.05</v>
      </c>
      <c r="U79" s="546">
        <v>0.05</v>
      </c>
      <c r="V79" s="546">
        <v>0.05</v>
      </c>
      <c r="W79" s="546">
        <v>0.05</v>
      </c>
      <c r="X79" s="546">
        <v>0.05</v>
      </c>
      <c r="Y79" s="546">
        <v>0.05</v>
      </c>
      <c r="Z79" s="546">
        <v>0.05</v>
      </c>
      <c r="AA79" s="546">
        <v>0.05</v>
      </c>
      <c r="AB79" s="546">
        <v>0.05</v>
      </c>
      <c r="AC79" s="546">
        <v>0.05</v>
      </c>
    </row>
    <row r="80" spans="2:37" ht="28.9" hidden="1" customHeight="1">
      <c r="C80" s="948" t="s">
        <v>698</v>
      </c>
      <c r="D80" s="942" t="s">
        <v>700</v>
      </c>
      <c r="E80" s="659" t="s">
        <v>382</v>
      </c>
      <c r="F80" s="547">
        <v>0.40947755650000001</v>
      </c>
      <c r="G80" s="547">
        <v>0.40947755650000001</v>
      </c>
      <c r="H80" s="547">
        <v>0.40947755650000001</v>
      </c>
      <c r="I80" s="547">
        <v>0.40947755650000001</v>
      </c>
      <c r="J80" s="547">
        <v>0.40947755650000001</v>
      </c>
      <c r="K80" s="547">
        <v>0.40947755650000001</v>
      </c>
      <c r="L80" s="547">
        <v>0.47975263350000003</v>
      </c>
      <c r="M80" s="547">
        <v>0.47975263350000003</v>
      </c>
      <c r="N80" s="547">
        <v>0.95950526700000005</v>
      </c>
      <c r="O80" s="547">
        <v>0.95950526700000005</v>
      </c>
      <c r="P80" s="547">
        <v>0.95950526700000005</v>
      </c>
      <c r="Q80" s="547">
        <v>0.95950526700000005</v>
      </c>
      <c r="R80" s="547">
        <v>0.90193495097999998</v>
      </c>
      <c r="S80" s="547">
        <v>0.95950526700000005</v>
      </c>
      <c r="T80" s="547">
        <v>0.95950526700000005</v>
      </c>
      <c r="U80" s="547">
        <v>0.95950526700000005</v>
      </c>
      <c r="V80" s="547">
        <v>0.95950526700000005</v>
      </c>
      <c r="W80" s="547">
        <v>0.47975263350000003</v>
      </c>
      <c r="X80" s="547">
        <v>0.19190105339999999</v>
      </c>
      <c r="Y80" s="547">
        <v>0.19190105339999999</v>
      </c>
      <c r="Z80" s="547">
        <v>0.19190105339999999</v>
      </c>
      <c r="AA80" s="547">
        <v>0.19190105339999999</v>
      </c>
      <c r="AB80" s="547">
        <v>0.19190105339999999</v>
      </c>
      <c r="AC80" s="547">
        <v>0.1637910226</v>
      </c>
    </row>
    <row r="81" spans="3:31" ht="28.9" hidden="1" customHeight="1">
      <c r="C81" s="949"/>
      <c r="D81" s="943"/>
      <c r="E81" s="660" t="s">
        <v>383</v>
      </c>
      <c r="F81" s="544">
        <v>0.1637910226</v>
      </c>
      <c r="G81" s="544">
        <v>0.1637910226</v>
      </c>
      <c r="H81" s="544">
        <v>0.1637910226</v>
      </c>
      <c r="I81" s="544">
        <v>0.1637910226</v>
      </c>
      <c r="J81" s="544">
        <v>0.1637910226</v>
      </c>
      <c r="K81" s="544">
        <v>0.1637910226</v>
      </c>
      <c r="L81" s="544">
        <v>0.1637910226</v>
      </c>
      <c r="M81" s="544">
        <v>0.1637910226</v>
      </c>
      <c r="N81" s="544">
        <v>0.1637910226</v>
      </c>
      <c r="O81" s="544">
        <v>0.1637910226</v>
      </c>
      <c r="P81" s="544">
        <v>0.1637910226</v>
      </c>
      <c r="Q81" s="544">
        <v>0.1637910226</v>
      </c>
      <c r="R81" s="544">
        <v>0.1637910226</v>
      </c>
      <c r="S81" s="544">
        <v>0.1637910226</v>
      </c>
      <c r="T81" s="544">
        <v>0.1637910226</v>
      </c>
      <c r="U81" s="544">
        <v>0.1637910226</v>
      </c>
      <c r="V81" s="544">
        <v>0.1637910226</v>
      </c>
      <c r="W81" s="544">
        <v>0.1637910226</v>
      </c>
      <c r="X81" s="544">
        <v>0.1637910226</v>
      </c>
      <c r="Y81" s="544">
        <v>0.1637910226</v>
      </c>
      <c r="Z81" s="544">
        <v>0.1637910226</v>
      </c>
      <c r="AA81" s="544">
        <v>0.1637910226</v>
      </c>
      <c r="AB81" s="544">
        <v>0.1637910226</v>
      </c>
      <c r="AC81" s="544">
        <v>0.1637910226</v>
      </c>
    </row>
    <row r="82" spans="3:31" ht="28.9" hidden="1" customHeight="1" thickBot="1">
      <c r="C82" s="950"/>
      <c r="D82" s="944"/>
      <c r="E82" s="661" t="s">
        <v>384</v>
      </c>
      <c r="F82" s="549">
        <v>0.1637910226</v>
      </c>
      <c r="G82" s="549">
        <v>0.1637910226</v>
      </c>
      <c r="H82" s="549">
        <v>0.1637910226</v>
      </c>
      <c r="I82" s="549">
        <v>0.1637910226</v>
      </c>
      <c r="J82" s="549">
        <v>0.1637910226</v>
      </c>
      <c r="K82" s="549">
        <v>0.1637910226</v>
      </c>
      <c r="L82" s="549">
        <v>0.1637910226</v>
      </c>
      <c r="M82" s="549">
        <v>0.1637910226</v>
      </c>
      <c r="N82" s="549">
        <v>0.1637910226</v>
      </c>
      <c r="O82" s="549">
        <v>0.1637910226</v>
      </c>
      <c r="P82" s="549">
        <v>0.1637910226</v>
      </c>
      <c r="Q82" s="549">
        <v>0.1637910226</v>
      </c>
      <c r="R82" s="549">
        <v>0.1637910226</v>
      </c>
      <c r="S82" s="549">
        <v>0.1637910226</v>
      </c>
      <c r="T82" s="549">
        <v>0.1637910226</v>
      </c>
      <c r="U82" s="549">
        <v>0.1637910226</v>
      </c>
      <c r="V82" s="549">
        <v>0.1637910226</v>
      </c>
      <c r="W82" s="549">
        <v>0.1637910226</v>
      </c>
      <c r="X82" s="549">
        <v>0.1637910226</v>
      </c>
      <c r="Y82" s="549">
        <v>0.1637910226</v>
      </c>
      <c r="Z82" s="549">
        <v>0.1637910226</v>
      </c>
      <c r="AA82" s="549">
        <v>0.1637910226</v>
      </c>
      <c r="AB82" s="549">
        <v>0.1637910226</v>
      </c>
      <c r="AC82" s="549">
        <v>0.1637910226</v>
      </c>
    </row>
    <row r="83" spans="3:31" ht="28.9" hidden="1" customHeight="1">
      <c r="C83" s="951" t="s">
        <v>698</v>
      </c>
      <c r="D83" s="952" t="s">
        <v>701</v>
      </c>
      <c r="E83" s="666" t="s">
        <v>382</v>
      </c>
      <c r="F83" s="548">
        <v>0.05</v>
      </c>
      <c r="G83" s="548">
        <v>0.05</v>
      </c>
      <c r="H83" s="548">
        <v>0.05</v>
      </c>
      <c r="I83" s="548">
        <v>0.05</v>
      </c>
      <c r="J83" s="548">
        <v>0.05</v>
      </c>
      <c r="K83" s="548">
        <v>0.1</v>
      </c>
      <c r="L83" s="548">
        <v>0.1</v>
      </c>
      <c r="M83" s="548">
        <v>0.3</v>
      </c>
      <c r="N83" s="548">
        <v>0.9</v>
      </c>
      <c r="O83" s="548">
        <v>0.9</v>
      </c>
      <c r="P83" s="548">
        <v>0.9</v>
      </c>
      <c r="Q83" s="548">
        <v>0.9</v>
      </c>
      <c r="R83" s="548">
        <v>0.9</v>
      </c>
      <c r="S83" s="548">
        <v>0.9</v>
      </c>
      <c r="T83" s="548">
        <v>0.9</v>
      </c>
      <c r="U83" s="548">
        <v>0.9</v>
      </c>
      <c r="V83" s="548">
        <v>0.9</v>
      </c>
      <c r="W83" s="548">
        <v>0.5</v>
      </c>
      <c r="X83" s="548">
        <v>0.3</v>
      </c>
      <c r="Y83" s="548">
        <v>0.3</v>
      </c>
      <c r="Z83" s="548">
        <v>0.2</v>
      </c>
      <c r="AA83" s="548">
        <v>0.2</v>
      </c>
      <c r="AB83" s="548">
        <v>0.1</v>
      </c>
      <c r="AC83" s="548">
        <v>0.05</v>
      </c>
    </row>
    <row r="84" spans="3:31" ht="28.9" hidden="1" customHeight="1">
      <c r="C84" s="949"/>
      <c r="D84" s="943"/>
      <c r="E84" s="660" t="s">
        <v>383</v>
      </c>
      <c r="F84" s="54">
        <v>0.05</v>
      </c>
      <c r="G84" s="54">
        <v>0.05</v>
      </c>
      <c r="H84" s="54">
        <v>0.05</v>
      </c>
      <c r="I84" s="54">
        <v>0.05</v>
      </c>
      <c r="J84" s="54">
        <v>0.05</v>
      </c>
      <c r="K84" s="54">
        <v>0.05</v>
      </c>
      <c r="L84" s="54">
        <v>0.1</v>
      </c>
      <c r="M84" s="54">
        <v>0.1</v>
      </c>
      <c r="N84" s="54">
        <v>0.3</v>
      </c>
      <c r="O84" s="54">
        <v>0.3</v>
      </c>
      <c r="P84" s="54">
        <v>0.3</v>
      </c>
      <c r="Q84" s="54">
        <v>0.3</v>
      </c>
      <c r="R84" s="54">
        <v>0.15</v>
      </c>
      <c r="S84" s="54">
        <v>0.15</v>
      </c>
      <c r="T84" s="54">
        <v>0.15</v>
      </c>
      <c r="U84" s="54">
        <v>0.15</v>
      </c>
      <c r="V84" s="54">
        <v>0.15</v>
      </c>
      <c r="W84" s="54">
        <v>0.05</v>
      </c>
      <c r="X84" s="54">
        <v>0.05</v>
      </c>
      <c r="Y84" s="54">
        <v>0.05</v>
      </c>
      <c r="Z84" s="54">
        <v>0.05</v>
      </c>
      <c r="AA84" s="54">
        <v>0.05</v>
      </c>
      <c r="AB84" s="54">
        <v>0.05</v>
      </c>
      <c r="AC84" s="54">
        <v>0.05</v>
      </c>
    </row>
    <row r="85" spans="3:31" ht="28.9" hidden="1" customHeight="1" thickBot="1">
      <c r="C85" s="950"/>
      <c r="D85" s="944"/>
      <c r="E85" s="661" t="s">
        <v>384</v>
      </c>
      <c r="F85" s="546">
        <v>0.05</v>
      </c>
      <c r="G85" s="546">
        <v>0.05</v>
      </c>
      <c r="H85" s="546">
        <v>0.05</v>
      </c>
      <c r="I85" s="546">
        <v>0.05</v>
      </c>
      <c r="J85" s="546">
        <v>0.05</v>
      </c>
      <c r="K85" s="546">
        <v>0.05</v>
      </c>
      <c r="L85" s="546">
        <v>0.05</v>
      </c>
      <c r="M85" s="546">
        <v>0.05</v>
      </c>
      <c r="N85" s="546">
        <v>0.05</v>
      </c>
      <c r="O85" s="546">
        <v>0.05</v>
      </c>
      <c r="P85" s="546">
        <v>0.05</v>
      </c>
      <c r="Q85" s="546">
        <v>0.05</v>
      </c>
      <c r="R85" s="546">
        <v>0.05</v>
      </c>
      <c r="S85" s="546">
        <v>0.05</v>
      </c>
      <c r="T85" s="546">
        <v>0.05</v>
      </c>
      <c r="U85" s="546">
        <v>0.05</v>
      </c>
      <c r="V85" s="546">
        <v>0.05</v>
      </c>
      <c r="W85" s="546">
        <v>0.05</v>
      </c>
      <c r="X85" s="546">
        <v>0.05</v>
      </c>
      <c r="Y85" s="546">
        <v>0.05</v>
      </c>
      <c r="Z85" s="546">
        <v>0.05</v>
      </c>
      <c r="AA85" s="546">
        <v>0.05</v>
      </c>
      <c r="AB85" s="546">
        <v>0.05</v>
      </c>
      <c r="AC85" s="546">
        <v>0.05</v>
      </c>
    </row>
    <row r="86" spans="3:31" hidden="1"/>
    <row r="87" spans="3:31" hidden="1"/>
    <row r="88" spans="3:31" ht="13.15" hidden="1">
      <c r="F88" s="6"/>
      <c r="G88" s="6"/>
      <c r="H88" s="6"/>
      <c r="I88" s="6"/>
      <c r="J88" s="6"/>
      <c r="K88" s="6"/>
      <c r="L88" s="6"/>
      <c r="M88" s="6"/>
      <c r="N88" s="6"/>
      <c r="O88" s="6"/>
      <c r="P88" s="6"/>
      <c r="Q88" s="6"/>
      <c r="R88" s="6"/>
      <c r="S88" s="6"/>
      <c r="T88" s="6"/>
      <c r="U88" s="6"/>
      <c r="V88" s="6"/>
      <c r="W88" s="6"/>
      <c r="X88" s="6"/>
      <c r="Y88" s="6"/>
      <c r="Z88" s="6"/>
      <c r="AA88" s="6"/>
      <c r="AB88" s="6"/>
      <c r="AC88" s="6"/>
      <c r="AD88" s="6"/>
      <c r="AE88" s="6"/>
    </row>
    <row r="89" spans="3:31" ht="13.15" hidden="1">
      <c r="F89" s="6"/>
      <c r="G89" s="6"/>
      <c r="H89" s="6"/>
      <c r="I89" s="6"/>
      <c r="J89" s="6"/>
      <c r="K89" s="6"/>
      <c r="L89" s="6"/>
      <c r="M89" s="6"/>
      <c r="N89" s="6"/>
      <c r="O89" s="6"/>
      <c r="P89" s="6"/>
      <c r="Q89" s="6"/>
      <c r="R89" s="6"/>
      <c r="S89" s="6"/>
      <c r="T89" s="6"/>
      <c r="U89" s="6"/>
      <c r="V89" s="6"/>
      <c r="W89" s="6"/>
      <c r="X89" s="6"/>
      <c r="Y89" s="6"/>
      <c r="Z89" s="6"/>
      <c r="AA89" s="6"/>
      <c r="AB89" s="6"/>
      <c r="AC89" s="6"/>
      <c r="AD89" s="6"/>
      <c r="AE89" s="6"/>
    </row>
    <row r="90" spans="3:31" ht="13.15" hidden="1">
      <c r="F90" s="6"/>
      <c r="G90" s="6"/>
      <c r="H90" s="6"/>
      <c r="I90" s="6"/>
      <c r="J90" s="6"/>
      <c r="K90" s="6"/>
      <c r="L90" s="6"/>
      <c r="M90" s="6"/>
      <c r="N90" s="6"/>
      <c r="O90" s="6"/>
      <c r="P90" s="6"/>
      <c r="Q90" s="6"/>
      <c r="R90" s="6"/>
      <c r="S90" s="6"/>
      <c r="T90" s="6"/>
      <c r="U90" s="6"/>
      <c r="V90" s="6"/>
      <c r="W90" s="6"/>
      <c r="X90" s="6"/>
      <c r="Y90" s="6"/>
      <c r="Z90" s="6"/>
      <c r="AA90" s="6"/>
      <c r="AB90" s="6"/>
      <c r="AC90" s="6"/>
      <c r="AD90" s="6"/>
      <c r="AE90" s="9"/>
    </row>
  </sheetData>
  <mergeCells count="86">
    <mergeCell ref="A28:A30"/>
    <mergeCell ref="B28:B30"/>
    <mergeCell ref="A31:A33"/>
    <mergeCell ref="B31:B33"/>
    <mergeCell ref="A44:A46"/>
    <mergeCell ref="B44:B46"/>
    <mergeCell ref="A41:A43"/>
    <mergeCell ref="B41:B43"/>
    <mergeCell ref="A38:A40"/>
    <mergeCell ref="B38:B40"/>
    <mergeCell ref="D80:D82"/>
    <mergeCell ref="C77:C79"/>
    <mergeCell ref="C80:C82"/>
    <mergeCell ref="C83:C85"/>
    <mergeCell ref="D83:D85"/>
    <mergeCell ref="D77:D79"/>
    <mergeCell ref="C44:C46"/>
    <mergeCell ref="D44:D46"/>
    <mergeCell ref="D68:D70"/>
    <mergeCell ref="C65:C70"/>
    <mergeCell ref="A47:A49"/>
    <mergeCell ref="B47:B49"/>
    <mergeCell ref="C47:C49"/>
    <mergeCell ref="D47:D49"/>
    <mergeCell ref="F2:AC2"/>
    <mergeCell ref="E2:E3"/>
    <mergeCell ref="D2:D3"/>
    <mergeCell ref="C2:C3"/>
    <mergeCell ref="D4:D6"/>
    <mergeCell ref="C4:C6"/>
    <mergeCell ref="B16:B18"/>
    <mergeCell ref="B19:B21"/>
    <mergeCell ref="C19:C21"/>
    <mergeCell ref="C28:C30"/>
    <mergeCell ref="C31:C33"/>
    <mergeCell ref="D28:D30"/>
    <mergeCell ref="B65:B70"/>
    <mergeCell ref="D65:D67"/>
    <mergeCell ref="C13:C15"/>
    <mergeCell ref="B13:B15"/>
    <mergeCell ref="D13:D15"/>
    <mergeCell ref="B64:AC64"/>
    <mergeCell ref="D16:D18"/>
    <mergeCell ref="D19:D21"/>
    <mergeCell ref="B61:B63"/>
    <mergeCell ref="B56:B58"/>
    <mergeCell ref="C56:C58"/>
    <mergeCell ref="D56:D58"/>
    <mergeCell ref="C61:C63"/>
    <mergeCell ref="D61:D63"/>
    <mergeCell ref="B60:AC60"/>
    <mergeCell ref="C16:C18"/>
    <mergeCell ref="D31:D33"/>
    <mergeCell ref="C41:C43"/>
    <mergeCell ref="D41:D43"/>
    <mergeCell ref="A34:AC34"/>
    <mergeCell ref="A35:A37"/>
    <mergeCell ref="B35:B37"/>
    <mergeCell ref="C35:C37"/>
    <mergeCell ref="D35:D37"/>
    <mergeCell ref="C38:C40"/>
    <mergeCell ref="D38:D40"/>
    <mergeCell ref="A22:A24"/>
    <mergeCell ref="B22:B24"/>
    <mergeCell ref="C22:C24"/>
    <mergeCell ref="D22:D24"/>
    <mergeCell ref="A25:A27"/>
    <mergeCell ref="B25:B27"/>
    <mergeCell ref="C25:C27"/>
    <mergeCell ref="D25:D27"/>
    <mergeCell ref="A13:A15"/>
    <mergeCell ref="A16:A18"/>
    <mergeCell ref="A19:A21"/>
    <mergeCell ref="A1:AC1"/>
    <mergeCell ref="A2:A3"/>
    <mergeCell ref="A4:A6"/>
    <mergeCell ref="A7:A9"/>
    <mergeCell ref="A10:A12"/>
    <mergeCell ref="D7:D9"/>
    <mergeCell ref="B10:B12"/>
    <mergeCell ref="D10:D12"/>
    <mergeCell ref="B4:B6"/>
    <mergeCell ref="B7:B9"/>
    <mergeCell ref="B2:B3"/>
    <mergeCell ref="C10:C12"/>
    <mergeCell ref="C7:C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AL143"/>
  <sheetViews>
    <sheetView zoomScaleNormal="100" workbookViewId="0">
      <selection activeCell="E18" sqref="E18"/>
    </sheetView>
  </sheetViews>
  <sheetFormatPr defaultColWidth="8.7109375" defaultRowHeight="12.75" customHeight="1"/>
  <cols>
    <col min="1" max="4" width="17.42578125" style="6" customWidth="1"/>
    <col min="5" max="5" width="16" style="6" customWidth="1"/>
    <col min="6" max="6" width="16.140625" style="6" customWidth="1"/>
    <col min="7" max="7" width="17.85546875" style="6" customWidth="1"/>
    <col min="8" max="9" width="18.7109375" style="6" customWidth="1"/>
    <col min="10" max="10" width="20.5703125" style="6" customWidth="1"/>
    <col min="11" max="11" width="21" style="6" customWidth="1"/>
    <col min="12" max="12" width="21.7109375" style="6" customWidth="1"/>
    <col min="13" max="13" width="11.85546875" style="6" customWidth="1"/>
    <col min="14" max="14" width="14.42578125" style="6" customWidth="1"/>
    <col min="15" max="15" width="15.42578125" style="6" customWidth="1"/>
    <col min="16" max="16" width="19.28515625" style="6" customWidth="1"/>
    <col min="17" max="18" width="18.28515625" style="6" customWidth="1"/>
    <col min="19" max="21" width="13.7109375" style="6" customWidth="1"/>
    <col min="22" max="22" width="10.7109375" style="6" customWidth="1"/>
    <col min="23" max="24" width="8.7109375" style="6"/>
    <col min="25" max="25" width="13.7109375" style="6" customWidth="1"/>
    <col min="26" max="28" width="8.7109375" style="6"/>
    <col min="29" max="29" width="12.42578125" style="6" customWidth="1"/>
    <col min="30" max="16384" width="8.7109375" style="6"/>
  </cols>
  <sheetData>
    <row r="1" spans="1:22" ht="27" customHeight="1">
      <c r="A1" s="978" t="s">
        <v>702</v>
      </c>
      <c r="B1" s="978"/>
      <c r="C1" s="977"/>
      <c r="D1" s="977"/>
      <c r="E1" s="977"/>
      <c r="F1" s="977"/>
      <c r="G1" s="977"/>
      <c r="H1" s="977"/>
      <c r="I1" s="977" t="s">
        <v>703</v>
      </c>
      <c r="J1" s="977"/>
      <c r="K1" s="977"/>
      <c r="L1" s="977"/>
      <c r="N1" s="752" t="s">
        <v>704</v>
      </c>
      <c r="O1" s="752"/>
      <c r="P1" s="752"/>
      <c r="Q1" s="752"/>
      <c r="R1" s="752"/>
      <c r="S1" s="752"/>
      <c r="T1" s="752"/>
      <c r="U1" s="752"/>
      <c r="V1" s="85"/>
    </row>
    <row r="2" spans="1:22" ht="52.5" customHeight="1">
      <c r="A2" s="559" t="s">
        <v>6</v>
      </c>
      <c r="B2" s="592" t="s">
        <v>635</v>
      </c>
      <c r="C2" s="616" t="s">
        <v>705</v>
      </c>
      <c r="D2" s="560" t="s">
        <v>706</v>
      </c>
      <c r="E2" s="561" t="s">
        <v>707</v>
      </c>
      <c r="F2" s="586" t="s">
        <v>708</v>
      </c>
      <c r="G2" s="587" t="s">
        <v>709</v>
      </c>
      <c r="H2" s="675" t="s">
        <v>710</v>
      </c>
      <c r="I2" s="677" t="s">
        <v>711</v>
      </c>
      <c r="J2" s="678" t="s">
        <v>712</v>
      </c>
      <c r="K2" s="678" t="s">
        <v>713</v>
      </c>
      <c r="L2" s="679" t="s">
        <v>714</v>
      </c>
      <c r="M2" s="623" t="s">
        <v>715</v>
      </c>
      <c r="N2" s="569" t="s">
        <v>6</v>
      </c>
      <c r="O2" s="570" t="s">
        <v>635</v>
      </c>
      <c r="P2" s="570" t="s">
        <v>716</v>
      </c>
      <c r="Q2" s="570" t="s">
        <v>717</v>
      </c>
      <c r="R2" s="570" t="s">
        <v>718</v>
      </c>
      <c r="S2" s="571" t="s">
        <v>719</v>
      </c>
      <c r="T2" s="571" t="s">
        <v>720</v>
      </c>
      <c r="U2" s="572" t="s">
        <v>721</v>
      </c>
      <c r="V2" s="573" t="s">
        <v>722</v>
      </c>
    </row>
    <row r="3" spans="1:22" ht="19.149999999999999" customHeight="1">
      <c r="A3" s="967" t="s">
        <v>723</v>
      </c>
      <c r="B3" s="593">
        <v>1</v>
      </c>
      <c r="C3" s="617">
        <v>37.4</v>
      </c>
      <c r="D3" s="581">
        <v>33.4</v>
      </c>
      <c r="E3" s="584">
        <v>70.8</v>
      </c>
      <c r="F3" s="583">
        <v>33.6</v>
      </c>
      <c r="G3" s="583">
        <v>2.8</v>
      </c>
      <c r="H3" s="676">
        <v>36.4</v>
      </c>
      <c r="I3" s="680">
        <v>61.7</v>
      </c>
      <c r="J3" s="566">
        <f>I3*1.25</f>
        <v>77.125</v>
      </c>
      <c r="K3" s="567">
        <f>I3*0.75</f>
        <v>46.275000000000006</v>
      </c>
      <c r="L3" s="681">
        <f t="shared" ref="L3:L18" si="0">J3-K3</f>
        <v>30.849999999999994</v>
      </c>
      <c r="M3" s="6">
        <v>95521</v>
      </c>
      <c r="N3" s="969" t="s">
        <v>53</v>
      </c>
      <c r="O3" s="563">
        <v>1</v>
      </c>
      <c r="P3" s="564">
        <v>12266</v>
      </c>
      <c r="Q3" s="565">
        <v>9.77</v>
      </c>
      <c r="R3" s="565">
        <v>4.88</v>
      </c>
      <c r="S3" s="562">
        <f t="shared" ref="S3:S18" si="1">(Q3+R3)*3.412</f>
        <v>49.98579999999999</v>
      </c>
      <c r="T3" s="562">
        <f>S3*1.25</f>
        <v>62.482249999999986</v>
      </c>
      <c r="U3" s="568">
        <f>S3*0.75</f>
        <v>37.489349999999995</v>
      </c>
      <c r="V3" s="574">
        <f>T3-U3</f>
        <v>24.992899999999992</v>
      </c>
    </row>
    <row r="4" spans="1:22" ht="19.149999999999999" customHeight="1">
      <c r="A4" s="967"/>
      <c r="B4" s="593">
        <v>2</v>
      </c>
      <c r="C4" s="618">
        <v>45</v>
      </c>
      <c r="D4" s="582">
        <v>23.6</v>
      </c>
      <c r="E4" s="585">
        <v>68.599999999999994</v>
      </c>
      <c r="F4" s="583">
        <v>35.299999999999997</v>
      </c>
      <c r="G4" s="583">
        <v>2.7</v>
      </c>
      <c r="H4" s="676">
        <v>38</v>
      </c>
      <c r="I4" s="680">
        <v>67.5</v>
      </c>
      <c r="J4" s="566">
        <f t="shared" ref="J4:J18" si="2">I4*1.25</f>
        <v>84.375</v>
      </c>
      <c r="K4" s="567">
        <f t="shared" ref="K4:K18" si="3">I4*0.75</f>
        <v>50.625</v>
      </c>
      <c r="L4" s="681">
        <f t="shared" si="0"/>
        <v>33.75</v>
      </c>
      <c r="M4" s="6">
        <v>95476</v>
      </c>
      <c r="N4" s="969"/>
      <c r="O4" s="563">
        <v>2</v>
      </c>
      <c r="P4" s="564">
        <v>27044</v>
      </c>
      <c r="Q4" s="565">
        <v>7.5</v>
      </c>
      <c r="R4" s="565">
        <v>5.6</v>
      </c>
      <c r="S4" s="562">
        <f t="shared" si="1"/>
        <v>44.697199999999995</v>
      </c>
      <c r="T4" s="562">
        <f t="shared" ref="T4:T18" si="4">S4*1.25</f>
        <v>55.871499999999997</v>
      </c>
      <c r="U4" s="568">
        <f t="shared" ref="U4:U18" si="5">S4*0.75</f>
        <v>33.522899999999993</v>
      </c>
      <c r="V4" s="574">
        <f t="shared" ref="V4:V18" si="6">T4-U4</f>
        <v>22.348600000000005</v>
      </c>
    </row>
    <row r="5" spans="1:22" ht="19.149999999999999" customHeight="1">
      <c r="A5" s="967"/>
      <c r="B5" s="593">
        <v>3</v>
      </c>
      <c r="C5" s="618">
        <v>38.700000000000003</v>
      </c>
      <c r="D5" s="582">
        <v>16.5</v>
      </c>
      <c r="E5" s="585">
        <v>55.3</v>
      </c>
      <c r="F5" s="583">
        <v>32.9</v>
      </c>
      <c r="G5" s="583">
        <v>2.7</v>
      </c>
      <c r="H5" s="676">
        <v>35.6</v>
      </c>
      <c r="I5" s="680">
        <v>64.2</v>
      </c>
      <c r="J5" s="566">
        <f t="shared" si="2"/>
        <v>80.25</v>
      </c>
      <c r="K5" s="567">
        <f t="shared" si="3"/>
        <v>48.150000000000006</v>
      </c>
      <c r="L5" s="681">
        <f t="shared" si="0"/>
        <v>32.099999999999994</v>
      </c>
      <c r="M5" s="6">
        <v>94612</v>
      </c>
      <c r="N5" s="969"/>
      <c r="O5" s="563">
        <v>3</v>
      </c>
      <c r="P5" s="564">
        <v>84735</v>
      </c>
      <c r="Q5" s="565">
        <v>8.6199999999999992</v>
      </c>
      <c r="R5" s="565">
        <v>7.47</v>
      </c>
      <c r="S5" s="562">
        <f t="shared" si="1"/>
        <v>54.899079999999998</v>
      </c>
      <c r="T5" s="562">
        <f t="shared" si="4"/>
        <v>68.623850000000004</v>
      </c>
      <c r="U5" s="568">
        <f t="shared" si="5"/>
        <v>41.174309999999998</v>
      </c>
      <c r="V5" s="574">
        <f t="shared" si="6"/>
        <v>27.449540000000006</v>
      </c>
    </row>
    <row r="6" spans="1:22" ht="19.149999999999999" customHeight="1">
      <c r="A6" s="967"/>
      <c r="B6" s="593">
        <v>4</v>
      </c>
      <c r="C6" s="618">
        <v>47.6</v>
      </c>
      <c r="D6" s="582">
        <v>20.7</v>
      </c>
      <c r="E6" s="585">
        <v>68.3</v>
      </c>
      <c r="F6" s="583">
        <v>37.799999999999997</v>
      </c>
      <c r="G6" s="583">
        <v>2.7</v>
      </c>
      <c r="H6" s="676">
        <v>40.5</v>
      </c>
      <c r="I6" s="680">
        <v>69.7</v>
      </c>
      <c r="J6" s="566">
        <f t="shared" si="2"/>
        <v>87.125</v>
      </c>
      <c r="K6" s="567">
        <f t="shared" si="3"/>
        <v>52.275000000000006</v>
      </c>
      <c r="L6" s="681">
        <f t="shared" si="0"/>
        <v>34.849999999999994</v>
      </c>
      <c r="M6" s="6">
        <v>93446</v>
      </c>
      <c r="N6" s="969"/>
      <c r="O6" s="563">
        <v>4</v>
      </c>
      <c r="P6" s="564">
        <v>41723</v>
      </c>
      <c r="Q6" s="565">
        <v>8.85</v>
      </c>
      <c r="R6" s="565">
        <v>7.21</v>
      </c>
      <c r="S6" s="562">
        <f t="shared" si="1"/>
        <v>54.796719999999993</v>
      </c>
      <c r="T6" s="562">
        <f t="shared" si="4"/>
        <v>68.495899999999992</v>
      </c>
      <c r="U6" s="568">
        <f t="shared" si="5"/>
        <v>41.097539999999995</v>
      </c>
      <c r="V6" s="574">
        <f t="shared" si="6"/>
        <v>27.398359999999997</v>
      </c>
    </row>
    <row r="7" spans="1:22" ht="19.149999999999999" customHeight="1">
      <c r="A7" s="967"/>
      <c r="B7" s="593">
        <v>5</v>
      </c>
      <c r="C7" s="618">
        <v>35.200000000000003</v>
      </c>
      <c r="D7" s="582">
        <v>14.6</v>
      </c>
      <c r="E7" s="585">
        <v>49.8</v>
      </c>
      <c r="F7" s="583">
        <v>33.4</v>
      </c>
      <c r="G7" s="583">
        <v>2.7</v>
      </c>
      <c r="H7" s="676">
        <v>36.1</v>
      </c>
      <c r="I7" s="680">
        <v>61.6</v>
      </c>
      <c r="J7" s="566">
        <f t="shared" si="2"/>
        <v>77</v>
      </c>
      <c r="K7" s="567">
        <f t="shared" si="3"/>
        <v>46.2</v>
      </c>
      <c r="L7" s="681">
        <f t="shared" si="0"/>
        <v>30.799999999999997</v>
      </c>
      <c r="M7" s="6">
        <v>93455</v>
      </c>
      <c r="N7" s="969"/>
      <c r="O7" s="563">
        <v>5</v>
      </c>
      <c r="P7" s="564">
        <v>11347</v>
      </c>
      <c r="Q7" s="565">
        <v>6.73</v>
      </c>
      <c r="R7" s="565">
        <v>10.64</v>
      </c>
      <c r="S7" s="562">
        <f t="shared" si="1"/>
        <v>59.266440000000003</v>
      </c>
      <c r="T7" s="562">
        <f t="shared" si="4"/>
        <v>74.08305</v>
      </c>
      <c r="U7" s="568">
        <f t="shared" si="5"/>
        <v>44.449830000000006</v>
      </c>
      <c r="V7" s="574">
        <f t="shared" si="6"/>
        <v>29.633219999999994</v>
      </c>
    </row>
    <row r="8" spans="1:22" ht="19.149999999999999" customHeight="1">
      <c r="A8" s="967"/>
      <c r="B8" s="593">
        <v>6</v>
      </c>
      <c r="C8" s="618">
        <v>43.2</v>
      </c>
      <c r="D8" s="582">
        <v>6.8</v>
      </c>
      <c r="E8" s="585">
        <v>50</v>
      </c>
      <c r="F8" s="583">
        <v>34.200000000000003</v>
      </c>
      <c r="G8" s="583">
        <v>2.6</v>
      </c>
      <c r="H8" s="676">
        <v>36.799999999999997</v>
      </c>
      <c r="I8" s="680">
        <v>71</v>
      </c>
      <c r="J8" s="566">
        <f t="shared" si="2"/>
        <v>88.75</v>
      </c>
      <c r="K8" s="567">
        <f t="shared" si="3"/>
        <v>53.25</v>
      </c>
      <c r="L8" s="681">
        <f t="shared" si="0"/>
        <v>35.5</v>
      </c>
      <c r="M8" s="6">
        <v>93550</v>
      </c>
      <c r="N8" s="969"/>
      <c r="O8" s="563">
        <v>6</v>
      </c>
      <c r="P8" s="564">
        <v>59004</v>
      </c>
      <c r="Q8" s="565">
        <v>8.01</v>
      </c>
      <c r="R8" s="565">
        <v>3.98</v>
      </c>
      <c r="S8" s="562">
        <f t="shared" si="1"/>
        <v>40.909880000000001</v>
      </c>
      <c r="T8" s="562">
        <f t="shared" si="4"/>
        <v>51.137349999999998</v>
      </c>
      <c r="U8" s="568">
        <f t="shared" si="5"/>
        <v>30.682410000000001</v>
      </c>
      <c r="V8" s="574">
        <f t="shared" si="6"/>
        <v>20.454939999999997</v>
      </c>
    </row>
    <row r="9" spans="1:22" ht="19.149999999999999" customHeight="1">
      <c r="A9" s="967"/>
      <c r="B9" s="593">
        <v>7</v>
      </c>
      <c r="C9" s="618">
        <v>43.4</v>
      </c>
      <c r="D9" s="582">
        <v>5.5</v>
      </c>
      <c r="E9" s="585">
        <v>48.9</v>
      </c>
      <c r="F9" s="583">
        <v>34.700000000000003</v>
      </c>
      <c r="G9" s="583">
        <v>2.6</v>
      </c>
      <c r="H9" s="676">
        <v>37.299999999999997</v>
      </c>
      <c r="I9" s="680">
        <v>66.900000000000006</v>
      </c>
      <c r="J9" s="566">
        <f t="shared" si="2"/>
        <v>83.625</v>
      </c>
      <c r="K9" s="567">
        <f t="shared" si="3"/>
        <v>50.175000000000004</v>
      </c>
      <c r="L9" s="681">
        <f t="shared" si="0"/>
        <v>33.449999999999996</v>
      </c>
      <c r="M9" s="6">
        <v>92101</v>
      </c>
      <c r="N9" s="969"/>
      <c r="O9" s="563">
        <v>7</v>
      </c>
      <c r="P9" s="564">
        <v>54999</v>
      </c>
      <c r="Q9" s="565">
        <v>10.61</v>
      </c>
      <c r="R9" s="565">
        <v>6.8</v>
      </c>
      <c r="S9" s="562">
        <f t="shared" si="1"/>
        <v>59.402920000000002</v>
      </c>
      <c r="T9" s="562">
        <f t="shared" si="4"/>
        <v>74.253650000000007</v>
      </c>
      <c r="U9" s="568">
        <f t="shared" si="5"/>
        <v>44.552190000000003</v>
      </c>
      <c r="V9" s="574">
        <f t="shared" si="6"/>
        <v>29.701460000000004</v>
      </c>
    </row>
    <row r="10" spans="1:22" ht="19.149999999999999" customHeight="1">
      <c r="A10" s="967"/>
      <c r="B10" s="593">
        <v>8</v>
      </c>
      <c r="C10" s="618">
        <v>50.4</v>
      </c>
      <c r="D10" s="582">
        <v>7</v>
      </c>
      <c r="E10" s="585">
        <v>57.4</v>
      </c>
      <c r="F10" s="583">
        <v>41.3</v>
      </c>
      <c r="G10" s="583">
        <v>2.6</v>
      </c>
      <c r="H10" s="676">
        <v>43.9</v>
      </c>
      <c r="I10" s="680">
        <v>67.8</v>
      </c>
      <c r="J10" s="566">
        <f t="shared" si="2"/>
        <v>84.75</v>
      </c>
      <c r="K10" s="567">
        <f t="shared" si="3"/>
        <v>50.849999999999994</v>
      </c>
      <c r="L10" s="681">
        <f t="shared" si="0"/>
        <v>33.900000000000006</v>
      </c>
      <c r="M10" s="6">
        <v>92831</v>
      </c>
      <c r="N10" s="969"/>
      <c r="O10" s="563">
        <v>8</v>
      </c>
      <c r="P10" s="564">
        <v>86435</v>
      </c>
      <c r="Q10" s="565">
        <v>7.9</v>
      </c>
      <c r="R10" s="565">
        <v>3.79</v>
      </c>
      <c r="S10" s="562">
        <f t="shared" si="1"/>
        <v>39.886280000000006</v>
      </c>
      <c r="T10" s="562">
        <f t="shared" si="4"/>
        <v>49.857850000000006</v>
      </c>
      <c r="U10" s="568">
        <f t="shared" si="5"/>
        <v>29.914710000000007</v>
      </c>
      <c r="V10" s="574">
        <f t="shared" si="6"/>
        <v>19.94314</v>
      </c>
    </row>
    <row r="11" spans="1:22" ht="19.149999999999999" customHeight="1">
      <c r="A11" s="967"/>
      <c r="B11" s="593">
        <v>9</v>
      </c>
      <c r="C11" s="618">
        <v>50</v>
      </c>
      <c r="D11" s="582">
        <v>8.6</v>
      </c>
      <c r="E11" s="585">
        <v>58.5</v>
      </c>
      <c r="F11" s="583">
        <v>39.4</v>
      </c>
      <c r="G11" s="583">
        <v>2.6</v>
      </c>
      <c r="H11" s="676">
        <v>42</v>
      </c>
      <c r="I11" s="680">
        <v>67.900000000000006</v>
      </c>
      <c r="J11" s="566">
        <f t="shared" si="2"/>
        <v>84.875</v>
      </c>
      <c r="K11" s="567">
        <f t="shared" si="3"/>
        <v>50.925000000000004</v>
      </c>
      <c r="L11" s="681">
        <f t="shared" si="0"/>
        <v>33.949999999999996</v>
      </c>
      <c r="M11" s="6">
        <v>91505</v>
      </c>
      <c r="N11" s="969"/>
      <c r="O11" s="563">
        <v>9</v>
      </c>
      <c r="P11" s="564">
        <v>113713</v>
      </c>
      <c r="Q11" s="565">
        <v>8.3000000000000007</v>
      </c>
      <c r="R11" s="565">
        <v>4.16</v>
      </c>
      <c r="S11" s="562">
        <f t="shared" si="1"/>
        <v>42.51352</v>
      </c>
      <c r="T11" s="562">
        <f t="shared" si="4"/>
        <v>53.1419</v>
      </c>
      <c r="U11" s="568">
        <f t="shared" si="5"/>
        <v>31.88514</v>
      </c>
      <c r="V11" s="574">
        <f t="shared" si="6"/>
        <v>21.25676</v>
      </c>
    </row>
    <row r="12" spans="1:22" ht="19.149999999999999" customHeight="1">
      <c r="A12" s="967"/>
      <c r="B12" s="593">
        <v>10</v>
      </c>
      <c r="C12" s="618">
        <v>47.6</v>
      </c>
      <c r="D12" s="582">
        <v>8.6</v>
      </c>
      <c r="E12" s="585">
        <v>56.2</v>
      </c>
      <c r="F12" s="583">
        <v>41.1</v>
      </c>
      <c r="G12" s="583">
        <v>2.6</v>
      </c>
      <c r="H12" s="676">
        <v>43.7</v>
      </c>
      <c r="I12" s="680">
        <v>68.3</v>
      </c>
      <c r="J12" s="566">
        <f t="shared" si="2"/>
        <v>85.375</v>
      </c>
      <c r="K12" s="567">
        <f t="shared" si="3"/>
        <v>51.224999999999994</v>
      </c>
      <c r="L12" s="681">
        <f t="shared" si="0"/>
        <v>34.150000000000006</v>
      </c>
      <c r="M12" s="6">
        <v>92501</v>
      </c>
      <c r="N12" s="969"/>
      <c r="O12" s="563">
        <v>10</v>
      </c>
      <c r="P12" s="564">
        <v>79023</v>
      </c>
      <c r="Q12" s="565">
        <v>9.01</v>
      </c>
      <c r="R12" s="565">
        <v>4.25</v>
      </c>
      <c r="S12" s="562">
        <f t="shared" si="1"/>
        <v>45.243119999999998</v>
      </c>
      <c r="T12" s="562">
        <f t="shared" si="4"/>
        <v>56.553899999999999</v>
      </c>
      <c r="U12" s="568">
        <f t="shared" si="5"/>
        <v>33.932339999999996</v>
      </c>
      <c r="V12" s="574">
        <f t="shared" si="6"/>
        <v>22.621560000000002</v>
      </c>
    </row>
    <row r="13" spans="1:22" ht="19.149999999999999" customHeight="1">
      <c r="A13" s="967"/>
      <c r="B13" s="593">
        <v>11</v>
      </c>
      <c r="C13" s="618">
        <v>49.8</v>
      </c>
      <c r="D13" s="582">
        <v>21.8</v>
      </c>
      <c r="E13" s="585">
        <v>71.599999999999994</v>
      </c>
      <c r="F13" s="583">
        <v>43.3</v>
      </c>
      <c r="G13" s="583">
        <v>2.7</v>
      </c>
      <c r="H13" s="676">
        <v>45.9</v>
      </c>
      <c r="I13" s="680">
        <v>70.5</v>
      </c>
      <c r="J13" s="566">
        <f t="shared" si="2"/>
        <v>88.125</v>
      </c>
      <c r="K13" s="567">
        <f t="shared" si="3"/>
        <v>52.875</v>
      </c>
      <c r="L13" s="681">
        <f t="shared" si="0"/>
        <v>35.25</v>
      </c>
      <c r="M13" s="6">
        <v>96080</v>
      </c>
      <c r="N13" s="969"/>
      <c r="O13" s="563">
        <v>11</v>
      </c>
      <c r="P13" s="564">
        <v>37485</v>
      </c>
      <c r="Q13" s="565">
        <v>11.12</v>
      </c>
      <c r="R13" s="565">
        <v>5.05</v>
      </c>
      <c r="S13" s="562">
        <f t="shared" si="1"/>
        <v>55.172039999999996</v>
      </c>
      <c r="T13" s="562">
        <f t="shared" si="4"/>
        <v>68.965049999999991</v>
      </c>
      <c r="U13" s="568">
        <f t="shared" si="5"/>
        <v>41.37903</v>
      </c>
      <c r="V13" s="574">
        <f t="shared" si="6"/>
        <v>27.586019999999991</v>
      </c>
    </row>
    <row r="14" spans="1:22" ht="19.149999999999999" customHeight="1">
      <c r="A14" s="967"/>
      <c r="B14" s="593">
        <v>12</v>
      </c>
      <c r="C14" s="618">
        <v>46.1</v>
      </c>
      <c r="D14" s="582">
        <v>20.8</v>
      </c>
      <c r="E14" s="585">
        <v>66.900000000000006</v>
      </c>
      <c r="F14" s="583">
        <v>39.9</v>
      </c>
      <c r="G14" s="583">
        <v>2.7</v>
      </c>
      <c r="H14" s="676">
        <v>42.6</v>
      </c>
      <c r="I14" s="680">
        <v>69.8</v>
      </c>
      <c r="J14" s="566">
        <f t="shared" si="2"/>
        <v>87.25</v>
      </c>
      <c r="K14" s="567">
        <f t="shared" si="3"/>
        <v>52.349999999999994</v>
      </c>
      <c r="L14" s="681">
        <f t="shared" si="0"/>
        <v>34.900000000000006</v>
      </c>
      <c r="M14" s="6">
        <v>95814</v>
      </c>
      <c r="N14" s="969"/>
      <c r="O14" s="563">
        <v>12</v>
      </c>
      <c r="P14" s="564">
        <v>150207</v>
      </c>
      <c r="Q14" s="565">
        <v>10.53</v>
      </c>
      <c r="R14" s="565">
        <v>5.82</v>
      </c>
      <c r="S14" s="562">
        <f t="shared" si="1"/>
        <v>55.786200000000001</v>
      </c>
      <c r="T14" s="562">
        <f t="shared" si="4"/>
        <v>69.732749999999996</v>
      </c>
      <c r="U14" s="568">
        <f t="shared" si="5"/>
        <v>41.839649999999999</v>
      </c>
      <c r="V14" s="574">
        <f t="shared" si="6"/>
        <v>27.893099999999997</v>
      </c>
    </row>
    <row r="15" spans="1:22" ht="19.149999999999999" customHeight="1">
      <c r="A15" s="967"/>
      <c r="B15" s="593">
        <v>13</v>
      </c>
      <c r="C15" s="618">
        <v>50.1</v>
      </c>
      <c r="D15" s="582">
        <v>16.100000000000001</v>
      </c>
      <c r="E15" s="585">
        <v>66.2</v>
      </c>
      <c r="F15" s="583">
        <v>43.1</v>
      </c>
      <c r="G15" s="583">
        <v>2.6</v>
      </c>
      <c r="H15" s="676">
        <v>45.8</v>
      </c>
      <c r="I15" s="680">
        <v>70.2</v>
      </c>
      <c r="J15" s="566">
        <f t="shared" si="2"/>
        <v>87.75</v>
      </c>
      <c r="K15" s="567">
        <f t="shared" si="3"/>
        <v>52.650000000000006</v>
      </c>
      <c r="L15" s="681">
        <f t="shared" si="0"/>
        <v>35.099999999999994</v>
      </c>
      <c r="M15" s="6">
        <v>93721</v>
      </c>
      <c r="N15" s="969"/>
      <c r="O15" s="563">
        <v>13</v>
      </c>
      <c r="P15" s="564">
        <v>50089</v>
      </c>
      <c r="Q15" s="565">
        <v>10.6</v>
      </c>
      <c r="R15" s="565">
        <v>4.34</v>
      </c>
      <c r="S15" s="562">
        <f t="shared" si="1"/>
        <v>50.975279999999998</v>
      </c>
      <c r="T15" s="562">
        <f t="shared" si="4"/>
        <v>63.719099999999997</v>
      </c>
      <c r="U15" s="568">
        <f t="shared" si="5"/>
        <v>38.231459999999998</v>
      </c>
      <c r="V15" s="574">
        <f t="shared" si="6"/>
        <v>25.487639999999999</v>
      </c>
    </row>
    <row r="16" spans="1:22" ht="19.149999999999999" customHeight="1">
      <c r="A16" s="967"/>
      <c r="B16" s="593">
        <v>14</v>
      </c>
      <c r="C16" s="618">
        <v>49.7</v>
      </c>
      <c r="D16" s="582">
        <v>20.7</v>
      </c>
      <c r="E16" s="585">
        <v>70.400000000000006</v>
      </c>
      <c r="F16" s="583">
        <v>43.9</v>
      </c>
      <c r="G16" s="583">
        <v>2.7</v>
      </c>
      <c r="H16" s="676">
        <v>46.5</v>
      </c>
      <c r="I16" s="680">
        <v>71</v>
      </c>
      <c r="J16" s="566">
        <f t="shared" si="2"/>
        <v>88.75</v>
      </c>
      <c r="K16" s="567">
        <f t="shared" si="3"/>
        <v>53.25</v>
      </c>
      <c r="L16" s="681">
        <f t="shared" si="0"/>
        <v>35.5</v>
      </c>
      <c r="M16">
        <v>93550</v>
      </c>
      <c r="N16" s="969"/>
      <c r="O16" s="563">
        <v>14</v>
      </c>
      <c r="P16" s="564">
        <v>17716</v>
      </c>
      <c r="Q16" s="565">
        <v>7.65</v>
      </c>
      <c r="R16" s="565">
        <v>3.93</v>
      </c>
      <c r="S16" s="562">
        <f t="shared" si="1"/>
        <v>39.510959999999997</v>
      </c>
      <c r="T16" s="562">
        <f t="shared" si="4"/>
        <v>49.3887</v>
      </c>
      <c r="U16" s="568">
        <f t="shared" si="5"/>
        <v>29.633219999999998</v>
      </c>
      <c r="V16" s="574">
        <f t="shared" si="6"/>
        <v>19.755480000000002</v>
      </c>
    </row>
    <row r="17" spans="1:22" ht="19.149999999999999" customHeight="1">
      <c r="A17" s="967"/>
      <c r="B17" s="593">
        <v>15</v>
      </c>
      <c r="C17" s="618">
        <v>57.5</v>
      </c>
      <c r="D17" s="582">
        <v>4.5999999999999996</v>
      </c>
      <c r="E17" s="585">
        <v>62.2</v>
      </c>
      <c r="F17" s="583">
        <v>49.6</v>
      </c>
      <c r="G17" s="583">
        <v>2.5</v>
      </c>
      <c r="H17" s="566">
        <v>52</v>
      </c>
      <c r="I17" s="680">
        <v>69.7</v>
      </c>
      <c r="J17" s="566">
        <f t="shared" si="2"/>
        <v>87.125</v>
      </c>
      <c r="K17" s="567">
        <f t="shared" si="3"/>
        <v>52.275000000000006</v>
      </c>
      <c r="L17" s="681">
        <f t="shared" si="0"/>
        <v>34.849999999999994</v>
      </c>
      <c r="M17" s="6">
        <v>92262</v>
      </c>
      <c r="N17" s="969"/>
      <c r="O17" s="563">
        <v>15</v>
      </c>
      <c r="P17" s="564">
        <v>41833</v>
      </c>
      <c r="Q17" s="565">
        <v>9</v>
      </c>
      <c r="R17" s="565">
        <v>2.08</v>
      </c>
      <c r="S17" s="562">
        <f t="shared" si="1"/>
        <v>37.804960000000001</v>
      </c>
      <c r="T17" s="562">
        <f t="shared" si="4"/>
        <v>47.2562</v>
      </c>
      <c r="U17" s="568">
        <f t="shared" si="5"/>
        <v>28.353720000000003</v>
      </c>
      <c r="V17" s="574">
        <f t="shared" si="6"/>
        <v>18.902479999999997</v>
      </c>
    </row>
    <row r="18" spans="1:22" ht="19.149999999999999" customHeight="1">
      <c r="A18" s="968"/>
      <c r="B18" s="594">
        <v>16</v>
      </c>
      <c r="C18" s="619">
        <v>43.9</v>
      </c>
      <c r="D18" s="588">
        <v>34</v>
      </c>
      <c r="E18" s="589">
        <v>77.900000000000006</v>
      </c>
      <c r="F18" s="590">
        <v>42.3</v>
      </c>
      <c r="G18" s="590">
        <v>2.8</v>
      </c>
      <c r="H18" s="591">
        <v>45</v>
      </c>
      <c r="I18" s="682">
        <v>72.5</v>
      </c>
      <c r="J18" s="683">
        <f t="shared" si="2"/>
        <v>90.625</v>
      </c>
      <c r="K18" s="684">
        <f t="shared" si="3"/>
        <v>54.375</v>
      </c>
      <c r="L18" s="685">
        <f t="shared" si="0"/>
        <v>36.25</v>
      </c>
      <c r="M18" s="6">
        <v>95715</v>
      </c>
      <c r="N18" s="970"/>
      <c r="O18" s="575">
        <v>16</v>
      </c>
      <c r="P18" s="576">
        <v>74950</v>
      </c>
      <c r="Q18" s="577">
        <v>9.33</v>
      </c>
      <c r="R18" s="577">
        <v>4.53</v>
      </c>
      <c r="S18" s="578">
        <f t="shared" si="1"/>
        <v>47.290319999999994</v>
      </c>
      <c r="T18" s="578">
        <f t="shared" si="4"/>
        <v>59.112899999999996</v>
      </c>
      <c r="U18" s="579">
        <f t="shared" si="5"/>
        <v>35.467739999999992</v>
      </c>
      <c r="V18" s="580">
        <f t="shared" si="6"/>
        <v>23.645160000000004</v>
      </c>
    </row>
    <row r="20" spans="1:22" ht="13.15">
      <c r="N20" s="6" t="s">
        <v>724</v>
      </c>
    </row>
    <row r="21" spans="1:22" ht="13.15">
      <c r="N21" s="6" t="s">
        <v>725</v>
      </c>
    </row>
    <row r="25" spans="1:22" s="35" customFormat="1" ht="13.15" hidden="1">
      <c r="N25" s="35" t="s">
        <v>85</v>
      </c>
      <c r="R25" s="36"/>
      <c r="S25" s="37"/>
      <c r="T25" s="38"/>
    </row>
    <row r="26" spans="1:22" ht="13.15" hidden="1"/>
    <row r="27" spans="1:22" ht="39.6" hidden="1">
      <c r="N27" s="177" t="s">
        <v>726</v>
      </c>
      <c r="O27" s="92" t="s">
        <v>727</v>
      </c>
      <c r="P27" s="92" t="s">
        <v>728</v>
      </c>
      <c r="Q27" s="178" t="s">
        <v>729</v>
      </c>
      <c r="R27" s="178" t="s">
        <v>730</v>
      </c>
      <c r="S27" s="178" t="s">
        <v>731</v>
      </c>
      <c r="T27" s="92" t="s">
        <v>732</v>
      </c>
      <c r="U27" s="92" t="s">
        <v>733</v>
      </c>
      <c r="V27" s="92" t="s">
        <v>734</v>
      </c>
    </row>
    <row r="28" spans="1:22" ht="13.15" hidden="1">
      <c r="N28" s="634" t="s">
        <v>735</v>
      </c>
      <c r="O28" s="634" t="s">
        <v>419</v>
      </c>
      <c r="P28" s="179">
        <v>729220.64292341296</v>
      </c>
      <c r="Q28" s="180">
        <v>8.9107862761175909</v>
      </c>
      <c r="R28" s="179">
        <v>6497.9292972235899</v>
      </c>
      <c r="S28" s="181">
        <v>6.9472618404239406E-2</v>
      </c>
      <c r="T28" s="182">
        <v>18.4126518663243</v>
      </c>
      <c r="U28" s="179">
        <v>134268858.31885999</v>
      </c>
      <c r="V28" s="102">
        <v>5.96666874499171E-2</v>
      </c>
    </row>
    <row r="29" spans="1:22" ht="13.15" hidden="1">
      <c r="N29" s="634" t="s">
        <v>735</v>
      </c>
      <c r="O29" s="634" t="s">
        <v>736</v>
      </c>
      <c r="P29" s="183">
        <v>119595.577569407</v>
      </c>
      <c r="Q29" s="184">
        <v>9.1607126710965296</v>
      </c>
      <c r="R29" s="179">
        <v>1095.5807228471799</v>
      </c>
      <c r="S29" s="185">
        <v>5.1121524623256601E-2</v>
      </c>
      <c r="T29" s="186">
        <v>22.852915968004599</v>
      </c>
      <c r="U29" s="187">
        <v>27331076.8433863</v>
      </c>
      <c r="V29" s="102">
        <v>6.1329054850815502E-2</v>
      </c>
    </row>
    <row r="30" spans="1:22" ht="13.15" hidden="1">
      <c r="N30" s="634" t="s">
        <v>735</v>
      </c>
      <c r="O30" s="634" t="s">
        <v>737</v>
      </c>
      <c r="P30" s="183">
        <v>33616.997018630398</v>
      </c>
      <c r="Q30" s="184">
        <v>7.4853782247682501</v>
      </c>
      <c r="R30" s="179">
        <v>251.63593746535599</v>
      </c>
      <c r="S30" s="185">
        <v>9.6269719338166096E-2</v>
      </c>
      <c r="T30" s="186">
        <v>19.118001246539901</v>
      </c>
      <c r="U30" s="187">
        <v>6426897.9090710599</v>
      </c>
      <c r="V30" s="102">
        <v>9.6846802373571295E-2</v>
      </c>
    </row>
    <row r="31" spans="1:22" ht="13.15" hidden="1">
      <c r="N31" s="634" t="s">
        <v>735</v>
      </c>
      <c r="O31" s="634" t="s">
        <v>738</v>
      </c>
      <c r="P31" s="183">
        <v>9405.1639436092391</v>
      </c>
      <c r="Q31" s="184">
        <v>12.247810612315099</v>
      </c>
      <c r="R31" s="179">
        <v>115.192666759101</v>
      </c>
      <c r="S31" s="185">
        <v>0.134850944761924</v>
      </c>
      <c r="T31" s="186">
        <v>28.286510997213099</v>
      </c>
      <c r="U31" s="187">
        <v>2660392.7332149502</v>
      </c>
      <c r="V31" s="102">
        <v>0.15551675449649499</v>
      </c>
    </row>
    <row r="32" spans="1:22" ht="13.15" hidden="1">
      <c r="N32" s="634" t="s">
        <v>735</v>
      </c>
      <c r="O32" s="634" t="s">
        <v>739</v>
      </c>
      <c r="P32" s="183">
        <v>45237.817363033399</v>
      </c>
      <c r="Q32" s="184">
        <v>10.2380592179762</v>
      </c>
      <c r="R32" s="179">
        <v>463.14745305472798</v>
      </c>
      <c r="S32" s="185">
        <v>8.6968601248933103E-2</v>
      </c>
      <c r="T32" s="186">
        <v>12.1512379866186</v>
      </c>
      <c r="U32" s="187">
        <v>5496954.8477340499</v>
      </c>
      <c r="V32" s="102">
        <v>5.8292862221122198E-2</v>
      </c>
    </row>
    <row r="33" spans="14:38" ht="13.15" hidden="1">
      <c r="N33" s="634" t="s">
        <v>735</v>
      </c>
      <c r="O33" s="634" t="s">
        <v>740</v>
      </c>
      <c r="P33" s="183">
        <v>43153.105531319401</v>
      </c>
      <c r="Q33" s="184">
        <v>11.1200992810291</v>
      </c>
      <c r="R33" s="179">
        <v>479.86681779299698</v>
      </c>
      <c r="S33" s="185">
        <v>8.51480789141906E-2</v>
      </c>
      <c r="T33" s="186">
        <v>15.1928344532295</v>
      </c>
      <c r="U33" s="187">
        <v>6556179.8848007796</v>
      </c>
      <c r="V33" s="102">
        <v>6.9670951029196806E-2</v>
      </c>
    </row>
    <row r="34" spans="14:38" ht="13.15" hidden="1">
      <c r="N34" s="634" t="s">
        <v>735</v>
      </c>
      <c r="O34" s="634" t="s">
        <v>741</v>
      </c>
      <c r="P34" s="183">
        <v>34954.8250034964</v>
      </c>
      <c r="Q34" s="184">
        <v>6.7295320962489598</v>
      </c>
      <c r="R34" s="179">
        <v>235.22961677979501</v>
      </c>
      <c r="S34" s="185">
        <v>0.100918332402126</v>
      </c>
      <c r="T34" s="186">
        <v>36.414803753733899</v>
      </c>
      <c r="U34" s="187">
        <v>12728730.9274843</v>
      </c>
      <c r="V34" s="102">
        <v>0.16679848361268099</v>
      </c>
    </row>
    <row r="35" spans="14:38" ht="13.15" hidden="1">
      <c r="N35" s="634" t="s">
        <v>735</v>
      </c>
      <c r="O35" s="634" t="s">
        <v>742</v>
      </c>
      <c r="P35" s="183">
        <v>168128.07741813399</v>
      </c>
      <c r="Q35" s="184">
        <v>7.4809050283844698</v>
      </c>
      <c r="R35" s="179">
        <v>1257.7501797699299</v>
      </c>
      <c r="S35" s="185">
        <v>6.4676279788134894E-2</v>
      </c>
      <c r="T35" s="186">
        <v>10.462719486898299</v>
      </c>
      <c r="U35" s="187">
        <v>17590769.1189746</v>
      </c>
      <c r="V35" s="102">
        <v>3.3022227695205797E-2</v>
      </c>
    </row>
    <row r="36" spans="14:38" ht="13.15" hidden="1">
      <c r="N36" s="634" t="s">
        <v>735</v>
      </c>
      <c r="O36" s="634" t="s">
        <v>743</v>
      </c>
      <c r="P36" s="183">
        <v>24229.8711410219</v>
      </c>
      <c r="Q36" s="184">
        <v>7.0997851810854096</v>
      </c>
      <c r="R36" s="179">
        <v>172.02688006663598</v>
      </c>
      <c r="S36" s="185">
        <v>8.2931727175147602E-2</v>
      </c>
      <c r="T36" s="186">
        <v>9.9914596699029392</v>
      </c>
      <c r="U36" s="187">
        <v>2420917.8031246602</v>
      </c>
      <c r="V36" s="102">
        <v>4.0934188983236398E-2</v>
      </c>
    </row>
    <row r="37" spans="14:38" ht="13.15" hidden="1">
      <c r="N37" s="634" t="s">
        <v>735</v>
      </c>
      <c r="O37" s="634" t="s">
        <v>744</v>
      </c>
      <c r="P37" s="183">
        <v>11692.4715124552</v>
      </c>
      <c r="Q37" s="184">
        <v>8.2779572521261802</v>
      </c>
      <c r="R37" s="179">
        <v>96.789779351807098</v>
      </c>
      <c r="S37" s="185">
        <v>7.3941338894994907E-2</v>
      </c>
      <c r="T37" s="186">
        <v>13.0509885814238</v>
      </c>
      <c r="U37" s="187">
        <v>1525983.12197676</v>
      </c>
      <c r="V37" s="102">
        <v>5.3068389307681298E-2</v>
      </c>
    </row>
    <row r="38" spans="14:38" ht="13.15" hidden="1">
      <c r="N38" s="634" t="s">
        <v>735</v>
      </c>
      <c r="O38" s="634" t="s">
        <v>745</v>
      </c>
      <c r="P38" s="183">
        <v>33664.067962068999</v>
      </c>
      <c r="Q38" s="184">
        <v>7.4907855057867003</v>
      </c>
      <c r="R38" s="179">
        <v>252.17031235608499</v>
      </c>
      <c r="S38" s="185">
        <v>4.7515324280336502E-2</v>
      </c>
      <c r="T38" s="186">
        <v>15.531345720731199</v>
      </c>
      <c r="U38" s="187">
        <v>5228482.7788508404</v>
      </c>
      <c r="V38" s="102">
        <v>4.0201213931553098E-2</v>
      </c>
    </row>
    <row r="39" spans="14:38" ht="13.15" hidden="1">
      <c r="N39" s="634" t="s">
        <v>735</v>
      </c>
      <c r="O39" s="634" t="s">
        <v>746</v>
      </c>
      <c r="P39" s="183">
        <v>35588.191164836702</v>
      </c>
      <c r="Q39" s="184">
        <v>8.9209026200610602</v>
      </c>
      <c r="R39" s="179">
        <v>317.47878780562502</v>
      </c>
      <c r="S39" s="185">
        <v>7.2140397678845905E-2</v>
      </c>
      <c r="T39" s="186">
        <v>6.7585920908378796</v>
      </c>
      <c r="U39" s="187">
        <v>2405260.6733389199</v>
      </c>
      <c r="V39" s="102">
        <v>2.30640151560117E-2</v>
      </c>
    </row>
    <row r="40" spans="14:38" ht="13.15" hidden="1">
      <c r="N40" s="634" t="s">
        <v>735</v>
      </c>
      <c r="O40" s="634" t="s">
        <v>747</v>
      </c>
      <c r="P40" s="183">
        <v>66439.552526901098</v>
      </c>
      <c r="Q40" s="184">
        <v>10.7564745443751</v>
      </c>
      <c r="R40" s="179">
        <v>714.65535549528397</v>
      </c>
      <c r="S40" s="185">
        <v>0.103214878479746</v>
      </c>
      <c r="T40" s="186">
        <v>24.260094422715099</v>
      </c>
      <c r="U40" s="187">
        <v>16118298.177055599</v>
      </c>
      <c r="V40" s="102">
        <v>8.1236962548796393E-2</v>
      </c>
    </row>
    <row r="41" spans="14:38" ht="13.15" hidden="1">
      <c r="N41" s="634" t="s">
        <v>735</v>
      </c>
      <c r="O41" s="634" t="s">
        <v>748</v>
      </c>
      <c r="P41" s="183">
        <v>21127.579698825699</v>
      </c>
      <c r="Q41" s="184">
        <v>10.166137912198</v>
      </c>
      <c r="R41" s="179">
        <v>214.78588896921599</v>
      </c>
      <c r="S41" s="185">
        <v>7.9379542774958595E-2</v>
      </c>
      <c r="T41" s="186">
        <v>19.8576237006504</v>
      </c>
      <c r="U41" s="187">
        <v>4195435.2736478196</v>
      </c>
      <c r="V41" s="102">
        <v>7.7140996030821293E-2</v>
      </c>
    </row>
    <row r="42" spans="14:38" ht="13.15" hidden="1">
      <c r="N42" s="634" t="s">
        <v>735</v>
      </c>
      <c r="O42" s="634" t="s">
        <v>749</v>
      </c>
      <c r="P42" s="183">
        <v>29100.3242667962</v>
      </c>
      <c r="Q42" s="184">
        <v>10.459344174247301</v>
      </c>
      <c r="R42" s="179">
        <v>304.37030708862301</v>
      </c>
      <c r="S42" s="185">
        <v>7.1341432613403893E-2</v>
      </c>
      <c r="T42" s="186">
        <v>28.241891521061699</v>
      </c>
      <c r="U42" s="187">
        <v>10874612.099108901</v>
      </c>
      <c r="V42" s="102">
        <v>0.121526584688293</v>
      </c>
    </row>
    <row r="43" spans="14:38" ht="13.15" hidden="1">
      <c r="N43" s="634" t="s">
        <v>735</v>
      </c>
      <c r="O43" s="634" t="s">
        <v>750</v>
      </c>
      <c r="P43" s="183">
        <v>38649.953145301697</v>
      </c>
      <c r="Q43" s="184">
        <v>10.333947960239501</v>
      </c>
      <c r="R43" s="179">
        <v>399.40660446924198</v>
      </c>
      <c r="S43" s="185">
        <v>5.7387573585142203E-2</v>
      </c>
      <c r="T43" s="186">
        <v>12.252374101207501</v>
      </c>
      <c r="U43" s="187">
        <v>10915477.840237301</v>
      </c>
      <c r="V43" s="102">
        <v>5.0856958299953098E-2</v>
      </c>
    </row>
    <row r="44" spans="14:38" ht="13.15" hidden="1">
      <c r="N44" s="634" t="s">
        <v>735</v>
      </c>
      <c r="O44" s="634" t="s">
        <v>751</v>
      </c>
      <c r="P44" s="183">
        <v>14637.067657575701</v>
      </c>
      <c r="Q44" s="184">
        <v>8.7341255873627297</v>
      </c>
      <c r="R44" s="179">
        <v>127.841987151992</v>
      </c>
      <c r="S44" s="185">
        <v>6.5657927635700497E-2</v>
      </c>
      <c r="T44" s="186">
        <v>37.369384613754796</v>
      </c>
      <c r="U44" s="187">
        <v>1793388.2868530301</v>
      </c>
      <c r="V44" s="102">
        <v>4.0174471751225703E-2</v>
      </c>
    </row>
    <row r="45" spans="14:38" ht="13.15" hidden="1">
      <c r="N45" s="634" t="s">
        <v>735</v>
      </c>
      <c r="V45" s="102"/>
    </row>
    <row r="46" spans="14:38" ht="13.15" hidden="1">
      <c r="N46" s="188"/>
      <c r="O46" s="188"/>
      <c r="P46" s="974" t="s">
        <v>752</v>
      </c>
      <c r="Q46" s="975"/>
      <c r="R46" s="976"/>
      <c r="S46" s="615"/>
      <c r="T46" s="974" t="s">
        <v>753</v>
      </c>
      <c r="U46" s="975"/>
      <c r="V46" s="976"/>
      <c r="W46" s="615"/>
      <c r="X46" s="974" t="s">
        <v>754</v>
      </c>
      <c r="Y46" s="975"/>
      <c r="Z46" s="976"/>
      <c r="AA46" s="615"/>
      <c r="AB46" s="974" t="s">
        <v>755</v>
      </c>
      <c r="AC46" s="975"/>
      <c r="AD46" s="976"/>
      <c r="AE46" s="615"/>
      <c r="AF46" s="974" t="s">
        <v>732</v>
      </c>
      <c r="AG46" s="975"/>
      <c r="AH46" s="976"/>
      <c r="AI46" s="314"/>
      <c r="AJ46" s="971" t="s">
        <v>732</v>
      </c>
      <c r="AK46" s="972"/>
      <c r="AL46" s="973"/>
    </row>
    <row r="47" spans="14:38" ht="52.9" hidden="1">
      <c r="N47" s="189" t="s">
        <v>756</v>
      </c>
      <c r="O47" s="190" t="s">
        <v>56</v>
      </c>
      <c r="P47" s="191" t="s">
        <v>757</v>
      </c>
      <c r="Q47" s="191" t="s">
        <v>758</v>
      </c>
      <c r="R47" s="191" t="s">
        <v>417</v>
      </c>
      <c r="S47" s="615"/>
      <c r="T47" s="191" t="s">
        <v>757</v>
      </c>
      <c r="U47" s="191" t="s">
        <v>758</v>
      </c>
      <c r="V47" s="191" t="s">
        <v>417</v>
      </c>
      <c r="W47" s="615"/>
      <c r="X47" s="191" t="s">
        <v>757</v>
      </c>
      <c r="Y47" s="191" t="s">
        <v>758</v>
      </c>
      <c r="Z47" s="191" t="s">
        <v>417</v>
      </c>
      <c r="AA47" s="615"/>
      <c r="AB47" s="191" t="s">
        <v>757</v>
      </c>
      <c r="AC47" s="191" t="s">
        <v>758</v>
      </c>
      <c r="AD47" s="191" t="s">
        <v>417</v>
      </c>
      <c r="AE47" s="615"/>
      <c r="AF47" s="191" t="s">
        <v>757</v>
      </c>
      <c r="AG47" s="191" t="s">
        <v>758</v>
      </c>
      <c r="AH47" s="191" t="s">
        <v>417</v>
      </c>
      <c r="AI47" s="314"/>
      <c r="AJ47" s="169" t="s">
        <v>757</v>
      </c>
      <c r="AK47" s="169" t="s">
        <v>758</v>
      </c>
      <c r="AL47" s="169" t="s">
        <v>417</v>
      </c>
    </row>
    <row r="48" spans="14:38" ht="13.15" hidden="1">
      <c r="N48" s="54" t="s">
        <v>419</v>
      </c>
      <c r="O48" s="42" t="s">
        <v>735</v>
      </c>
      <c r="P48" s="170">
        <v>670485.32658456895</v>
      </c>
      <c r="Q48" s="171">
        <v>58735.316338844015</v>
      </c>
      <c r="R48" s="172">
        <v>729220.64292341296</v>
      </c>
      <c r="S48" s="173"/>
      <c r="T48" s="170">
        <v>5984.2373561351596</v>
      </c>
      <c r="U48" s="171">
        <v>513.69194108843021</v>
      </c>
      <c r="V48" s="172">
        <v>6497.9292972235899</v>
      </c>
      <c r="W48" s="173"/>
      <c r="X48" s="170">
        <v>125.313335965297</v>
      </c>
      <c r="Y48" s="171">
        <v>8.9555223535629978</v>
      </c>
      <c r="Z48" s="172">
        <v>134.26885831886</v>
      </c>
      <c r="AA48" s="173"/>
      <c r="AB48" s="174">
        <v>8.9252323934047393</v>
      </c>
      <c r="AC48" s="175">
        <v>8.7458785124258398</v>
      </c>
      <c r="AD48" s="176">
        <v>8.9107862761175909</v>
      </c>
      <c r="AE48" s="173"/>
      <c r="AF48" s="174">
        <v>18.689944581433199</v>
      </c>
      <c r="AG48" s="175">
        <v>15.476875244161659</v>
      </c>
      <c r="AH48" s="176">
        <v>18.4126518663243</v>
      </c>
      <c r="AI48" s="173"/>
      <c r="AJ48" s="174">
        <v>18.689944581433149</v>
      </c>
      <c r="AK48" s="175">
        <v>15.247253120930845</v>
      </c>
      <c r="AL48" s="176">
        <v>18.412651866324321</v>
      </c>
    </row>
    <row r="49" spans="14:38" ht="13.15" hidden="1">
      <c r="N49" s="54" t="s">
        <v>736</v>
      </c>
      <c r="O49" s="42" t="s">
        <v>735</v>
      </c>
      <c r="P49" s="170">
        <v>97897.963421485299</v>
      </c>
      <c r="Q49" s="171">
        <v>21697.614147921704</v>
      </c>
      <c r="R49" s="172">
        <v>119595.577569407</v>
      </c>
      <c r="S49" s="173"/>
      <c r="T49" s="170">
        <v>896.81511398974499</v>
      </c>
      <c r="U49" s="171">
        <v>198.76560885743493</v>
      </c>
      <c r="V49" s="172">
        <v>1095.5807228471799</v>
      </c>
      <c r="W49" s="173"/>
      <c r="X49" s="170">
        <v>22.3725393150999</v>
      </c>
      <c r="Y49" s="171">
        <v>4.9585375282863993</v>
      </c>
      <c r="Z49" s="172">
        <v>27.331076843386299</v>
      </c>
      <c r="AA49" s="173"/>
      <c r="AB49" s="174">
        <v>9.1607126710965296</v>
      </c>
      <c r="AC49" s="175">
        <v>9.1607126710967712</v>
      </c>
      <c r="AD49" s="176">
        <v>9.1607126710965296</v>
      </c>
      <c r="AE49" s="173"/>
      <c r="AF49" s="174">
        <v>22.852915968004599</v>
      </c>
      <c r="AG49" s="175">
        <v>22.852915968004517</v>
      </c>
      <c r="AH49" s="176">
        <v>22.852915968004599</v>
      </c>
      <c r="AI49" s="173"/>
      <c r="AJ49" s="174">
        <v>22.852915968004581</v>
      </c>
      <c r="AK49" s="175">
        <v>22.852915968004485</v>
      </c>
      <c r="AL49" s="176">
        <v>22.852915968004567</v>
      </c>
    </row>
    <row r="50" spans="14:38" ht="13.15" hidden="1">
      <c r="N50" s="54" t="s">
        <v>737</v>
      </c>
      <c r="O50" s="42" t="s">
        <v>735</v>
      </c>
      <c r="P50" s="170">
        <v>31544.781660245699</v>
      </c>
      <c r="Q50" s="171">
        <v>2072.2153583846994</v>
      </c>
      <c r="R50" s="172">
        <v>33616.997018630398</v>
      </c>
      <c r="S50" s="173"/>
      <c r="T50" s="170">
        <v>236.124621744672</v>
      </c>
      <c r="U50" s="171">
        <v>15.511315720683996</v>
      </c>
      <c r="V50" s="172">
        <v>251.63593746535599</v>
      </c>
      <c r="W50" s="173"/>
      <c r="X50" s="170">
        <v>6.0307317510240805</v>
      </c>
      <c r="Y50" s="171">
        <v>0.39616615804697908</v>
      </c>
      <c r="Z50" s="172">
        <v>6.4268979090710596</v>
      </c>
      <c r="AA50" s="173"/>
      <c r="AB50" s="174">
        <v>7.4853782247682501</v>
      </c>
      <c r="AC50" s="175">
        <v>7.4853782247686516</v>
      </c>
      <c r="AD50" s="176">
        <v>7.4853782247682501</v>
      </c>
      <c r="AE50" s="173"/>
      <c r="AF50" s="174">
        <v>19.118001246539901</v>
      </c>
      <c r="AG50" s="175">
        <v>19.118001246539894</v>
      </c>
      <c r="AH50" s="176">
        <v>19.118001246539901</v>
      </c>
      <c r="AI50" s="173"/>
      <c r="AJ50" s="174">
        <v>19.118001246539958</v>
      </c>
      <c r="AK50" s="175">
        <v>19.118001246539947</v>
      </c>
      <c r="AL50" s="176">
        <v>19.118001246539954</v>
      </c>
    </row>
    <row r="51" spans="14:38" ht="13.15" hidden="1">
      <c r="N51" s="54" t="s">
        <v>738</v>
      </c>
      <c r="O51" s="42" t="s">
        <v>735</v>
      </c>
      <c r="P51" s="170">
        <v>9125.8806110952501</v>
      </c>
      <c r="Q51" s="171">
        <v>279.28333251398908</v>
      </c>
      <c r="R51" s="172">
        <v>9405.1639436092391</v>
      </c>
      <c r="S51" s="173"/>
      <c r="T51" s="170">
        <v>111.772057395293</v>
      </c>
      <c r="U51" s="171">
        <v>3.4206093638079977</v>
      </c>
      <c r="V51" s="172">
        <v>115.192666759101</v>
      </c>
      <c r="W51" s="173"/>
      <c r="X51" s="170">
        <v>2.58139322265</v>
      </c>
      <c r="Y51" s="171">
        <v>7.8999510564950359E-2</v>
      </c>
      <c r="Z51" s="172">
        <v>2.6603927332149504</v>
      </c>
      <c r="AA51" s="173"/>
      <c r="AB51" s="174">
        <v>12.247810612315099</v>
      </c>
      <c r="AC51" s="175">
        <v>12.247810612316659</v>
      </c>
      <c r="AD51" s="176">
        <v>12.247810612315099</v>
      </c>
      <c r="AE51" s="173"/>
      <c r="AF51" s="174">
        <v>28.286510997213099</v>
      </c>
      <c r="AG51" s="175">
        <v>28.286510997212226</v>
      </c>
      <c r="AH51" s="176">
        <v>28.286510997213099</v>
      </c>
      <c r="AI51" s="173"/>
      <c r="AJ51" s="174">
        <v>28.286510997213146</v>
      </c>
      <c r="AK51" s="175">
        <v>28.286510997212243</v>
      </c>
      <c r="AL51" s="176">
        <v>28.286510997213117</v>
      </c>
    </row>
    <row r="52" spans="14:38" ht="13.15" hidden="1">
      <c r="N52" s="54" t="s">
        <v>739</v>
      </c>
      <c r="O52" s="42" t="s">
        <v>735</v>
      </c>
      <c r="P52" s="170">
        <v>38145.1801807515</v>
      </c>
      <c r="Q52" s="171">
        <v>7092.6371822818983</v>
      </c>
      <c r="R52" s="172">
        <v>45237.817363033399</v>
      </c>
      <c r="S52" s="173"/>
      <c r="T52" s="170">
        <v>390.53261357090599</v>
      </c>
      <c r="U52" s="171">
        <v>72.614839483821982</v>
      </c>
      <c r="V52" s="172">
        <v>463.14745305472798</v>
      </c>
      <c r="W52" s="173"/>
      <c r="X52" s="170">
        <v>4.63511162418758</v>
      </c>
      <c r="Y52" s="171">
        <v>0.86184322354646969</v>
      </c>
      <c r="Z52" s="172">
        <v>5.4969548477340497</v>
      </c>
      <c r="AA52" s="173"/>
      <c r="AB52" s="174">
        <v>10.2380592179762</v>
      </c>
      <c r="AC52" s="175">
        <v>10.238059217976208</v>
      </c>
      <c r="AD52" s="176">
        <v>10.2380592179762</v>
      </c>
      <c r="AE52" s="173"/>
      <c r="AF52" s="174">
        <v>12.1512379866186</v>
      </c>
      <c r="AG52" s="175">
        <v>12.15123798661857</v>
      </c>
      <c r="AH52" s="176">
        <v>12.1512379866186</v>
      </c>
      <c r="AI52" s="173"/>
      <c r="AJ52" s="174">
        <v>12.151237986618584</v>
      </c>
      <c r="AK52" s="175">
        <v>12.15123798661855</v>
      </c>
      <c r="AL52" s="176">
        <v>12.151237986618579</v>
      </c>
    </row>
    <row r="53" spans="14:38" ht="13.15" hidden="1">
      <c r="N53" s="54" t="s">
        <v>740</v>
      </c>
      <c r="O53" s="42" t="s">
        <v>735</v>
      </c>
      <c r="P53" s="170">
        <v>43068.635613527302</v>
      </c>
      <c r="Q53" s="171">
        <v>84.469917792099295</v>
      </c>
      <c r="R53" s="172">
        <v>43153.105531319401</v>
      </c>
      <c r="S53" s="173"/>
      <c r="T53" s="170">
        <v>478.92750392088698</v>
      </c>
      <c r="U53" s="171">
        <v>0.93931387211000583</v>
      </c>
      <c r="V53" s="172">
        <v>479.86681779299698</v>
      </c>
      <c r="W53" s="173"/>
      <c r="X53" s="170">
        <v>6.5433465100278294</v>
      </c>
      <c r="Y53" s="171">
        <v>1.2833374772950101E-2</v>
      </c>
      <c r="Z53" s="172">
        <v>6.5561798848007795</v>
      </c>
      <c r="AA53" s="173"/>
      <c r="AB53" s="174">
        <v>11.1200992810291</v>
      </c>
      <c r="AC53" s="175">
        <v>11.120099281046802</v>
      </c>
      <c r="AD53" s="176">
        <v>11.1200992810291</v>
      </c>
      <c r="AE53" s="173"/>
      <c r="AF53" s="174">
        <v>15.1928344532295</v>
      </c>
      <c r="AG53" s="175">
        <v>15.192834453250104</v>
      </c>
      <c r="AH53" s="176">
        <v>15.1928344532295</v>
      </c>
      <c r="AI53" s="173"/>
      <c r="AJ53" s="174">
        <v>15.192834453229461</v>
      </c>
      <c r="AK53" s="175">
        <v>15.192834453250105</v>
      </c>
      <c r="AL53" s="176">
        <v>15.192834453229501</v>
      </c>
    </row>
    <row r="54" spans="14:38" ht="13.15" hidden="1">
      <c r="N54" s="54" t="s">
        <v>741</v>
      </c>
      <c r="O54" s="42" t="s">
        <v>735</v>
      </c>
      <c r="P54" s="170">
        <v>34382.498030536699</v>
      </c>
      <c r="Q54" s="171">
        <v>572.32697295970138</v>
      </c>
      <c r="R54" s="172">
        <v>34954.8250034964</v>
      </c>
      <c r="S54" s="173"/>
      <c r="T54" s="170">
        <v>231.37812404571301</v>
      </c>
      <c r="U54" s="171">
        <v>3.8514927340820009</v>
      </c>
      <c r="V54" s="172">
        <v>235.22961677979501</v>
      </c>
      <c r="W54" s="173"/>
      <c r="X54" s="170">
        <v>12.520319183451399</v>
      </c>
      <c r="Y54" s="171">
        <v>0.20841174403290097</v>
      </c>
      <c r="Z54" s="172">
        <v>12.7287309274843</v>
      </c>
      <c r="AA54" s="173"/>
      <c r="AB54" s="174">
        <v>6.7295320962489598</v>
      </c>
      <c r="AC54" s="175">
        <v>6.7295320962501473</v>
      </c>
      <c r="AD54" s="176">
        <v>6.7295320962489598</v>
      </c>
      <c r="AE54" s="173"/>
      <c r="AF54" s="174">
        <v>36.414803753733899</v>
      </c>
      <c r="AG54" s="175">
        <v>36.414803753723483</v>
      </c>
      <c r="AH54" s="176">
        <v>36.414803753733899</v>
      </c>
      <c r="AI54" s="173"/>
      <c r="AJ54" s="174">
        <v>36.414803753734006</v>
      </c>
      <c r="AK54" s="175">
        <v>36.414803753723419</v>
      </c>
      <c r="AL54" s="176">
        <v>36.414803753733835</v>
      </c>
    </row>
    <row r="55" spans="14:38" ht="13.15" hidden="1">
      <c r="N55" s="54" t="s">
        <v>742</v>
      </c>
      <c r="O55" s="42" t="s">
        <v>735</v>
      </c>
      <c r="P55" s="170">
        <v>154214.422156488</v>
      </c>
      <c r="Q55" s="171">
        <v>13913.655261645996</v>
      </c>
      <c r="R55" s="172">
        <v>168128.07741813399</v>
      </c>
      <c r="S55" s="173"/>
      <c r="T55" s="170">
        <v>1153.6634461598801</v>
      </c>
      <c r="U55" s="171">
        <v>104.08673361004981</v>
      </c>
      <c r="V55" s="172">
        <v>1257.7501797699299</v>
      </c>
      <c r="W55" s="173"/>
      <c r="X55" s="170">
        <v>16.135022398574499</v>
      </c>
      <c r="Y55" s="171">
        <v>1.4557467204001</v>
      </c>
      <c r="Z55" s="172">
        <v>17.590769118974599</v>
      </c>
      <c r="AA55" s="173"/>
      <c r="AB55" s="174">
        <v>7.4809050283844698</v>
      </c>
      <c r="AC55" s="175">
        <v>7.4809050283840559</v>
      </c>
      <c r="AD55" s="176">
        <v>7.4809050283844698</v>
      </c>
      <c r="AE55" s="173"/>
      <c r="AF55" s="174">
        <v>10.462719486898299</v>
      </c>
      <c r="AG55" s="175">
        <v>10.462719486898377</v>
      </c>
      <c r="AH55" s="176">
        <v>10.462719486898299</v>
      </c>
      <c r="AI55" s="173"/>
      <c r="AJ55" s="174">
        <v>10.462719486898312</v>
      </c>
      <c r="AK55" s="175">
        <v>10.462719486898399</v>
      </c>
      <c r="AL55" s="176">
        <v>10.462719486898321</v>
      </c>
    </row>
    <row r="56" spans="14:38" ht="13.15" hidden="1">
      <c r="N56" s="54" t="s">
        <v>743</v>
      </c>
      <c r="O56" s="42" t="s">
        <v>735</v>
      </c>
      <c r="P56" s="170">
        <v>24229.8711410219</v>
      </c>
      <c r="Q56" s="171">
        <v>0</v>
      </c>
      <c r="R56" s="172">
        <v>24229.8711410219</v>
      </c>
      <c r="S56" s="173"/>
      <c r="T56" s="170">
        <v>172.02688006663601</v>
      </c>
      <c r="U56" s="171">
        <v>0</v>
      </c>
      <c r="V56" s="172">
        <v>172.02688006663601</v>
      </c>
      <c r="W56" s="173"/>
      <c r="X56" s="170">
        <v>2.4209178031246603</v>
      </c>
      <c r="Y56" s="171">
        <v>0</v>
      </c>
      <c r="Z56" s="172">
        <v>2.4209178031246603</v>
      </c>
      <c r="AA56" s="173"/>
      <c r="AB56" s="174">
        <v>7.0997851810854096</v>
      </c>
      <c r="AC56" s="175" t="s">
        <v>759</v>
      </c>
      <c r="AD56" s="176">
        <v>7.0997851810854096</v>
      </c>
      <c r="AE56" s="173"/>
      <c r="AF56" s="174">
        <v>9.9914596699029392</v>
      </c>
      <c r="AG56" s="175" t="s">
        <v>759</v>
      </c>
      <c r="AH56" s="176">
        <v>9.9914596699029392</v>
      </c>
      <c r="AI56" s="173"/>
      <c r="AJ56" s="174">
        <v>9.9914596699029641</v>
      </c>
      <c r="AK56" s="175" t="s">
        <v>759</v>
      </c>
      <c r="AL56" s="176">
        <v>9.9914596699029641</v>
      </c>
    </row>
    <row r="57" spans="14:38" ht="13.15" hidden="1">
      <c r="N57" s="54" t="s">
        <v>744</v>
      </c>
      <c r="O57" s="42" t="s">
        <v>735</v>
      </c>
      <c r="P57" s="170">
        <v>11692.4715124552</v>
      </c>
      <c r="Q57" s="171">
        <v>0</v>
      </c>
      <c r="R57" s="172">
        <v>11692.4715124552</v>
      </c>
      <c r="S57" s="173"/>
      <c r="T57" s="170">
        <v>96.789779351807098</v>
      </c>
      <c r="U57" s="171">
        <v>0</v>
      </c>
      <c r="V57" s="172">
        <v>96.789779351807098</v>
      </c>
      <c r="W57" s="173"/>
      <c r="X57" s="170">
        <v>1.5259831219767599</v>
      </c>
      <c r="Y57" s="171">
        <v>0</v>
      </c>
      <c r="Z57" s="172">
        <v>1.5259831219767599</v>
      </c>
      <c r="AA57" s="173"/>
      <c r="AB57" s="174">
        <v>8.2779572521261802</v>
      </c>
      <c r="AC57" s="175" t="s">
        <v>759</v>
      </c>
      <c r="AD57" s="176">
        <v>8.2779572521261802</v>
      </c>
      <c r="AE57" s="173"/>
      <c r="AF57" s="174">
        <v>13.0509885814238</v>
      </c>
      <c r="AG57" s="175" t="s">
        <v>759</v>
      </c>
      <c r="AH57" s="176">
        <v>13.0509885814238</v>
      </c>
      <c r="AI57" s="173"/>
      <c r="AJ57" s="174">
        <v>13.050988581423809</v>
      </c>
      <c r="AK57" s="175" t="s">
        <v>759</v>
      </c>
      <c r="AL57" s="176">
        <v>13.050988581423809</v>
      </c>
    </row>
    <row r="58" spans="14:38" ht="13.15" hidden="1">
      <c r="N58" s="54" t="s">
        <v>745</v>
      </c>
      <c r="O58" s="42" t="s">
        <v>735</v>
      </c>
      <c r="P58" s="170">
        <v>32492.201815029999</v>
      </c>
      <c r="Q58" s="171">
        <v>1171.8661470389998</v>
      </c>
      <c r="R58" s="172">
        <v>33664.067962068999</v>
      </c>
      <c r="S58" s="173"/>
      <c r="T58" s="170">
        <v>243.39211440712299</v>
      </c>
      <c r="U58" s="171">
        <v>8.7781979489620028</v>
      </c>
      <c r="V58" s="172">
        <v>252.17031235608499</v>
      </c>
      <c r="W58" s="173"/>
      <c r="X58" s="170">
        <v>5.0464761961699898</v>
      </c>
      <c r="Y58" s="171">
        <v>0.18200658268085057</v>
      </c>
      <c r="Z58" s="172">
        <v>5.2284827788508403</v>
      </c>
      <c r="AA58" s="173"/>
      <c r="AB58" s="174">
        <v>7.4907855057867003</v>
      </c>
      <c r="AC58" s="175">
        <v>7.4907855057868344</v>
      </c>
      <c r="AD58" s="176">
        <v>7.4907855057867003</v>
      </c>
      <c r="AE58" s="173"/>
      <c r="AF58" s="174">
        <v>15.531345720731199</v>
      </c>
      <c r="AG58" s="175">
        <v>15.531345720732181</v>
      </c>
      <c r="AH58" s="176">
        <v>15.531345720731199</v>
      </c>
      <c r="AI58" s="173"/>
      <c r="AJ58" s="174">
        <v>15.531345720731148</v>
      </c>
      <c r="AK58" s="175">
        <v>15.531345720732164</v>
      </c>
      <c r="AL58" s="176">
        <v>15.531345720731181</v>
      </c>
    </row>
    <row r="59" spans="14:38" ht="13.15" hidden="1">
      <c r="N59" s="54" t="s">
        <v>746</v>
      </c>
      <c r="O59" s="42" t="s">
        <v>735</v>
      </c>
      <c r="P59" s="170">
        <v>23736.943146532001</v>
      </c>
      <c r="Q59" s="171">
        <v>11851.248018304701</v>
      </c>
      <c r="R59" s="172">
        <v>35588.191164836702</v>
      </c>
      <c r="S59" s="173"/>
      <c r="T59" s="170">
        <v>211.75495830813699</v>
      </c>
      <c r="U59" s="171">
        <v>105.72382949748803</v>
      </c>
      <c r="V59" s="172">
        <v>317.47878780562502</v>
      </c>
      <c r="W59" s="173"/>
      <c r="X59" s="170">
        <v>1.6042831621081899</v>
      </c>
      <c r="Y59" s="171">
        <v>0.80097751123073002</v>
      </c>
      <c r="Z59" s="172">
        <v>2.4052606733389199</v>
      </c>
      <c r="AA59" s="173"/>
      <c r="AB59" s="174">
        <v>8.9209026200610602</v>
      </c>
      <c r="AC59" s="175">
        <v>8.9209026200610744</v>
      </c>
      <c r="AD59" s="176">
        <v>8.9209026200610602</v>
      </c>
      <c r="AE59" s="173"/>
      <c r="AF59" s="174">
        <v>6.7585920908378796</v>
      </c>
      <c r="AG59" s="175">
        <v>6.7585920908379382</v>
      </c>
      <c r="AH59" s="176">
        <v>6.7585920908378796</v>
      </c>
      <c r="AI59" s="173"/>
      <c r="AJ59" s="174">
        <v>6.7585920908378547</v>
      </c>
      <c r="AK59" s="175">
        <v>6.7585920908379427</v>
      </c>
      <c r="AL59" s="176">
        <v>6.758592090837884</v>
      </c>
    </row>
    <row r="60" spans="14:38" ht="13.15" hidden="1">
      <c r="N60" s="54" t="s">
        <v>747</v>
      </c>
      <c r="O60" s="42" t="s">
        <v>735</v>
      </c>
      <c r="P60" s="170">
        <v>66439.552526901098</v>
      </c>
      <c r="Q60" s="171">
        <v>0</v>
      </c>
      <c r="R60" s="172">
        <v>66439.552526901098</v>
      </c>
      <c r="S60" s="173"/>
      <c r="T60" s="170">
        <v>714.65535549528397</v>
      </c>
      <c r="U60" s="171">
        <v>0</v>
      </c>
      <c r="V60" s="172">
        <v>714.65535549528397</v>
      </c>
      <c r="W60" s="173"/>
      <c r="X60" s="170">
        <v>16.1182981770556</v>
      </c>
      <c r="Y60" s="171">
        <v>0</v>
      </c>
      <c r="Z60" s="172">
        <v>16.1182981770556</v>
      </c>
      <c r="AA60" s="173"/>
      <c r="AB60" s="174">
        <v>10.7564745443751</v>
      </c>
      <c r="AC60" s="175" t="s">
        <v>759</v>
      </c>
      <c r="AD60" s="176">
        <v>10.7564745443751</v>
      </c>
      <c r="AE60" s="173"/>
      <c r="AF60" s="174">
        <v>24.260094422715099</v>
      </c>
      <c r="AG60" s="175" t="s">
        <v>759</v>
      </c>
      <c r="AH60" s="176">
        <v>24.260094422715099</v>
      </c>
      <c r="AI60" s="173"/>
      <c r="AJ60" s="174">
        <v>24.260094422715095</v>
      </c>
      <c r="AK60" s="175" t="s">
        <v>759</v>
      </c>
      <c r="AL60" s="176">
        <v>24.260094422715095</v>
      </c>
    </row>
    <row r="61" spans="14:38" ht="13.15" hidden="1">
      <c r="N61" s="54" t="s">
        <v>748</v>
      </c>
      <c r="O61" s="42" t="s">
        <v>735</v>
      </c>
      <c r="P61" s="170">
        <v>21127.579698825699</v>
      </c>
      <c r="Q61" s="171">
        <v>0</v>
      </c>
      <c r="R61" s="172">
        <v>21127.579698825699</v>
      </c>
      <c r="S61" s="173"/>
      <c r="T61" s="170">
        <v>214.78588896921599</v>
      </c>
      <c r="U61" s="171">
        <v>0</v>
      </c>
      <c r="V61" s="172">
        <v>214.78588896921599</v>
      </c>
      <c r="W61" s="173"/>
      <c r="X61" s="170">
        <v>4.1954352736478198</v>
      </c>
      <c r="Y61" s="171">
        <v>0</v>
      </c>
      <c r="Z61" s="172">
        <v>4.1954352736478198</v>
      </c>
      <c r="AA61" s="173"/>
      <c r="AB61" s="174">
        <v>10.166137912198</v>
      </c>
      <c r="AC61" s="175" t="s">
        <v>759</v>
      </c>
      <c r="AD61" s="176">
        <v>10.166137912198</v>
      </c>
      <c r="AE61" s="173"/>
      <c r="AF61" s="174">
        <v>19.8576237006504</v>
      </c>
      <c r="AG61" s="175" t="s">
        <v>759</v>
      </c>
      <c r="AH61" s="176">
        <v>19.8576237006504</v>
      </c>
      <c r="AI61" s="173"/>
      <c r="AJ61" s="174">
        <v>19.857623700650429</v>
      </c>
      <c r="AK61" s="175" t="s">
        <v>759</v>
      </c>
      <c r="AL61" s="176">
        <v>19.857623700650429</v>
      </c>
    </row>
    <row r="62" spans="14:38" ht="13.15" hidden="1">
      <c r="N62" s="54" t="s">
        <v>749</v>
      </c>
      <c r="O62" s="42" t="s">
        <v>735</v>
      </c>
      <c r="P62" s="170">
        <v>29100.3242667962</v>
      </c>
      <c r="Q62" s="171">
        <v>0</v>
      </c>
      <c r="R62" s="172">
        <v>29100.3242667962</v>
      </c>
      <c r="S62" s="173"/>
      <c r="T62" s="170">
        <v>304.37030708862301</v>
      </c>
      <c r="U62" s="171">
        <v>0</v>
      </c>
      <c r="V62" s="172">
        <v>304.37030708862301</v>
      </c>
      <c r="W62" s="173"/>
      <c r="X62" s="170">
        <v>10.874612099108901</v>
      </c>
      <c r="Y62" s="171">
        <v>0</v>
      </c>
      <c r="Z62" s="172">
        <v>10.874612099108901</v>
      </c>
      <c r="AA62" s="173"/>
      <c r="AB62" s="174">
        <v>10.459344174247301</v>
      </c>
      <c r="AC62" s="175" t="s">
        <v>759</v>
      </c>
      <c r="AD62" s="176">
        <v>10.459344174247301</v>
      </c>
      <c r="AE62" s="173"/>
      <c r="AF62" s="174">
        <v>37.369384613754796</v>
      </c>
      <c r="AG62" s="175" t="s">
        <v>759</v>
      </c>
      <c r="AH62" s="176">
        <v>37.369384613754796</v>
      </c>
      <c r="AI62" s="173"/>
      <c r="AJ62" s="174">
        <v>37.369384613754832</v>
      </c>
      <c r="AK62" s="175" t="s">
        <v>759</v>
      </c>
      <c r="AL62" s="176">
        <v>37.369384613754832</v>
      </c>
    </row>
    <row r="63" spans="14:38" ht="13.15" hidden="1">
      <c r="N63" s="54" t="s">
        <v>750</v>
      </c>
      <c r="O63" s="42" t="s">
        <v>735</v>
      </c>
      <c r="P63" s="170">
        <v>38649.953145301697</v>
      </c>
      <c r="Q63" s="171">
        <v>0</v>
      </c>
      <c r="R63" s="172">
        <v>38649.953145301697</v>
      </c>
      <c r="S63" s="173"/>
      <c r="T63" s="170">
        <v>399.40660446924198</v>
      </c>
      <c r="U63" s="171">
        <v>0</v>
      </c>
      <c r="V63" s="172">
        <v>399.40660446924198</v>
      </c>
      <c r="W63" s="173"/>
      <c r="X63" s="170">
        <v>10.915477840237301</v>
      </c>
      <c r="Y63" s="171">
        <v>0</v>
      </c>
      <c r="Z63" s="172">
        <v>10.915477840237301</v>
      </c>
      <c r="AA63" s="173"/>
      <c r="AB63" s="174">
        <v>10.333947960239501</v>
      </c>
      <c r="AC63" s="175" t="s">
        <v>759</v>
      </c>
      <c r="AD63" s="176">
        <v>10.333947960239501</v>
      </c>
      <c r="AE63" s="173"/>
      <c r="AF63" s="174">
        <v>28.241891521061699</v>
      </c>
      <c r="AG63" s="175" t="s">
        <v>759</v>
      </c>
      <c r="AH63" s="176">
        <v>28.241891521061699</v>
      </c>
      <c r="AI63" s="173"/>
      <c r="AJ63" s="174">
        <v>28.241891521061756</v>
      </c>
      <c r="AK63" s="175" t="s">
        <v>759</v>
      </c>
      <c r="AL63" s="176">
        <v>28.241891521061756</v>
      </c>
    </row>
    <row r="64" spans="14:38" ht="13.15" hidden="1">
      <c r="N64" s="54" t="s">
        <v>751</v>
      </c>
      <c r="O64" s="42" t="s">
        <v>735</v>
      </c>
      <c r="P64" s="170">
        <v>14637.067657575701</v>
      </c>
      <c r="Q64" s="171">
        <v>0</v>
      </c>
      <c r="R64" s="172">
        <v>14637.067657575701</v>
      </c>
      <c r="S64" s="173"/>
      <c r="T64" s="170">
        <v>127.841987151992</v>
      </c>
      <c r="U64" s="171">
        <v>0</v>
      </c>
      <c r="V64" s="172">
        <v>127.841987151992</v>
      </c>
      <c r="W64" s="173"/>
      <c r="X64" s="170">
        <v>1.7933882868530302</v>
      </c>
      <c r="Y64" s="171">
        <v>0</v>
      </c>
      <c r="Z64" s="172">
        <v>1.7933882868530302</v>
      </c>
      <c r="AA64" s="173"/>
      <c r="AB64" s="174">
        <v>8.7341255873627297</v>
      </c>
      <c r="AC64" s="175" t="s">
        <v>759</v>
      </c>
      <c r="AD64" s="176">
        <v>8.7341255873627297</v>
      </c>
      <c r="AE64" s="173"/>
      <c r="AF64" s="174">
        <v>12.252374101207501</v>
      </c>
      <c r="AG64" s="175" t="s">
        <v>759</v>
      </c>
      <c r="AH64" s="176">
        <v>12.252374101207501</v>
      </c>
      <c r="AI64" s="173"/>
      <c r="AJ64" s="174">
        <v>12.252374101207538</v>
      </c>
      <c r="AK64" s="175" t="s">
        <v>759</v>
      </c>
      <c r="AL64" s="176">
        <v>12.252374101207538</v>
      </c>
    </row>
    <row r="65" spans="14:38" ht="13.15" hidden="1">
      <c r="N65" s="54" t="s">
        <v>419</v>
      </c>
      <c r="O65" s="42" t="s">
        <v>735</v>
      </c>
      <c r="P65" s="170">
        <v>670485.32658456929</v>
      </c>
      <c r="Q65" s="171">
        <v>58735.31633884379</v>
      </c>
      <c r="R65" s="172">
        <v>729220.64292341308</v>
      </c>
      <c r="S65" s="173"/>
      <c r="T65" s="170">
        <v>5984.237356135156</v>
      </c>
      <c r="U65" s="171">
        <v>513.69194108844067</v>
      </c>
      <c r="V65" s="172">
        <v>6497.9292972235962</v>
      </c>
      <c r="W65" s="173"/>
      <c r="X65" s="170">
        <v>125.31333596529754</v>
      </c>
      <c r="Y65" s="171">
        <v>8.9555223535623298</v>
      </c>
      <c r="Z65" s="172">
        <v>134.26885831885988</v>
      </c>
      <c r="AA65" s="173"/>
      <c r="AB65" s="174">
        <v>8.9252323934047428</v>
      </c>
      <c r="AC65" s="175">
        <v>8.7458785124260512</v>
      </c>
      <c r="AD65" s="176">
        <v>8.9107862761175927</v>
      </c>
      <c r="AE65" s="173"/>
      <c r="AF65" s="174">
        <v>18.689944581433149</v>
      </c>
      <c r="AG65" s="175">
        <v>15.476875244160539</v>
      </c>
      <c r="AH65" s="176">
        <v>18.412651866324317</v>
      </c>
      <c r="AI65" s="173"/>
      <c r="AJ65" s="174">
        <v>18.68994458143322</v>
      </c>
      <c r="AK65" s="175">
        <v>15.247253120929765</v>
      </c>
      <c r="AL65" s="176">
        <v>18.412651866324303</v>
      </c>
    </row>
    <row r="66" spans="14:38" ht="13.15" hidden="1"/>
    <row r="67" spans="14:38" ht="13.15" hidden="1"/>
    <row r="68" spans="14:38" ht="13.15" hidden="1"/>
    <row r="69" spans="14:38" ht="13.15" hidden="1"/>
    <row r="70" spans="14:38" ht="52.9" hidden="1">
      <c r="N70" s="92" t="s">
        <v>760</v>
      </c>
      <c r="O70" s="92" t="s">
        <v>761</v>
      </c>
      <c r="P70" s="92" t="s">
        <v>762</v>
      </c>
      <c r="Q70" s="92" t="s">
        <v>763</v>
      </c>
      <c r="R70" s="92" t="s">
        <v>764</v>
      </c>
      <c r="S70" s="92" t="s">
        <v>765</v>
      </c>
      <c r="T70" s="92" t="s">
        <v>766</v>
      </c>
      <c r="U70" s="92" t="s">
        <v>767</v>
      </c>
      <c r="V70" s="92" t="s">
        <v>768</v>
      </c>
      <c r="W70" s="92" t="s">
        <v>769</v>
      </c>
      <c r="X70" s="192" t="s">
        <v>770</v>
      </c>
    </row>
    <row r="71" spans="14:38" ht="13.15" hidden="1">
      <c r="N71" s="634" t="s">
        <v>771</v>
      </c>
      <c r="O71" s="193" t="s">
        <v>419</v>
      </c>
      <c r="P71" s="634" t="s">
        <v>735</v>
      </c>
      <c r="Q71" s="193">
        <v>0.1553155410424</v>
      </c>
      <c r="R71" s="193" t="s">
        <v>772</v>
      </c>
      <c r="S71" s="193" t="s">
        <v>772</v>
      </c>
      <c r="T71" s="193" t="s">
        <v>772</v>
      </c>
      <c r="U71" s="193">
        <v>0.1553155410424</v>
      </c>
      <c r="V71" s="193">
        <v>0</v>
      </c>
      <c r="W71" s="193">
        <v>0</v>
      </c>
      <c r="X71" s="622"/>
    </row>
    <row r="72" spans="14:38" ht="13.15" hidden="1">
      <c r="N72" s="634" t="s">
        <v>773</v>
      </c>
      <c r="O72" s="193" t="s">
        <v>419</v>
      </c>
      <c r="P72" s="634" t="s">
        <v>735</v>
      </c>
      <c r="Q72" s="193">
        <v>4.2893847426716597E-3</v>
      </c>
      <c r="R72" s="193">
        <v>0.37364195437578401</v>
      </c>
      <c r="S72" s="193">
        <v>0.62223881776062695</v>
      </c>
      <c r="T72" s="193">
        <v>4.1192278635886299E-3</v>
      </c>
      <c r="U72" s="193">
        <v>1.6026940983215083E-3</v>
      </c>
      <c r="V72" s="193">
        <v>2.6690216912004846E-3</v>
      </c>
      <c r="W72" s="193">
        <v>1.7668953149665044E-5</v>
      </c>
      <c r="X72" s="622"/>
    </row>
    <row r="73" spans="14:38" ht="13.15" hidden="1">
      <c r="N73" s="634" t="s">
        <v>774</v>
      </c>
      <c r="O73" s="193" t="s">
        <v>419</v>
      </c>
      <c r="P73" s="634" t="s">
        <v>735</v>
      </c>
      <c r="Q73" s="193">
        <v>0.94913514297623203</v>
      </c>
      <c r="R73" s="193">
        <v>0.99060255488902704</v>
      </c>
      <c r="S73" s="193">
        <v>9.3974451109733095E-3</v>
      </c>
      <c r="T73" s="193">
        <v>0</v>
      </c>
      <c r="U73" s="193">
        <v>0.94021569756721746</v>
      </c>
      <c r="V73" s="193">
        <v>8.919445409014945E-3</v>
      </c>
      <c r="W73" s="193">
        <v>0</v>
      </c>
      <c r="X73" s="622"/>
    </row>
    <row r="74" spans="14:38" ht="13.15" hidden="1">
      <c r="N74" s="194" t="s">
        <v>275</v>
      </c>
      <c r="O74" s="193" t="s">
        <v>419</v>
      </c>
      <c r="P74" s="634" t="s">
        <v>735</v>
      </c>
      <c r="Q74" s="193">
        <v>0.89969672397024703</v>
      </c>
      <c r="R74" s="193">
        <v>0.99952757717530905</v>
      </c>
      <c r="S74" s="193">
        <v>3.5234073619353298E-4</v>
      </c>
      <c r="T74" s="193">
        <v>1.20082088497135E-4</v>
      </c>
      <c r="U74" s="193">
        <v>0.89927168670254376</v>
      </c>
      <c r="V74" s="193">
        <v>3.1699980607458668E-4</v>
      </c>
      <c r="W74" s="193">
        <v>1.0803746162837765E-4</v>
      </c>
      <c r="X74" s="622"/>
    </row>
    <row r="75" spans="14:38" ht="13.15" hidden="1">
      <c r="N75" s="634" t="s">
        <v>600</v>
      </c>
      <c r="O75" s="193" t="s">
        <v>419</v>
      </c>
      <c r="P75" s="634" t="s">
        <v>735</v>
      </c>
      <c r="Q75" s="193">
        <v>0.66300604502508598</v>
      </c>
      <c r="R75" s="193" t="s">
        <v>772</v>
      </c>
      <c r="S75" s="193" t="s">
        <v>772</v>
      </c>
      <c r="T75" s="193" t="s">
        <v>772</v>
      </c>
      <c r="U75" s="193">
        <v>0.66300604502508598</v>
      </c>
      <c r="V75" s="193">
        <v>0</v>
      </c>
      <c r="W75" s="193">
        <v>0</v>
      </c>
      <c r="X75" s="622"/>
    </row>
    <row r="76" spans="14:38" ht="13.15" hidden="1">
      <c r="N76" s="634" t="s">
        <v>775</v>
      </c>
      <c r="O76" s="193" t="s">
        <v>419</v>
      </c>
      <c r="P76" s="634" t="s">
        <v>735</v>
      </c>
      <c r="Q76" s="193">
        <v>5.9735148462676302E-2</v>
      </c>
      <c r="R76" s="193" t="s">
        <v>772</v>
      </c>
      <c r="S76" s="193" t="s">
        <v>772</v>
      </c>
      <c r="T76" s="193" t="s">
        <v>772</v>
      </c>
      <c r="U76" s="193">
        <v>5.9735148462676302E-2</v>
      </c>
      <c r="V76" s="193">
        <v>0</v>
      </c>
      <c r="W76" s="193">
        <v>0</v>
      </c>
      <c r="X76" s="622"/>
    </row>
    <row r="77" spans="14:38" ht="13.15" hidden="1">
      <c r="N77" s="634" t="s">
        <v>776</v>
      </c>
      <c r="O77" s="193" t="s">
        <v>419</v>
      </c>
      <c r="P77" s="634" t="s">
        <v>735</v>
      </c>
      <c r="Q77" s="193">
        <v>3.0891267059285902E-4</v>
      </c>
      <c r="R77" s="193" t="s">
        <v>772</v>
      </c>
      <c r="S77" s="193" t="s">
        <v>772</v>
      </c>
      <c r="T77" s="193" t="s">
        <v>772</v>
      </c>
      <c r="U77" s="193">
        <v>3.0891267059285902E-4</v>
      </c>
      <c r="V77" s="193">
        <v>0</v>
      </c>
      <c r="W77" s="193">
        <v>0</v>
      </c>
      <c r="X77" s="622"/>
    </row>
    <row r="78" spans="14:38" ht="13.15" hidden="1">
      <c r="N78" s="194" t="s">
        <v>343</v>
      </c>
      <c r="O78" s="193" t="s">
        <v>419</v>
      </c>
      <c r="P78" s="634" t="s">
        <v>735</v>
      </c>
      <c r="Q78" s="193">
        <v>0.91160158583481499</v>
      </c>
      <c r="R78" s="195">
        <v>0.43376662308021102</v>
      </c>
      <c r="S78" s="193">
        <v>0.55528364756249704</v>
      </c>
      <c r="T78" s="193">
        <v>1.0949729357291899E-2</v>
      </c>
      <c r="U78" s="193">
        <v>0.39542234148213284</v>
      </c>
      <c r="V78" s="193">
        <v>0.5061974537061128</v>
      </c>
      <c r="W78" s="193">
        <v>9.9817906465693249E-3</v>
      </c>
      <c r="X78" s="622"/>
      <c r="Y78" s="196" t="s">
        <v>777</v>
      </c>
    </row>
    <row r="79" spans="14:38" ht="13.15" hidden="1">
      <c r="N79" s="634" t="s">
        <v>778</v>
      </c>
      <c r="O79" s="193" t="s">
        <v>419</v>
      </c>
      <c r="P79" s="634" t="s">
        <v>735</v>
      </c>
      <c r="Q79" s="193">
        <v>0.93412756224897098</v>
      </c>
      <c r="R79" s="193" t="s">
        <v>772</v>
      </c>
      <c r="S79" s="193" t="s">
        <v>772</v>
      </c>
      <c r="T79" s="193" t="s">
        <v>772</v>
      </c>
      <c r="U79" s="193">
        <v>0.93412756224897098</v>
      </c>
      <c r="V79" s="193">
        <v>0</v>
      </c>
      <c r="W79" s="193">
        <v>0</v>
      </c>
      <c r="X79" s="622"/>
    </row>
    <row r="80" spans="14:38" ht="13.15" hidden="1">
      <c r="N80" s="634" t="s">
        <v>779</v>
      </c>
      <c r="O80" s="193" t="s">
        <v>419</v>
      </c>
      <c r="P80" s="634" t="s">
        <v>735</v>
      </c>
      <c r="Q80" s="193">
        <v>0.12784870196334799</v>
      </c>
      <c r="R80" s="193" t="s">
        <v>772</v>
      </c>
      <c r="S80" s="193" t="s">
        <v>772</v>
      </c>
      <c r="T80" s="193" t="s">
        <v>772</v>
      </c>
      <c r="U80" s="193">
        <v>0.12784870196334799</v>
      </c>
      <c r="V80" s="193">
        <v>0</v>
      </c>
      <c r="W80" s="193">
        <v>0</v>
      </c>
      <c r="X80" s="622"/>
    </row>
    <row r="81" spans="14:24" ht="13.15" hidden="1">
      <c r="N81" s="634" t="s">
        <v>780</v>
      </c>
      <c r="O81" s="193" t="s">
        <v>419</v>
      </c>
      <c r="P81" s="634" t="s">
        <v>735</v>
      </c>
      <c r="Q81" s="193">
        <v>1</v>
      </c>
      <c r="R81" s="193" t="s">
        <v>772</v>
      </c>
      <c r="S81" s="193" t="s">
        <v>772</v>
      </c>
      <c r="T81" s="193" t="s">
        <v>772</v>
      </c>
      <c r="U81" s="193">
        <v>1</v>
      </c>
      <c r="V81" s="193">
        <v>0</v>
      </c>
      <c r="W81" s="193">
        <v>0</v>
      </c>
      <c r="X81" s="622"/>
    </row>
    <row r="82" spans="14:24" ht="13.15" hidden="1">
      <c r="N82" s="634" t="s">
        <v>781</v>
      </c>
      <c r="O82" s="193" t="s">
        <v>419</v>
      </c>
      <c r="P82" s="634" t="s">
        <v>735</v>
      </c>
      <c r="Q82" s="193">
        <v>9.4264351191699098E-5</v>
      </c>
      <c r="R82" s="193" t="s">
        <v>772</v>
      </c>
      <c r="S82" s="193" t="s">
        <v>772</v>
      </c>
      <c r="T82" s="193" t="s">
        <v>772</v>
      </c>
      <c r="U82" s="193">
        <v>9.4264351191699098E-5</v>
      </c>
      <c r="V82" s="193">
        <v>0</v>
      </c>
      <c r="W82" s="193">
        <v>0</v>
      </c>
      <c r="X82" s="622"/>
    </row>
    <row r="83" spans="14:24" ht="13.15" hidden="1">
      <c r="N83" s="634" t="s">
        <v>782</v>
      </c>
      <c r="O83" s="193" t="s">
        <v>419</v>
      </c>
      <c r="P83" s="634" t="s">
        <v>735</v>
      </c>
      <c r="Q83" s="193">
        <v>0.84563059045562805</v>
      </c>
      <c r="R83" s="193" t="s">
        <v>772</v>
      </c>
      <c r="S83" s="193" t="s">
        <v>772</v>
      </c>
      <c r="T83" s="193" t="s">
        <v>772</v>
      </c>
      <c r="U83" s="193">
        <v>0.84563059045562805</v>
      </c>
      <c r="V83" s="193">
        <v>0</v>
      </c>
      <c r="W83" s="193">
        <v>0</v>
      </c>
      <c r="X83" s="622"/>
    </row>
    <row r="84" spans="14:24" ht="13.15" hidden="1">
      <c r="N84" s="634" t="s">
        <v>783</v>
      </c>
      <c r="O84" s="193" t="s">
        <v>419</v>
      </c>
      <c r="P84" s="634" t="s">
        <v>735</v>
      </c>
      <c r="Q84" s="193">
        <v>0.92628661157785597</v>
      </c>
      <c r="R84" s="193" t="s">
        <v>772</v>
      </c>
      <c r="S84" s="193" t="s">
        <v>772</v>
      </c>
      <c r="T84" s="193" t="s">
        <v>772</v>
      </c>
      <c r="U84" s="193">
        <v>0.92628661157785597</v>
      </c>
      <c r="V84" s="193">
        <v>0</v>
      </c>
      <c r="W84" s="193">
        <v>0</v>
      </c>
      <c r="X84" s="622"/>
    </row>
    <row r="85" spans="14:24" ht="13.15" hidden="1">
      <c r="N85" s="194" t="s">
        <v>784</v>
      </c>
      <c r="O85" s="193" t="s">
        <v>419</v>
      </c>
      <c r="P85" s="634" t="s">
        <v>735</v>
      </c>
      <c r="Q85" s="193">
        <v>0.93073487115160702</v>
      </c>
      <c r="R85" s="193" t="s">
        <v>772</v>
      </c>
      <c r="S85" s="193" t="s">
        <v>772</v>
      </c>
      <c r="T85" s="193" t="s">
        <v>772</v>
      </c>
      <c r="U85" s="193">
        <v>0.93073487115160702</v>
      </c>
      <c r="V85" s="193">
        <v>0</v>
      </c>
      <c r="W85" s="193">
        <v>0</v>
      </c>
      <c r="X85" s="622"/>
    </row>
    <row r="86" spans="14:24" ht="13.15" hidden="1">
      <c r="N86" s="194" t="s">
        <v>785</v>
      </c>
      <c r="O86" s="193" t="s">
        <v>419</v>
      </c>
      <c r="P86" s="634" t="s">
        <v>735</v>
      </c>
      <c r="Q86" s="193">
        <v>0.92750968456415595</v>
      </c>
      <c r="R86" s="193">
        <v>0.499309049211141</v>
      </c>
      <c r="S86" s="193">
        <v>0.49119978950805399</v>
      </c>
      <c r="T86" s="193">
        <v>9.4911612808049207E-3</v>
      </c>
      <c r="U86" s="193">
        <v>0.46311397873385401</v>
      </c>
      <c r="V86" s="193">
        <v>0.45559256182459495</v>
      </c>
      <c r="W86" s="193">
        <v>8.8031440057069026E-3</v>
      </c>
      <c r="X86" s="622"/>
    </row>
    <row r="87" spans="14:24" ht="13.15" hidden="1"/>
    <row r="88" spans="14:24" ht="13.15" hidden="1"/>
    <row r="89" spans="14:24" ht="13.15" hidden="1"/>
    <row r="90" spans="14:24" ht="52.9" hidden="1">
      <c r="N90" s="197" t="s">
        <v>786</v>
      </c>
      <c r="O90" s="198" t="s">
        <v>56</v>
      </c>
      <c r="P90" s="198"/>
      <c r="Q90" s="94" t="s">
        <v>443</v>
      </c>
      <c r="R90" s="94" t="s">
        <v>186</v>
      </c>
      <c r="S90" s="94" t="s">
        <v>188</v>
      </c>
      <c r="T90" s="94" t="s">
        <v>787</v>
      </c>
      <c r="U90" s="94">
        <v>2018</v>
      </c>
      <c r="V90" s="197" t="s">
        <v>788</v>
      </c>
    </row>
    <row r="91" spans="14:24" ht="13.15" hidden="1">
      <c r="N91" s="622" t="s">
        <v>419</v>
      </c>
      <c r="O91" s="199" t="s">
        <v>735</v>
      </c>
      <c r="P91" s="200" t="s">
        <v>465</v>
      </c>
      <c r="Q91" s="201">
        <v>0.3951368394215336</v>
      </c>
      <c r="R91" s="201">
        <v>0.26427062234257492</v>
      </c>
      <c r="S91" s="201">
        <v>0.15455807061467194</v>
      </c>
      <c r="T91" s="201">
        <v>9.3862760252904923E-2</v>
      </c>
      <c r="U91" s="201">
        <v>0</v>
      </c>
      <c r="V91" s="201">
        <v>9.217170736831469E-2</v>
      </c>
    </row>
    <row r="92" spans="14:24" ht="13.15" hidden="1">
      <c r="N92" s="622">
        <v>1</v>
      </c>
      <c r="O92" s="199" t="s">
        <v>735</v>
      </c>
      <c r="P92" s="200" t="s">
        <v>465</v>
      </c>
      <c r="Q92" s="201">
        <v>0.38627858405465793</v>
      </c>
      <c r="R92" s="201">
        <v>0.15428095608747033</v>
      </c>
      <c r="S92" s="201">
        <v>0.14373991165005318</v>
      </c>
      <c r="T92" s="201">
        <v>0.26426271608582202</v>
      </c>
      <c r="U92" s="201">
        <v>0</v>
      </c>
      <c r="V92" s="201">
        <v>5.1437832121996402E-2</v>
      </c>
    </row>
    <row r="93" spans="14:24" ht="13.15" hidden="1">
      <c r="N93" s="622">
        <v>2</v>
      </c>
      <c r="O93" s="199" t="s">
        <v>735</v>
      </c>
      <c r="P93" s="200" t="s">
        <v>465</v>
      </c>
      <c r="Q93" s="201">
        <v>0.44297286223208826</v>
      </c>
      <c r="R93" s="201">
        <v>0.30619730961066555</v>
      </c>
      <c r="S93" s="201">
        <v>0.14129746417623584</v>
      </c>
      <c r="T93" s="201">
        <v>6.2888617897954802E-2</v>
      </c>
      <c r="U93" s="201">
        <v>0</v>
      </c>
      <c r="V93" s="201">
        <v>4.6643746083055673E-2</v>
      </c>
    </row>
    <row r="94" spans="14:24" ht="13.15" hidden="1">
      <c r="N94" s="622">
        <v>3</v>
      </c>
      <c r="O94" s="199" t="s">
        <v>735</v>
      </c>
      <c r="P94" s="200" t="s">
        <v>465</v>
      </c>
      <c r="Q94" s="201">
        <v>0.42104037137386302</v>
      </c>
      <c r="R94" s="201">
        <v>0.26194081238055</v>
      </c>
      <c r="S94" s="201">
        <v>0.16451006587587985</v>
      </c>
      <c r="T94" s="201">
        <v>3.2749336777353061E-2</v>
      </c>
      <c r="U94" s="201">
        <v>0</v>
      </c>
      <c r="V94" s="201">
        <v>0.11975941359235408</v>
      </c>
    </row>
    <row r="95" spans="14:24" ht="13.15" hidden="1">
      <c r="N95" s="622">
        <v>4</v>
      </c>
      <c r="O95" s="199" t="s">
        <v>735</v>
      </c>
      <c r="P95" s="200" t="s">
        <v>465</v>
      </c>
      <c r="Q95" s="201">
        <v>0.10799042743543892</v>
      </c>
      <c r="R95" s="201">
        <v>0.31171112045024246</v>
      </c>
      <c r="S95" s="201">
        <v>0.47614741994994059</v>
      </c>
      <c r="T95" s="201">
        <v>5.4246891754674564E-2</v>
      </c>
      <c r="U95" s="201">
        <v>0</v>
      </c>
      <c r="V95" s="201">
        <v>4.9904140409703444E-2</v>
      </c>
    </row>
    <row r="96" spans="14:24" ht="13.15" hidden="1">
      <c r="N96" s="622">
        <v>5</v>
      </c>
      <c r="O96" s="199" t="s">
        <v>735</v>
      </c>
      <c r="P96" s="200" t="s">
        <v>465</v>
      </c>
      <c r="Q96" s="201">
        <v>0.22760295695592397</v>
      </c>
      <c r="R96" s="201">
        <v>0.37813193935395129</v>
      </c>
      <c r="S96" s="201">
        <v>0.22077584037995598</v>
      </c>
      <c r="T96" s="201">
        <v>0.12028858935277392</v>
      </c>
      <c r="U96" s="201">
        <v>0</v>
      </c>
      <c r="V96" s="201">
        <v>5.3200673957394751E-2</v>
      </c>
    </row>
    <row r="97" spans="14:22" ht="13.15" hidden="1">
      <c r="N97" s="622">
        <v>6</v>
      </c>
      <c r="O97" s="199" t="s">
        <v>735</v>
      </c>
      <c r="P97" s="200" t="s">
        <v>465</v>
      </c>
      <c r="Q97" s="201">
        <v>0.33758185723798828</v>
      </c>
      <c r="R97" s="201">
        <v>0.14061582932460517</v>
      </c>
      <c r="S97" s="201">
        <v>0.19783462765065449</v>
      </c>
      <c r="T97" s="201">
        <v>1.255117692735566E-2</v>
      </c>
      <c r="U97" s="201">
        <v>0</v>
      </c>
      <c r="V97" s="201">
        <v>0.31141650885939631</v>
      </c>
    </row>
    <row r="98" spans="14:22" ht="13.15" hidden="1">
      <c r="N98" s="622">
        <v>7</v>
      </c>
      <c r="O98" s="199" t="s">
        <v>735</v>
      </c>
      <c r="P98" s="200" t="s">
        <v>465</v>
      </c>
      <c r="Q98" s="201">
        <v>0.5853913422765572</v>
      </c>
      <c r="R98" s="201">
        <v>0.23509844921676865</v>
      </c>
      <c r="S98" s="201">
        <v>3.7103285263119283E-2</v>
      </c>
      <c r="T98" s="201">
        <v>8.4451102710699343E-3</v>
      </c>
      <c r="U98" s="201">
        <v>0</v>
      </c>
      <c r="V98" s="201">
        <v>0.13396181297248511</v>
      </c>
    </row>
    <row r="99" spans="14:22" ht="13.15" hidden="1">
      <c r="N99" s="622">
        <v>8</v>
      </c>
      <c r="O99" s="199" t="s">
        <v>735</v>
      </c>
      <c r="P99" s="200" t="s">
        <v>465</v>
      </c>
      <c r="Q99" s="201">
        <v>0.28095891992002536</v>
      </c>
      <c r="R99" s="201">
        <v>0.39399222197684214</v>
      </c>
      <c r="S99" s="201">
        <v>0.11827419779023984</v>
      </c>
      <c r="T99" s="201">
        <v>7.0117617149881628E-2</v>
      </c>
      <c r="U99" s="201">
        <v>0</v>
      </c>
      <c r="V99" s="201">
        <v>0.13665704316301108</v>
      </c>
    </row>
    <row r="100" spans="14:22" ht="13.15" hidden="1">
      <c r="N100" s="622">
        <v>9</v>
      </c>
      <c r="O100" s="199" t="s">
        <v>735</v>
      </c>
      <c r="P100" s="200" t="s">
        <v>465</v>
      </c>
      <c r="Q100" s="201">
        <v>0.14868995284286446</v>
      </c>
      <c r="R100" s="201">
        <v>0.23006336349401491</v>
      </c>
      <c r="S100" s="201">
        <v>0.27812008455706583</v>
      </c>
      <c r="T100" s="201">
        <v>0.12041461739569063</v>
      </c>
      <c r="U100" s="201">
        <v>0</v>
      </c>
      <c r="V100" s="201">
        <v>0.22271198171036419</v>
      </c>
    </row>
    <row r="101" spans="14:22" ht="13.15" hidden="1">
      <c r="N101" s="622">
        <v>10</v>
      </c>
      <c r="O101" s="199" t="s">
        <v>735</v>
      </c>
      <c r="P101" s="200" t="s">
        <v>465</v>
      </c>
      <c r="Q101" s="201">
        <v>0.31500937816055613</v>
      </c>
      <c r="R101" s="201">
        <v>0.20217571686573893</v>
      </c>
      <c r="S101" s="201">
        <v>0.22950211729379791</v>
      </c>
      <c r="T101" s="201">
        <v>6.2573043075138113E-2</v>
      </c>
      <c r="U101" s="201">
        <v>0</v>
      </c>
      <c r="V101" s="201">
        <v>0.19073974460476889</v>
      </c>
    </row>
    <row r="102" spans="14:22" ht="13.15" hidden="1">
      <c r="N102" s="622">
        <v>11</v>
      </c>
      <c r="O102" s="199" t="s">
        <v>735</v>
      </c>
      <c r="P102" s="200" t="s">
        <v>465</v>
      </c>
      <c r="Q102" s="201">
        <v>0.42200326248932774</v>
      </c>
      <c r="R102" s="201">
        <v>0.15521840117597721</v>
      </c>
      <c r="S102" s="201">
        <v>0.18171647012197434</v>
      </c>
      <c r="T102" s="201">
        <v>6.3899233873689329E-2</v>
      </c>
      <c r="U102" s="201">
        <v>0</v>
      </c>
      <c r="V102" s="201">
        <v>0.17716263233903129</v>
      </c>
    </row>
    <row r="103" spans="14:22" ht="13.15" hidden="1">
      <c r="N103" s="622" t="s">
        <v>789</v>
      </c>
      <c r="O103" s="199" t="s">
        <v>735</v>
      </c>
      <c r="P103" s="200" t="s">
        <v>465</v>
      </c>
      <c r="Q103" s="201">
        <v>0.46395105885440646</v>
      </c>
      <c r="R103" s="201">
        <v>0.3118907360200906</v>
      </c>
      <c r="S103" s="201">
        <v>0.11898880563475359</v>
      </c>
      <c r="T103" s="201">
        <v>9.0332776896798445E-2</v>
      </c>
      <c r="U103" s="201">
        <v>0</v>
      </c>
      <c r="V103" s="201">
        <v>1.4836622593951089E-2</v>
      </c>
    </row>
    <row r="104" spans="14:22" ht="13.15" hidden="1">
      <c r="N104" s="622" t="s">
        <v>790</v>
      </c>
      <c r="O104" s="199" t="s">
        <v>735</v>
      </c>
      <c r="P104" s="200" t="s">
        <v>465</v>
      </c>
      <c r="Q104" s="201">
        <v>0.31286849624321927</v>
      </c>
      <c r="R104" s="201">
        <v>0.43823952114607584</v>
      </c>
      <c r="S104" s="201">
        <v>4.7097825892143737E-2</v>
      </c>
      <c r="T104" s="201">
        <v>6.680485452309208E-2</v>
      </c>
      <c r="U104" s="201">
        <v>0</v>
      </c>
      <c r="V104" s="201">
        <v>0.13498930219546912</v>
      </c>
    </row>
    <row r="105" spans="14:22" ht="13.15" hidden="1">
      <c r="N105" s="622">
        <v>13</v>
      </c>
      <c r="O105" s="199" t="s">
        <v>735</v>
      </c>
      <c r="P105" s="200" t="s">
        <v>465</v>
      </c>
      <c r="Q105" s="201">
        <v>0.32765866655976045</v>
      </c>
      <c r="R105" s="201">
        <v>0.29310786682682788</v>
      </c>
      <c r="S105" s="201">
        <v>0.28120314051693446</v>
      </c>
      <c r="T105" s="201">
        <v>6.7054079985117129E-2</v>
      </c>
      <c r="U105" s="201">
        <v>2.4135388556567338E-5</v>
      </c>
      <c r="V105" s="201">
        <v>3.0976246111359972E-2</v>
      </c>
    </row>
    <row r="106" spans="14:22" ht="13.15" hidden="1">
      <c r="N106" s="622">
        <v>16</v>
      </c>
      <c r="O106" s="199" t="s">
        <v>735</v>
      </c>
      <c r="P106" s="200" t="s">
        <v>465</v>
      </c>
      <c r="Q106" s="201">
        <v>0.45175243024626904</v>
      </c>
      <c r="R106" s="201">
        <v>0.47844429426104224</v>
      </c>
      <c r="S106" s="201">
        <v>6.6062823147707311E-2</v>
      </c>
      <c r="T106" s="201">
        <v>0</v>
      </c>
      <c r="U106" s="201">
        <v>2.4135388556567338E-5</v>
      </c>
      <c r="V106" s="201">
        <v>3.7404523449814202E-3</v>
      </c>
    </row>
    <row r="107" spans="14:22" ht="13.15" hidden="1">
      <c r="N107" s="622">
        <v>17</v>
      </c>
      <c r="O107" s="199" t="s">
        <v>735</v>
      </c>
      <c r="P107" s="200" t="s">
        <v>465</v>
      </c>
      <c r="Q107" s="201">
        <v>0.55520056005243212</v>
      </c>
      <c r="R107" s="201">
        <v>0.26372136236351712</v>
      </c>
      <c r="S107" s="201">
        <v>0</v>
      </c>
      <c r="T107" s="201">
        <v>0.1081662675925774</v>
      </c>
      <c r="U107" s="201">
        <v>2.4135388556567338E-5</v>
      </c>
      <c r="V107" s="201">
        <v>7.2911809991473384E-2</v>
      </c>
    </row>
    <row r="108" spans="14:22" ht="52.9" hidden="1">
      <c r="N108" s="197" t="s">
        <v>786</v>
      </c>
      <c r="O108" s="198" t="s">
        <v>56</v>
      </c>
      <c r="P108" s="198"/>
      <c r="Q108" s="94" t="s">
        <v>443</v>
      </c>
      <c r="R108" s="94" t="s">
        <v>186</v>
      </c>
      <c r="S108" s="94" t="s">
        <v>188</v>
      </c>
      <c r="T108" s="94" t="s">
        <v>787</v>
      </c>
      <c r="U108" s="94">
        <v>2018</v>
      </c>
      <c r="V108" s="197" t="s">
        <v>788</v>
      </c>
    </row>
    <row r="109" spans="14:22" ht="13.15" hidden="1">
      <c r="N109" s="622" t="s">
        <v>419</v>
      </c>
      <c r="O109" s="199" t="s">
        <v>735</v>
      </c>
      <c r="P109" s="200" t="s">
        <v>791</v>
      </c>
      <c r="Q109" s="201">
        <v>0.3589688613633189</v>
      </c>
      <c r="R109" s="201">
        <v>0.32144783080648903</v>
      </c>
      <c r="S109" s="201">
        <v>0.15425823438880207</v>
      </c>
      <c r="T109" s="201">
        <v>6.2602159351716605E-2</v>
      </c>
      <c r="U109" s="201">
        <v>2.2319613009659059E-4</v>
      </c>
      <c r="V109" s="201">
        <v>0.10249971795957681</v>
      </c>
    </row>
    <row r="110" spans="14:22" ht="13.15" hidden="1">
      <c r="N110" s="622">
        <v>1</v>
      </c>
      <c r="O110" s="199" t="s">
        <v>735</v>
      </c>
      <c r="P110" s="200" t="s">
        <v>791</v>
      </c>
      <c r="Q110" s="201">
        <v>0.45230361933712654</v>
      </c>
      <c r="R110" s="201">
        <v>0.29567850489449393</v>
      </c>
      <c r="S110" s="201">
        <v>0.10147982691171223</v>
      </c>
      <c r="T110" s="201">
        <v>6.3052369512166251E-2</v>
      </c>
      <c r="U110" s="201">
        <v>0</v>
      </c>
      <c r="V110" s="201">
        <v>8.7485679344500938E-2</v>
      </c>
    </row>
    <row r="111" spans="14:22" ht="13.15" hidden="1">
      <c r="N111" s="622">
        <v>2</v>
      </c>
      <c r="O111" s="199" t="s">
        <v>735</v>
      </c>
      <c r="P111" s="200" t="s">
        <v>791</v>
      </c>
      <c r="Q111" s="201">
        <v>0.36151652995461897</v>
      </c>
      <c r="R111" s="201">
        <v>0.36908608089461875</v>
      </c>
      <c r="S111" s="201">
        <v>0.15942816132210227</v>
      </c>
      <c r="T111" s="201">
        <v>6.3877462977008581E-2</v>
      </c>
      <c r="U111" s="201">
        <v>0</v>
      </c>
      <c r="V111" s="201">
        <v>4.6091764851651416E-2</v>
      </c>
    </row>
    <row r="112" spans="14:22" ht="13.15" hidden="1">
      <c r="N112" s="622">
        <v>3</v>
      </c>
      <c r="O112" s="199" t="s">
        <v>735</v>
      </c>
      <c r="P112" s="200" t="s">
        <v>791</v>
      </c>
      <c r="Q112" s="201">
        <v>0.34028796736311023</v>
      </c>
      <c r="R112" s="201">
        <v>0.29828284633682772</v>
      </c>
      <c r="S112" s="201">
        <v>0.17262988713176208</v>
      </c>
      <c r="T112" s="201">
        <v>8.0304244646282247E-2</v>
      </c>
      <c r="U112" s="201">
        <v>0</v>
      </c>
      <c r="V112" s="201">
        <v>0.10849505452201776</v>
      </c>
    </row>
    <row r="113" spans="9:22" ht="13.15" hidden="1">
      <c r="N113" s="622">
        <v>4</v>
      </c>
      <c r="O113" s="199" t="s">
        <v>735</v>
      </c>
      <c r="P113" s="200" t="s">
        <v>791</v>
      </c>
      <c r="Q113" s="201">
        <v>0.10031600120904877</v>
      </c>
      <c r="R113" s="201">
        <v>0.32466884532379842</v>
      </c>
      <c r="S113" s="201">
        <v>0.45117862447422091</v>
      </c>
      <c r="T113" s="201">
        <v>4.5154653256203797E-2</v>
      </c>
      <c r="U113" s="201">
        <v>0</v>
      </c>
      <c r="V113" s="201">
        <v>7.8681875736728107E-2</v>
      </c>
    </row>
    <row r="114" spans="9:22" ht="13.15" hidden="1">
      <c r="N114" s="622">
        <v>5</v>
      </c>
      <c r="O114" s="199" t="s">
        <v>735</v>
      </c>
      <c r="P114" s="200" t="s">
        <v>791</v>
      </c>
      <c r="Q114" s="201">
        <v>0.21544634685648825</v>
      </c>
      <c r="R114" s="201">
        <v>0.30296258732832049</v>
      </c>
      <c r="S114" s="201">
        <v>0.23924878555181855</v>
      </c>
      <c r="T114" s="201">
        <v>0.17882667539041525</v>
      </c>
      <c r="U114" s="201">
        <v>0</v>
      </c>
      <c r="V114" s="201">
        <v>6.3515604872957529E-2</v>
      </c>
    </row>
    <row r="115" spans="9:22" ht="13.15" hidden="1">
      <c r="N115" s="622">
        <v>6</v>
      </c>
      <c r="O115" s="199" t="s">
        <v>735</v>
      </c>
      <c r="P115" s="200" t="s">
        <v>791</v>
      </c>
      <c r="Q115" s="201">
        <v>0.30269946949146498</v>
      </c>
      <c r="R115" s="201">
        <v>0.32857947970218826</v>
      </c>
      <c r="S115" s="201">
        <v>8.1345910389186787E-2</v>
      </c>
      <c r="T115" s="201">
        <v>5.9060027295703928E-2</v>
      </c>
      <c r="U115" s="201">
        <v>0</v>
      </c>
      <c r="V115" s="201">
        <v>0.22831511312145614</v>
      </c>
    </row>
    <row r="116" spans="9:22" ht="13.15" hidden="1">
      <c r="N116" s="622">
        <v>7</v>
      </c>
      <c r="O116" s="199" t="s">
        <v>735</v>
      </c>
      <c r="P116" s="200" t="s">
        <v>791</v>
      </c>
      <c r="Q116" s="201">
        <v>0.48348382565175263</v>
      </c>
      <c r="R116" s="201">
        <v>0.27791586554253978</v>
      </c>
      <c r="S116" s="201">
        <v>7.2498537953493911E-2</v>
      </c>
      <c r="T116" s="201">
        <v>3.2846479542247974E-2</v>
      </c>
      <c r="U116" s="201">
        <v>1.1531007477548979E-3</v>
      </c>
      <c r="V116" s="201">
        <v>0.13210219056221073</v>
      </c>
    </row>
    <row r="117" spans="9:22" ht="13.15" hidden="1">
      <c r="N117" s="622">
        <v>8</v>
      </c>
      <c r="O117" s="199" t="s">
        <v>735</v>
      </c>
      <c r="P117" s="200" t="s">
        <v>791</v>
      </c>
      <c r="Q117" s="201">
        <v>0.23552625203160052</v>
      </c>
      <c r="R117" s="201">
        <v>0.54296905881381874</v>
      </c>
      <c r="S117" s="201">
        <v>7.5660229015997296E-2</v>
      </c>
      <c r="T117" s="201">
        <v>8.5809561221058664E-2</v>
      </c>
      <c r="U117" s="201">
        <v>0</v>
      </c>
      <c r="V117" s="201">
        <v>6.0034898917524712E-2</v>
      </c>
    </row>
    <row r="118" spans="9:22" ht="13.15" hidden="1">
      <c r="N118" s="622">
        <v>9</v>
      </c>
      <c r="O118" s="199" t="s">
        <v>735</v>
      </c>
      <c r="P118" s="200" t="s">
        <v>791</v>
      </c>
      <c r="Q118" s="201">
        <v>0.21809520076363489</v>
      </c>
      <c r="R118" s="201">
        <v>0.21838582681207033</v>
      </c>
      <c r="S118" s="201">
        <v>0.19016954383866572</v>
      </c>
      <c r="T118" s="201">
        <v>0.11069816605630049</v>
      </c>
      <c r="U118" s="201">
        <v>0</v>
      </c>
      <c r="V118" s="201">
        <v>0.26265126252932858</v>
      </c>
    </row>
    <row r="119" spans="9:22" ht="13.15" hidden="1">
      <c r="N119" s="622">
        <v>10</v>
      </c>
      <c r="O119" s="199" t="s">
        <v>735</v>
      </c>
      <c r="P119" s="200" t="s">
        <v>791</v>
      </c>
      <c r="Q119" s="201">
        <v>0.16814981630255407</v>
      </c>
      <c r="R119" s="201">
        <v>0.38554562584163277</v>
      </c>
      <c r="S119" s="201">
        <v>0.23790067619203425</v>
      </c>
      <c r="T119" s="201">
        <v>6.9991104864108408E-2</v>
      </c>
      <c r="U119" s="201">
        <v>0</v>
      </c>
      <c r="V119" s="201">
        <v>0.13841277679967046</v>
      </c>
    </row>
    <row r="120" spans="9:22" ht="13.15" hidden="1">
      <c r="N120" s="622">
        <v>11</v>
      </c>
      <c r="O120" s="199" t="s">
        <v>735</v>
      </c>
      <c r="P120" s="200" t="s">
        <v>791</v>
      </c>
      <c r="Q120" s="201">
        <v>0.16558000136004383</v>
      </c>
      <c r="R120" s="201">
        <v>0.27999723103871416</v>
      </c>
      <c r="S120" s="201">
        <v>0.29462996085690746</v>
      </c>
      <c r="T120" s="201">
        <v>9.7317050711726749E-2</v>
      </c>
      <c r="U120" s="201">
        <v>0</v>
      </c>
      <c r="V120" s="201">
        <v>0.16247575603260792</v>
      </c>
    </row>
    <row r="121" spans="9:22" ht="13.15" hidden="1">
      <c r="N121" s="622" t="s">
        <v>789</v>
      </c>
      <c r="O121" s="199" t="s">
        <v>735</v>
      </c>
      <c r="P121" s="200" t="s">
        <v>791</v>
      </c>
      <c r="Q121" s="201">
        <v>0.23881621241575091</v>
      </c>
      <c r="R121" s="201">
        <v>0.47368679445407968</v>
      </c>
      <c r="S121" s="201">
        <v>0.1399446727981469</v>
      </c>
      <c r="T121" s="201">
        <v>6.6739546239185196E-2</v>
      </c>
      <c r="U121" s="201">
        <v>0</v>
      </c>
      <c r="V121" s="201">
        <v>8.0812774092837367E-2</v>
      </c>
    </row>
    <row r="122" spans="9:22" ht="13.15" hidden="1">
      <c r="N122" s="622" t="s">
        <v>790</v>
      </c>
      <c r="O122" s="199" t="s">
        <v>735</v>
      </c>
      <c r="P122" s="200" t="s">
        <v>791</v>
      </c>
      <c r="Q122" s="201">
        <v>0.30485040118892459</v>
      </c>
      <c r="R122" s="201">
        <v>0.30465983149132142</v>
      </c>
      <c r="S122" s="201">
        <v>0.12627830994861616</v>
      </c>
      <c r="T122" s="201">
        <v>2.5575805412876979E-2</v>
      </c>
      <c r="U122" s="201">
        <v>0</v>
      </c>
      <c r="V122" s="201">
        <v>0.23863565195826089</v>
      </c>
    </row>
    <row r="123" spans="9:22" ht="13.15" hidden="1">
      <c r="N123" s="622">
        <v>13</v>
      </c>
      <c r="O123" s="199" t="s">
        <v>735</v>
      </c>
      <c r="P123" s="200" t="s">
        <v>791</v>
      </c>
      <c r="Q123" s="201">
        <v>0.30889886609431982</v>
      </c>
      <c r="R123" s="201">
        <v>0.377671748098035</v>
      </c>
      <c r="S123" s="201">
        <v>0.20396192968002785</v>
      </c>
      <c r="T123" s="201">
        <v>6.7054070235449292E-2</v>
      </c>
      <c r="U123" s="201">
        <v>0</v>
      </c>
      <c r="V123" s="201">
        <v>4.2413385892168122E-2</v>
      </c>
    </row>
    <row r="124" spans="9:22" ht="13.15" hidden="1">
      <c r="N124" s="622">
        <v>16</v>
      </c>
      <c r="O124" s="199" t="s">
        <v>735</v>
      </c>
      <c r="P124" s="200" t="s">
        <v>791</v>
      </c>
      <c r="Q124" s="201">
        <v>0.75649728135927718</v>
      </c>
      <c r="R124" s="201">
        <v>0.17536177444367934</v>
      </c>
      <c r="S124" s="201">
        <v>5.7382951480448363E-2</v>
      </c>
      <c r="T124" s="201">
        <v>0</v>
      </c>
      <c r="U124" s="201">
        <v>0</v>
      </c>
      <c r="V124" s="201">
        <v>1.0757992716595065E-2</v>
      </c>
    </row>
    <row r="125" spans="9:22" ht="13.15" hidden="1">
      <c r="N125" s="622">
        <v>17</v>
      </c>
      <c r="O125" s="199" t="s">
        <v>735</v>
      </c>
      <c r="P125" s="200" t="s">
        <v>791</v>
      </c>
      <c r="Q125" s="201">
        <v>0.69446869546374002</v>
      </c>
      <c r="R125" s="201">
        <v>0.19842781897428469</v>
      </c>
      <c r="S125" s="201">
        <v>0</v>
      </c>
      <c r="T125" s="201">
        <v>2.2131942533488571E-2</v>
      </c>
      <c r="U125" s="201">
        <v>0</v>
      </c>
      <c r="V125" s="201">
        <v>8.4971543028486737E-2</v>
      </c>
    </row>
    <row r="128" spans="9:22" ht="12.75" customHeight="1">
      <c r="I128" s="595"/>
    </row>
    <row r="129" spans="9:9" ht="12.75" customHeight="1">
      <c r="I129" s="595"/>
    </row>
    <row r="130" spans="9:9" ht="12.75" customHeight="1">
      <c r="I130" s="595"/>
    </row>
    <row r="131" spans="9:9" ht="12.75" customHeight="1">
      <c r="I131" s="595"/>
    </row>
    <row r="132" spans="9:9" ht="12.75" customHeight="1">
      <c r="I132" s="595"/>
    </row>
    <row r="133" spans="9:9" ht="12.75" customHeight="1">
      <c r="I133" s="595"/>
    </row>
    <row r="134" spans="9:9" ht="12.75" customHeight="1">
      <c r="I134" s="595"/>
    </row>
    <row r="135" spans="9:9" ht="12.75" customHeight="1">
      <c r="I135" s="595"/>
    </row>
    <row r="136" spans="9:9" ht="12.75" customHeight="1">
      <c r="I136" s="595"/>
    </row>
    <row r="137" spans="9:9" ht="12.75" customHeight="1">
      <c r="I137" s="595"/>
    </row>
    <row r="138" spans="9:9" ht="12.75" customHeight="1">
      <c r="I138" s="595"/>
    </row>
    <row r="139" spans="9:9" ht="12.75" customHeight="1">
      <c r="I139" s="595"/>
    </row>
    <row r="140" spans="9:9" ht="12.75" customHeight="1">
      <c r="I140" s="595"/>
    </row>
    <row r="141" spans="9:9" ht="12.75" customHeight="1">
      <c r="I141" s="595"/>
    </row>
    <row r="142" spans="9:9" ht="12.75" customHeight="1">
      <c r="I142" s="595"/>
    </row>
    <row r="143" spans="9:9" ht="12.75" customHeight="1">
      <c r="I143" s="595"/>
    </row>
  </sheetData>
  <mergeCells count="11">
    <mergeCell ref="N1:U1"/>
    <mergeCell ref="A3:A18"/>
    <mergeCell ref="N3:N18"/>
    <mergeCell ref="AJ46:AL46"/>
    <mergeCell ref="P46:R46"/>
    <mergeCell ref="T46:V46"/>
    <mergeCell ref="X46:Z46"/>
    <mergeCell ref="AB46:AD46"/>
    <mergeCell ref="AF46:AH46"/>
    <mergeCell ref="I1:L1"/>
    <mergeCell ref="A1:H1"/>
  </mergeCells>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BC34"/>
  <sheetViews>
    <sheetView zoomScaleNormal="70" workbookViewId="0">
      <selection sqref="A1:H1"/>
    </sheetView>
  </sheetViews>
  <sheetFormatPr defaultColWidth="8.7109375" defaultRowHeight="13.15"/>
  <cols>
    <col min="1" max="1" width="21" style="6" customWidth="1"/>
    <col min="2" max="2" width="14.28515625" style="6" customWidth="1"/>
    <col min="3" max="3" width="14.5703125" style="6" customWidth="1"/>
    <col min="4" max="8" width="8.7109375" style="6"/>
    <col min="9" max="9" width="13.7109375" style="6" customWidth="1"/>
    <col min="10" max="10" width="14.42578125" style="6" customWidth="1"/>
    <col min="11" max="16384" width="8.7109375" style="6"/>
  </cols>
  <sheetData>
    <row r="1" spans="1:55" ht="15.6">
      <c r="A1" s="752" t="s">
        <v>792</v>
      </c>
      <c r="B1" s="752"/>
      <c r="C1" s="752"/>
      <c r="D1" s="752"/>
      <c r="E1" s="752"/>
      <c r="F1" s="752"/>
      <c r="G1" s="752"/>
      <c r="H1" s="752"/>
    </row>
    <row r="2" spans="1:55">
      <c r="B2" s="211"/>
      <c r="C2" s="212"/>
      <c r="D2" s="213"/>
      <c r="E2" s="213"/>
    </row>
    <row r="3" spans="1:55">
      <c r="A3" s="645" t="s">
        <v>793</v>
      </c>
      <c r="B3" s="200"/>
      <c r="C3" s="622"/>
      <c r="D3" s="214"/>
      <c r="E3" s="214"/>
    </row>
    <row r="11" spans="1:55" s="35" customFormat="1" hidden="1">
      <c r="A11" s="35" t="s">
        <v>85</v>
      </c>
      <c r="E11" s="36"/>
      <c r="F11" s="37"/>
      <c r="G11" s="38"/>
    </row>
    <row r="12" spans="1:55" hidden="1"/>
    <row r="13" spans="1:55" hidden="1"/>
    <row r="14" spans="1:55" s="216" customFormat="1" ht="13.9" hidden="1" thickBot="1">
      <c r="A14" s="215" t="s">
        <v>794</v>
      </c>
      <c r="K14" s="216" t="s">
        <v>795</v>
      </c>
    </row>
    <row r="15" spans="1:55" ht="13.9" hidden="1" thickBot="1">
      <c r="A15" s="7"/>
      <c r="B15" s="7"/>
      <c r="C15" s="7"/>
      <c r="D15" s="982" t="s">
        <v>796</v>
      </c>
      <c r="E15" s="983"/>
      <c r="F15" s="984"/>
      <c r="I15" s="210"/>
      <c r="J15" s="217"/>
      <c r="K15" s="979" t="s">
        <v>797</v>
      </c>
      <c r="L15" s="980"/>
      <c r="M15" s="980"/>
      <c r="N15" s="980"/>
      <c r="O15" s="980"/>
      <c r="P15" s="980"/>
      <c r="Q15" s="980"/>
      <c r="R15" s="980"/>
      <c r="S15" s="981"/>
      <c r="T15" s="980" t="s">
        <v>798</v>
      </c>
      <c r="U15" s="980"/>
      <c r="V15" s="980"/>
      <c r="W15" s="980"/>
      <c r="X15" s="980"/>
      <c r="Y15" s="980"/>
      <c r="Z15" s="980"/>
      <c r="AA15" s="980"/>
      <c r="AB15" s="981"/>
      <c r="AC15" s="979" t="s">
        <v>799</v>
      </c>
      <c r="AD15" s="980"/>
      <c r="AE15" s="980"/>
      <c r="AF15" s="980"/>
      <c r="AG15" s="980"/>
      <c r="AH15" s="980"/>
      <c r="AI15" s="980"/>
      <c r="AJ15" s="980"/>
      <c r="AK15" s="981"/>
      <c r="AL15" s="979" t="s">
        <v>800</v>
      </c>
      <c r="AM15" s="980"/>
      <c r="AN15" s="980"/>
      <c r="AO15" s="980"/>
      <c r="AP15" s="980"/>
      <c r="AQ15" s="980"/>
      <c r="AR15" s="980"/>
      <c r="AS15" s="980"/>
      <c r="AT15" s="981"/>
      <c r="AU15" s="979" t="s">
        <v>801</v>
      </c>
      <c r="AV15" s="980"/>
      <c r="AW15" s="980"/>
      <c r="AX15" s="980"/>
      <c r="AY15" s="980"/>
      <c r="AZ15" s="980"/>
      <c r="BA15" s="980"/>
      <c r="BB15" s="980"/>
      <c r="BC15" s="981"/>
    </row>
    <row r="16" spans="1:55" ht="39.6" hidden="1">
      <c r="A16" s="93" t="s">
        <v>445</v>
      </c>
      <c r="B16" s="93" t="s">
        <v>414</v>
      </c>
      <c r="C16" s="94" t="s">
        <v>56</v>
      </c>
      <c r="D16" s="218" t="s">
        <v>802</v>
      </c>
      <c r="E16" s="218" t="s">
        <v>111</v>
      </c>
      <c r="F16" s="218" t="s">
        <v>417</v>
      </c>
      <c r="I16" s="219" t="s">
        <v>414</v>
      </c>
      <c r="J16" s="220" t="s">
        <v>56</v>
      </c>
      <c r="K16" s="221" t="s">
        <v>803</v>
      </c>
      <c r="L16" s="222" t="s">
        <v>804</v>
      </c>
      <c r="M16" s="222" t="s">
        <v>805</v>
      </c>
      <c r="N16" s="222" t="s">
        <v>806</v>
      </c>
      <c r="O16" s="222" t="s">
        <v>807</v>
      </c>
      <c r="P16" s="222" t="s">
        <v>808</v>
      </c>
      <c r="Q16" s="222" t="s">
        <v>809</v>
      </c>
      <c r="R16" s="222" t="s">
        <v>810</v>
      </c>
      <c r="S16" s="223" t="s">
        <v>811</v>
      </c>
      <c r="T16" s="224" t="s">
        <v>803</v>
      </c>
      <c r="U16" s="222" t="s">
        <v>804</v>
      </c>
      <c r="V16" s="222" t="s">
        <v>805</v>
      </c>
      <c r="W16" s="222" t="s">
        <v>806</v>
      </c>
      <c r="X16" s="222" t="s">
        <v>807</v>
      </c>
      <c r="Y16" s="222" t="s">
        <v>808</v>
      </c>
      <c r="Z16" s="222" t="s">
        <v>809</v>
      </c>
      <c r="AA16" s="222" t="s">
        <v>810</v>
      </c>
      <c r="AB16" s="222" t="s">
        <v>812</v>
      </c>
      <c r="AC16" s="222" t="s">
        <v>803</v>
      </c>
      <c r="AD16" s="222" t="s">
        <v>804</v>
      </c>
      <c r="AE16" s="222" t="s">
        <v>805</v>
      </c>
      <c r="AF16" s="222" t="s">
        <v>806</v>
      </c>
      <c r="AG16" s="222" t="s">
        <v>807</v>
      </c>
      <c r="AH16" s="222" t="s">
        <v>808</v>
      </c>
      <c r="AI16" s="222" t="s">
        <v>809</v>
      </c>
      <c r="AJ16" s="222" t="s">
        <v>810</v>
      </c>
      <c r="AK16" s="222" t="s">
        <v>813</v>
      </c>
      <c r="AL16" s="222" t="s">
        <v>803</v>
      </c>
      <c r="AM16" s="222" t="s">
        <v>804</v>
      </c>
      <c r="AN16" s="222" t="s">
        <v>805</v>
      </c>
      <c r="AO16" s="222" t="s">
        <v>806</v>
      </c>
      <c r="AP16" s="222" t="s">
        <v>807</v>
      </c>
      <c r="AQ16" s="222" t="s">
        <v>808</v>
      </c>
      <c r="AR16" s="222" t="s">
        <v>809</v>
      </c>
      <c r="AS16" s="222" t="s">
        <v>810</v>
      </c>
      <c r="AT16" s="222" t="s">
        <v>814</v>
      </c>
      <c r="AU16" s="222" t="s">
        <v>803</v>
      </c>
      <c r="AV16" s="222" t="s">
        <v>804</v>
      </c>
      <c r="AW16" s="222" t="s">
        <v>805</v>
      </c>
      <c r="AX16" s="222" t="s">
        <v>806</v>
      </c>
      <c r="AY16" s="222" t="s">
        <v>807</v>
      </c>
      <c r="AZ16" s="222" t="s">
        <v>808</v>
      </c>
      <c r="BA16" s="222" t="s">
        <v>809</v>
      </c>
      <c r="BB16" s="222" t="s">
        <v>810</v>
      </c>
      <c r="BC16" s="222" t="s">
        <v>417</v>
      </c>
    </row>
    <row r="17" spans="1:55" hidden="1">
      <c r="A17" s="96" t="s">
        <v>815</v>
      </c>
      <c r="B17" s="97" t="s">
        <v>419</v>
      </c>
      <c r="C17" s="98" t="s">
        <v>735</v>
      </c>
      <c r="D17" s="100">
        <v>0.91629083545529211</v>
      </c>
      <c r="E17" s="99">
        <v>8.3709164544707934E-2</v>
      </c>
      <c r="F17" s="101">
        <v>1</v>
      </c>
      <c r="I17" s="97" t="s">
        <v>419</v>
      </c>
      <c r="J17" s="98" t="s">
        <v>735</v>
      </c>
      <c r="K17" s="225">
        <v>234.63109419938075</v>
      </c>
      <c r="L17" s="226">
        <v>257.26071009531398</v>
      </c>
      <c r="M17" s="226">
        <v>0</v>
      </c>
      <c r="N17" s="226">
        <v>514.26458157647869</v>
      </c>
      <c r="O17" s="226">
        <v>0</v>
      </c>
      <c r="P17" s="226">
        <v>22.221663997801063</v>
      </c>
      <c r="Q17" s="226">
        <v>197.98307335443729</v>
      </c>
      <c r="R17" s="226">
        <v>0</v>
      </c>
      <c r="S17" s="227">
        <v>1226.3611232234116</v>
      </c>
      <c r="T17" s="225">
        <v>108.94502133589977</v>
      </c>
      <c r="U17" s="226">
        <v>831.31991634954227</v>
      </c>
      <c r="V17" s="226">
        <v>0</v>
      </c>
      <c r="W17" s="226">
        <v>1332.4399257375558</v>
      </c>
      <c r="X17" s="226">
        <v>101.16411121740421</v>
      </c>
      <c r="Y17" s="226">
        <v>78.502372667385458</v>
      </c>
      <c r="Z17" s="226">
        <v>360.40603758226268</v>
      </c>
      <c r="AA17" s="226">
        <v>0</v>
      </c>
      <c r="AB17" s="227">
        <v>2812.7773848900501</v>
      </c>
      <c r="AC17" s="225">
        <v>21.375883128638311</v>
      </c>
      <c r="AD17" s="226">
        <v>0</v>
      </c>
      <c r="AE17" s="226">
        <v>0</v>
      </c>
      <c r="AF17" s="226">
        <v>15.713800739862089</v>
      </c>
      <c r="AG17" s="226">
        <v>0</v>
      </c>
      <c r="AH17" s="226">
        <v>0</v>
      </c>
      <c r="AI17" s="226">
        <v>0</v>
      </c>
      <c r="AJ17" s="226">
        <v>0</v>
      </c>
      <c r="AK17" s="227">
        <v>37.089683868500401</v>
      </c>
      <c r="AL17" s="225">
        <v>56.949890324869315</v>
      </c>
      <c r="AM17" s="226">
        <v>42.147584318104094</v>
      </c>
      <c r="AN17" s="226">
        <v>0</v>
      </c>
      <c r="AO17" s="226">
        <v>212.11012713552492</v>
      </c>
      <c r="AP17" s="226">
        <v>0</v>
      </c>
      <c r="AQ17" s="226">
        <v>25.7419607619861</v>
      </c>
      <c r="AR17" s="226">
        <v>0</v>
      </c>
      <c r="AS17" s="226">
        <v>0</v>
      </c>
      <c r="AT17" s="227">
        <v>336.94956254048441</v>
      </c>
      <c r="AU17" s="225">
        <v>421.90188898878813</v>
      </c>
      <c r="AV17" s="226">
        <v>1130.7282107629603</v>
      </c>
      <c r="AW17" s="226">
        <v>0</v>
      </c>
      <c r="AX17" s="226">
        <v>2074.5284351894215</v>
      </c>
      <c r="AY17" s="226">
        <v>101.16411121740421</v>
      </c>
      <c r="AZ17" s="226">
        <v>126.46599742717262</v>
      </c>
      <c r="BA17" s="226">
        <v>558.38911093670004</v>
      </c>
      <c r="BB17" s="226">
        <v>0</v>
      </c>
      <c r="BC17" s="227">
        <v>4413.1777545224468</v>
      </c>
    </row>
    <row r="18" spans="1:55" hidden="1">
      <c r="A18" s="96" t="s">
        <v>815</v>
      </c>
      <c r="B18" s="97" t="s">
        <v>421</v>
      </c>
      <c r="C18" s="98" t="s">
        <v>735</v>
      </c>
      <c r="D18" s="100">
        <v>0.88474891999606764</v>
      </c>
      <c r="E18" s="99">
        <v>0.11525108000393226</v>
      </c>
      <c r="F18" s="101">
        <v>1</v>
      </c>
      <c r="I18" s="97" t="s">
        <v>421</v>
      </c>
      <c r="J18" s="98" t="s">
        <v>735</v>
      </c>
      <c r="K18" s="225">
        <v>0</v>
      </c>
      <c r="L18" s="226">
        <v>0</v>
      </c>
      <c r="M18" s="226">
        <v>0</v>
      </c>
      <c r="N18" s="226">
        <v>92.114773643401861</v>
      </c>
      <c r="O18" s="226">
        <v>0</v>
      </c>
      <c r="P18" s="226">
        <v>0</v>
      </c>
      <c r="Q18" s="226">
        <v>5.6273316566652944</v>
      </c>
      <c r="R18" s="226">
        <v>0</v>
      </c>
      <c r="S18" s="227">
        <v>97.742105300067152</v>
      </c>
      <c r="T18" s="225">
        <v>0</v>
      </c>
      <c r="U18" s="226">
        <v>290.15374486882479</v>
      </c>
      <c r="V18" s="226">
        <v>0</v>
      </c>
      <c r="W18" s="226">
        <v>73.027736781594768</v>
      </c>
      <c r="X18" s="226">
        <v>95.664638163310002</v>
      </c>
      <c r="Y18" s="226">
        <v>65.739866280452532</v>
      </c>
      <c r="Z18" s="226">
        <v>24.342578927198254</v>
      </c>
      <c r="AA18" s="226">
        <v>0</v>
      </c>
      <c r="AB18" s="227">
        <v>548.92856502138034</v>
      </c>
      <c r="AC18" s="225">
        <v>0</v>
      </c>
      <c r="AD18" s="226">
        <v>0</v>
      </c>
      <c r="AE18" s="226">
        <v>0</v>
      </c>
      <c r="AF18" s="226">
        <v>0</v>
      </c>
      <c r="AG18" s="226">
        <v>0</v>
      </c>
      <c r="AH18" s="226">
        <v>0</v>
      </c>
      <c r="AI18" s="226">
        <v>0</v>
      </c>
      <c r="AJ18" s="226">
        <v>0</v>
      </c>
      <c r="AK18" s="227">
        <v>0</v>
      </c>
      <c r="AL18" s="225">
        <v>0</v>
      </c>
      <c r="AM18" s="226">
        <v>0</v>
      </c>
      <c r="AN18" s="226">
        <v>0</v>
      </c>
      <c r="AO18" s="226">
        <v>27.974784997679031</v>
      </c>
      <c r="AP18" s="226">
        <v>0</v>
      </c>
      <c r="AQ18" s="226">
        <v>24.342578927198254</v>
      </c>
      <c r="AR18" s="226">
        <v>0</v>
      </c>
      <c r="AS18" s="226">
        <v>0</v>
      </c>
      <c r="AT18" s="227">
        <v>52.317363924877284</v>
      </c>
      <c r="AU18" s="225">
        <v>0</v>
      </c>
      <c r="AV18" s="226">
        <v>290.15374486882479</v>
      </c>
      <c r="AW18" s="226">
        <v>0</v>
      </c>
      <c r="AX18" s="226">
        <v>193.11729542267565</v>
      </c>
      <c r="AY18" s="226">
        <v>95.664638163310002</v>
      </c>
      <c r="AZ18" s="226">
        <v>90.082445207650778</v>
      </c>
      <c r="BA18" s="226">
        <v>29.969910583863548</v>
      </c>
      <c r="BB18" s="226">
        <v>0</v>
      </c>
      <c r="BC18" s="227">
        <v>698.98803424632479</v>
      </c>
    </row>
    <row r="19" spans="1:55" hidden="1">
      <c r="A19" s="96" t="s">
        <v>815</v>
      </c>
      <c r="B19" s="97" t="s">
        <v>423</v>
      </c>
      <c r="C19" s="98" t="s">
        <v>735</v>
      </c>
      <c r="D19" s="100">
        <v>0.87664054902524069</v>
      </c>
      <c r="E19" s="99">
        <v>0.12335945097475935</v>
      </c>
      <c r="F19" s="101">
        <v>1</v>
      </c>
      <c r="I19" s="97" t="s">
        <v>423</v>
      </c>
      <c r="J19" s="98" t="s">
        <v>735</v>
      </c>
      <c r="K19" s="225">
        <v>0</v>
      </c>
      <c r="L19" s="226">
        <v>0</v>
      </c>
      <c r="M19" s="226">
        <v>0</v>
      </c>
      <c r="N19" s="226">
        <v>0</v>
      </c>
      <c r="O19" s="226">
        <v>0</v>
      </c>
      <c r="P19" s="226">
        <v>21.013652175205049</v>
      </c>
      <c r="Q19" s="226">
        <v>0</v>
      </c>
      <c r="R19" s="226">
        <v>0</v>
      </c>
      <c r="S19" s="227">
        <v>21.013652175205049</v>
      </c>
      <c r="T19" s="225">
        <v>0</v>
      </c>
      <c r="U19" s="226">
        <v>189.12286957684543</v>
      </c>
      <c r="V19" s="226">
        <v>0</v>
      </c>
      <c r="W19" s="226">
        <v>21.156124021741039</v>
      </c>
      <c r="X19" s="226">
        <v>0</v>
      </c>
      <c r="Y19" s="226">
        <v>0</v>
      </c>
      <c r="Z19" s="226">
        <v>0</v>
      </c>
      <c r="AA19" s="226">
        <v>0</v>
      </c>
      <c r="AB19" s="227">
        <v>210.27899359858648</v>
      </c>
      <c r="AC19" s="225">
        <v>0</v>
      </c>
      <c r="AD19" s="226">
        <v>0</v>
      </c>
      <c r="AE19" s="226">
        <v>0</v>
      </c>
      <c r="AF19" s="226">
        <v>0</v>
      </c>
      <c r="AG19" s="226">
        <v>0</v>
      </c>
      <c r="AH19" s="226">
        <v>0</v>
      </c>
      <c r="AI19" s="226">
        <v>0</v>
      </c>
      <c r="AJ19" s="226">
        <v>0</v>
      </c>
      <c r="AK19" s="227">
        <v>0</v>
      </c>
      <c r="AL19" s="225">
        <v>0</v>
      </c>
      <c r="AM19" s="226">
        <v>0</v>
      </c>
      <c r="AN19" s="226">
        <v>0</v>
      </c>
      <c r="AO19" s="226">
        <v>0</v>
      </c>
      <c r="AP19" s="226">
        <v>0</v>
      </c>
      <c r="AQ19" s="226">
        <v>0</v>
      </c>
      <c r="AR19" s="226">
        <v>0</v>
      </c>
      <c r="AS19" s="226">
        <v>0</v>
      </c>
      <c r="AT19" s="227">
        <v>0</v>
      </c>
      <c r="AU19" s="225">
        <v>0</v>
      </c>
      <c r="AV19" s="226">
        <v>189.12286957684543</v>
      </c>
      <c r="AW19" s="226">
        <v>0</v>
      </c>
      <c r="AX19" s="226">
        <v>21.156124021741039</v>
      </c>
      <c r="AY19" s="226">
        <v>0</v>
      </c>
      <c r="AZ19" s="226">
        <v>21.013652175205049</v>
      </c>
      <c r="BA19" s="226">
        <v>0</v>
      </c>
      <c r="BB19" s="226">
        <v>0</v>
      </c>
      <c r="BC19" s="227">
        <v>231.29264577379152</v>
      </c>
    </row>
    <row r="20" spans="1:55" hidden="1">
      <c r="A20" s="96" t="s">
        <v>815</v>
      </c>
      <c r="B20" s="97" t="s">
        <v>425</v>
      </c>
      <c r="C20" s="98" t="s">
        <v>735</v>
      </c>
      <c r="D20" s="100">
        <v>0.93389783863693032</v>
      </c>
      <c r="E20" s="99">
        <v>6.6102161363069678E-2</v>
      </c>
      <c r="F20" s="101">
        <v>1</v>
      </c>
      <c r="I20" s="97" t="s">
        <v>425</v>
      </c>
      <c r="J20" s="98" t="s">
        <v>735</v>
      </c>
      <c r="K20" s="225">
        <v>0</v>
      </c>
      <c r="L20" s="226">
        <v>78.750981979029874</v>
      </c>
      <c r="M20" s="226">
        <v>0</v>
      </c>
      <c r="N20" s="226">
        <v>0</v>
      </c>
      <c r="O20" s="226">
        <v>0</v>
      </c>
      <c r="P20" s="226">
        <v>0</v>
      </c>
      <c r="Q20" s="226">
        <v>0</v>
      </c>
      <c r="R20" s="226">
        <v>0</v>
      </c>
      <c r="S20" s="227">
        <v>78.750981979029874</v>
      </c>
      <c r="T20" s="225">
        <v>0</v>
      </c>
      <c r="U20" s="226">
        <v>0</v>
      </c>
      <c r="V20" s="226">
        <v>0</v>
      </c>
      <c r="W20" s="226">
        <v>0</v>
      </c>
      <c r="X20" s="226">
        <v>0</v>
      </c>
      <c r="Y20" s="226">
        <v>0</v>
      </c>
      <c r="Z20" s="226">
        <v>0</v>
      </c>
      <c r="AA20" s="226">
        <v>0</v>
      </c>
      <c r="AB20" s="227">
        <v>0</v>
      </c>
      <c r="AC20" s="225">
        <v>0</v>
      </c>
      <c r="AD20" s="226">
        <v>0</v>
      </c>
      <c r="AE20" s="226">
        <v>0</v>
      </c>
      <c r="AF20" s="226">
        <v>0</v>
      </c>
      <c r="AG20" s="226">
        <v>0</v>
      </c>
      <c r="AH20" s="226">
        <v>0</v>
      </c>
      <c r="AI20" s="226">
        <v>0</v>
      </c>
      <c r="AJ20" s="226">
        <v>0</v>
      </c>
      <c r="AK20" s="227">
        <v>0</v>
      </c>
      <c r="AL20" s="225">
        <v>0</v>
      </c>
      <c r="AM20" s="226">
        <v>12.871851042494857</v>
      </c>
      <c r="AN20" s="226">
        <v>0</v>
      </c>
      <c r="AO20" s="226">
        <v>0</v>
      </c>
      <c r="AP20" s="226">
        <v>0</v>
      </c>
      <c r="AQ20" s="226">
        <v>0</v>
      </c>
      <c r="AR20" s="226">
        <v>0</v>
      </c>
      <c r="AS20" s="226">
        <v>0</v>
      </c>
      <c r="AT20" s="227">
        <v>12.871851042494857</v>
      </c>
      <c r="AU20" s="225">
        <v>0</v>
      </c>
      <c r="AV20" s="226">
        <v>91.622833021524727</v>
      </c>
      <c r="AW20" s="226">
        <v>0</v>
      </c>
      <c r="AX20" s="226">
        <v>0</v>
      </c>
      <c r="AY20" s="226">
        <v>0</v>
      </c>
      <c r="AZ20" s="226">
        <v>0</v>
      </c>
      <c r="BA20" s="226">
        <v>0</v>
      </c>
      <c r="BB20" s="226">
        <v>0</v>
      </c>
      <c r="BC20" s="227">
        <v>91.622833021524727</v>
      </c>
    </row>
    <row r="21" spans="1:55" hidden="1">
      <c r="A21" s="96" t="s">
        <v>815</v>
      </c>
      <c r="B21" s="97" t="s">
        <v>427</v>
      </c>
      <c r="C21" s="98" t="s">
        <v>735</v>
      </c>
      <c r="D21" s="100">
        <v>0.82696528750038811</v>
      </c>
      <c r="E21" s="99">
        <v>0.1730347124996118</v>
      </c>
      <c r="F21" s="101">
        <v>1</v>
      </c>
      <c r="I21" s="97" t="s">
        <v>427</v>
      </c>
      <c r="J21" s="98" t="s">
        <v>735</v>
      </c>
      <c r="K21" s="225">
        <v>0</v>
      </c>
      <c r="L21" s="226">
        <v>0</v>
      </c>
      <c r="M21" s="226">
        <v>0</v>
      </c>
      <c r="N21" s="226">
        <v>0</v>
      </c>
      <c r="O21" s="226">
        <v>0</v>
      </c>
      <c r="P21" s="226">
        <v>0</v>
      </c>
      <c r="Q21" s="226">
        <v>0</v>
      </c>
      <c r="R21" s="226">
        <v>0</v>
      </c>
      <c r="S21" s="227">
        <v>0</v>
      </c>
      <c r="T21" s="225">
        <v>0</v>
      </c>
      <c r="U21" s="226">
        <v>0</v>
      </c>
      <c r="V21" s="226">
        <v>0</v>
      </c>
      <c r="W21" s="226">
        <v>44.110009786486408</v>
      </c>
      <c r="X21" s="226">
        <v>0</v>
      </c>
      <c r="Y21" s="226">
        <v>0</v>
      </c>
      <c r="Z21" s="226">
        <v>0</v>
      </c>
      <c r="AA21" s="226">
        <v>0</v>
      </c>
      <c r="AB21" s="227">
        <v>44.110009786486408</v>
      </c>
      <c r="AC21" s="225">
        <v>0</v>
      </c>
      <c r="AD21" s="226">
        <v>0</v>
      </c>
      <c r="AE21" s="226">
        <v>0</v>
      </c>
      <c r="AF21" s="226">
        <v>0</v>
      </c>
      <c r="AG21" s="226">
        <v>0</v>
      </c>
      <c r="AH21" s="226">
        <v>0</v>
      </c>
      <c r="AI21" s="226">
        <v>0</v>
      </c>
      <c r="AJ21" s="226">
        <v>0</v>
      </c>
      <c r="AK21" s="227">
        <v>0</v>
      </c>
      <c r="AL21" s="225">
        <v>0</v>
      </c>
      <c r="AM21" s="226">
        <v>26.98451061311329</v>
      </c>
      <c r="AN21" s="226">
        <v>0</v>
      </c>
      <c r="AO21" s="226">
        <v>0</v>
      </c>
      <c r="AP21" s="226">
        <v>0</v>
      </c>
      <c r="AQ21" s="226">
        <v>0</v>
      </c>
      <c r="AR21" s="226">
        <v>0</v>
      </c>
      <c r="AS21" s="226">
        <v>0</v>
      </c>
      <c r="AT21" s="227">
        <v>26.98451061311329</v>
      </c>
      <c r="AU21" s="225">
        <v>0</v>
      </c>
      <c r="AV21" s="226">
        <v>26.98451061311329</v>
      </c>
      <c r="AW21" s="226">
        <v>0</v>
      </c>
      <c r="AX21" s="226">
        <v>44.110009786486408</v>
      </c>
      <c r="AY21" s="226">
        <v>0</v>
      </c>
      <c r="AZ21" s="226">
        <v>0</v>
      </c>
      <c r="BA21" s="226">
        <v>0</v>
      </c>
      <c r="BB21" s="226">
        <v>0</v>
      </c>
      <c r="BC21" s="227">
        <v>71.094520399599702</v>
      </c>
    </row>
    <row r="22" spans="1:55" hidden="1">
      <c r="A22" s="96" t="s">
        <v>815</v>
      </c>
      <c r="B22" s="97" t="s">
        <v>429</v>
      </c>
      <c r="C22" s="98" t="s">
        <v>735</v>
      </c>
      <c r="D22" s="100">
        <v>0.9639940765832945</v>
      </c>
      <c r="E22" s="99">
        <v>3.6005923416705561E-2</v>
      </c>
      <c r="F22" s="101">
        <v>1</v>
      </c>
      <c r="I22" s="97" t="s">
        <v>429</v>
      </c>
      <c r="J22" s="98" t="s">
        <v>735</v>
      </c>
      <c r="K22" s="225">
        <v>0</v>
      </c>
      <c r="L22" s="226">
        <v>0</v>
      </c>
      <c r="M22" s="226">
        <v>0</v>
      </c>
      <c r="N22" s="226">
        <v>0</v>
      </c>
      <c r="O22" s="226">
        <v>0</v>
      </c>
      <c r="P22" s="226">
        <v>0</v>
      </c>
      <c r="Q22" s="226">
        <v>0</v>
      </c>
      <c r="R22" s="226">
        <v>0</v>
      </c>
      <c r="S22" s="227">
        <v>0</v>
      </c>
      <c r="T22" s="225">
        <v>0</v>
      </c>
      <c r="U22" s="226">
        <v>0</v>
      </c>
      <c r="V22" s="226">
        <v>0</v>
      </c>
      <c r="W22" s="226">
        <v>19.634672986614149</v>
      </c>
      <c r="X22" s="226">
        <v>0</v>
      </c>
      <c r="Y22" s="226">
        <v>0</v>
      </c>
      <c r="Z22" s="226">
        <v>0</v>
      </c>
      <c r="AA22" s="226">
        <v>0</v>
      </c>
      <c r="AB22" s="227">
        <v>19.634672986614149</v>
      </c>
      <c r="AC22" s="225">
        <v>0</v>
      </c>
      <c r="AD22" s="226">
        <v>0</v>
      </c>
      <c r="AE22" s="226">
        <v>0</v>
      </c>
      <c r="AF22" s="226">
        <v>0</v>
      </c>
      <c r="AG22" s="226">
        <v>0</v>
      </c>
      <c r="AH22" s="226">
        <v>0</v>
      </c>
      <c r="AI22" s="226">
        <v>0</v>
      </c>
      <c r="AJ22" s="226">
        <v>0</v>
      </c>
      <c r="AK22" s="227">
        <v>0</v>
      </c>
      <c r="AL22" s="225">
        <v>0</v>
      </c>
      <c r="AM22" s="226">
        <v>0</v>
      </c>
      <c r="AN22" s="226">
        <v>0</v>
      </c>
      <c r="AO22" s="226">
        <v>0</v>
      </c>
      <c r="AP22" s="226">
        <v>0</v>
      </c>
      <c r="AQ22" s="226">
        <v>0</v>
      </c>
      <c r="AR22" s="226">
        <v>0</v>
      </c>
      <c r="AS22" s="226">
        <v>0</v>
      </c>
      <c r="AT22" s="227">
        <v>0</v>
      </c>
      <c r="AU22" s="225">
        <v>0</v>
      </c>
      <c r="AV22" s="226">
        <v>0</v>
      </c>
      <c r="AW22" s="226">
        <v>0</v>
      </c>
      <c r="AX22" s="226">
        <v>19.634672986614149</v>
      </c>
      <c r="AY22" s="226">
        <v>0</v>
      </c>
      <c r="AZ22" s="226">
        <v>0</v>
      </c>
      <c r="BA22" s="226">
        <v>0</v>
      </c>
      <c r="BB22" s="226">
        <v>0</v>
      </c>
      <c r="BC22" s="227">
        <v>19.634672986614149</v>
      </c>
    </row>
    <row r="23" spans="1:55" hidden="1">
      <c r="A23" s="96" t="s">
        <v>815</v>
      </c>
      <c r="B23" s="97" t="s">
        <v>430</v>
      </c>
      <c r="C23" s="98" t="s">
        <v>735</v>
      </c>
      <c r="D23" s="100">
        <v>0.93408299941780015</v>
      </c>
      <c r="E23" s="99">
        <v>6.5917000582199917E-2</v>
      </c>
      <c r="F23" s="101">
        <v>1</v>
      </c>
      <c r="I23" s="97" t="s">
        <v>430</v>
      </c>
      <c r="J23" s="98" t="s">
        <v>735</v>
      </c>
      <c r="K23" s="225">
        <v>0</v>
      </c>
      <c r="L23" s="226">
        <v>0</v>
      </c>
      <c r="M23" s="226">
        <v>0</v>
      </c>
      <c r="N23" s="226">
        <v>0</v>
      </c>
      <c r="O23" s="226">
        <v>0</v>
      </c>
      <c r="P23" s="226">
        <v>0</v>
      </c>
      <c r="Q23" s="226">
        <v>0</v>
      </c>
      <c r="R23" s="226">
        <v>0</v>
      </c>
      <c r="S23" s="227">
        <v>0</v>
      </c>
      <c r="T23" s="225">
        <v>0</v>
      </c>
      <c r="U23" s="226">
        <v>0</v>
      </c>
      <c r="V23" s="226">
        <v>0</v>
      </c>
      <c r="W23" s="226">
        <v>0</v>
      </c>
      <c r="X23" s="226">
        <v>0</v>
      </c>
      <c r="Y23" s="226">
        <v>0</v>
      </c>
      <c r="Z23" s="226">
        <v>0</v>
      </c>
      <c r="AA23" s="226">
        <v>0</v>
      </c>
      <c r="AB23" s="227">
        <v>0</v>
      </c>
      <c r="AC23" s="225">
        <v>0</v>
      </c>
      <c r="AD23" s="226">
        <v>0</v>
      </c>
      <c r="AE23" s="226">
        <v>0</v>
      </c>
      <c r="AF23" s="226">
        <v>0</v>
      </c>
      <c r="AG23" s="226">
        <v>0</v>
      </c>
      <c r="AH23" s="226">
        <v>0</v>
      </c>
      <c r="AI23" s="226">
        <v>0</v>
      </c>
      <c r="AJ23" s="226">
        <v>0</v>
      </c>
      <c r="AK23" s="227">
        <v>0</v>
      </c>
      <c r="AL23" s="225">
        <v>0</v>
      </c>
      <c r="AM23" s="226">
        <v>0</v>
      </c>
      <c r="AN23" s="226">
        <v>0</v>
      </c>
      <c r="AO23" s="226">
        <v>50.284769574735037</v>
      </c>
      <c r="AP23" s="226">
        <v>0</v>
      </c>
      <c r="AQ23" s="226">
        <v>0</v>
      </c>
      <c r="AR23" s="226">
        <v>0</v>
      </c>
      <c r="AS23" s="226">
        <v>0</v>
      </c>
      <c r="AT23" s="227">
        <v>50.284769574735037</v>
      </c>
      <c r="AU23" s="225">
        <v>0</v>
      </c>
      <c r="AV23" s="226">
        <v>0</v>
      </c>
      <c r="AW23" s="226">
        <v>0</v>
      </c>
      <c r="AX23" s="226">
        <v>50.284769574735037</v>
      </c>
      <c r="AY23" s="226">
        <v>0</v>
      </c>
      <c r="AZ23" s="226">
        <v>0</v>
      </c>
      <c r="BA23" s="226">
        <v>0</v>
      </c>
      <c r="BB23" s="226">
        <v>0</v>
      </c>
      <c r="BC23" s="227">
        <v>50.284769574735037</v>
      </c>
    </row>
    <row r="24" spans="1:55" hidden="1">
      <c r="A24" s="96" t="s">
        <v>815</v>
      </c>
      <c r="B24" s="97" t="s">
        <v>431</v>
      </c>
      <c r="C24" s="98" t="s">
        <v>735</v>
      </c>
      <c r="D24" s="100">
        <v>0.91769059534017872</v>
      </c>
      <c r="E24" s="99">
        <v>8.23094046598212E-2</v>
      </c>
      <c r="F24" s="101">
        <v>1</v>
      </c>
      <c r="I24" s="97" t="s">
        <v>431</v>
      </c>
      <c r="J24" s="98" t="s">
        <v>735</v>
      </c>
      <c r="K24" s="225">
        <v>0</v>
      </c>
      <c r="L24" s="226">
        <v>0</v>
      </c>
      <c r="M24" s="226">
        <v>0</v>
      </c>
      <c r="N24" s="226">
        <v>199.11719821988763</v>
      </c>
      <c r="O24" s="226">
        <v>0</v>
      </c>
      <c r="P24" s="226">
        <v>0</v>
      </c>
      <c r="Q24" s="226">
        <v>0</v>
      </c>
      <c r="R24" s="226">
        <v>0</v>
      </c>
      <c r="S24" s="227">
        <v>199.11719821988763</v>
      </c>
      <c r="T24" s="225">
        <v>0</v>
      </c>
      <c r="U24" s="226">
        <v>229.22224785316547</v>
      </c>
      <c r="V24" s="226">
        <v>0</v>
      </c>
      <c r="W24" s="226">
        <v>397.49954616357195</v>
      </c>
      <c r="X24" s="226">
        <v>0</v>
      </c>
      <c r="Y24" s="226">
        <v>0</v>
      </c>
      <c r="Z24" s="226">
        <v>0</v>
      </c>
      <c r="AA24" s="226">
        <v>0</v>
      </c>
      <c r="AB24" s="227">
        <v>626.72179401673748</v>
      </c>
      <c r="AC24" s="225">
        <v>0</v>
      </c>
      <c r="AD24" s="226">
        <v>0</v>
      </c>
      <c r="AE24" s="226">
        <v>0</v>
      </c>
      <c r="AF24" s="226">
        <v>0</v>
      </c>
      <c r="AG24" s="226">
        <v>0</v>
      </c>
      <c r="AH24" s="226">
        <v>0</v>
      </c>
      <c r="AI24" s="226">
        <v>0</v>
      </c>
      <c r="AJ24" s="226">
        <v>0</v>
      </c>
      <c r="AK24" s="227">
        <v>0</v>
      </c>
      <c r="AL24" s="225">
        <v>0</v>
      </c>
      <c r="AM24" s="226">
        <v>0</v>
      </c>
      <c r="AN24" s="226">
        <v>0</v>
      </c>
      <c r="AO24" s="226">
        <v>0</v>
      </c>
      <c r="AP24" s="226">
        <v>0</v>
      </c>
      <c r="AQ24" s="226">
        <v>0</v>
      </c>
      <c r="AR24" s="226">
        <v>0</v>
      </c>
      <c r="AS24" s="226">
        <v>0</v>
      </c>
      <c r="AT24" s="227">
        <v>0</v>
      </c>
      <c r="AU24" s="225">
        <v>0</v>
      </c>
      <c r="AV24" s="226">
        <v>229.22224785316547</v>
      </c>
      <c r="AW24" s="226">
        <v>0</v>
      </c>
      <c r="AX24" s="226">
        <v>596.6167443834596</v>
      </c>
      <c r="AY24" s="226">
        <v>0</v>
      </c>
      <c r="AZ24" s="226">
        <v>0</v>
      </c>
      <c r="BA24" s="226">
        <v>0</v>
      </c>
      <c r="BB24" s="226">
        <v>0</v>
      </c>
      <c r="BC24" s="227">
        <v>825.83899223662513</v>
      </c>
    </row>
    <row r="25" spans="1:55" hidden="1">
      <c r="A25" s="96" t="s">
        <v>815</v>
      </c>
      <c r="B25" s="97" t="s">
        <v>432</v>
      </c>
      <c r="C25" s="98" t="s">
        <v>735</v>
      </c>
      <c r="D25" s="100">
        <v>0.86719579734784979</v>
      </c>
      <c r="E25" s="99">
        <v>0.13280420265215021</v>
      </c>
      <c r="F25" s="101">
        <v>1</v>
      </c>
      <c r="I25" s="97" t="s">
        <v>432</v>
      </c>
      <c r="J25" s="98" t="s">
        <v>735</v>
      </c>
      <c r="K25" s="225">
        <v>0</v>
      </c>
      <c r="L25" s="226">
        <v>0</v>
      </c>
      <c r="M25" s="226">
        <v>0</v>
      </c>
      <c r="N25" s="226">
        <v>0</v>
      </c>
      <c r="O25" s="226">
        <v>0</v>
      </c>
      <c r="P25" s="226">
        <v>0</v>
      </c>
      <c r="Q25" s="226">
        <v>0</v>
      </c>
      <c r="R25" s="226">
        <v>0</v>
      </c>
      <c r="S25" s="227">
        <v>0</v>
      </c>
      <c r="T25" s="225">
        <v>0</v>
      </c>
      <c r="U25" s="226">
        <v>77.628925891035308</v>
      </c>
      <c r="V25" s="226">
        <v>0</v>
      </c>
      <c r="W25" s="226">
        <v>0</v>
      </c>
      <c r="X25" s="226">
        <v>0</v>
      </c>
      <c r="Y25" s="226">
        <v>0</v>
      </c>
      <c r="Z25" s="226">
        <v>0</v>
      </c>
      <c r="AA25" s="226">
        <v>0</v>
      </c>
      <c r="AB25" s="227">
        <v>77.628925891035308</v>
      </c>
      <c r="AC25" s="225">
        <v>0</v>
      </c>
      <c r="AD25" s="226">
        <v>0</v>
      </c>
      <c r="AE25" s="226">
        <v>0</v>
      </c>
      <c r="AF25" s="226">
        <v>14.859568713243839</v>
      </c>
      <c r="AG25" s="226">
        <v>0</v>
      </c>
      <c r="AH25" s="226">
        <v>0</v>
      </c>
      <c r="AI25" s="226">
        <v>0</v>
      </c>
      <c r="AJ25" s="226">
        <v>0</v>
      </c>
      <c r="AK25" s="227">
        <v>14.859568713243839</v>
      </c>
      <c r="AL25" s="225">
        <v>0</v>
      </c>
      <c r="AM25" s="226">
        <v>0</v>
      </c>
      <c r="AN25" s="226">
        <v>0</v>
      </c>
      <c r="AO25" s="226">
        <v>0</v>
      </c>
      <c r="AP25" s="226">
        <v>0</v>
      </c>
      <c r="AQ25" s="226">
        <v>0</v>
      </c>
      <c r="AR25" s="226">
        <v>0</v>
      </c>
      <c r="AS25" s="226">
        <v>0</v>
      </c>
      <c r="AT25" s="227">
        <v>0</v>
      </c>
      <c r="AU25" s="225">
        <v>0</v>
      </c>
      <c r="AV25" s="226">
        <v>77.628925891035308</v>
      </c>
      <c r="AW25" s="226">
        <v>0</v>
      </c>
      <c r="AX25" s="226">
        <v>14.859568713243839</v>
      </c>
      <c r="AY25" s="226">
        <v>0</v>
      </c>
      <c r="AZ25" s="226">
        <v>0</v>
      </c>
      <c r="BA25" s="226">
        <v>0</v>
      </c>
      <c r="BB25" s="226">
        <v>0</v>
      </c>
      <c r="BC25" s="227">
        <v>92.48849460427914</v>
      </c>
    </row>
    <row r="26" spans="1:55" hidden="1">
      <c r="A26" s="96" t="s">
        <v>815</v>
      </c>
      <c r="B26" s="97" t="s">
        <v>433</v>
      </c>
      <c r="C26" s="98" t="s">
        <v>735</v>
      </c>
      <c r="D26" s="100">
        <v>0.90936489436209378</v>
      </c>
      <c r="E26" s="99">
        <v>9.063510563790618E-2</v>
      </c>
      <c r="F26" s="101">
        <v>1</v>
      </c>
      <c r="I26" s="97" t="s">
        <v>433</v>
      </c>
      <c r="J26" s="98" t="s">
        <v>735</v>
      </c>
      <c r="K26" s="225">
        <v>0</v>
      </c>
      <c r="L26" s="226">
        <v>0</v>
      </c>
      <c r="M26" s="226">
        <v>0</v>
      </c>
      <c r="N26" s="226">
        <v>0</v>
      </c>
      <c r="O26" s="226">
        <v>0</v>
      </c>
      <c r="P26" s="226">
        <v>0</v>
      </c>
      <c r="Q26" s="226">
        <v>0</v>
      </c>
      <c r="R26" s="226">
        <v>0</v>
      </c>
      <c r="S26" s="227">
        <v>0</v>
      </c>
      <c r="T26" s="225">
        <v>0</v>
      </c>
      <c r="U26" s="226">
        <v>0</v>
      </c>
      <c r="V26" s="226">
        <v>0</v>
      </c>
      <c r="W26" s="226">
        <v>0</v>
      </c>
      <c r="X26" s="226">
        <v>0</v>
      </c>
      <c r="Y26" s="226">
        <v>0</v>
      </c>
      <c r="Z26" s="226">
        <v>0</v>
      </c>
      <c r="AA26" s="226">
        <v>0</v>
      </c>
      <c r="AB26" s="227">
        <v>0</v>
      </c>
      <c r="AC26" s="225">
        <v>0</v>
      </c>
      <c r="AD26" s="226">
        <v>0</v>
      </c>
      <c r="AE26" s="226">
        <v>0</v>
      </c>
      <c r="AF26" s="226">
        <v>0</v>
      </c>
      <c r="AG26" s="226">
        <v>0</v>
      </c>
      <c r="AH26" s="226">
        <v>0</v>
      </c>
      <c r="AI26" s="226">
        <v>0</v>
      </c>
      <c r="AJ26" s="226">
        <v>0</v>
      </c>
      <c r="AK26" s="227">
        <v>0</v>
      </c>
      <c r="AL26" s="225">
        <v>0</v>
      </c>
      <c r="AM26" s="226">
        <v>0</v>
      </c>
      <c r="AN26" s="226">
        <v>0</v>
      </c>
      <c r="AO26" s="226">
        <v>0</v>
      </c>
      <c r="AP26" s="226">
        <v>0</v>
      </c>
      <c r="AQ26" s="226">
        <v>0</v>
      </c>
      <c r="AR26" s="226">
        <v>0</v>
      </c>
      <c r="AS26" s="226">
        <v>0</v>
      </c>
      <c r="AT26" s="227">
        <v>0</v>
      </c>
      <c r="AU26" s="225">
        <v>0</v>
      </c>
      <c r="AV26" s="226">
        <v>0</v>
      </c>
      <c r="AW26" s="226">
        <v>0</v>
      </c>
      <c r="AX26" s="226">
        <v>0</v>
      </c>
      <c r="AY26" s="226">
        <v>0</v>
      </c>
      <c r="AZ26" s="226">
        <v>0</v>
      </c>
      <c r="BA26" s="226">
        <v>0</v>
      </c>
      <c r="BB26" s="226">
        <v>0</v>
      </c>
      <c r="BC26" s="227">
        <v>0</v>
      </c>
    </row>
    <row r="27" spans="1:55" hidden="1">
      <c r="A27" s="96" t="s">
        <v>815</v>
      </c>
      <c r="B27" s="97" t="s">
        <v>434</v>
      </c>
      <c r="C27" s="98" t="s">
        <v>735</v>
      </c>
      <c r="D27" s="100">
        <v>0.95601441298306766</v>
      </c>
      <c r="E27" s="99">
        <v>4.3985587016932386E-2</v>
      </c>
      <c r="F27" s="101">
        <v>1</v>
      </c>
      <c r="I27" s="97" t="s">
        <v>434</v>
      </c>
      <c r="J27" s="98" t="s">
        <v>735</v>
      </c>
      <c r="K27" s="225">
        <v>0</v>
      </c>
      <c r="L27" s="226">
        <v>0</v>
      </c>
      <c r="M27" s="226">
        <v>0</v>
      </c>
      <c r="N27" s="226">
        <v>27.526762610065123</v>
      </c>
      <c r="O27" s="226">
        <v>0</v>
      </c>
      <c r="P27" s="226">
        <v>0</v>
      </c>
      <c r="Q27" s="226">
        <v>0</v>
      </c>
      <c r="R27" s="226">
        <v>0</v>
      </c>
      <c r="S27" s="227">
        <v>27.526762610065123</v>
      </c>
      <c r="T27" s="225">
        <v>0</v>
      </c>
      <c r="U27" s="226">
        <v>0</v>
      </c>
      <c r="V27" s="226">
        <v>0</v>
      </c>
      <c r="W27" s="226">
        <v>0</v>
      </c>
      <c r="X27" s="226">
        <v>0</v>
      </c>
      <c r="Y27" s="226">
        <v>0</v>
      </c>
      <c r="Z27" s="226">
        <v>0</v>
      </c>
      <c r="AA27" s="226">
        <v>0</v>
      </c>
      <c r="AB27" s="227">
        <v>0</v>
      </c>
      <c r="AC27" s="225">
        <v>0</v>
      </c>
      <c r="AD27" s="226">
        <v>0</v>
      </c>
      <c r="AE27" s="226">
        <v>0</v>
      </c>
      <c r="AF27" s="226">
        <v>0</v>
      </c>
      <c r="AG27" s="226">
        <v>0</v>
      </c>
      <c r="AH27" s="226">
        <v>0</v>
      </c>
      <c r="AI27" s="226">
        <v>0</v>
      </c>
      <c r="AJ27" s="226">
        <v>0</v>
      </c>
      <c r="AK27" s="227">
        <v>0</v>
      </c>
      <c r="AL27" s="225">
        <v>0</v>
      </c>
      <c r="AM27" s="226">
        <v>0</v>
      </c>
      <c r="AN27" s="226">
        <v>0</v>
      </c>
      <c r="AO27" s="226">
        <v>50.160792280915594</v>
      </c>
      <c r="AP27" s="226">
        <v>0</v>
      </c>
      <c r="AQ27" s="226">
        <v>0</v>
      </c>
      <c r="AR27" s="226">
        <v>0</v>
      </c>
      <c r="AS27" s="226">
        <v>0</v>
      </c>
      <c r="AT27" s="227">
        <v>50.160792280915594</v>
      </c>
      <c r="AU27" s="225">
        <v>0</v>
      </c>
      <c r="AV27" s="226">
        <v>0</v>
      </c>
      <c r="AW27" s="226">
        <v>0</v>
      </c>
      <c r="AX27" s="226">
        <v>77.687554890980721</v>
      </c>
      <c r="AY27" s="226">
        <v>0</v>
      </c>
      <c r="AZ27" s="226">
        <v>0</v>
      </c>
      <c r="BA27" s="226">
        <v>0</v>
      </c>
      <c r="BB27" s="226">
        <v>0</v>
      </c>
      <c r="BC27" s="227">
        <v>77.687554890980721</v>
      </c>
    </row>
    <row r="28" spans="1:55" hidden="1">
      <c r="A28" s="96" t="s">
        <v>815</v>
      </c>
      <c r="B28" s="97" t="s">
        <v>435</v>
      </c>
      <c r="C28" s="98" t="s">
        <v>735</v>
      </c>
      <c r="D28" s="100">
        <v>0.87588518856182296</v>
      </c>
      <c r="E28" s="99">
        <v>0.124114811438177</v>
      </c>
      <c r="F28" s="101">
        <v>1</v>
      </c>
      <c r="I28" s="97" t="s">
        <v>435</v>
      </c>
      <c r="J28" s="98" t="s">
        <v>735</v>
      </c>
      <c r="K28" s="225">
        <v>0</v>
      </c>
      <c r="L28" s="226">
        <v>0</v>
      </c>
      <c r="M28" s="226">
        <v>0</v>
      </c>
      <c r="N28" s="226">
        <v>0</v>
      </c>
      <c r="O28" s="226">
        <v>0</v>
      </c>
      <c r="P28" s="226">
        <v>0</v>
      </c>
      <c r="Q28" s="226">
        <v>0</v>
      </c>
      <c r="R28" s="226">
        <v>0</v>
      </c>
      <c r="S28" s="227">
        <v>0</v>
      </c>
      <c r="T28" s="225">
        <v>0</v>
      </c>
      <c r="U28" s="226">
        <v>0</v>
      </c>
      <c r="V28" s="226">
        <v>0</v>
      </c>
      <c r="W28" s="226">
        <v>89.176218358381661</v>
      </c>
      <c r="X28" s="226">
        <v>0</v>
      </c>
      <c r="Y28" s="226">
        <v>0</v>
      </c>
      <c r="Z28" s="226">
        <v>0</v>
      </c>
      <c r="AA28" s="226">
        <v>0</v>
      </c>
      <c r="AB28" s="227">
        <v>89.176218358381661</v>
      </c>
      <c r="AC28" s="225">
        <v>0</v>
      </c>
      <c r="AD28" s="226">
        <v>0</v>
      </c>
      <c r="AE28" s="226">
        <v>0</v>
      </c>
      <c r="AF28" s="226">
        <v>0</v>
      </c>
      <c r="AG28" s="226">
        <v>0</v>
      </c>
      <c r="AH28" s="226">
        <v>0</v>
      </c>
      <c r="AI28" s="226">
        <v>0</v>
      </c>
      <c r="AJ28" s="226">
        <v>0</v>
      </c>
      <c r="AK28" s="227">
        <v>0</v>
      </c>
      <c r="AL28" s="225">
        <v>0</v>
      </c>
      <c r="AM28" s="226">
        <v>0</v>
      </c>
      <c r="AN28" s="226">
        <v>0</v>
      </c>
      <c r="AO28" s="226">
        <v>0</v>
      </c>
      <c r="AP28" s="226">
        <v>0</v>
      </c>
      <c r="AQ28" s="226">
        <v>0</v>
      </c>
      <c r="AR28" s="226">
        <v>0</v>
      </c>
      <c r="AS28" s="226">
        <v>0</v>
      </c>
      <c r="AT28" s="227">
        <v>0</v>
      </c>
      <c r="AU28" s="225">
        <v>0</v>
      </c>
      <c r="AV28" s="226">
        <v>0</v>
      </c>
      <c r="AW28" s="226">
        <v>0</v>
      </c>
      <c r="AX28" s="226">
        <v>89.176218358381661</v>
      </c>
      <c r="AY28" s="226">
        <v>0</v>
      </c>
      <c r="AZ28" s="226">
        <v>0</v>
      </c>
      <c r="BA28" s="226">
        <v>0</v>
      </c>
      <c r="BB28" s="226">
        <v>0</v>
      </c>
      <c r="BC28" s="227">
        <v>89.176218358381661</v>
      </c>
    </row>
    <row r="29" spans="1:55" hidden="1">
      <c r="A29" s="96" t="s">
        <v>815</v>
      </c>
      <c r="B29" s="97" t="s">
        <v>436</v>
      </c>
      <c r="C29" s="98" t="s">
        <v>735</v>
      </c>
      <c r="D29" s="100">
        <v>0.84944115724381652</v>
      </c>
      <c r="E29" s="99">
        <v>0.15055884275618342</v>
      </c>
      <c r="F29" s="101">
        <v>1</v>
      </c>
      <c r="I29" s="97" t="s">
        <v>436</v>
      </c>
      <c r="J29" s="98" t="s">
        <v>735</v>
      </c>
      <c r="K29" s="225">
        <v>148.2735501254345</v>
      </c>
      <c r="L29" s="226">
        <v>164.52454773936284</v>
      </c>
      <c r="M29" s="226">
        <v>0</v>
      </c>
      <c r="N29" s="226">
        <v>144.74774163312946</v>
      </c>
      <c r="O29" s="226">
        <v>0</v>
      </c>
      <c r="P29" s="226">
        <v>0</v>
      </c>
      <c r="Q29" s="226">
        <v>181.59300613891733</v>
      </c>
      <c r="R29" s="226">
        <v>0</v>
      </c>
      <c r="S29" s="227">
        <v>639.13884563684417</v>
      </c>
      <c r="T29" s="225">
        <v>6.1824646651855133</v>
      </c>
      <c r="U29" s="226">
        <v>0</v>
      </c>
      <c r="V29" s="226">
        <v>0</v>
      </c>
      <c r="W29" s="226">
        <v>246.20211949089779</v>
      </c>
      <c r="X29" s="226">
        <v>0</v>
      </c>
      <c r="Y29" s="226">
        <v>8.4949684431757166</v>
      </c>
      <c r="Z29" s="226">
        <v>316.47110254809434</v>
      </c>
      <c r="AA29" s="226">
        <v>0</v>
      </c>
      <c r="AB29" s="227">
        <v>577.35065514735334</v>
      </c>
      <c r="AC29" s="225">
        <v>0</v>
      </c>
      <c r="AD29" s="226">
        <v>0</v>
      </c>
      <c r="AE29" s="226">
        <v>0</v>
      </c>
      <c r="AF29" s="226">
        <v>0</v>
      </c>
      <c r="AG29" s="226">
        <v>0</v>
      </c>
      <c r="AH29" s="226">
        <v>0</v>
      </c>
      <c r="AI29" s="226">
        <v>0</v>
      </c>
      <c r="AJ29" s="226">
        <v>0</v>
      </c>
      <c r="AK29" s="227">
        <v>0</v>
      </c>
      <c r="AL29" s="225">
        <v>0</v>
      </c>
      <c r="AM29" s="226">
        <v>0</v>
      </c>
      <c r="AN29" s="226">
        <v>0</v>
      </c>
      <c r="AO29" s="226">
        <v>49.357364321808859</v>
      </c>
      <c r="AP29" s="226">
        <v>0</v>
      </c>
      <c r="AQ29" s="226">
        <v>0</v>
      </c>
      <c r="AR29" s="226">
        <v>0</v>
      </c>
      <c r="AS29" s="226">
        <v>0</v>
      </c>
      <c r="AT29" s="227">
        <v>49.357364321808859</v>
      </c>
      <c r="AU29" s="225">
        <v>154.45601479062</v>
      </c>
      <c r="AV29" s="226">
        <v>164.52454773936284</v>
      </c>
      <c r="AW29" s="226">
        <v>0</v>
      </c>
      <c r="AX29" s="226">
        <v>440.30722544583614</v>
      </c>
      <c r="AY29" s="226">
        <v>0</v>
      </c>
      <c r="AZ29" s="226">
        <v>8.4949684431757166</v>
      </c>
      <c r="BA29" s="226">
        <v>498.06410868701164</v>
      </c>
      <c r="BB29" s="226">
        <v>0</v>
      </c>
      <c r="BC29" s="227">
        <v>1265.8468651060061</v>
      </c>
    </row>
    <row r="30" spans="1:55" hidden="1">
      <c r="A30" s="96" t="s">
        <v>815</v>
      </c>
      <c r="B30" s="97" t="s">
        <v>437</v>
      </c>
      <c r="C30" s="98" t="s">
        <v>735</v>
      </c>
      <c r="D30" s="100">
        <v>0.94563669068213607</v>
      </c>
      <c r="E30" s="99">
        <v>5.436330931786388E-2</v>
      </c>
      <c r="F30" s="101">
        <v>1</v>
      </c>
      <c r="I30" s="97" t="s">
        <v>437</v>
      </c>
      <c r="J30" s="98" t="s">
        <v>735</v>
      </c>
      <c r="K30" s="225">
        <v>73.602552558930171</v>
      </c>
      <c r="L30" s="226">
        <v>0</v>
      </c>
      <c r="M30" s="226">
        <v>0</v>
      </c>
      <c r="N30" s="226">
        <v>0</v>
      </c>
      <c r="O30" s="226">
        <v>0</v>
      </c>
      <c r="P30" s="226">
        <v>0</v>
      </c>
      <c r="Q30" s="226">
        <v>0</v>
      </c>
      <c r="R30" s="226">
        <v>0</v>
      </c>
      <c r="S30" s="227">
        <v>73.602552558930171</v>
      </c>
      <c r="T30" s="225">
        <v>0</v>
      </c>
      <c r="U30" s="226">
        <v>0</v>
      </c>
      <c r="V30" s="226">
        <v>0</v>
      </c>
      <c r="W30" s="226">
        <v>369.19953535640911</v>
      </c>
      <c r="X30" s="226">
        <v>0</v>
      </c>
      <c r="Y30" s="226">
        <v>0</v>
      </c>
      <c r="Z30" s="226">
        <v>0</v>
      </c>
      <c r="AA30" s="226">
        <v>0</v>
      </c>
      <c r="AB30" s="227">
        <v>369.19953535640911</v>
      </c>
      <c r="AC30" s="225">
        <v>0</v>
      </c>
      <c r="AD30" s="226">
        <v>0</v>
      </c>
      <c r="AE30" s="226">
        <v>0</v>
      </c>
      <c r="AF30" s="226">
        <v>0</v>
      </c>
      <c r="AG30" s="226">
        <v>0</v>
      </c>
      <c r="AH30" s="226">
        <v>0</v>
      </c>
      <c r="AI30" s="226">
        <v>0</v>
      </c>
      <c r="AJ30" s="226">
        <v>0</v>
      </c>
      <c r="AK30" s="227">
        <v>0</v>
      </c>
      <c r="AL30" s="225">
        <v>53.853986219092349</v>
      </c>
      <c r="AM30" s="226">
        <v>0</v>
      </c>
      <c r="AN30" s="226">
        <v>0</v>
      </c>
      <c r="AO30" s="226">
        <v>0</v>
      </c>
      <c r="AP30" s="226">
        <v>0</v>
      </c>
      <c r="AQ30" s="226">
        <v>0</v>
      </c>
      <c r="AR30" s="226">
        <v>0</v>
      </c>
      <c r="AS30" s="226">
        <v>0</v>
      </c>
      <c r="AT30" s="227">
        <v>53.853986219092349</v>
      </c>
      <c r="AU30" s="225">
        <v>127.45653877802252</v>
      </c>
      <c r="AV30" s="226">
        <v>0</v>
      </c>
      <c r="AW30" s="226">
        <v>0</v>
      </c>
      <c r="AX30" s="226">
        <v>369.19953535640911</v>
      </c>
      <c r="AY30" s="226">
        <v>0</v>
      </c>
      <c r="AZ30" s="226">
        <v>0</v>
      </c>
      <c r="BA30" s="226">
        <v>0</v>
      </c>
      <c r="BB30" s="226">
        <v>0</v>
      </c>
      <c r="BC30" s="227">
        <v>496.65607413443161</v>
      </c>
    </row>
    <row r="31" spans="1:55" hidden="1">
      <c r="A31" s="96" t="s">
        <v>815</v>
      </c>
      <c r="B31" s="97" t="s">
        <v>438</v>
      </c>
      <c r="C31" s="98" t="s">
        <v>735</v>
      </c>
      <c r="D31" s="100">
        <v>0.96480768386842664</v>
      </c>
      <c r="E31" s="99">
        <v>3.5192316131573469E-2</v>
      </c>
      <c r="F31" s="101">
        <v>1</v>
      </c>
      <c r="I31" s="97" t="s">
        <v>438</v>
      </c>
      <c r="J31" s="98" t="s">
        <v>735</v>
      </c>
      <c r="K31" s="225">
        <v>0</v>
      </c>
      <c r="L31" s="226">
        <v>0</v>
      </c>
      <c r="M31" s="226">
        <v>0</v>
      </c>
      <c r="N31" s="226">
        <v>22.8017069505925</v>
      </c>
      <c r="O31" s="226">
        <v>0</v>
      </c>
      <c r="P31" s="226">
        <v>0</v>
      </c>
      <c r="Q31" s="226">
        <v>0</v>
      </c>
      <c r="R31" s="226">
        <v>0</v>
      </c>
      <c r="S31" s="227">
        <v>22.8017069505925</v>
      </c>
      <c r="T31" s="225">
        <v>36.198549900463831</v>
      </c>
      <c r="U31" s="226">
        <v>0</v>
      </c>
      <c r="V31" s="226">
        <v>0</v>
      </c>
      <c r="W31" s="226">
        <v>0</v>
      </c>
      <c r="X31" s="226">
        <v>0</v>
      </c>
      <c r="Y31" s="226">
        <v>0</v>
      </c>
      <c r="Z31" s="226">
        <v>0</v>
      </c>
      <c r="AA31" s="226">
        <v>0</v>
      </c>
      <c r="AB31" s="227">
        <v>36.198549900463831</v>
      </c>
      <c r="AC31" s="225">
        <v>0</v>
      </c>
      <c r="AD31" s="226">
        <v>0</v>
      </c>
      <c r="AE31" s="226">
        <v>0</v>
      </c>
      <c r="AF31" s="226">
        <v>0</v>
      </c>
      <c r="AG31" s="226">
        <v>0</v>
      </c>
      <c r="AH31" s="226">
        <v>0</v>
      </c>
      <c r="AI31" s="226">
        <v>0</v>
      </c>
      <c r="AJ31" s="226">
        <v>0</v>
      </c>
      <c r="AK31" s="227">
        <v>0</v>
      </c>
      <c r="AL31" s="225">
        <v>0</v>
      </c>
      <c r="AM31" s="226">
        <v>0</v>
      </c>
      <c r="AN31" s="226">
        <v>0</v>
      </c>
      <c r="AO31" s="226">
        <v>22.8017069505925</v>
      </c>
      <c r="AP31" s="226">
        <v>0</v>
      </c>
      <c r="AQ31" s="226">
        <v>0</v>
      </c>
      <c r="AR31" s="226">
        <v>0</v>
      </c>
      <c r="AS31" s="226">
        <v>0</v>
      </c>
      <c r="AT31" s="227">
        <v>22.8017069505925</v>
      </c>
      <c r="AU31" s="225">
        <v>36.198549900463831</v>
      </c>
      <c r="AV31" s="226">
        <v>0</v>
      </c>
      <c r="AW31" s="226">
        <v>0</v>
      </c>
      <c r="AX31" s="226">
        <v>45.603413901185</v>
      </c>
      <c r="AY31" s="226">
        <v>0</v>
      </c>
      <c r="AZ31" s="226">
        <v>0</v>
      </c>
      <c r="BA31" s="226">
        <v>0</v>
      </c>
      <c r="BB31" s="226">
        <v>0</v>
      </c>
      <c r="BC31" s="227">
        <v>81.801963801648839</v>
      </c>
    </row>
    <row r="32" spans="1:55" hidden="1">
      <c r="A32" s="96" t="s">
        <v>815</v>
      </c>
      <c r="B32" s="97" t="s">
        <v>439</v>
      </c>
      <c r="C32" s="98" t="s">
        <v>735</v>
      </c>
      <c r="D32" s="100">
        <v>0.99338694798732041</v>
      </c>
      <c r="E32" s="99">
        <v>6.6130520126795201E-3</v>
      </c>
      <c r="F32" s="101">
        <v>1</v>
      </c>
      <c r="I32" s="97" t="s">
        <v>439</v>
      </c>
      <c r="J32" s="98" t="s">
        <v>735</v>
      </c>
      <c r="K32" s="225">
        <v>0</v>
      </c>
      <c r="L32" s="226">
        <v>0</v>
      </c>
      <c r="M32" s="226">
        <v>0</v>
      </c>
      <c r="N32" s="226">
        <v>0</v>
      </c>
      <c r="O32" s="226">
        <v>0</v>
      </c>
      <c r="P32" s="226">
        <v>0</v>
      </c>
      <c r="Q32" s="226">
        <v>0</v>
      </c>
      <c r="R32" s="226">
        <v>0</v>
      </c>
      <c r="S32" s="227">
        <v>0</v>
      </c>
      <c r="T32" s="225">
        <v>60.64154867711369</v>
      </c>
      <c r="U32" s="226">
        <v>0</v>
      </c>
      <c r="V32" s="226">
        <v>0</v>
      </c>
      <c r="W32" s="226">
        <v>0</v>
      </c>
      <c r="X32" s="226">
        <v>0</v>
      </c>
      <c r="Y32" s="226">
        <v>0</v>
      </c>
      <c r="Z32" s="226">
        <v>0</v>
      </c>
      <c r="AA32" s="226">
        <v>0</v>
      </c>
      <c r="AB32" s="227">
        <v>60.64154867711369</v>
      </c>
      <c r="AC32" s="225">
        <v>20.213849559037897</v>
      </c>
      <c r="AD32" s="226">
        <v>0</v>
      </c>
      <c r="AE32" s="226">
        <v>0</v>
      </c>
      <c r="AF32" s="226">
        <v>0</v>
      </c>
      <c r="AG32" s="226">
        <v>0</v>
      </c>
      <c r="AH32" s="226">
        <v>0</v>
      </c>
      <c r="AI32" s="226">
        <v>0</v>
      </c>
      <c r="AJ32" s="226">
        <v>0</v>
      </c>
      <c r="AK32" s="227">
        <v>20.213849559037897</v>
      </c>
      <c r="AL32" s="225">
        <v>0</v>
      </c>
      <c r="AM32" s="226">
        <v>0</v>
      </c>
      <c r="AN32" s="226">
        <v>0</v>
      </c>
      <c r="AO32" s="226">
        <v>0</v>
      </c>
      <c r="AP32" s="226">
        <v>0</v>
      </c>
      <c r="AQ32" s="226">
        <v>0</v>
      </c>
      <c r="AR32" s="226">
        <v>0</v>
      </c>
      <c r="AS32" s="226">
        <v>0</v>
      </c>
      <c r="AT32" s="227">
        <v>0</v>
      </c>
      <c r="AU32" s="225">
        <v>80.855398236151586</v>
      </c>
      <c r="AV32" s="226">
        <v>0</v>
      </c>
      <c r="AW32" s="226">
        <v>0</v>
      </c>
      <c r="AX32" s="226">
        <v>0</v>
      </c>
      <c r="AY32" s="226">
        <v>0</v>
      </c>
      <c r="AZ32" s="226">
        <v>0</v>
      </c>
      <c r="BA32" s="226">
        <v>0</v>
      </c>
      <c r="BB32" s="226">
        <v>0</v>
      </c>
      <c r="BC32" s="227">
        <v>80.855398236151586</v>
      </c>
    </row>
    <row r="33" spans="1:55" hidden="1">
      <c r="A33" s="96" t="s">
        <v>815</v>
      </c>
      <c r="B33" s="97" t="s">
        <v>440</v>
      </c>
      <c r="C33" s="98" t="s">
        <v>735</v>
      </c>
      <c r="D33" s="100">
        <v>0.98526125005623133</v>
      </c>
      <c r="E33" s="99">
        <v>1.4738749943768739E-2</v>
      </c>
      <c r="F33" s="101">
        <v>1</v>
      </c>
      <c r="I33" s="97" t="s">
        <v>440</v>
      </c>
      <c r="J33" s="98" t="s">
        <v>735</v>
      </c>
      <c r="K33" s="225">
        <v>0</v>
      </c>
      <c r="L33" s="226">
        <v>0</v>
      </c>
      <c r="M33" s="226">
        <v>0</v>
      </c>
      <c r="N33" s="226">
        <v>0</v>
      </c>
      <c r="O33" s="226">
        <v>0</v>
      </c>
      <c r="P33" s="226">
        <v>0</v>
      </c>
      <c r="Q33" s="226">
        <v>0</v>
      </c>
      <c r="R33" s="226">
        <v>0</v>
      </c>
      <c r="S33" s="227">
        <v>0</v>
      </c>
      <c r="T33" s="225">
        <v>0</v>
      </c>
      <c r="U33" s="226">
        <v>0</v>
      </c>
      <c r="V33" s="226">
        <v>0</v>
      </c>
      <c r="W33" s="226">
        <v>0</v>
      </c>
      <c r="X33" s="226">
        <v>0</v>
      </c>
      <c r="Y33" s="226">
        <v>0</v>
      </c>
      <c r="Z33" s="226">
        <v>0</v>
      </c>
      <c r="AA33" s="226">
        <v>0</v>
      </c>
      <c r="AB33" s="227">
        <v>0</v>
      </c>
      <c r="AC33" s="225">
        <v>0</v>
      </c>
      <c r="AD33" s="226">
        <v>0</v>
      </c>
      <c r="AE33" s="226">
        <v>0</v>
      </c>
      <c r="AF33" s="226">
        <v>0</v>
      </c>
      <c r="AG33" s="226">
        <v>0</v>
      </c>
      <c r="AH33" s="226">
        <v>0</v>
      </c>
      <c r="AI33" s="226">
        <v>0</v>
      </c>
      <c r="AJ33" s="226">
        <v>0</v>
      </c>
      <c r="AK33" s="227">
        <v>0</v>
      </c>
      <c r="AL33" s="225">
        <v>0</v>
      </c>
      <c r="AM33" s="226">
        <v>0</v>
      </c>
      <c r="AN33" s="226">
        <v>0</v>
      </c>
      <c r="AO33" s="226">
        <v>0</v>
      </c>
      <c r="AP33" s="226">
        <v>0</v>
      </c>
      <c r="AQ33" s="226">
        <v>0</v>
      </c>
      <c r="AR33" s="226">
        <v>0</v>
      </c>
      <c r="AS33" s="226">
        <v>0</v>
      </c>
      <c r="AT33" s="227">
        <v>0</v>
      </c>
      <c r="AU33" s="225">
        <v>0</v>
      </c>
      <c r="AV33" s="226">
        <v>0</v>
      </c>
      <c r="AW33" s="226">
        <v>0</v>
      </c>
      <c r="AX33" s="226">
        <v>0</v>
      </c>
      <c r="AY33" s="226">
        <v>0</v>
      </c>
      <c r="AZ33" s="226">
        <v>0</v>
      </c>
      <c r="BA33" s="226">
        <v>0</v>
      </c>
      <c r="BB33" s="226">
        <v>0</v>
      </c>
      <c r="BC33" s="227">
        <v>0</v>
      </c>
    </row>
    <row r="34" spans="1:55" hidden="1"/>
  </sheetData>
  <mergeCells count="7">
    <mergeCell ref="A1:H1"/>
    <mergeCell ref="AU15:BC15"/>
    <mergeCell ref="D15:F15"/>
    <mergeCell ref="K15:S15"/>
    <mergeCell ref="T15:AB15"/>
    <mergeCell ref="AC15:AK15"/>
    <mergeCell ref="AL15:AT1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80"/>
  <sheetViews>
    <sheetView zoomScaleNormal="100" workbookViewId="0">
      <selection sqref="A1:G1"/>
    </sheetView>
  </sheetViews>
  <sheetFormatPr defaultColWidth="8.7109375" defaultRowHeight="13.15"/>
  <cols>
    <col min="1" max="2" width="12" style="6" customWidth="1"/>
    <col min="3" max="6" width="13.7109375" style="6" customWidth="1"/>
    <col min="7" max="7" width="13.28515625" style="6" customWidth="1"/>
    <col min="8" max="8" width="12.7109375" style="6" bestFit="1" customWidth="1"/>
    <col min="9" max="9" width="8.7109375" style="6"/>
    <col min="10" max="10" width="12" style="6" customWidth="1"/>
    <col min="11" max="11" width="14.140625" style="6" customWidth="1"/>
    <col min="12" max="12" width="10.28515625" style="6" customWidth="1"/>
    <col min="13" max="27" width="5.7109375" style="6" customWidth="1"/>
    <col min="28" max="16384" width="8.7109375" style="6"/>
  </cols>
  <sheetData>
    <row r="1" spans="1:28" ht="28.9" customHeight="1">
      <c r="A1" s="752" t="s">
        <v>816</v>
      </c>
      <c r="B1" s="752"/>
      <c r="C1" s="752"/>
      <c r="D1" s="752"/>
      <c r="E1" s="752"/>
      <c r="F1" s="752"/>
      <c r="G1" s="752"/>
      <c r="J1" s="783" t="s">
        <v>816</v>
      </c>
      <c r="K1" s="783"/>
      <c r="L1" s="783"/>
      <c r="M1" s="783"/>
      <c r="N1" s="783"/>
      <c r="O1" s="783"/>
      <c r="P1" s="783"/>
      <c r="Q1" s="783"/>
      <c r="R1" s="783"/>
      <c r="S1" s="783"/>
      <c r="T1" s="783"/>
      <c r="U1" s="783"/>
      <c r="V1" s="783"/>
      <c r="W1" s="783"/>
      <c r="X1" s="783"/>
      <c r="Y1" s="783"/>
      <c r="Z1" s="783"/>
      <c r="AA1" s="783"/>
    </row>
    <row r="2" spans="1:28" ht="21" customHeight="1">
      <c r="A2" s="996" t="s">
        <v>6</v>
      </c>
      <c r="B2" s="996" t="s">
        <v>635</v>
      </c>
      <c r="C2" s="996" t="s">
        <v>817</v>
      </c>
      <c r="D2" s="996"/>
      <c r="E2" s="996"/>
      <c r="F2" s="996"/>
      <c r="G2" s="996"/>
      <c r="J2" s="996" t="s">
        <v>6</v>
      </c>
      <c r="K2" s="996" t="s">
        <v>817</v>
      </c>
      <c r="L2" s="996" t="s">
        <v>635</v>
      </c>
      <c r="M2" s="996"/>
      <c r="N2" s="996"/>
      <c r="O2" s="996"/>
      <c r="P2" s="996"/>
      <c r="Q2" s="996"/>
      <c r="R2" s="996"/>
      <c r="S2" s="996"/>
      <c r="T2" s="996"/>
      <c r="U2" s="996"/>
      <c r="V2" s="996"/>
      <c r="W2" s="996"/>
      <c r="X2" s="996"/>
      <c r="Y2" s="996"/>
      <c r="Z2" s="996"/>
      <c r="AA2" s="996"/>
    </row>
    <row r="3" spans="1:28" ht="21" customHeight="1">
      <c r="A3" s="996"/>
      <c r="B3" s="996"/>
      <c r="C3" s="672" t="s">
        <v>443</v>
      </c>
      <c r="D3" s="672" t="s">
        <v>186</v>
      </c>
      <c r="E3" s="672" t="s">
        <v>188</v>
      </c>
      <c r="F3" s="672" t="s">
        <v>190</v>
      </c>
      <c r="G3" s="672" t="s">
        <v>818</v>
      </c>
      <c r="J3" s="996"/>
      <c r="K3" s="996"/>
      <c r="L3" s="672">
        <v>1</v>
      </c>
      <c r="M3" s="672">
        <v>2</v>
      </c>
      <c r="N3" s="672">
        <v>3</v>
      </c>
      <c r="O3" s="672">
        <v>4</v>
      </c>
      <c r="P3" s="672">
        <v>5</v>
      </c>
      <c r="Q3" s="672">
        <v>6</v>
      </c>
      <c r="R3" s="672">
        <v>7</v>
      </c>
      <c r="S3" s="672">
        <v>8</v>
      </c>
      <c r="T3" s="672">
        <v>9</v>
      </c>
      <c r="U3" s="672">
        <v>10</v>
      </c>
      <c r="V3" s="672">
        <v>11</v>
      </c>
      <c r="W3" s="672">
        <v>12</v>
      </c>
      <c r="X3" s="672">
        <v>13</v>
      </c>
      <c r="Y3" s="672">
        <v>14</v>
      </c>
      <c r="Z3" s="672">
        <v>15</v>
      </c>
      <c r="AA3" s="672">
        <v>16</v>
      </c>
    </row>
    <row r="4" spans="1:28" ht="16.899999999999999" customHeight="1">
      <c r="A4" s="994" t="s">
        <v>53</v>
      </c>
      <c r="B4" s="273">
        <v>1</v>
      </c>
      <c r="C4" s="244">
        <v>0.34576478503428776</v>
      </c>
      <c r="D4" s="244">
        <v>0.34030751930301822</v>
      </c>
      <c r="E4" s="244">
        <v>0.18670741648595449</v>
      </c>
      <c r="F4" s="244">
        <v>7.4766653815595274E-2</v>
      </c>
      <c r="G4" s="245">
        <v>5.24536253611445E-2</v>
      </c>
      <c r="H4" s="276">
        <f>SUM(C4:G4)</f>
        <v>1.0000000000000002</v>
      </c>
      <c r="J4" s="988" t="s">
        <v>53</v>
      </c>
      <c r="K4" s="272" t="s">
        <v>443</v>
      </c>
      <c r="L4" s="144">
        <v>1.2201602162065289E-2</v>
      </c>
      <c r="M4" s="144">
        <v>3.5920994326309887E-2</v>
      </c>
      <c r="N4" s="144">
        <v>0.11488277605561587</v>
      </c>
      <c r="O4" s="144">
        <v>5.9110912463176138E-2</v>
      </c>
      <c r="P4" s="144">
        <v>1.2085250538201942E-2</v>
      </c>
      <c r="Q4" s="144">
        <v>7.6630983596364555E-2</v>
      </c>
      <c r="R4" s="144">
        <v>4.7722477670921214E-2</v>
      </c>
      <c r="S4" s="144">
        <v>0.13080281835521046</v>
      </c>
      <c r="T4" s="144">
        <v>0.17917405457969615</v>
      </c>
      <c r="U4" s="144">
        <v>5.0681921241005887E-2</v>
      </c>
      <c r="V4" s="144">
        <v>2.6683139780033911E-2</v>
      </c>
      <c r="W4" s="144">
        <v>0.12202025572137183</v>
      </c>
      <c r="X4" s="144">
        <v>3.9658727241401015E-2</v>
      </c>
      <c r="Y4" s="144">
        <v>1.7962892301148649E-2</v>
      </c>
      <c r="Z4" s="144">
        <v>1.8690167031636448E-2</v>
      </c>
      <c r="AA4" s="144">
        <v>5.5771026935840767E-2</v>
      </c>
      <c r="AB4" s="276">
        <f>SUM(L4:AA4)</f>
        <v>1</v>
      </c>
    </row>
    <row r="5" spans="1:28" ht="16.899999999999999" customHeight="1">
      <c r="A5" s="995"/>
      <c r="B5" s="274">
        <v>2</v>
      </c>
      <c r="C5" s="144">
        <v>0.46169047557755988</v>
      </c>
      <c r="D5" s="144">
        <v>0.33957225909737082</v>
      </c>
      <c r="E5" s="144">
        <v>0.12318701168229684</v>
      </c>
      <c r="F5" s="144">
        <v>5.1104100916774454E-2</v>
      </c>
      <c r="G5" s="228">
        <v>2.4446152725998052E-2</v>
      </c>
      <c r="H5" s="276">
        <f t="shared" ref="H5:H19" si="0">SUM(C5:G5)</f>
        <v>1</v>
      </c>
      <c r="J5" s="989"/>
      <c r="K5" s="272" t="s">
        <v>186</v>
      </c>
      <c r="L5" s="144">
        <v>1.3256142811483731E-2</v>
      </c>
      <c r="M5" s="144">
        <v>2.9163467955727756E-2</v>
      </c>
      <c r="N5" s="144">
        <v>7.8397037585757889E-2</v>
      </c>
      <c r="O5" s="144">
        <v>3.7900469582236015E-2</v>
      </c>
      <c r="P5" s="144">
        <v>1.1381292724943516E-2</v>
      </c>
      <c r="Q5" s="144">
        <v>6.7004413388867132E-2</v>
      </c>
      <c r="R5" s="144">
        <v>8.3818348012164534E-2</v>
      </c>
      <c r="S5" s="144">
        <v>8.1350811059711634E-2</v>
      </c>
      <c r="T5" s="144">
        <v>0.10055133027763939</v>
      </c>
      <c r="U5" s="144">
        <v>9.7068436776682976E-2</v>
      </c>
      <c r="V5" s="144">
        <v>3.9180977239544237E-2</v>
      </c>
      <c r="W5" s="144">
        <v>0.1649454104421286</v>
      </c>
      <c r="X5" s="144">
        <v>5.1375643020506692E-2</v>
      </c>
      <c r="Y5" s="144">
        <v>1.7808447702770985E-2</v>
      </c>
      <c r="Z5" s="144">
        <v>4.7522739180954759E-2</v>
      </c>
      <c r="AA5" s="144">
        <v>7.9275032238880203E-2</v>
      </c>
      <c r="AB5" s="276">
        <f>SUM(L5:AA5)</f>
        <v>1</v>
      </c>
    </row>
    <row r="6" spans="1:28" ht="16.899999999999999" customHeight="1">
      <c r="A6" s="995"/>
      <c r="B6" s="274">
        <v>3</v>
      </c>
      <c r="C6" s="144">
        <v>0.47138085763779347</v>
      </c>
      <c r="D6" s="144">
        <v>0.29141180757467144</v>
      </c>
      <c r="E6" s="144">
        <v>0.10436316253731912</v>
      </c>
      <c r="F6" s="144">
        <v>4.0101721033734057E-2</v>
      </c>
      <c r="G6" s="228">
        <v>9.2742451216481975E-2</v>
      </c>
      <c r="H6" s="276">
        <f t="shared" si="0"/>
        <v>1.0000000000000002</v>
      </c>
      <c r="J6" s="989"/>
      <c r="K6" s="272" t="s">
        <v>188</v>
      </c>
      <c r="L6" s="144">
        <v>1.594674852583209E-2</v>
      </c>
      <c r="M6" s="144">
        <v>2.3197267457923408E-2</v>
      </c>
      <c r="N6" s="144">
        <v>6.1560861044458279E-2</v>
      </c>
      <c r="O6" s="144">
        <v>2.8743631726884107E-2</v>
      </c>
      <c r="P6" s="144">
        <v>6.4464086279789013E-3</v>
      </c>
      <c r="Q6" s="144">
        <v>2.9447494999581814E-2</v>
      </c>
      <c r="R6" s="144">
        <v>3.8045932137347534E-2</v>
      </c>
      <c r="S6" s="144">
        <v>3.6104502504745388E-2</v>
      </c>
      <c r="T6" s="144">
        <v>3.4072750862254322E-2</v>
      </c>
      <c r="U6" s="144">
        <v>0.10784068274977709</v>
      </c>
      <c r="V6" s="144">
        <v>7.0004298966298895E-2</v>
      </c>
      <c r="W6" s="144">
        <v>0.26013470800127025</v>
      </c>
      <c r="X6" s="144">
        <v>7.8750295292575337E-2</v>
      </c>
      <c r="Y6" s="144">
        <v>1.9927305086870781E-2</v>
      </c>
      <c r="Z6" s="144">
        <v>6.8353208300655527E-2</v>
      </c>
      <c r="AA6" s="144">
        <v>0.12142390371554646</v>
      </c>
      <c r="AB6" s="276">
        <f>SUM(L6:AA6)</f>
        <v>1.0000000000000002</v>
      </c>
    </row>
    <row r="7" spans="1:28" ht="16.899999999999999" customHeight="1">
      <c r="A7" s="995"/>
      <c r="B7" s="274">
        <v>4</v>
      </c>
      <c r="C7" s="144">
        <v>0.49260483729449767</v>
      </c>
      <c r="D7" s="144">
        <v>0.28613176347543934</v>
      </c>
      <c r="E7" s="144">
        <v>9.8968770147020324E-2</v>
      </c>
      <c r="F7" s="144">
        <v>4.0650901316920493E-2</v>
      </c>
      <c r="G7" s="228">
        <v>8.1643727766122109E-2</v>
      </c>
      <c r="H7" s="276">
        <f t="shared" si="0"/>
        <v>1</v>
      </c>
      <c r="J7" s="989"/>
      <c r="K7" s="272" t="s">
        <v>190</v>
      </c>
      <c r="L7" s="144">
        <v>1.6797989919947433E-2</v>
      </c>
      <c r="M7" s="144">
        <v>2.5314331197401764E-2</v>
      </c>
      <c r="N7" s="144">
        <v>6.2224191449523326E-2</v>
      </c>
      <c r="O7" s="144">
        <v>3.1056495111414652E-2</v>
      </c>
      <c r="P7" s="144">
        <v>6.7206824596290566E-3</v>
      </c>
      <c r="Q7" s="144">
        <v>4.771102290929978E-2</v>
      </c>
      <c r="R7" s="144">
        <v>3.2548365396600262E-2</v>
      </c>
      <c r="S7" s="144">
        <v>4.6937975555014694E-2</v>
      </c>
      <c r="T7" s="144">
        <v>8.5570595093229396E-2</v>
      </c>
      <c r="U7" s="144">
        <v>0.1171554491903998</v>
      </c>
      <c r="V7" s="144">
        <v>4.8691630713104818E-2</v>
      </c>
      <c r="W7" s="144">
        <v>0.17297759068977675</v>
      </c>
      <c r="X7" s="144">
        <v>8.1616368056693978E-2</v>
      </c>
      <c r="Y7" s="144">
        <v>1.9097656133553763E-2</v>
      </c>
      <c r="Z7" s="144">
        <v>9.2149570001169162E-2</v>
      </c>
      <c r="AA7" s="144">
        <v>0.11343008612324135</v>
      </c>
      <c r="AB7" s="276">
        <f>SUM(L7:AA7)</f>
        <v>0.99999999999999989</v>
      </c>
    </row>
    <row r="8" spans="1:28" ht="16.899999999999999" customHeight="1">
      <c r="A8" s="995"/>
      <c r="B8" s="274">
        <v>5</v>
      </c>
      <c r="C8" s="144">
        <v>0.37021221985568281</v>
      </c>
      <c r="D8" s="144">
        <v>0.31584729135020689</v>
      </c>
      <c r="E8" s="144">
        <v>8.1590284516946457E-2</v>
      </c>
      <c r="F8" s="144">
        <v>3.233666269119715E-2</v>
      </c>
      <c r="G8" s="228">
        <v>0.20001354158596671</v>
      </c>
      <c r="H8" s="276">
        <f t="shared" si="0"/>
        <v>1</v>
      </c>
      <c r="J8" s="989"/>
      <c r="K8" s="272" t="s">
        <v>818</v>
      </c>
      <c r="L8" s="144">
        <v>7.8687744124386703E-3</v>
      </c>
      <c r="M8" s="144">
        <v>8.0854359121365123E-3</v>
      </c>
      <c r="N8" s="144">
        <v>9.6085318365264516E-2</v>
      </c>
      <c r="O8" s="144">
        <v>4.1647343131646503E-2</v>
      </c>
      <c r="P8" s="144">
        <v>2.7756186201224935E-2</v>
      </c>
      <c r="Q8" s="144">
        <v>5.3915455776456012E-2</v>
      </c>
      <c r="R8" s="144">
        <v>5.8414074975709919E-2</v>
      </c>
      <c r="S8" s="144">
        <v>9.2727501958666803E-2</v>
      </c>
      <c r="T8" s="144">
        <v>0.12449253026745098</v>
      </c>
      <c r="U8" s="144">
        <v>0.10953423345603223</v>
      </c>
      <c r="V8" s="144">
        <v>3.8682812497654373E-2</v>
      </c>
      <c r="W8" s="144">
        <v>0.11071077420124846</v>
      </c>
      <c r="X8" s="144">
        <v>5.332685232983031E-2</v>
      </c>
      <c r="Y8" s="144">
        <v>2.3946694437720541E-2</v>
      </c>
      <c r="Z8" s="144">
        <v>6.75586308772953E-2</v>
      </c>
      <c r="AA8" s="144">
        <v>8.5247381199224176E-2</v>
      </c>
      <c r="AB8" s="276">
        <f>SUM(L8:AA8)</f>
        <v>1.0000000000000002</v>
      </c>
    </row>
    <row r="9" spans="1:28" ht="16.899999999999999" customHeight="1">
      <c r="A9" s="995"/>
      <c r="B9" s="274">
        <v>6</v>
      </c>
      <c r="C9" s="144">
        <v>0.45163344441237113</v>
      </c>
      <c r="D9" s="144">
        <v>0.35774665033929159</v>
      </c>
      <c r="E9" s="144">
        <v>7.1706013130267587E-2</v>
      </c>
      <c r="F9" s="144">
        <v>4.4165906769986787E-2</v>
      </c>
      <c r="G9" s="228">
        <v>7.4747985348082885E-2</v>
      </c>
      <c r="H9" s="276">
        <f t="shared" si="0"/>
        <v>1</v>
      </c>
      <c r="J9" s="990"/>
      <c r="K9" s="272" t="s">
        <v>417</v>
      </c>
      <c r="L9" s="144">
        <v>1.3014987381387122E-2</v>
      </c>
      <c r="M9" s="144">
        <v>2.8694924411042121E-2</v>
      </c>
      <c r="N9" s="144">
        <v>8.9885705150626577E-2</v>
      </c>
      <c r="O9" s="144">
        <v>4.4256456867534835E-2</v>
      </c>
      <c r="P9" s="144">
        <v>1.2039613881879558E-2</v>
      </c>
      <c r="Q9" s="144">
        <v>6.2578616249403432E-2</v>
      </c>
      <c r="R9" s="144">
        <v>5.8356748797605308E-2</v>
      </c>
      <c r="S9" s="144">
        <v>9.1688230500518997E-2</v>
      </c>
      <c r="T9" s="144">
        <v>0.12062766872276441</v>
      </c>
      <c r="U9" s="144">
        <v>8.3847055280339824E-2</v>
      </c>
      <c r="V9" s="144">
        <v>3.9776231715361557E-2</v>
      </c>
      <c r="W9" s="144">
        <v>0.15937909955386872</v>
      </c>
      <c r="X9" s="144">
        <v>5.3146769791249916E-2</v>
      </c>
      <c r="Y9" s="144">
        <v>1.8795511936718318E-2</v>
      </c>
      <c r="Z9" s="144">
        <v>4.4386523957965641E-2</v>
      </c>
      <c r="AA9" s="144">
        <v>7.9525855801733672E-2</v>
      </c>
      <c r="AB9" s="91"/>
    </row>
    <row r="10" spans="1:28" ht="16.899999999999999" customHeight="1">
      <c r="A10" s="995"/>
      <c r="B10" s="274">
        <v>7</v>
      </c>
      <c r="C10" s="144">
        <v>0.30160570058345448</v>
      </c>
      <c r="D10" s="144">
        <v>0.47989489622560816</v>
      </c>
      <c r="E10" s="144">
        <v>9.9345984060776521E-2</v>
      </c>
      <c r="F10" s="144">
        <v>3.230966639787939E-2</v>
      </c>
      <c r="G10" s="228">
        <v>8.6843752732281426E-2</v>
      </c>
      <c r="H10" s="276">
        <f t="shared" si="0"/>
        <v>1</v>
      </c>
      <c r="J10" s="8"/>
      <c r="K10" s="271"/>
      <c r="L10" s="63"/>
      <c r="M10" s="63"/>
      <c r="N10" s="63"/>
      <c r="O10" s="63"/>
      <c r="P10" s="232"/>
    </row>
    <row r="11" spans="1:28" ht="16.899999999999999" customHeight="1">
      <c r="A11" s="995"/>
      <c r="B11" s="274">
        <v>8</v>
      </c>
      <c r="C11" s="144">
        <v>0.52615192169907243</v>
      </c>
      <c r="D11" s="144">
        <v>0.29644656213668569</v>
      </c>
      <c r="E11" s="144">
        <v>6.0004103166940347E-2</v>
      </c>
      <c r="F11" s="144">
        <v>2.9655492601488285E-2</v>
      </c>
      <c r="G11" s="228">
        <v>8.7741920395813411E-2</v>
      </c>
      <c r="H11" s="276">
        <f t="shared" si="0"/>
        <v>1</v>
      </c>
      <c r="J11" s="8"/>
      <c r="K11" s="271"/>
      <c r="L11" s="63"/>
      <c r="M11" s="63"/>
      <c r="N11" s="63"/>
      <c r="O11" s="63"/>
      <c r="P11" s="232"/>
    </row>
    <row r="12" spans="1:28" ht="16.899999999999999" customHeight="1">
      <c r="A12" s="995"/>
      <c r="B12" s="274">
        <v>9</v>
      </c>
      <c r="C12" s="144">
        <v>0.54781741913593318</v>
      </c>
      <c r="D12" s="144">
        <v>0.27850885535095304</v>
      </c>
      <c r="E12" s="144">
        <v>4.3042098637318664E-2</v>
      </c>
      <c r="F12" s="144">
        <v>4.1093392558374624E-2</v>
      </c>
      <c r="G12" s="228">
        <v>8.9538234317420626E-2</v>
      </c>
      <c r="H12" s="276">
        <f t="shared" si="0"/>
        <v>1.0000000000000002</v>
      </c>
      <c r="J12" s="8"/>
      <c r="K12" s="271"/>
      <c r="L12" s="63"/>
      <c r="M12" s="63"/>
      <c r="N12" s="63"/>
      <c r="O12" s="63"/>
      <c r="P12" s="232"/>
    </row>
    <row r="13" spans="1:28" ht="16.899999999999999" customHeight="1">
      <c r="A13" s="995"/>
      <c r="B13" s="274">
        <v>10</v>
      </c>
      <c r="C13" s="144">
        <v>0.22293225322384277</v>
      </c>
      <c r="D13" s="144">
        <v>0.38680167253894365</v>
      </c>
      <c r="E13" s="144">
        <v>0.19598732680835293</v>
      </c>
      <c r="F13" s="144">
        <v>8.0941091771612836E-2</v>
      </c>
      <c r="G13" s="228">
        <v>0.11333765565724779</v>
      </c>
      <c r="H13" s="276">
        <f t="shared" si="0"/>
        <v>1</v>
      </c>
      <c r="J13" s="8"/>
      <c r="K13" s="271"/>
      <c r="L13" s="63"/>
      <c r="M13" s="63"/>
      <c r="N13" s="63"/>
      <c r="O13" s="63"/>
      <c r="P13" s="232"/>
    </row>
    <row r="14" spans="1:28" ht="16.899999999999999" customHeight="1">
      <c r="A14" s="995"/>
      <c r="B14" s="274">
        <v>11</v>
      </c>
      <c r="C14" s="144">
        <v>0.24741210536132321</v>
      </c>
      <c r="D14" s="144">
        <v>0.3291165707984216</v>
      </c>
      <c r="E14" s="144">
        <v>0.26818485538125536</v>
      </c>
      <c r="F14" s="144">
        <v>7.0912869891764263E-2</v>
      </c>
      <c r="G14" s="228">
        <v>8.4373598567235586E-2</v>
      </c>
      <c r="H14" s="276">
        <f t="shared" si="0"/>
        <v>1</v>
      </c>
      <c r="J14" s="8"/>
      <c r="K14" s="271"/>
      <c r="L14" s="63"/>
      <c r="M14" s="63"/>
      <c r="N14" s="63"/>
      <c r="O14" s="63"/>
      <c r="P14" s="232"/>
    </row>
    <row r="15" spans="1:28" ht="16.899999999999999" customHeight="1">
      <c r="A15" s="995"/>
      <c r="B15" s="274">
        <v>12</v>
      </c>
      <c r="C15" s="144">
        <v>0.28236327638939929</v>
      </c>
      <c r="D15" s="144">
        <v>0.34578566850684178</v>
      </c>
      <c r="E15" s="144">
        <v>0.24871392856772373</v>
      </c>
      <c r="F15" s="144">
        <v>6.2871359899340465E-2</v>
      </c>
      <c r="G15" s="228">
        <v>6.0265766636694834E-2</v>
      </c>
      <c r="H15" s="276">
        <f t="shared" si="0"/>
        <v>1</v>
      </c>
      <c r="J15" s="8"/>
      <c r="K15" s="271"/>
      <c r="L15" s="63"/>
      <c r="M15" s="63"/>
      <c r="N15" s="63"/>
      <c r="O15" s="63"/>
      <c r="P15" s="232"/>
    </row>
    <row r="16" spans="1:28" ht="16.899999999999999" customHeight="1">
      <c r="A16" s="995"/>
      <c r="B16" s="274">
        <v>13</v>
      </c>
      <c r="C16" s="144">
        <v>0.27521338330909839</v>
      </c>
      <c r="D16" s="144">
        <v>0.32298214859677971</v>
      </c>
      <c r="E16" s="144">
        <v>0.2257919699249189</v>
      </c>
      <c r="F16" s="144">
        <v>8.8959999192243983E-2</v>
      </c>
      <c r="G16" s="228">
        <v>8.7052498976959075E-2</v>
      </c>
      <c r="H16" s="276">
        <f t="shared" si="0"/>
        <v>1</v>
      </c>
      <c r="J16" s="8"/>
      <c r="K16" s="271"/>
      <c r="L16" s="63"/>
      <c r="M16" s="63"/>
      <c r="N16" s="63"/>
      <c r="O16" s="63"/>
      <c r="P16" s="232"/>
    </row>
    <row r="17" spans="1:16" ht="16.899999999999999" customHeight="1">
      <c r="A17" s="995"/>
      <c r="B17" s="274">
        <v>14</v>
      </c>
      <c r="C17" s="144">
        <v>0.35247616730209674</v>
      </c>
      <c r="D17" s="144">
        <v>0.31657019845133683</v>
      </c>
      <c r="E17" s="144">
        <v>0.16155767183542619</v>
      </c>
      <c r="F17" s="144">
        <v>5.8860004289701409E-2</v>
      </c>
      <c r="G17" s="228">
        <v>0.11053595812143893</v>
      </c>
      <c r="H17" s="276">
        <f t="shared" si="0"/>
        <v>1</v>
      </c>
      <c r="J17" s="8"/>
      <c r="K17" s="271"/>
      <c r="L17" s="63"/>
      <c r="M17" s="63"/>
      <c r="N17" s="63"/>
      <c r="O17" s="63"/>
      <c r="P17" s="232"/>
    </row>
    <row r="18" spans="1:16" ht="16.899999999999999" customHeight="1">
      <c r="A18" s="995"/>
      <c r="B18" s="274">
        <v>15</v>
      </c>
      <c r="C18" s="144">
        <v>0.15529937137544797</v>
      </c>
      <c r="D18" s="144">
        <v>0.35772430788924786</v>
      </c>
      <c r="E18" s="144">
        <v>0.23466101442085027</v>
      </c>
      <c r="F18" s="144">
        <v>0.12026425265427662</v>
      </c>
      <c r="G18" s="228">
        <v>0.13205105366017714</v>
      </c>
      <c r="H18" s="276">
        <f t="shared" si="0"/>
        <v>0.99999999999999989</v>
      </c>
      <c r="J18" s="8"/>
      <c r="K18" s="271"/>
      <c r="L18" s="63"/>
      <c r="M18" s="63"/>
      <c r="N18" s="63"/>
      <c r="O18" s="63"/>
      <c r="P18" s="232"/>
    </row>
    <row r="19" spans="1:16" ht="16.899999999999999" customHeight="1">
      <c r="A19" s="995"/>
      <c r="B19" s="274">
        <v>16</v>
      </c>
      <c r="C19" s="228">
        <v>0.25864729490308325</v>
      </c>
      <c r="D19" s="228">
        <v>0.33306285334503105</v>
      </c>
      <c r="E19" s="228">
        <v>0.23266390611249038</v>
      </c>
      <c r="F19" s="228">
        <v>8.2625535983213094E-2</v>
      </c>
      <c r="G19" s="228">
        <v>9.3000409656182073E-2</v>
      </c>
      <c r="H19" s="276">
        <f t="shared" si="0"/>
        <v>0.99999999999999978</v>
      </c>
      <c r="J19" s="8"/>
      <c r="K19" s="271"/>
      <c r="L19" s="63"/>
      <c r="M19" s="63"/>
      <c r="N19" s="63"/>
      <c r="O19" s="63"/>
      <c r="P19" s="232"/>
    </row>
    <row r="20" spans="1:16">
      <c r="A20" s="995"/>
      <c r="B20" s="275" t="s">
        <v>419</v>
      </c>
      <c r="C20" s="228">
        <v>0.39771601360302894</v>
      </c>
      <c r="D20" s="228">
        <v>0.33444859854948428</v>
      </c>
      <c r="E20" s="228">
        <v>0.1343962566562083</v>
      </c>
      <c r="F20" s="228">
        <v>4.8175501556379154E-2</v>
      </c>
      <c r="G20" s="228">
        <v>8.5263629634900986E-2</v>
      </c>
    </row>
    <row r="22" spans="1:16">
      <c r="A22" s="6" t="s">
        <v>819</v>
      </c>
    </row>
    <row r="29" spans="1:16" s="35" customFormat="1" hidden="1">
      <c r="A29" s="35" t="s">
        <v>85</v>
      </c>
      <c r="E29" s="36"/>
      <c r="F29" s="37"/>
      <c r="G29" s="38"/>
    </row>
    <row r="30" spans="1:16" hidden="1"/>
    <row r="31" spans="1:16" hidden="1">
      <c r="A31" s="6" t="s">
        <v>3</v>
      </c>
    </row>
    <row r="32" spans="1:16" ht="39.6" hidden="1">
      <c r="A32" s="95" t="s">
        <v>820</v>
      </c>
      <c r="B32" s="202" t="s">
        <v>56</v>
      </c>
      <c r="C32" s="202" t="s">
        <v>443</v>
      </c>
      <c r="D32" s="202" t="s">
        <v>186</v>
      </c>
      <c r="E32" s="202" t="s">
        <v>188</v>
      </c>
      <c r="F32" s="202" t="s">
        <v>787</v>
      </c>
      <c r="G32" s="202">
        <v>2018</v>
      </c>
      <c r="H32" s="95" t="s">
        <v>788</v>
      </c>
      <c r="I32" s="203" t="s">
        <v>417</v>
      </c>
      <c r="K32" s="6" t="s">
        <v>190</v>
      </c>
      <c r="L32" t="s">
        <v>821</v>
      </c>
    </row>
    <row r="33" spans="1:12" hidden="1">
      <c r="A33" s="622" t="s">
        <v>419</v>
      </c>
      <c r="B33" s="199" t="s">
        <v>735</v>
      </c>
      <c r="C33" s="201">
        <v>0.39055720125042798</v>
      </c>
      <c r="D33" s="201">
        <v>0.32054924195969953</v>
      </c>
      <c r="E33" s="201">
        <v>0.13196479727094398</v>
      </c>
      <c r="F33" s="201">
        <v>4.6532957819755125E-2</v>
      </c>
      <c r="G33" s="201">
        <v>4.6801205299373848E-4</v>
      </c>
      <c r="H33" s="201">
        <v>0.10992778964617919</v>
      </c>
      <c r="I33" s="204">
        <v>1</v>
      </c>
      <c r="K33" s="205">
        <f>F33+G33</f>
        <v>4.7000969872748863E-2</v>
      </c>
      <c r="L33" s="187">
        <f>SUM(L34:L49)</f>
        <v>729220.64292341308</v>
      </c>
    </row>
    <row r="34" spans="1:12" hidden="1">
      <c r="A34" s="622">
        <v>1</v>
      </c>
      <c r="B34" s="199" t="s">
        <v>735</v>
      </c>
      <c r="C34" s="201">
        <v>0.49229156602087693</v>
      </c>
      <c r="D34" s="201">
        <v>0.27621144100372907</v>
      </c>
      <c r="E34" s="201">
        <v>0.10186498453256364</v>
      </c>
      <c r="F34" s="201">
        <v>4.1901259350047626E-2</v>
      </c>
      <c r="G34" s="201">
        <v>0</v>
      </c>
      <c r="H34" s="201">
        <v>8.7730749092782695E-2</v>
      </c>
      <c r="I34" s="204">
        <v>0.99999999999999989</v>
      </c>
      <c r="K34" s="205">
        <f t="shared" ref="K34:K49" si="1">F34+G34</f>
        <v>4.1901259350047626E-2</v>
      </c>
      <c r="L34" s="187">
        <v>119595.577569407</v>
      </c>
    </row>
    <row r="35" spans="1:12" hidden="1">
      <c r="A35" s="622">
        <v>2</v>
      </c>
      <c r="B35" s="199" t="s">
        <v>735</v>
      </c>
      <c r="C35" s="201">
        <v>0.4616833435941215</v>
      </c>
      <c r="D35" s="201">
        <v>0.33779851515833248</v>
      </c>
      <c r="E35" s="201">
        <v>0.12287337564722189</v>
      </c>
      <c r="F35" s="201">
        <v>5.037888260720022E-2</v>
      </c>
      <c r="G35" s="201">
        <v>0</v>
      </c>
      <c r="H35" s="201">
        <v>2.7265882993123998E-2</v>
      </c>
      <c r="I35" s="204">
        <v>1</v>
      </c>
      <c r="K35" s="205">
        <f t="shared" si="1"/>
        <v>5.037888260720022E-2</v>
      </c>
      <c r="L35" s="187">
        <v>33616.997018630398</v>
      </c>
    </row>
    <row r="36" spans="1:12" hidden="1">
      <c r="A36" s="622">
        <v>3</v>
      </c>
      <c r="B36" s="199" t="s">
        <v>735</v>
      </c>
      <c r="C36" s="201">
        <v>0.35133698669636287</v>
      </c>
      <c r="D36" s="201">
        <v>0.29735123533889662</v>
      </c>
      <c r="E36" s="201">
        <v>0.15972187120791284</v>
      </c>
      <c r="F36" s="201">
        <v>5.9548007170190667E-2</v>
      </c>
      <c r="G36" s="201">
        <v>0</v>
      </c>
      <c r="H36" s="201">
        <v>0.13204189958663687</v>
      </c>
      <c r="I36" s="204">
        <v>0.99999999999999978</v>
      </c>
      <c r="K36" s="205">
        <f t="shared" si="1"/>
        <v>5.9548007170190667E-2</v>
      </c>
      <c r="L36" s="187">
        <v>9405.1639436092391</v>
      </c>
    </row>
    <row r="37" spans="1:12" hidden="1">
      <c r="A37" s="622">
        <v>4</v>
      </c>
      <c r="B37" s="199" t="s">
        <v>735</v>
      </c>
      <c r="C37" s="201">
        <v>0.1054345310140103</v>
      </c>
      <c r="D37" s="201">
        <v>0.33085784923676231</v>
      </c>
      <c r="E37" s="201">
        <v>0.44093491419994485</v>
      </c>
      <c r="F37" s="201">
        <v>4.5761264415698999E-2</v>
      </c>
      <c r="G37" s="201">
        <v>0</v>
      </c>
      <c r="H37" s="201">
        <v>7.7011441133583505E-2</v>
      </c>
      <c r="I37" s="204">
        <v>0.99999999999999989</v>
      </c>
      <c r="K37" s="205">
        <f t="shared" si="1"/>
        <v>4.5761264415698999E-2</v>
      </c>
      <c r="L37" s="187">
        <v>45237.817363033399</v>
      </c>
    </row>
    <row r="38" spans="1:12" hidden="1">
      <c r="A38" s="622">
        <v>5</v>
      </c>
      <c r="B38" s="199" t="s">
        <v>735</v>
      </c>
      <c r="C38" s="201">
        <v>0.27174546020805568</v>
      </c>
      <c r="D38" s="201">
        <v>0.34074192103795709</v>
      </c>
      <c r="E38" s="201">
        <v>0.22424547423259861</v>
      </c>
      <c r="F38" s="201">
        <v>8.8750291577199422E-2</v>
      </c>
      <c r="G38" s="201">
        <v>0</v>
      </c>
      <c r="H38" s="201">
        <v>7.4516852944189194E-2</v>
      </c>
      <c r="I38" s="204">
        <v>0.99999999999999989</v>
      </c>
      <c r="K38" s="205">
        <f t="shared" si="1"/>
        <v>8.8750291577199422E-2</v>
      </c>
      <c r="L38" s="187">
        <v>43153.105531319401</v>
      </c>
    </row>
    <row r="39" spans="1:12" hidden="1">
      <c r="A39" s="622">
        <v>6</v>
      </c>
      <c r="B39" s="199" t="s">
        <v>735</v>
      </c>
      <c r="C39" s="201">
        <v>0.36794135926948235</v>
      </c>
      <c r="D39" s="201">
        <v>0.31173018373562822</v>
      </c>
      <c r="E39" s="201">
        <v>7.3232661653941003E-2</v>
      </c>
      <c r="F39" s="201">
        <v>3.2108609780588292E-2</v>
      </c>
      <c r="G39" s="201">
        <v>0</v>
      </c>
      <c r="H39" s="201">
        <v>0.21498718556036014</v>
      </c>
      <c r="I39" s="204">
        <v>1</v>
      </c>
      <c r="K39" s="205">
        <f t="shared" si="1"/>
        <v>3.2108609780588292E-2</v>
      </c>
      <c r="L39" s="187">
        <v>34954.8250034964</v>
      </c>
    </row>
    <row r="40" spans="1:12" hidden="1">
      <c r="A40" s="622">
        <v>7</v>
      </c>
      <c r="B40" s="199" t="s">
        <v>735</v>
      </c>
      <c r="C40" s="201">
        <v>0.49357998544058496</v>
      </c>
      <c r="D40" s="201">
        <v>0.27608269401002911</v>
      </c>
      <c r="E40" s="201">
        <v>6.4239191661350004E-2</v>
      </c>
      <c r="F40" s="201">
        <v>2.7310472436036338E-2</v>
      </c>
      <c r="G40" s="201">
        <v>2.0299051498175917E-3</v>
      </c>
      <c r="H40" s="201">
        <v>0.13675775130218204</v>
      </c>
      <c r="I40" s="204">
        <v>1</v>
      </c>
      <c r="K40" s="205">
        <f t="shared" si="1"/>
        <v>2.9340377585853929E-2</v>
      </c>
      <c r="L40" s="187">
        <v>168128.07741813399</v>
      </c>
    </row>
    <row r="41" spans="1:12" hidden="1">
      <c r="A41" s="622">
        <v>8</v>
      </c>
      <c r="B41" s="199" t="s">
        <v>735</v>
      </c>
      <c r="C41" s="201">
        <v>0.26930889645050166</v>
      </c>
      <c r="D41" s="201">
        <v>0.48402865259070987</v>
      </c>
      <c r="E41" s="201">
        <v>9.7879686240195884E-2</v>
      </c>
      <c r="F41" s="201">
        <v>9.0458863759883046E-2</v>
      </c>
      <c r="G41" s="201">
        <v>0</v>
      </c>
      <c r="H41" s="201">
        <v>5.8323900958709644E-2</v>
      </c>
      <c r="I41" s="204">
        <v>1</v>
      </c>
      <c r="K41" s="205">
        <f t="shared" si="1"/>
        <v>9.0458863759883046E-2</v>
      </c>
      <c r="L41" s="187">
        <v>24229.8711410219</v>
      </c>
    </row>
    <row r="42" spans="1:12" hidden="1">
      <c r="A42" s="622">
        <v>9</v>
      </c>
      <c r="B42" s="199" t="s">
        <v>735</v>
      </c>
      <c r="C42" s="201">
        <v>0.26610117258756211</v>
      </c>
      <c r="D42" s="201">
        <v>0.24380818684659047</v>
      </c>
      <c r="E42" s="201">
        <v>0.23268647056622224</v>
      </c>
      <c r="F42" s="201">
        <v>8.9894983109559498E-2</v>
      </c>
      <c r="G42" s="201">
        <v>0</v>
      </c>
      <c r="H42" s="201">
        <v>0.16750918689006558</v>
      </c>
      <c r="I42" s="204">
        <v>0.99999999999999989</v>
      </c>
      <c r="K42" s="205">
        <f t="shared" si="1"/>
        <v>8.9894983109559498E-2</v>
      </c>
      <c r="L42" s="187">
        <v>11692.4715124552</v>
      </c>
    </row>
    <row r="43" spans="1:12" hidden="1">
      <c r="A43" s="622">
        <v>10</v>
      </c>
      <c r="B43" s="199" t="s">
        <v>735</v>
      </c>
      <c r="C43" s="201">
        <v>0.23333439676499831</v>
      </c>
      <c r="D43" s="201">
        <v>0.31235343489152267</v>
      </c>
      <c r="E43" s="201">
        <v>0.22634974217709103</v>
      </c>
      <c r="F43" s="201">
        <v>7.8500252068401583E-2</v>
      </c>
      <c r="G43" s="201">
        <v>0</v>
      </c>
      <c r="H43" s="201">
        <v>0.14946217409798648</v>
      </c>
      <c r="I43" s="204">
        <v>1.0000000000000002</v>
      </c>
      <c r="K43" s="205">
        <f t="shared" si="1"/>
        <v>7.8500252068401583E-2</v>
      </c>
      <c r="L43" s="187">
        <v>33664.067962068999</v>
      </c>
    </row>
    <row r="44" spans="1:12" hidden="1">
      <c r="A44" s="622">
        <v>11</v>
      </c>
      <c r="B44" s="199" t="s">
        <v>735</v>
      </c>
      <c r="C44" s="201">
        <v>0.15071273269320182</v>
      </c>
      <c r="D44" s="201">
        <v>0.31828928020856179</v>
      </c>
      <c r="E44" s="201">
        <v>0.2353499666465371</v>
      </c>
      <c r="F44" s="201">
        <v>0.12159304215498382</v>
      </c>
      <c r="G44" s="201">
        <v>0</v>
      </c>
      <c r="H44" s="201">
        <v>0.17405497829671537</v>
      </c>
      <c r="I44" s="204">
        <v>0.99999999999999978</v>
      </c>
      <c r="K44" s="205">
        <f t="shared" si="1"/>
        <v>0.12159304215498382</v>
      </c>
      <c r="L44" s="187">
        <v>35588.191164836702</v>
      </c>
    </row>
    <row r="45" spans="1:12" hidden="1">
      <c r="A45" s="622" t="s">
        <v>789</v>
      </c>
      <c r="B45" s="199" t="s">
        <v>735</v>
      </c>
      <c r="C45" s="201">
        <v>0.27133901509099106</v>
      </c>
      <c r="D45" s="201">
        <v>0.51706159038885724</v>
      </c>
      <c r="E45" s="201">
        <v>8.6642331839518361E-2</v>
      </c>
      <c r="F45" s="201">
        <v>3.9424143817435447E-2</v>
      </c>
      <c r="G45" s="201">
        <v>0</v>
      </c>
      <c r="H45" s="201">
        <v>8.5532918863197874E-2</v>
      </c>
      <c r="I45" s="204">
        <v>1</v>
      </c>
      <c r="K45" s="205">
        <f t="shared" si="1"/>
        <v>3.9424143817435447E-2</v>
      </c>
      <c r="L45" s="187">
        <v>66439.552526901098</v>
      </c>
    </row>
    <row r="46" spans="1:12" hidden="1">
      <c r="A46" s="622" t="s">
        <v>790</v>
      </c>
      <c r="B46" s="199" t="s">
        <v>735</v>
      </c>
      <c r="C46" s="201">
        <v>0.33099060756255672</v>
      </c>
      <c r="D46" s="201">
        <v>0.25225531947529478</v>
      </c>
      <c r="E46" s="201">
        <v>0.10310907180993627</v>
      </c>
      <c r="F46" s="201">
        <v>6.9768474467105709E-3</v>
      </c>
      <c r="G46" s="201">
        <v>0</v>
      </c>
      <c r="H46" s="201">
        <v>0.30666815370550166</v>
      </c>
      <c r="I46" s="204">
        <v>1</v>
      </c>
      <c r="K46" s="205">
        <f t="shared" si="1"/>
        <v>6.9768474467105709E-3</v>
      </c>
      <c r="L46" s="187">
        <v>21127.579698825699</v>
      </c>
    </row>
    <row r="47" spans="1:12" hidden="1">
      <c r="A47" s="622">
        <v>13</v>
      </c>
      <c r="B47" s="199" t="s">
        <v>735</v>
      </c>
      <c r="C47" s="201">
        <v>0.32632305309109705</v>
      </c>
      <c r="D47" s="201">
        <v>0.41747371686932522</v>
      </c>
      <c r="E47" s="201">
        <v>0.1875124167563573</v>
      </c>
      <c r="F47" s="201">
        <v>3.6549681307580462E-2</v>
      </c>
      <c r="G47" s="201">
        <v>0</v>
      </c>
      <c r="H47" s="201">
        <v>3.2141131975639961E-2</v>
      </c>
      <c r="I47" s="204">
        <v>1</v>
      </c>
      <c r="K47" s="205">
        <f t="shared" si="1"/>
        <v>3.6549681307580462E-2</v>
      </c>
      <c r="L47" s="187">
        <v>29100.3242667962</v>
      </c>
    </row>
    <row r="48" spans="1:12" hidden="1">
      <c r="A48" s="622">
        <v>16</v>
      </c>
      <c r="B48" s="199" t="s">
        <v>735</v>
      </c>
      <c r="C48" s="201">
        <v>0.74894659337207037</v>
      </c>
      <c r="D48" s="201">
        <v>0.2123471506508848</v>
      </c>
      <c r="E48" s="201">
        <v>2.4644793841334337E-2</v>
      </c>
      <c r="F48" s="201">
        <v>0</v>
      </c>
      <c r="G48" s="201">
        <v>0</v>
      </c>
      <c r="H48" s="201">
        <v>1.4061462135710375E-2</v>
      </c>
      <c r="I48" s="204">
        <v>0.99999999999999989</v>
      </c>
      <c r="K48" s="205">
        <f t="shared" si="1"/>
        <v>0</v>
      </c>
      <c r="L48" s="187">
        <v>38649.953145301697</v>
      </c>
    </row>
    <row r="49" spans="1:20" hidden="1">
      <c r="A49" s="622">
        <v>17</v>
      </c>
      <c r="B49" s="199" t="s">
        <v>735</v>
      </c>
      <c r="C49" s="201">
        <v>0.57666003242367558</v>
      </c>
      <c r="D49" s="201">
        <v>0.21316775843059591</v>
      </c>
      <c r="E49" s="201">
        <v>0</v>
      </c>
      <c r="F49" s="201">
        <v>6.9057190237551511E-2</v>
      </c>
      <c r="G49" s="201">
        <v>0</v>
      </c>
      <c r="H49" s="201">
        <v>0.14111501890817699</v>
      </c>
      <c r="I49" s="204">
        <v>1</v>
      </c>
      <c r="K49" s="205">
        <f t="shared" si="1"/>
        <v>6.9057190237551511E-2</v>
      </c>
      <c r="L49" s="187">
        <v>14637.067657575701</v>
      </c>
    </row>
    <row r="50" spans="1:20" hidden="1"/>
    <row r="51" spans="1:20" hidden="1"/>
    <row r="52" spans="1:20" hidden="1"/>
    <row r="53" spans="1:20" hidden="1">
      <c r="E53" s="6" t="s">
        <v>822</v>
      </c>
    </row>
    <row r="54" spans="1:20" hidden="1">
      <c r="A54" s="991" t="s">
        <v>2</v>
      </c>
      <c r="B54" s="993" t="s">
        <v>823</v>
      </c>
      <c r="C54" s="993"/>
      <c r="D54" s="993"/>
      <c r="E54" s="206">
        <v>61112.2</v>
      </c>
    </row>
    <row r="55" spans="1:20" hidden="1">
      <c r="A55" s="991"/>
      <c r="B55" s="993" t="s">
        <v>824</v>
      </c>
      <c r="C55" s="993"/>
      <c r="D55" s="993"/>
      <c r="E55" s="207">
        <v>297298.7</v>
      </c>
    </row>
    <row r="56" spans="1:20" hidden="1">
      <c r="A56" s="992" t="s">
        <v>3</v>
      </c>
      <c r="B56" s="111" t="s">
        <v>825</v>
      </c>
      <c r="C56" s="111"/>
      <c r="D56" s="111"/>
      <c r="E56" s="208">
        <v>771141.35002315126</v>
      </c>
    </row>
    <row r="57" spans="1:20" hidden="1">
      <c r="A57" s="992"/>
      <c r="B57" s="111" t="s">
        <v>826</v>
      </c>
      <c r="C57" s="111"/>
      <c r="D57" s="111"/>
      <c r="E57" s="207">
        <f>F57*E56</f>
        <v>304706.35579540255</v>
      </c>
      <c r="F57" s="201">
        <v>0.3951368394215336</v>
      </c>
    </row>
    <row r="58" spans="1:20" hidden="1">
      <c r="B58" s="111"/>
      <c r="C58" s="111"/>
      <c r="D58" s="111"/>
      <c r="E58" s="111"/>
    </row>
    <row r="59" spans="1:20" hidden="1">
      <c r="B59" s="111" t="s">
        <v>827</v>
      </c>
      <c r="C59" s="111"/>
      <c r="D59" s="111"/>
      <c r="E59" s="209">
        <f>E54/E57</f>
        <v>0.20056096250592903</v>
      </c>
    </row>
    <row r="60" spans="1:20" hidden="1"/>
    <row r="61" spans="1:20" ht="13.9" hidden="1" thickBot="1"/>
    <row r="62" spans="1:20" ht="18.600000000000001" hidden="1" thickBot="1">
      <c r="A62" s="269" t="s">
        <v>3</v>
      </c>
      <c r="B62" s="270"/>
      <c r="C62" s="985" t="s">
        <v>828</v>
      </c>
      <c r="D62" s="986"/>
      <c r="E62" s="986"/>
      <c r="F62" s="986"/>
      <c r="G62" s="986"/>
      <c r="H62" s="987"/>
      <c r="I62" s="985" t="s">
        <v>829</v>
      </c>
      <c r="J62" s="986"/>
      <c r="K62" s="986"/>
      <c r="L62" s="986"/>
      <c r="M62" s="986"/>
      <c r="N62" s="987"/>
      <c r="O62" s="985" t="s">
        <v>417</v>
      </c>
      <c r="P62" s="986"/>
      <c r="Q62" s="986"/>
      <c r="R62" s="986"/>
      <c r="S62" s="986"/>
      <c r="T62" s="987"/>
    </row>
    <row r="63" spans="1:20" ht="42" hidden="1" thickBot="1">
      <c r="A63" s="257" t="s">
        <v>414</v>
      </c>
      <c r="B63" s="258" t="s">
        <v>56</v>
      </c>
      <c r="C63" s="259" t="s">
        <v>443</v>
      </c>
      <c r="D63" s="260" t="s">
        <v>186</v>
      </c>
      <c r="E63" s="260" t="s">
        <v>188</v>
      </c>
      <c r="F63" s="261" t="s">
        <v>190</v>
      </c>
      <c r="G63" s="262" t="s">
        <v>444</v>
      </c>
      <c r="H63" s="263" t="s">
        <v>417</v>
      </c>
      <c r="I63" s="259" t="s">
        <v>443</v>
      </c>
      <c r="J63" s="260" t="s">
        <v>186</v>
      </c>
      <c r="K63" s="260" t="s">
        <v>188</v>
      </c>
      <c r="L63" s="261" t="s">
        <v>190</v>
      </c>
      <c r="M63" s="262" t="s">
        <v>444</v>
      </c>
      <c r="N63" s="263" t="s">
        <v>417</v>
      </c>
      <c r="O63" s="259" t="s">
        <v>443</v>
      </c>
      <c r="P63" s="260" t="s">
        <v>186</v>
      </c>
      <c r="Q63" s="260" t="s">
        <v>188</v>
      </c>
      <c r="R63" s="261" t="s">
        <v>190</v>
      </c>
      <c r="S63" s="262" t="s">
        <v>444</v>
      </c>
      <c r="T63" s="263" t="s">
        <v>417</v>
      </c>
    </row>
    <row r="64" spans="1:20" ht="13.9" hidden="1">
      <c r="A64" s="264" t="s">
        <v>419</v>
      </c>
      <c r="B64" s="265" t="s">
        <v>735</v>
      </c>
      <c r="C64" s="266">
        <v>276678.50943546015</v>
      </c>
      <c r="D64" s="267">
        <v>241828.11236100906</v>
      </c>
      <c r="E64" s="267">
        <v>95988.859947190154</v>
      </c>
      <c r="F64" s="267">
        <v>35630.299474390566</v>
      </c>
      <c r="G64" s="267">
        <v>61102.024891377885</v>
      </c>
      <c r="H64" s="268">
        <v>711227.80610942654</v>
      </c>
      <c r="I64" s="266">
        <v>29971.080187286479</v>
      </c>
      <c r="J64" s="267">
        <v>16040.623086662659</v>
      </c>
      <c r="K64" s="267">
        <v>7634.2166724879353</v>
      </c>
      <c r="L64" s="267">
        <v>1514.2893197608907</v>
      </c>
      <c r="M64" s="267">
        <v>4638.4938280552424</v>
      </c>
      <c r="N64" s="268">
        <v>59798.703094253251</v>
      </c>
      <c r="O64" s="234">
        <f>C64+I64</f>
        <v>306649.58962274663</v>
      </c>
      <c r="P64" s="234">
        <f t="shared" ref="P64:T79" si="2">D64+J64</f>
        <v>257868.73544767173</v>
      </c>
      <c r="Q64" s="234">
        <f t="shared" si="2"/>
        <v>103623.07661967809</v>
      </c>
      <c r="R64" s="234">
        <f t="shared" si="2"/>
        <v>37144.588794151459</v>
      </c>
      <c r="S64" s="234">
        <f t="shared" si="2"/>
        <v>65740.518719433123</v>
      </c>
      <c r="T64" s="234">
        <f t="shared" si="2"/>
        <v>771026.50920367974</v>
      </c>
    </row>
    <row r="65" spans="1:20" ht="13.9" hidden="1">
      <c r="A65" s="264" t="s">
        <v>421</v>
      </c>
      <c r="B65" s="265" t="s">
        <v>735</v>
      </c>
      <c r="C65" s="266">
        <v>53784.871797377891</v>
      </c>
      <c r="D65" s="267">
        <v>32999.721957680755</v>
      </c>
      <c r="E65" s="267">
        <v>10936.753366416111</v>
      </c>
      <c r="F65" s="267">
        <v>4585.3403267772846</v>
      </c>
      <c r="G65" s="267">
        <v>7468.4344883178173</v>
      </c>
      <c r="H65" s="268">
        <v>109775.12193656982</v>
      </c>
      <c r="I65" s="266">
        <v>7268.2041495836174</v>
      </c>
      <c r="J65" s="267">
        <v>694.39613092875175</v>
      </c>
      <c r="K65" s="267">
        <v>1204.1481292206493</v>
      </c>
      <c r="L65" s="267">
        <v>425.8628165440017</v>
      </c>
      <c r="M65" s="267">
        <v>186.1316306324054</v>
      </c>
      <c r="N65" s="268">
        <v>9778.7428569094209</v>
      </c>
      <c r="O65" s="234">
        <f t="shared" ref="O65:O80" si="3">C65+I65</f>
        <v>61053.075946961508</v>
      </c>
      <c r="P65" s="234">
        <f t="shared" si="2"/>
        <v>33694.11808860951</v>
      </c>
      <c r="Q65" s="234">
        <f t="shared" si="2"/>
        <v>12140.901495636761</v>
      </c>
      <c r="R65" s="234">
        <f t="shared" si="2"/>
        <v>5011.203143321286</v>
      </c>
      <c r="S65" s="234">
        <f t="shared" si="2"/>
        <v>7654.5661189502225</v>
      </c>
      <c r="T65" s="234">
        <f t="shared" si="2"/>
        <v>119553.86479347924</v>
      </c>
    </row>
    <row r="66" spans="1:20" ht="13.9" hidden="1">
      <c r="A66" s="264" t="s">
        <v>423</v>
      </c>
      <c r="B66" s="265" t="s">
        <v>735</v>
      </c>
      <c r="C66" s="266">
        <v>13352.817618318822</v>
      </c>
      <c r="D66" s="267">
        <v>9647.915966147466</v>
      </c>
      <c r="E66" s="267">
        <v>3659.6977019968758</v>
      </c>
      <c r="F66" s="267">
        <v>1714.0382895377147</v>
      </c>
      <c r="G66" s="267">
        <v>731.30135970610877</v>
      </c>
      <c r="H66" s="268">
        <v>29105.770935707005</v>
      </c>
      <c r="I66" s="266">
        <v>2187.0680015745816</v>
      </c>
      <c r="J66" s="267">
        <v>1767.358728191396</v>
      </c>
      <c r="K66" s="267">
        <v>470.93507215983493</v>
      </c>
      <c r="L66" s="267">
        <v>0</v>
      </c>
      <c r="M66" s="267">
        <v>85.855789588602278</v>
      </c>
      <c r="N66" s="268">
        <v>4511.2175915144153</v>
      </c>
      <c r="O66" s="234">
        <f t="shared" si="3"/>
        <v>15539.885619893405</v>
      </c>
      <c r="P66" s="234">
        <f t="shared" si="2"/>
        <v>11415.274694338863</v>
      </c>
      <c r="Q66" s="234">
        <f t="shared" si="2"/>
        <v>4130.6327741567111</v>
      </c>
      <c r="R66" s="234">
        <f t="shared" si="2"/>
        <v>1714.0382895377147</v>
      </c>
      <c r="S66" s="234">
        <f t="shared" si="2"/>
        <v>817.15714929471108</v>
      </c>
      <c r="T66" s="234">
        <f t="shared" si="2"/>
        <v>33616.988527221423</v>
      </c>
    </row>
    <row r="67" spans="1:20" ht="13.9" hidden="1">
      <c r="A67" s="264" t="s">
        <v>425</v>
      </c>
      <c r="B67" s="265" t="s">
        <v>735</v>
      </c>
      <c r="C67" s="266">
        <v>3193.2901698164151</v>
      </c>
      <c r="D67" s="267">
        <v>2796.6371171970573</v>
      </c>
      <c r="E67" s="267">
        <v>1418.2922608412782</v>
      </c>
      <c r="F67" s="267">
        <v>560.05876995086192</v>
      </c>
      <c r="G67" s="267">
        <v>1184.7169520952884</v>
      </c>
      <c r="H67" s="268">
        <v>9152.9952699009009</v>
      </c>
      <c r="I67" s="266">
        <v>111.09178951653708</v>
      </c>
      <c r="J67" s="267">
        <v>0</v>
      </c>
      <c r="K67" s="267">
        <v>83.918123249182642</v>
      </c>
      <c r="L67" s="267">
        <v>0</v>
      </c>
      <c r="M67" s="267">
        <v>57.15894282975929</v>
      </c>
      <c r="N67" s="268">
        <v>252.16885559547899</v>
      </c>
      <c r="O67" s="234">
        <f t="shared" si="3"/>
        <v>3304.3819593329522</v>
      </c>
      <c r="P67" s="234">
        <f t="shared" si="2"/>
        <v>2796.6371171970573</v>
      </c>
      <c r="Q67" s="234">
        <f t="shared" si="2"/>
        <v>1502.2103840904608</v>
      </c>
      <c r="R67" s="234">
        <f t="shared" si="2"/>
        <v>560.05876995086192</v>
      </c>
      <c r="S67" s="234">
        <f t="shared" si="2"/>
        <v>1241.8758949250478</v>
      </c>
      <c r="T67" s="234">
        <f t="shared" si="2"/>
        <v>9405.1641254963797</v>
      </c>
    </row>
    <row r="68" spans="1:20" ht="13.9" hidden="1">
      <c r="A68" s="264" t="s">
        <v>427</v>
      </c>
      <c r="B68" s="265" t="s">
        <v>735</v>
      </c>
      <c r="C68" s="266">
        <v>4769.6280577688785</v>
      </c>
      <c r="D68" s="267">
        <v>13172.607264945389</v>
      </c>
      <c r="E68" s="267">
        <v>17791.129909999563</v>
      </c>
      <c r="F68" s="267">
        <v>2050.2791221276198</v>
      </c>
      <c r="G68" s="267">
        <v>3043.2602561528465</v>
      </c>
      <c r="H68" s="268">
        <v>40826.904610994294</v>
      </c>
      <c r="I68" s="266">
        <v>0</v>
      </c>
      <c r="J68" s="267">
        <v>1794.6778108670169</v>
      </c>
      <c r="K68" s="267">
        <v>2167.3134849844846</v>
      </c>
      <c r="L68" s="267">
        <v>19.860599811251383</v>
      </c>
      <c r="M68" s="267">
        <v>440.56610135313628</v>
      </c>
      <c r="N68" s="268">
        <v>4422.4179970158893</v>
      </c>
      <c r="O68" s="234">
        <f t="shared" si="3"/>
        <v>4769.6280577688785</v>
      </c>
      <c r="P68" s="234">
        <f t="shared" si="2"/>
        <v>14967.285075812406</v>
      </c>
      <c r="Q68" s="234">
        <f t="shared" si="2"/>
        <v>19958.443394984046</v>
      </c>
      <c r="R68" s="234">
        <f t="shared" si="2"/>
        <v>2070.1397219388709</v>
      </c>
      <c r="S68" s="234">
        <f t="shared" si="2"/>
        <v>3483.8263575059827</v>
      </c>
      <c r="T68" s="234">
        <f t="shared" si="2"/>
        <v>45249.322608010181</v>
      </c>
    </row>
    <row r="69" spans="1:20" ht="13.9" hidden="1">
      <c r="A69" s="264" t="s">
        <v>429</v>
      </c>
      <c r="B69" s="265" t="s">
        <v>735</v>
      </c>
      <c r="C69" s="266">
        <v>11153.23918134357</v>
      </c>
      <c r="D69" s="267">
        <v>13330.880056440594</v>
      </c>
      <c r="E69" s="267">
        <v>9354.7826426589454</v>
      </c>
      <c r="F69" s="267">
        <v>3829.8506983662564</v>
      </c>
      <c r="G69" s="267">
        <v>2977.7771926170335</v>
      </c>
      <c r="H69" s="268">
        <v>40646.529771426402</v>
      </c>
      <c r="I69" s="266">
        <v>811.27776701699383</v>
      </c>
      <c r="J69" s="267">
        <v>1373.1990686526913</v>
      </c>
      <c r="K69" s="267">
        <v>322.10597182115447</v>
      </c>
      <c r="L69" s="267">
        <v>0</v>
      </c>
      <c r="M69" s="267">
        <v>0</v>
      </c>
      <c r="N69" s="268">
        <v>2506.5828074908391</v>
      </c>
      <c r="O69" s="234">
        <f t="shared" si="3"/>
        <v>11964.516948360564</v>
      </c>
      <c r="P69" s="234">
        <f t="shared" si="2"/>
        <v>14704.079125093285</v>
      </c>
      <c r="Q69" s="234">
        <f t="shared" si="2"/>
        <v>9676.8886144800999</v>
      </c>
      <c r="R69" s="234">
        <f t="shared" si="2"/>
        <v>3829.8506983662564</v>
      </c>
      <c r="S69" s="234">
        <f t="shared" si="2"/>
        <v>2977.7771926170335</v>
      </c>
      <c r="T69" s="234">
        <f t="shared" si="2"/>
        <v>43153.112578917244</v>
      </c>
    </row>
    <row r="70" spans="1:20" ht="13.9" hidden="1">
      <c r="A70" s="264" t="s">
        <v>430</v>
      </c>
      <c r="B70" s="265" t="s">
        <v>735</v>
      </c>
      <c r="C70" s="266">
        <v>11881.936651869441</v>
      </c>
      <c r="D70" s="267">
        <v>10003.91621148376</v>
      </c>
      <c r="E70" s="267">
        <v>2831.2619452424615</v>
      </c>
      <c r="F70" s="267">
        <v>1071.4579372409655</v>
      </c>
      <c r="G70" s="267">
        <v>6770.1529249104369</v>
      </c>
      <c r="H70" s="268">
        <v>32558.72567074707</v>
      </c>
      <c r="I70" s="266">
        <v>1071.7011271086483</v>
      </c>
      <c r="J70" s="267">
        <v>1012.7015797987644</v>
      </c>
      <c r="K70" s="267">
        <v>18.466682783849109</v>
      </c>
      <c r="L70" s="267">
        <v>50.893401592746116</v>
      </c>
      <c r="M70" s="267">
        <v>242.33329188609821</v>
      </c>
      <c r="N70" s="268">
        <v>2396.0960831701063</v>
      </c>
      <c r="O70" s="234">
        <f t="shared" si="3"/>
        <v>12953.637778978089</v>
      </c>
      <c r="P70" s="234">
        <f t="shared" si="2"/>
        <v>11016.617791282524</v>
      </c>
      <c r="Q70" s="234">
        <f t="shared" si="2"/>
        <v>2849.7286280263106</v>
      </c>
      <c r="R70" s="234">
        <f t="shared" si="2"/>
        <v>1122.3513388337117</v>
      </c>
      <c r="S70" s="234">
        <f t="shared" si="2"/>
        <v>7012.4862167965348</v>
      </c>
      <c r="T70" s="234">
        <f t="shared" si="2"/>
        <v>34954.821753917175</v>
      </c>
    </row>
    <row r="71" spans="1:20" ht="13.9" hidden="1">
      <c r="A71" s="264" t="s">
        <v>431</v>
      </c>
      <c r="B71" s="265" t="s">
        <v>735</v>
      </c>
      <c r="C71" s="266">
        <v>79852.487890634235</v>
      </c>
      <c r="D71" s="267">
        <v>49086.818373038222</v>
      </c>
      <c r="E71" s="267">
        <v>10354.364803989591</v>
      </c>
      <c r="F71" s="267">
        <v>5701.2154339954186</v>
      </c>
      <c r="G71" s="267">
        <v>16153.721443705144</v>
      </c>
      <c r="H71" s="268">
        <v>161148.60794536266</v>
      </c>
      <c r="I71" s="266">
        <v>3985.9000624435462</v>
      </c>
      <c r="J71" s="267">
        <v>2093.1092069247748</v>
      </c>
      <c r="K71" s="267">
        <v>446.04651823462962</v>
      </c>
      <c r="L71" s="267">
        <v>0</v>
      </c>
      <c r="M71" s="267">
        <v>403.53432468736685</v>
      </c>
      <c r="N71" s="268">
        <v>6928.5901122903178</v>
      </c>
      <c r="O71" s="234">
        <f t="shared" si="3"/>
        <v>83838.387953077778</v>
      </c>
      <c r="P71" s="234">
        <f t="shared" si="2"/>
        <v>51179.927579962998</v>
      </c>
      <c r="Q71" s="234">
        <f t="shared" si="2"/>
        <v>10800.411322224219</v>
      </c>
      <c r="R71" s="234">
        <f t="shared" si="2"/>
        <v>5701.2154339954186</v>
      </c>
      <c r="S71" s="234">
        <f t="shared" si="2"/>
        <v>16557.255768392512</v>
      </c>
      <c r="T71" s="234">
        <f t="shared" si="2"/>
        <v>168077.19805765297</v>
      </c>
    </row>
    <row r="72" spans="1:20" ht="13.9" hidden="1">
      <c r="A72" s="264" t="s">
        <v>432</v>
      </c>
      <c r="B72" s="265" t="s">
        <v>735</v>
      </c>
      <c r="C72" s="266">
        <v>6673.1279007423627</v>
      </c>
      <c r="D72" s="267">
        <v>10968.355036489755</v>
      </c>
      <c r="E72" s="267">
        <v>2306.1578987433923</v>
      </c>
      <c r="F72" s="267">
        <v>2050.2475039919823</v>
      </c>
      <c r="G72" s="267">
        <v>586.49540426124372</v>
      </c>
      <c r="H72" s="268">
        <v>22584.383744228726</v>
      </c>
      <c r="I72" s="266">
        <v>0</v>
      </c>
      <c r="J72" s="267">
        <v>877.84072674025026</v>
      </c>
      <c r="K72" s="267">
        <v>65.454111519472747</v>
      </c>
      <c r="L72" s="267">
        <v>141.55910847324157</v>
      </c>
      <c r="M72" s="267">
        <v>533.14052158190668</v>
      </c>
      <c r="N72" s="268">
        <v>1617.9944683148713</v>
      </c>
      <c r="O72" s="234">
        <f t="shared" si="3"/>
        <v>6673.1279007423627</v>
      </c>
      <c r="P72" s="234">
        <f t="shared" si="2"/>
        <v>11846.195763230005</v>
      </c>
      <c r="Q72" s="234">
        <f t="shared" si="2"/>
        <v>2371.6120102628652</v>
      </c>
      <c r="R72" s="234">
        <f t="shared" si="2"/>
        <v>2191.8066124652237</v>
      </c>
      <c r="S72" s="234">
        <f t="shared" si="2"/>
        <v>1119.6359258431503</v>
      </c>
      <c r="T72" s="234">
        <f t="shared" si="2"/>
        <v>24202.378212543597</v>
      </c>
    </row>
    <row r="73" spans="1:20" ht="13.9" hidden="1">
      <c r="A73" s="264" t="s">
        <v>433</v>
      </c>
      <c r="B73" s="265" t="s">
        <v>735</v>
      </c>
      <c r="C73" s="266">
        <v>2791.165376195032</v>
      </c>
      <c r="D73" s="267">
        <v>2824.4311314125794</v>
      </c>
      <c r="E73" s="267">
        <v>2664.3978681879853</v>
      </c>
      <c r="F73" s="267">
        <v>951.79973030611598</v>
      </c>
      <c r="G73" s="267">
        <v>1958.5963957866206</v>
      </c>
      <c r="H73" s="268">
        <v>11190.390501888336</v>
      </c>
      <c r="I73" s="266">
        <v>320.21883452073644</v>
      </c>
      <c r="J73" s="267">
        <v>26.28914779452667</v>
      </c>
      <c r="K73" s="267">
        <v>56.282998291277671</v>
      </c>
      <c r="L73" s="267">
        <v>99.294798815047102</v>
      </c>
      <c r="M73" s="267">
        <v>0</v>
      </c>
      <c r="N73" s="268">
        <v>502.08577942158792</v>
      </c>
      <c r="O73" s="234">
        <f t="shared" si="3"/>
        <v>3111.3842107157684</v>
      </c>
      <c r="P73" s="234">
        <f t="shared" si="2"/>
        <v>2850.7202792071062</v>
      </c>
      <c r="Q73" s="234">
        <f t="shared" si="2"/>
        <v>2720.6808664792629</v>
      </c>
      <c r="R73" s="234">
        <f t="shared" si="2"/>
        <v>1051.0945291211631</v>
      </c>
      <c r="S73" s="234">
        <f t="shared" si="2"/>
        <v>1958.5963957866206</v>
      </c>
      <c r="T73" s="234">
        <f t="shared" si="2"/>
        <v>11692.476281309924</v>
      </c>
    </row>
    <row r="74" spans="1:20" ht="13.9" hidden="1">
      <c r="A74" s="264" t="s">
        <v>434</v>
      </c>
      <c r="B74" s="265" t="s">
        <v>735</v>
      </c>
      <c r="C74" s="266">
        <v>7579.1686274047861</v>
      </c>
      <c r="D74" s="267">
        <v>10386.010993909897</v>
      </c>
      <c r="E74" s="267">
        <v>7421.6188471942942</v>
      </c>
      <c r="F74" s="267">
        <v>2642.637820670222</v>
      </c>
      <c r="G74" s="267">
        <v>3481.0138609830233</v>
      </c>
      <c r="H74" s="268">
        <v>31510.450150162214</v>
      </c>
      <c r="I74" s="266">
        <v>336.44067197769493</v>
      </c>
      <c r="J74" s="267">
        <v>681.73025969666105</v>
      </c>
      <c r="K74" s="267">
        <v>795.98880502661473</v>
      </c>
      <c r="L74" s="267">
        <v>0</v>
      </c>
      <c r="M74" s="267">
        <v>339.44771661452131</v>
      </c>
      <c r="N74" s="268">
        <v>2153.607453315492</v>
      </c>
      <c r="O74" s="234">
        <f t="shared" si="3"/>
        <v>7915.6092993824814</v>
      </c>
      <c r="P74" s="234">
        <f t="shared" si="2"/>
        <v>11067.741253606557</v>
      </c>
      <c r="Q74" s="234">
        <f t="shared" si="2"/>
        <v>8217.6076522209096</v>
      </c>
      <c r="R74" s="234">
        <f t="shared" si="2"/>
        <v>2642.637820670222</v>
      </c>
      <c r="S74" s="234">
        <f t="shared" si="2"/>
        <v>3820.4615775975444</v>
      </c>
      <c r="T74" s="234">
        <f t="shared" si="2"/>
        <v>33664.057603477704</v>
      </c>
    </row>
    <row r="75" spans="1:20" ht="13.9" hidden="1">
      <c r="A75" s="264" t="s">
        <v>435</v>
      </c>
      <c r="B75" s="265" t="s">
        <v>735</v>
      </c>
      <c r="C75" s="266">
        <v>5363.5935420605965</v>
      </c>
      <c r="D75" s="267">
        <v>12676.290359257242</v>
      </c>
      <c r="E75" s="267">
        <v>7990.6575004744682</v>
      </c>
      <c r="F75" s="267">
        <v>4097.6865638964509</v>
      </c>
      <c r="G75" s="267">
        <v>4780.4586498121407</v>
      </c>
      <c r="H75" s="268">
        <v>34908.686615500919</v>
      </c>
      <c r="I75" s="266">
        <v>0</v>
      </c>
      <c r="J75" s="267">
        <v>64.892409389122648</v>
      </c>
      <c r="K75" s="267">
        <v>385.02210318042978</v>
      </c>
      <c r="L75" s="267">
        <v>229.58833032386153</v>
      </c>
      <c r="M75" s="267">
        <v>0</v>
      </c>
      <c r="N75" s="268">
        <v>679.50284289341391</v>
      </c>
      <c r="O75" s="234">
        <f t="shared" si="3"/>
        <v>5363.5935420605965</v>
      </c>
      <c r="P75" s="234">
        <f t="shared" si="2"/>
        <v>12741.182768646364</v>
      </c>
      <c r="Q75" s="234">
        <f t="shared" si="2"/>
        <v>8375.6796036548985</v>
      </c>
      <c r="R75" s="234">
        <f t="shared" si="2"/>
        <v>4327.2748942203125</v>
      </c>
      <c r="S75" s="234">
        <f t="shared" si="2"/>
        <v>4780.4586498121407</v>
      </c>
      <c r="T75" s="234">
        <f t="shared" si="2"/>
        <v>35588.189458394336</v>
      </c>
    </row>
    <row r="76" spans="1:20" ht="13.9" hidden="1">
      <c r="A76" s="264" t="s">
        <v>436</v>
      </c>
      <c r="B76" s="265" t="s">
        <v>735</v>
      </c>
      <c r="C76" s="266">
        <v>15294.645648398549</v>
      </c>
      <c r="D76" s="267">
        <v>33670.859979968074</v>
      </c>
      <c r="E76" s="267">
        <v>6158.0382724230894</v>
      </c>
      <c r="F76" s="267">
        <v>2245.6254361515726</v>
      </c>
      <c r="G76" s="267">
        <v>2607.6682298140699</v>
      </c>
      <c r="H76" s="268">
        <v>59976.837566755414</v>
      </c>
      <c r="I76" s="266">
        <v>3368.2913868132864</v>
      </c>
      <c r="J76" s="267">
        <v>2076.6405880434086</v>
      </c>
      <c r="K76" s="267">
        <v>362.9596291584491</v>
      </c>
      <c r="L76" s="267">
        <v>436.23499075002923</v>
      </c>
      <c r="M76" s="267">
        <v>218.58919315904882</v>
      </c>
      <c r="N76" s="268">
        <v>6462.715787924225</v>
      </c>
      <c r="O76" s="234">
        <f t="shared" si="3"/>
        <v>18662.937035211835</v>
      </c>
      <c r="P76" s="234">
        <f t="shared" si="2"/>
        <v>35747.500568011485</v>
      </c>
      <c r="Q76" s="234">
        <f t="shared" si="2"/>
        <v>6520.9979015815388</v>
      </c>
      <c r="R76" s="234">
        <f t="shared" si="2"/>
        <v>2681.8604269016018</v>
      </c>
      <c r="S76" s="234">
        <f t="shared" si="2"/>
        <v>2826.257422973119</v>
      </c>
      <c r="T76" s="234">
        <f t="shared" si="2"/>
        <v>66439.553354679636</v>
      </c>
    </row>
    <row r="77" spans="1:20" ht="13.9" hidden="1">
      <c r="A77" s="264" t="s">
        <v>437</v>
      </c>
      <c r="B77" s="265" t="s">
        <v>735</v>
      </c>
      <c r="C77" s="266">
        <v>6659.2890374103326</v>
      </c>
      <c r="D77" s="267">
        <v>5920.1395908987997</v>
      </c>
      <c r="E77" s="267">
        <v>2160.3566863970491</v>
      </c>
      <c r="F77" s="267">
        <v>143.21594523859827</v>
      </c>
      <c r="G77" s="267">
        <v>3679.7168455295136</v>
      </c>
      <c r="H77" s="268">
        <v>18562.718105474298</v>
      </c>
      <c r="I77" s="266">
        <v>1088.5205291278387</v>
      </c>
      <c r="J77" s="267">
        <v>355.38021228671977</v>
      </c>
      <c r="K77" s="267">
        <v>18.08844593931893</v>
      </c>
      <c r="L77" s="267">
        <v>4.1884937781899065</v>
      </c>
      <c r="M77" s="267">
        <v>1098.6842075153841</v>
      </c>
      <c r="N77" s="268">
        <v>2564.861888647451</v>
      </c>
      <c r="O77" s="234">
        <f t="shared" si="3"/>
        <v>7747.8095665381716</v>
      </c>
      <c r="P77" s="234">
        <f t="shared" si="2"/>
        <v>6275.5198031855198</v>
      </c>
      <c r="Q77" s="234">
        <f t="shared" si="2"/>
        <v>2178.4451323363678</v>
      </c>
      <c r="R77" s="234">
        <f t="shared" si="2"/>
        <v>147.40443901678816</v>
      </c>
      <c r="S77" s="234">
        <f t="shared" si="2"/>
        <v>4778.4010530448977</v>
      </c>
      <c r="T77" s="234">
        <f t="shared" si="2"/>
        <v>21127.579994121748</v>
      </c>
    </row>
    <row r="78" spans="1:20" ht="13.9" hidden="1">
      <c r="A78" s="264" t="s">
        <v>438</v>
      </c>
      <c r="B78" s="265" t="s">
        <v>735</v>
      </c>
      <c r="C78" s="266">
        <v>8736.9076696496231</v>
      </c>
      <c r="D78" s="267">
        <v>10325.815710979356</v>
      </c>
      <c r="E78" s="267">
        <v>4770.6935408574054</v>
      </c>
      <c r="F78" s="267">
        <v>1039.1204391532453</v>
      </c>
      <c r="G78" s="267">
        <v>501.91351245108672</v>
      </c>
      <c r="H78" s="268">
        <v>25374.450873090707</v>
      </c>
      <c r="I78" s="266">
        <v>957.28989387577553</v>
      </c>
      <c r="J78" s="267">
        <v>1894.5277138910096</v>
      </c>
      <c r="K78" s="267">
        <v>822.47609196551105</v>
      </c>
      <c r="L78" s="267">
        <v>24.487138745404625</v>
      </c>
      <c r="M78" s="267">
        <v>27.085205142878113</v>
      </c>
      <c r="N78" s="268">
        <v>3725.8660436205791</v>
      </c>
      <c r="O78" s="234">
        <f t="shared" si="3"/>
        <v>9694.1975635253984</v>
      </c>
      <c r="P78" s="234">
        <f t="shared" si="2"/>
        <v>12220.343424870365</v>
      </c>
      <c r="Q78" s="234">
        <f t="shared" si="2"/>
        <v>5593.1696328229164</v>
      </c>
      <c r="R78" s="234">
        <f t="shared" si="2"/>
        <v>1063.6075778986499</v>
      </c>
      <c r="S78" s="234">
        <f t="shared" si="2"/>
        <v>528.99871759396478</v>
      </c>
      <c r="T78" s="234">
        <f t="shared" si="2"/>
        <v>29100.316916711286</v>
      </c>
    </row>
    <row r="79" spans="1:20" ht="13.9" hidden="1">
      <c r="A79" s="264" t="s">
        <v>439</v>
      </c>
      <c r="B79" s="265" t="s">
        <v>735</v>
      </c>
      <c r="C79" s="266">
        <v>22110.959560331481</v>
      </c>
      <c r="D79" s="267">
        <v>8207.2074231950155</v>
      </c>
      <c r="E79" s="267">
        <v>952.52012724319161</v>
      </c>
      <c r="F79" s="267">
        <v>0</v>
      </c>
      <c r="G79" s="267">
        <v>543.47485269963977</v>
      </c>
      <c r="H79" s="268">
        <v>31814.161963469323</v>
      </c>
      <c r="I79" s="266">
        <v>6835.7911818323537</v>
      </c>
      <c r="J79" s="267">
        <v>0</v>
      </c>
      <c r="K79" s="267">
        <v>0</v>
      </c>
      <c r="L79" s="267">
        <v>0</v>
      </c>
      <c r="M79" s="267">
        <v>0</v>
      </c>
      <c r="N79" s="268">
        <v>6835.7911818323537</v>
      </c>
      <c r="O79" s="234">
        <f t="shared" si="3"/>
        <v>28946.750742163837</v>
      </c>
      <c r="P79" s="234">
        <f t="shared" si="2"/>
        <v>8207.2074231950155</v>
      </c>
      <c r="Q79" s="234">
        <f t="shared" si="2"/>
        <v>952.52012724319161</v>
      </c>
      <c r="R79" s="234">
        <f t="shared" si="2"/>
        <v>0</v>
      </c>
      <c r="S79" s="234">
        <f t="shared" si="2"/>
        <v>543.47485269963977</v>
      </c>
      <c r="T79" s="234">
        <f t="shared" si="2"/>
        <v>38649.953145301675</v>
      </c>
    </row>
    <row r="80" spans="1:20" ht="13.9" hidden="1">
      <c r="A80" s="264" t="s">
        <v>440</v>
      </c>
      <c r="B80" s="265" t="s">
        <v>735</v>
      </c>
      <c r="C80" s="266">
        <v>8440.6119100051619</v>
      </c>
      <c r="D80" s="267">
        <v>2664.270108670979</v>
      </c>
      <c r="E80" s="267">
        <v>0</v>
      </c>
      <c r="F80" s="267">
        <v>1010.7947657491204</v>
      </c>
      <c r="G80" s="267">
        <v>1311.7005026617444</v>
      </c>
      <c r="H80" s="268">
        <v>13427.377287087003</v>
      </c>
      <c r="I80" s="266">
        <v>0</v>
      </c>
      <c r="J80" s="267">
        <v>455.88079389141535</v>
      </c>
      <c r="K80" s="267">
        <v>0</v>
      </c>
      <c r="L80" s="267">
        <v>0</v>
      </c>
      <c r="M80" s="267">
        <v>753.80957659732212</v>
      </c>
      <c r="N80" s="268">
        <v>1209.6903704887375</v>
      </c>
      <c r="O80" s="234">
        <f t="shared" si="3"/>
        <v>8440.6119100051619</v>
      </c>
      <c r="P80" s="234">
        <f>D80+J80</f>
        <v>3120.1509025623945</v>
      </c>
      <c r="Q80" s="234">
        <f>E80+K80</f>
        <v>0</v>
      </c>
      <c r="R80" s="234">
        <f>F80+L80</f>
        <v>1010.7947657491204</v>
      </c>
      <c r="S80" s="234">
        <f>G80+M80</f>
        <v>2065.5100792590665</v>
      </c>
      <c r="T80" s="234">
        <f>H80+N80</f>
        <v>14637.067657575741</v>
      </c>
    </row>
  </sheetData>
  <mergeCells count="17">
    <mergeCell ref="J1:AA1"/>
    <mergeCell ref="C2:G2"/>
    <mergeCell ref="L2:AA2"/>
    <mergeCell ref="K2:K3"/>
    <mergeCell ref="J2:J3"/>
    <mergeCell ref="A1:G1"/>
    <mergeCell ref="B2:B3"/>
    <mergeCell ref="A2:A3"/>
    <mergeCell ref="C62:H62"/>
    <mergeCell ref="I62:N62"/>
    <mergeCell ref="O62:T62"/>
    <mergeCell ref="J4:J9"/>
    <mergeCell ref="A54:A55"/>
    <mergeCell ref="A56:A57"/>
    <mergeCell ref="B54:D54"/>
    <mergeCell ref="B55:D55"/>
    <mergeCell ref="A4:A2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4"/>
  <dimension ref="A1:J1"/>
  <sheetViews>
    <sheetView workbookViewId="0">
      <selection sqref="A1:J1"/>
    </sheetView>
  </sheetViews>
  <sheetFormatPr defaultRowHeight="14.45"/>
  <sheetData>
    <row r="1" spans="1:10" ht="15.6" customHeight="1">
      <c r="A1" s="856" t="s">
        <v>830</v>
      </c>
      <c r="B1" s="856"/>
      <c r="C1" s="856"/>
      <c r="D1" s="856"/>
      <c r="E1" s="856"/>
      <c r="F1" s="856"/>
      <c r="G1" s="856"/>
      <c r="H1" s="856"/>
      <c r="I1" s="856"/>
      <c r="J1" s="856"/>
    </row>
  </sheetData>
  <mergeCells count="1">
    <mergeCell ref="A1:J1"/>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56367-4CCD-4E1A-A56D-C2A30125CE86}">
  <sheetPr codeName="Sheet24"/>
  <dimension ref="A1:G83"/>
  <sheetViews>
    <sheetView topLeftCell="A55" workbookViewId="0">
      <selection activeCell="D85" sqref="D85"/>
    </sheetView>
  </sheetViews>
  <sheetFormatPr defaultRowHeight="14.45"/>
  <cols>
    <col min="1" max="1" width="58.7109375" customWidth="1"/>
    <col min="2" max="2" width="30.85546875" customWidth="1"/>
    <col min="3" max="3" width="30.28515625" customWidth="1"/>
  </cols>
  <sheetData>
    <row r="1" spans="1:7">
      <c r="A1" t="s">
        <v>831</v>
      </c>
      <c r="B1" t="s">
        <v>832</v>
      </c>
      <c r="C1" t="s">
        <v>832</v>
      </c>
      <c r="D1" s="997" t="s">
        <v>833</v>
      </c>
      <c r="E1" s="997"/>
      <c r="F1" s="997"/>
      <c r="G1" s="997"/>
    </row>
    <row r="2" spans="1:7">
      <c r="A2" s="624" t="s">
        <v>834</v>
      </c>
      <c r="D2">
        <v>2013</v>
      </c>
      <c r="E2">
        <v>2016</v>
      </c>
      <c r="F2">
        <v>2019</v>
      </c>
      <c r="G2">
        <v>2025</v>
      </c>
    </row>
    <row r="3" spans="1:7">
      <c r="A3" s="624" t="s">
        <v>835</v>
      </c>
    </row>
    <row r="4" spans="1:7">
      <c r="A4" t="s">
        <v>836</v>
      </c>
    </row>
    <row r="5" spans="1:7">
      <c r="A5" t="s">
        <v>837</v>
      </c>
    </row>
    <row r="6" spans="1:7">
      <c r="A6" t="s">
        <v>838</v>
      </c>
    </row>
    <row r="7" spans="1:7">
      <c r="A7" t="s">
        <v>839</v>
      </c>
    </row>
    <row r="8" spans="1:7">
      <c r="A8" t="s">
        <v>840</v>
      </c>
    </row>
    <row r="9" spans="1:7">
      <c r="A9" t="s">
        <v>841</v>
      </c>
    </row>
    <row r="10" spans="1:7">
      <c r="A10" t="s">
        <v>842</v>
      </c>
    </row>
    <row r="11" spans="1:7">
      <c r="A11" t="s">
        <v>843</v>
      </c>
    </row>
    <row r="12" spans="1:7">
      <c r="A12" t="s">
        <v>844</v>
      </c>
    </row>
    <row r="13" spans="1:7">
      <c r="A13" t="s">
        <v>845</v>
      </c>
    </row>
    <row r="14" spans="1:7">
      <c r="A14" t="s">
        <v>846</v>
      </c>
    </row>
    <row r="15" spans="1:7">
      <c r="A15" t="s">
        <v>847</v>
      </c>
    </row>
    <row r="16" spans="1:7">
      <c r="A16" t="s">
        <v>848</v>
      </c>
    </row>
    <row r="17" spans="1:1">
      <c r="A17" t="s">
        <v>117</v>
      </c>
    </row>
    <row r="18" spans="1:1">
      <c r="A18" t="s">
        <v>849</v>
      </c>
    </row>
    <row r="19" spans="1:1">
      <c r="A19" t="s">
        <v>132</v>
      </c>
    </row>
    <row r="20" spans="1:1">
      <c r="A20" t="s">
        <v>850</v>
      </c>
    </row>
    <row r="21" spans="1:1">
      <c r="A21" t="s">
        <v>851</v>
      </c>
    </row>
    <row r="22" spans="1:1">
      <c r="A22" t="s">
        <v>852</v>
      </c>
    </row>
    <row r="23" spans="1:1">
      <c r="A23" t="s">
        <v>125</v>
      </c>
    </row>
    <row r="24" spans="1:1">
      <c r="A24" t="s">
        <v>853</v>
      </c>
    </row>
    <row r="25" spans="1:1">
      <c r="A25" t="s">
        <v>854</v>
      </c>
    </row>
    <row r="26" spans="1:1">
      <c r="A26" t="s">
        <v>855</v>
      </c>
    </row>
    <row r="27" spans="1:1">
      <c r="A27" t="s">
        <v>856</v>
      </c>
    </row>
    <row r="28" spans="1:1">
      <c r="A28" t="s">
        <v>857</v>
      </c>
    </row>
    <row r="29" spans="1:1">
      <c r="A29" t="s">
        <v>858</v>
      </c>
    </row>
    <row r="30" spans="1:1">
      <c r="A30" t="s">
        <v>859</v>
      </c>
    </row>
    <row r="31" spans="1:1">
      <c r="A31" t="s">
        <v>860</v>
      </c>
    </row>
    <row r="32" spans="1:1">
      <c r="A32" t="s">
        <v>861</v>
      </c>
    </row>
    <row r="33" spans="1:1">
      <c r="A33" t="s">
        <v>862</v>
      </c>
    </row>
    <row r="34" spans="1:1">
      <c r="A34" t="s">
        <v>863</v>
      </c>
    </row>
    <row r="35" spans="1:1">
      <c r="A35" t="s">
        <v>864</v>
      </c>
    </row>
    <row r="36" spans="1:1">
      <c r="A36" t="s">
        <v>865</v>
      </c>
    </row>
    <row r="37" spans="1:1">
      <c r="A37" t="s">
        <v>866</v>
      </c>
    </row>
    <row r="38" spans="1:1">
      <c r="A38" t="s">
        <v>867</v>
      </c>
    </row>
    <row r="39" spans="1:1">
      <c r="A39" t="s">
        <v>868</v>
      </c>
    </row>
    <row r="40" spans="1:1">
      <c r="A40" t="s">
        <v>869</v>
      </c>
    </row>
    <row r="41" spans="1:1">
      <c r="A41" t="s">
        <v>870</v>
      </c>
    </row>
    <row r="42" spans="1:1">
      <c r="A42" t="s">
        <v>120</v>
      </c>
    </row>
    <row r="43" spans="1:1">
      <c r="A43" t="s">
        <v>871</v>
      </c>
    </row>
    <row r="44" spans="1:1">
      <c r="A44" t="s">
        <v>130</v>
      </c>
    </row>
    <row r="45" spans="1:1">
      <c r="A45" t="s">
        <v>872</v>
      </c>
    </row>
    <row r="46" spans="1:1">
      <c r="A46" t="s">
        <v>873</v>
      </c>
    </row>
    <row r="47" spans="1:1">
      <c r="A47" t="s">
        <v>874</v>
      </c>
    </row>
    <row r="48" spans="1:1">
      <c r="A48" t="s">
        <v>875</v>
      </c>
    </row>
    <row r="49" spans="1:1">
      <c r="A49" t="s">
        <v>876</v>
      </c>
    </row>
    <row r="50" spans="1:1">
      <c r="A50" t="s">
        <v>108</v>
      </c>
    </row>
    <row r="51" spans="1:1">
      <c r="A51" t="s">
        <v>877</v>
      </c>
    </row>
    <row r="52" spans="1:1">
      <c r="A52" t="s">
        <v>878</v>
      </c>
    </row>
    <row r="53" spans="1:1">
      <c r="A53" t="s">
        <v>879</v>
      </c>
    </row>
    <row r="54" spans="1:1">
      <c r="A54" t="s">
        <v>880</v>
      </c>
    </row>
    <row r="55" spans="1:1">
      <c r="A55" t="s">
        <v>881</v>
      </c>
    </row>
    <row r="56" spans="1:1">
      <c r="A56" t="s">
        <v>882</v>
      </c>
    </row>
    <row r="57" spans="1:1">
      <c r="A57" t="s">
        <v>883</v>
      </c>
    </row>
    <row r="58" spans="1:1">
      <c r="A58" t="s">
        <v>884</v>
      </c>
    </row>
    <row r="59" spans="1:1">
      <c r="A59" t="s">
        <v>128</v>
      </c>
    </row>
    <row r="60" spans="1:1">
      <c r="A60" t="s">
        <v>885</v>
      </c>
    </row>
    <row r="61" spans="1:1">
      <c r="A61" t="s">
        <v>886</v>
      </c>
    </row>
    <row r="62" spans="1:1">
      <c r="A62" t="s">
        <v>887</v>
      </c>
    </row>
    <row r="63" spans="1:1">
      <c r="A63" t="s">
        <v>888</v>
      </c>
    </row>
    <row r="64" spans="1:1">
      <c r="A64" t="s">
        <v>123</v>
      </c>
    </row>
    <row r="65" spans="1:1">
      <c r="A65" t="s">
        <v>889</v>
      </c>
    </row>
    <row r="66" spans="1:1">
      <c r="A66" t="s">
        <v>890</v>
      </c>
    </row>
    <row r="67" spans="1:1">
      <c r="A67" t="s">
        <v>891</v>
      </c>
    </row>
    <row r="68" spans="1:1">
      <c r="A68" t="s">
        <v>892</v>
      </c>
    </row>
    <row r="69" spans="1:1">
      <c r="A69" t="s">
        <v>893</v>
      </c>
    </row>
    <row r="70" spans="1:1">
      <c r="A70" t="s">
        <v>894</v>
      </c>
    </row>
    <row r="71" spans="1:1">
      <c r="A71" t="s">
        <v>895</v>
      </c>
    </row>
    <row r="72" spans="1:1">
      <c r="A72" t="s">
        <v>896</v>
      </c>
    </row>
    <row r="73" spans="1:1">
      <c r="A73" t="s">
        <v>897</v>
      </c>
    </row>
    <row r="74" spans="1:1">
      <c r="A74" t="s">
        <v>898</v>
      </c>
    </row>
    <row r="75" spans="1:1">
      <c r="A75" t="s">
        <v>899</v>
      </c>
    </row>
    <row r="76" spans="1:1">
      <c r="A76" t="s">
        <v>900</v>
      </c>
    </row>
    <row r="77" spans="1:1">
      <c r="A77" t="s">
        <v>136</v>
      </c>
    </row>
    <row r="78" spans="1:1">
      <c r="A78" t="s">
        <v>901</v>
      </c>
    </row>
    <row r="79" spans="1:1">
      <c r="A79" t="s">
        <v>902</v>
      </c>
    </row>
    <row r="80" spans="1:1">
      <c r="A80" t="s">
        <v>903</v>
      </c>
    </row>
    <row r="81" spans="1:1">
      <c r="A81" t="s">
        <v>904</v>
      </c>
    </row>
    <row r="82" spans="1:1">
      <c r="A82" t="s">
        <v>905</v>
      </c>
    </row>
    <row r="83" spans="1:1">
      <c r="A83" t="s">
        <v>906</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CFD1B72A5F084B90FB7B73F4613BEC" ma:contentTypeVersion="6" ma:contentTypeDescription="Create a new document." ma:contentTypeScope="" ma:versionID="2558ad62346f4e4f9cd41e24fac43610">
  <xsd:schema xmlns:xsd="http://www.w3.org/2001/XMLSchema" xmlns:xs="http://www.w3.org/2001/XMLSchema" xmlns:p="http://schemas.microsoft.com/office/2006/metadata/properties" xmlns:ns2="f3a47e91-274c-46a0-ba98-7b939b571e5b" xmlns:ns3="ea1b199f-450f-4d51-8ad4-88f218385cd9" targetNamespace="http://schemas.microsoft.com/office/2006/metadata/properties" ma:root="true" ma:fieldsID="7070cde7c6343b0e2bf1de7a4c91f34e" ns2:_="" ns3:_="">
    <xsd:import namespace="f3a47e91-274c-46a0-ba98-7b939b571e5b"/>
    <xsd:import namespace="ea1b199f-450f-4d51-8ad4-88f218385cd9"/>
    <xsd:element name="properties">
      <xsd:complexType>
        <xsd:sequence>
          <xsd:element name="documentManagement">
            <xsd:complexType>
              <xsd:all>
                <xsd:element ref="ns2:MediaServiceSearchProperties" minOccurs="0"/>
                <xsd:element ref="ns2:MediaServiceObjectDetectorVersions" minOccurs="0"/>
                <xsd:element ref="ns3:SharedWithUsers" minOccurs="0"/>
                <xsd:element ref="ns3:SharedWithDetails" minOccurs="0"/>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a47e91-274c-46a0-ba98-7b939b571e5b" elementFormDefault="qualified">
    <xsd:import namespace="http://schemas.microsoft.com/office/2006/documentManagement/types"/>
    <xsd:import namespace="http://schemas.microsoft.com/office/infopath/2007/PartnerControls"/>
    <xsd:element name="MediaServiceSearchProperties" ma:index="8" nillable="true" ma:displayName="MediaServiceSearchProperties" ma:hidden="true" ma:internalName="MediaServiceSearchProperties" ma:readOnly="true">
      <xsd:simpleType>
        <xsd:restriction base="dms:Note"/>
      </xsd:simpleType>
    </xsd:element>
    <xsd:element name="MediaServiceObjectDetectorVersions" ma:index="9" nillable="true" ma:displayName="MediaServiceObjectDetectorVersions" ma:hidden="true" ma:indexed="true" ma:internalName="MediaServiceObjectDetectorVersions" ma:readOnly="true">
      <xsd:simpleType>
        <xsd:restriction base="dms:Text"/>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1b199f-450f-4d51-8ad4-88f218385cd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EE8B163-1125-4FC0-9E43-8080EC0B62F9}"/>
</file>

<file path=customXml/itemProps2.xml><?xml version="1.0" encoding="utf-8"?>
<ds:datastoreItem xmlns:ds="http://schemas.openxmlformats.org/officeDocument/2006/customXml" ds:itemID="{20816333-575B-4274-8A3E-18699B071E90}"/>
</file>

<file path=customXml/itemProps3.xml><?xml version="1.0" encoding="utf-8"?>
<ds:datastoreItem xmlns:ds="http://schemas.openxmlformats.org/officeDocument/2006/customXml" ds:itemID="{7921AF10-0BF8-441A-BDBA-64AF3E09D45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cp:lastModifiedBy>
  <cp:revision/>
  <dcterms:created xsi:type="dcterms:W3CDTF">2024-06-21T17:19:36Z</dcterms:created>
  <dcterms:modified xsi:type="dcterms:W3CDTF">2025-12-24T09:34:13Z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0x01010003CFD1B72A5F084B90FB7B73F4613BEC</vt:lpwstr>
  </property>
  <property fmtid="{D5CDD505-2E9C-101B-9397-08002B2CF9AE}" pid="17" name="MediaServiceImageTags">
    <vt:lpwstr/>
  </property>
  <property fmtid="{D5CDD505-2E9C-101B-9397-08002B2CF9AE}" pid="18" name="MSIP_Label_aa7be39c-9e9f-446a-a199-286f73f56a3f_Tag">
    <vt:lpwstr>10, 3, 0, 2</vt:lpwstr>
  </property>
</Properties>
</file>