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696" documentId="8_{E1F03C96-77E7-42D2-BFB1-38435937F683}" xr6:coauthVersionLast="47" xr6:coauthVersionMax="47" xr10:uidLastSave="{F4C6B33E-3011-4376-B164-352A1B4BD359}"/>
  <bookViews>
    <workbookView xWindow="28680" yWindow="-120" windowWidth="29040" windowHeight="15720" tabRatio="704" activeTab="1" xr2:uid="{EAC23EE3-0CA0-4FF8-990D-9B21A59FA3E0}"/>
  </bookViews>
  <sheets>
    <sheet name="Notes" sheetId="23" r:id="rId1"/>
    <sheet name="Prototype" sheetId="2" r:id="rId2"/>
    <sheet name="Zones" sheetId="13" r:id="rId3"/>
    <sheet name="Envelope" sheetId="1" r:id="rId4"/>
    <sheet name="Thermostat" sheetId="31" r:id="rId5"/>
    <sheet name="HVAC System" sheetId="14" r:id="rId6"/>
    <sheet name="Ventilation" sheetId="18" r:id="rId7"/>
    <sheet name="Water Heater" sheetId="7" r:id="rId8"/>
    <sheet name="Interior Lights" sheetId="25" r:id="rId9"/>
    <sheet name="Ext Lighting" sheetId="9" r:id="rId10"/>
    <sheet name="Equipment" sheetId="29" r:id="rId11"/>
    <sheet name="Schedules" sheetId="28" r:id="rId12"/>
    <sheet name="Energy Usage" sheetId="20" r:id="rId13"/>
    <sheet name="Weights" sheetId="21" r:id="rId14"/>
    <sheet name="PV" sheetId="27" state="hidden" r:id="rId15"/>
    <sheet name="EV Charger" sheetId="22" state="hidden" r:id="rId16"/>
    <sheet name="Data" sheetId="32" state="hidden" r:id="rId17"/>
  </sheets>
  <definedNames>
    <definedName name="_xlnm._FilterDatabase" localSheetId="16" hidden="1">Data!$D$1:$G$1</definedName>
    <definedName name="_xlnm._FilterDatabase" localSheetId="6" hidden="1">Ventilation!$A$2:$N$120</definedName>
    <definedName name="_xlnm._FilterDatabase" localSheetId="2" hidden="1">Zones!$A$2:$K$121</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0" l="1"/>
  <c r="K3" i="20"/>
  <c r="L3" i="20"/>
  <c r="U4" i="20"/>
  <c r="V4" i="20"/>
  <c r="U5" i="20"/>
  <c r="V5" i="20"/>
  <c r="U6" i="20"/>
  <c r="V6" i="20"/>
  <c r="U7" i="20"/>
  <c r="V7" i="20"/>
  <c r="U8" i="20"/>
  <c r="V8" i="20"/>
  <c r="U9" i="20"/>
  <c r="V9" i="20"/>
  <c r="U10" i="20"/>
  <c r="V10" i="20"/>
  <c r="U11" i="20"/>
  <c r="V11" i="20"/>
  <c r="U12" i="20"/>
  <c r="V12" i="20"/>
  <c r="U13" i="20"/>
  <c r="V13" i="20"/>
  <c r="U14" i="20"/>
  <c r="V14" i="20"/>
  <c r="U15" i="20"/>
  <c r="V15" i="20"/>
  <c r="U16" i="20"/>
  <c r="V16" i="20"/>
  <c r="U17" i="20"/>
  <c r="V17" i="20"/>
  <c r="U18" i="20"/>
  <c r="V18" i="20"/>
  <c r="T3" i="20"/>
  <c r="V3" i="20" s="1"/>
  <c r="J4" i="20"/>
  <c r="K4" i="20"/>
  <c r="J5" i="20"/>
  <c r="K5" i="20"/>
  <c r="J6" i="20"/>
  <c r="K6" i="20"/>
  <c r="J7" i="20"/>
  <c r="K7" i="20"/>
  <c r="J8" i="20"/>
  <c r="K8" i="20"/>
  <c r="J9" i="20"/>
  <c r="K9" i="20"/>
  <c r="J10" i="20"/>
  <c r="K10" i="20"/>
  <c r="L10" i="20" s="1"/>
  <c r="J11" i="20"/>
  <c r="K11" i="20"/>
  <c r="J12" i="20"/>
  <c r="L12" i="20" s="1"/>
  <c r="K12" i="20"/>
  <c r="J13" i="20"/>
  <c r="L13" i="20" s="1"/>
  <c r="K13" i="20"/>
  <c r="J14" i="20"/>
  <c r="L14" i="20" s="1"/>
  <c r="K14" i="20"/>
  <c r="J15" i="20"/>
  <c r="K15" i="20"/>
  <c r="J16" i="20"/>
  <c r="K16" i="20"/>
  <c r="J17" i="20"/>
  <c r="K17" i="20"/>
  <c r="J18" i="20"/>
  <c r="K18" i="20"/>
  <c r="L4" i="20"/>
  <c r="L6" i="20"/>
  <c r="L7" i="20"/>
  <c r="L8" i="20"/>
  <c r="L9" i="20"/>
  <c r="L11" i="20"/>
  <c r="L15" i="20"/>
  <c r="O3" i="20"/>
  <c r="O1" i="20"/>
  <c r="T18" i="20"/>
  <c r="T17" i="20"/>
  <c r="T16" i="20"/>
  <c r="T15" i="20"/>
  <c r="T14" i="20"/>
  <c r="T13" i="20"/>
  <c r="T12" i="20"/>
  <c r="T11" i="20"/>
  <c r="T10" i="20"/>
  <c r="T9" i="20"/>
  <c r="T8" i="20"/>
  <c r="T7" i="20"/>
  <c r="T6" i="20"/>
  <c r="T5" i="20"/>
  <c r="T4" i="20"/>
  <c r="U3" i="20" l="1"/>
  <c r="L18" i="20"/>
  <c r="L5" i="20"/>
  <c r="L17" i="20"/>
  <c r="L16" i="20"/>
  <c r="W13" i="20"/>
  <c r="W15" i="20"/>
  <c r="W3" i="20"/>
  <c r="W14" i="20"/>
  <c r="W4" i="20"/>
  <c r="W10" i="20"/>
  <c r="W5" i="20"/>
  <c r="W6" i="20"/>
  <c r="W7" i="20"/>
  <c r="W18" i="20"/>
  <c r="W8" i="20"/>
  <c r="W16" i="20"/>
  <c r="W17" i="20"/>
  <c r="W9" i="20"/>
  <c r="W11" i="20"/>
  <c r="W12" i="20"/>
  <c r="G22" i="28" l="1"/>
  <c r="H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F23" i="28"/>
  <c r="F24" i="28"/>
  <c r="F22" i="28"/>
  <c r="F135" i="7"/>
  <c r="L26" i="18"/>
  <c r="G151" i="28" l="1"/>
  <c r="H151" i="28"/>
  <c r="I151" i="28"/>
  <c r="J151" i="28"/>
  <c r="K151" i="28"/>
  <c r="L151" i="28"/>
  <c r="M151" i="28"/>
  <c r="N151" i="28"/>
  <c r="O151" i="28"/>
  <c r="P151" i="28"/>
  <c r="Q151" i="28"/>
  <c r="R151" i="28"/>
  <c r="S151" i="28"/>
  <c r="T151" i="28"/>
  <c r="U151" i="28"/>
  <c r="V151" i="28"/>
  <c r="W151" i="28"/>
  <c r="X151" i="28"/>
  <c r="Y151" i="28"/>
  <c r="Z151" i="28"/>
  <c r="AA151" i="28"/>
  <c r="AB151" i="28"/>
  <c r="AC151" i="28"/>
  <c r="G152" i="28"/>
  <c r="H152" i="28"/>
  <c r="I152" i="28"/>
  <c r="J152" i="28"/>
  <c r="K152" i="28"/>
  <c r="L152" i="28"/>
  <c r="M152" i="28"/>
  <c r="N152" i="28"/>
  <c r="O152" i="28"/>
  <c r="P152" i="28"/>
  <c r="Q152" i="28"/>
  <c r="R152" i="28"/>
  <c r="S152" i="28"/>
  <c r="T152" i="28"/>
  <c r="U152" i="28"/>
  <c r="V152" i="28"/>
  <c r="W152" i="28"/>
  <c r="X152" i="28"/>
  <c r="Y152" i="28"/>
  <c r="Z152" i="28"/>
  <c r="AA152" i="28"/>
  <c r="AB152" i="28"/>
  <c r="AC152" i="28"/>
  <c r="G153" i="28"/>
  <c r="H153" i="28"/>
  <c r="I153" i="28"/>
  <c r="J153" i="28"/>
  <c r="K153" i="28"/>
  <c r="L153" i="28"/>
  <c r="M153" i="28"/>
  <c r="N153" i="28"/>
  <c r="O153" i="28"/>
  <c r="P153" i="28"/>
  <c r="Q153" i="28"/>
  <c r="R153" i="28"/>
  <c r="S153" i="28"/>
  <c r="T153" i="28"/>
  <c r="U153" i="28"/>
  <c r="V153" i="28"/>
  <c r="W153" i="28"/>
  <c r="X153" i="28"/>
  <c r="Y153" i="28"/>
  <c r="Z153" i="28"/>
  <c r="AA153" i="28"/>
  <c r="AB153" i="28"/>
  <c r="AC153" i="28"/>
  <c r="G154" i="28"/>
  <c r="H154" i="28"/>
  <c r="I154" i="28"/>
  <c r="J154" i="28"/>
  <c r="K154" i="28"/>
  <c r="L154" i="28"/>
  <c r="M154" i="28"/>
  <c r="N154" i="28"/>
  <c r="O154" i="28"/>
  <c r="P154" i="28"/>
  <c r="Q154" i="28"/>
  <c r="R154" i="28"/>
  <c r="S154" i="28"/>
  <c r="T154" i="28"/>
  <c r="U154" i="28"/>
  <c r="V154" i="28"/>
  <c r="W154" i="28"/>
  <c r="X154" i="28"/>
  <c r="Y154" i="28"/>
  <c r="Z154" i="28"/>
  <c r="AA154" i="28"/>
  <c r="AB154" i="28"/>
  <c r="AC154" i="28"/>
  <c r="G155" i="28"/>
  <c r="H155" i="28"/>
  <c r="I155" i="28"/>
  <c r="J155" i="28"/>
  <c r="K155" i="28"/>
  <c r="L155" i="28"/>
  <c r="M155" i="28"/>
  <c r="N155" i="28"/>
  <c r="O155" i="28"/>
  <c r="P155" i="28"/>
  <c r="Q155" i="28"/>
  <c r="R155" i="28"/>
  <c r="S155" i="28"/>
  <c r="T155" i="28"/>
  <c r="U155" i="28"/>
  <c r="V155" i="28"/>
  <c r="W155" i="28"/>
  <c r="X155" i="28"/>
  <c r="Y155" i="28"/>
  <c r="Z155" i="28"/>
  <c r="AA155" i="28"/>
  <c r="AB155" i="28"/>
  <c r="AC155" i="28"/>
  <c r="G156" i="28"/>
  <c r="H156" i="28"/>
  <c r="I156" i="28"/>
  <c r="J156" i="28"/>
  <c r="K156" i="28"/>
  <c r="L156" i="28"/>
  <c r="M156" i="28"/>
  <c r="N156" i="28"/>
  <c r="O156" i="28"/>
  <c r="P156" i="28"/>
  <c r="Q156" i="28"/>
  <c r="R156" i="28"/>
  <c r="S156" i="28"/>
  <c r="T156" i="28"/>
  <c r="U156" i="28"/>
  <c r="V156" i="28"/>
  <c r="W156" i="28"/>
  <c r="X156" i="28"/>
  <c r="Y156" i="28"/>
  <c r="Z156" i="28"/>
  <c r="AA156" i="28"/>
  <c r="AB156" i="28"/>
  <c r="AC156" i="28"/>
  <c r="F155" i="28"/>
  <c r="F156" i="28"/>
  <c r="F154" i="28"/>
  <c r="F152" i="28"/>
  <c r="F153" i="28"/>
  <c r="F151" i="28"/>
  <c r="G114" i="28"/>
  <c r="H114" i="28"/>
  <c r="I114" i="28"/>
  <c r="J114" i="28"/>
  <c r="K114" i="28"/>
  <c r="L114" i="28"/>
  <c r="M114" i="28"/>
  <c r="N114" i="28"/>
  <c r="O114" i="28"/>
  <c r="P114" i="28"/>
  <c r="Q114" i="28"/>
  <c r="R114" i="28"/>
  <c r="S114" i="28"/>
  <c r="T114" i="28"/>
  <c r="U114" i="28"/>
  <c r="V114" i="28"/>
  <c r="W114" i="28"/>
  <c r="X114" i="28"/>
  <c r="Y114" i="28"/>
  <c r="Z114" i="28"/>
  <c r="AA114" i="28"/>
  <c r="AB114" i="28"/>
  <c r="AC114" i="28"/>
  <c r="G115" i="28"/>
  <c r="H115" i="28"/>
  <c r="I115" i="28"/>
  <c r="J115" i="28"/>
  <c r="K115" i="28"/>
  <c r="L115" i="28"/>
  <c r="M115" i="28"/>
  <c r="N115" i="28"/>
  <c r="O115" i="28"/>
  <c r="P115" i="28"/>
  <c r="Q115" i="28"/>
  <c r="R115" i="28"/>
  <c r="S115" i="28"/>
  <c r="T115" i="28"/>
  <c r="U115" i="28"/>
  <c r="V115" i="28"/>
  <c r="W115" i="28"/>
  <c r="X115" i="28"/>
  <c r="Y115" i="28"/>
  <c r="Z115" i="28"/>
  <c r="AA115" i="28"/>
  <c r="AB115" i="28"/>
  <c r="AC115" i="28"/>
  <c r="G116" i="28"/>
  <c r="H116" i="28"/>
  <c r="I116" i="28"/>
  <c r="J116" i="28"/>
  <c r="K116" i="28"/>
  <c r="L116" i="28"/>
  <c r="M116" i="28"/>
  <c r="N116" i="28"/>
  <c r="O116" i="28"/>
  <c r="P116" i="28"/>
  <c r="Q116" i="28"/>
  <c r="R116" i="28"/>
  <c r="S116" i="28"/>
  <c r="T116" i="28"/>
  <c r="U116" i="28"/>
  <c r="V116" i="28"/>
  <c r="W116" i="28"/>
  <c r="X116" i="28"/>
  <c r="Y116" i="28"/>
  <c r="Z116" i="28"/>
  <c r="AA116" i="28"/>
  <c r="AB116" i="28"/>
  <c r="AC116" i="28"/>
  <c r="G117" i="28"/>
  <c r="H117" i="28"/>
  <c r="I117" i="28"/>
  <c r="J117" i="28"/>
  <c r="K117" i="28"/>
  <c r="L117" i="28"/>
  <c r="M117" i="28"/>
  <c r="N117" i="28"/>
  <c r="O117" i="28"/>
  <c r="P117" i="28"/>
  <c r="Q117" i="28"/>
  <c r="R117" i="28"/>
  <c r="S117" i="28"/>
  <c r="T117" i="28"/>
  <c r="U117" i="28"/>
  <c r="V117" i="28"/>
  <c r="W117" i="28"/>
  <c r="X117" i="28"/>
  <c r="Y117" i="28"/>
  <c r="Z117" i="28"/>
  <c r="AA117" i="28"/>
  <c r="AB117" i="28"/>
  <c r="AC117" i="28"/>
  <c r="G118" i="28"/>
  <c r="H118" i="28"/>
  <c r="I118" i="28"/>
  <c r="J118" i="28"/>
  <c r="K118" i="28"/>
  <c r="L118" i="28"/>
  <c r="M118" i="28"/>
  <c r="N118" i="28"/>
  <c r="O118" i="28"/>
  <c r="P118" i="28"/>
  <c r="Q118" i="28"/>
  <c r="R118" i="28"/>
  <c r="S118" i="28"/>
  <c r="T118" i="28"/>
  <c r="U118" i="28"/>
  <c r="V118" i="28"/>
  <c r="W118" i="28"/>
  <c r="X118" i="28"/>
  <c r="Y118" i="28"/>
  <c r="Z118" i="28"/>
  <c r="AA118" i="28"/>
  <c r="AB118" i="28"/>
  <c r="AC118" i="28"/>
  <c r="G119" i="28"/>
  <c r="H119" i="28"/>
  <c r="I119" i="28"/>
  <c r="J119" i="28"/>
  <c r="K119" i="28"/>
  <c r="L119" i="28"/>
  <c r="M119" i="28"/>
  <c r="N119" i="28"/>
  <c r="O119" i="28"/>
  <c r="P119" i="28"/>
  <c r="Q119" i="28"/>
  <c r="R119" i="28"/>
  <c r="S119" i="28"/>
  <c r="T119" i="28"/>
  <c r="U119" i="28"/>
  <c r="V119" i="28"/>
  <c r="W119" i="28"/>
  <c r="X119" i="28"/>
  <c r="Y119" i="28"/>
  <c r="Z119" i="28"/>
  <c r="AA119" i="28"/>
  <c r="AB119" i="28"/>
  <c r="AC119" i="28"/>
  <c r="F118" i="28"/>
  <c r="F119" i="28"/>
  <c r="F115" i="28"/>
  <c r="F116" i="28"/>
  <c r="F117" i="28"/>
  <c r="F114" i="28"/>
  <c r="B154" i="28"/>
  <c r="A154" i="28"/>
  <c r="B151" i="28"/>
  <c r="A151" i="28"/>
  <c r="AB126" i="28"/>
  <c r="AA126" i="28"/>
  <c r="Z126" i="28"/>
  <c r="Y126" i="28"/>
  <c r="X126" i="28"/>
  <c r="W126" i="28"/>
  <c r="V126" i="28"/>
  <c r="U126" i="28"/>
  <c r="T126" i="28"/>
  <c r="S126" i="28"/>
  <c r="R126" i="28"/>
  <c r="Q126" i="28"/>
  <c r="P126" i="28"/>
  <c r="O126" i="28"/>
  <c r="N126" i="28"/>
  <c r="M126" i="28"/>
  <c r="AB125" i="28"/>
  <c r="AA125" i="28"/>
  <c r="Z125" i="28"/>
  <c r="Y125" i="28"/>
  <c r="X125" i="28"/>
  <c r="W125" i="28"/>
  <c r="V125" i="28"/>
  <c r="U125" i="28"/>
  <c r="T125" i="28"/>
  <c r="S125" i="28"/>
  <c r="R125" i="28"/>
  <c r="Q125" i="28"/>
  <c r="P125" i="28"/>
  <c r="O125" i="28"/>
  <c r="N125" i="28"/>
  <c r="M125" i="28"/>
  <c r="K125" i="28"/>
  <c r="F125" i="28"/>
  <c r="AB124" i="28"/>
  <c r="AA124" i="28"/>
  <c r="Z124" i="28"/>
  <c r="Y124" i="28"/>
  <c r="X124" i="28"/>
  <c r="W124" i="28"/>
  <c r="V124" i="28"/>
  <c r="U124" i="28"/>
  <c r="T124" i="28"/>
  <c r="S124" i="28"/>
  <c r="R124" i="28"/>
  <c r="Q124" i="28"/>
  <c r="P124" i="28"/>
  <c r="O124" i="28"/>
  <c r="N124" i="28"/>
  <c r="M124" i="28"/>
  <c r="B117" i="28"/>
  <c r="A117" i="28"/>
  <c r="B114" i="28"/>
  <c r="A114" i="28"/>
  <c r="A111" i="28"/>
  <c r="A108" i="28"/>
  <c r="A105" i="28"/>
  <c r="A102" i="28"/>
  <c r="AB101" i="28"/>
  <c r="AA101" i="28"/>
  <c r="Z101" i="28"/>
  <c r="Y101" i="28"/>
  <c r="X101" i="28"/>
  <c r="W101" i="28"/>
  <c r="V101" i="28"/>
  <c r="U101" i="28"/>
  <c r="T101" i="28"/>
  <c r="S101" i="28"/>
  <c r="R101" i="28"/>
  <c r="Q101" i="28"/>
  <c r="P101" i="28"/>
  <c r="O101" i="28"/>
  <c r="N101" i="28"/>
  <c r="M101" i="28"/>
  <c r="AB100" i="28"/>
  <c r="AA100" i="28"/>
  <c r="Z100" i="28"/>
  <c r="Y100" i="28"/>
  <c r="X100" i="28"/>
  <c r="W100" i="28"/>
  <c r="V100" i="28"/>
  <c r="U100" i="28"/>
  <c r="T100" i="28"/>
  <c r="S100" i="28"/>
  <c r="R100" i="28"/>
  <c r="Q100" i="28"/>
  <c r="P100" i="28"/>
  <c r="O100" i="28"/>
  <c r="N100" i="28"/>
  <c r="M100" i="28"/>
  <c r="K100" i="28"/>
  <c r="F100" i="28"/>
  <c r="AB99" i="28"/>
  <c r="AA99" i="28"/>
  <c r="Z99" i="28"/>
  <c r="Y99" i="28"/>
  <c r="X99" i="28"/>
  <c r="W99" i="28"/>
  <c r="V99" i="28"/>
  <c r="U99" i="28"/>
  <c r="T99" i="28"/>
  <c r="S99" i="28"/>
  <c r="R99" i="28"/>
  <c r="Q99" i="28"/>
  <c r="P99" i="28"/>
  <c r="O99" i="28"/>
  <c r="N99" i="28"/>
  <c r="M99" i="28"/>
  <c r="A99" i="28"/>
  <c r="G56" i="28"/>
  <c r="H56" i="28"/>
  <c r="I56" i="28"/>
  <c r="J56" i="28"/>
  <c r="K56" i="28"/>
  <c r="L56" i="28"/>
  <c r="M56" i="28"/>
  <c r="N56" i="28"/>
  <c r="O56" i="28"/>
  <c r="P56" i="28"/>
  <c r="Q56" i="28"/>
  <c r="R56" i="28"/>
  <c r="S56" i="28"/>
  <c r="T56" i="28"/>
  <c r="U56" i="28"/>
  <c r="V56" i="28"/>
  <c r="W56" i="28"/>
  <c r="X56" i="28"/>
  <c r="Y56" i="28"/>
  <c r="Z56" i="28"/>
  <c r="AA56" i="28"/>
  <c r="AB56" i="28"/>
  <c r="AC56" i="28"/>
  <c r="G57" i="28"/>
  <c r="H57" i="28"/>
  <c r="I57" i="28"/>
  <c r="J57" i="28"/>
  <c r="K57" i="28"/>
  <c r="L57" i="28"/>
  <c r="M57" i="28"/>
  <c r="N57" i="28"/>
  <c r="O57" i="28"/>
  <c r="P57" i="28"/>
  <c r="Q57" i="28"/>
  <c r="R57" i="28"/>
  <c r="S57" i="28"/>
  <c r="T57" i="28"/>
  <c r="U57" i="28"/>
  <c r="V57" i="28"/>
  <c r="W57" i="28"/>
  <c r="X57" i="28"/>
  <c r="Y57" i="28"/>
  <c r="Z57" i="28"/>
  <c r="AA57" i="28"/>
  <c r="AB57" i="28"/>
  <c r="AC57" i="28"/>
  <c r="G58" i="28"/>
  <c r="H58" i="28"/>
  <c r="I58" i="28"/>
  <c r="J58" i="28"/>
  <c r="K58" i="28"/>
  <c r="L58" i="28"/>
  <c r="M58" i="28"/>
  <c r="N58" i="28"/>
  <c r="O58" i="28"/>
  <c r="P58" i="28"/>
  <c r="Q58" i="28"/>
  <c r="R58" i="28"/>
  <c r="S58" i="28"/>
  <c r="T58" i="28"/>
  <c r="U58" i="28"/>
  <c r="V58" i="28"/>
  <c r="W58" i="28"/>
  <c r="X58" i="28"/>
  <c r="Y58" i="28"/>
  <c r="Z58" i="28"/>
  <c r="AA58" i="28"/>
  <c r="AB58" i="28"/>
  <c r="AC58" i="28"/>
  <c r="F57" i="28"/>
  <c r="F58" i="28"/>
  <c r="F56" i="28"/>
  <c r="G53" i="28"/>
  <c r="H53" i="28"/>
  <c r="I53" i="28"/>
  <c r="J53" i="28"/>
  <c r="K53" i="28"/>
  <c r="L53" i="28"/>
  <c r="M53" i="28"/>
  <c r="N53" i="28"/>
  <c r="O53" i="28"/>
  <c r="P53" i="28"/>
  <c r="Q53" i="28"/>
  <c r="R53" i="28"/>
  <c r="S53" i="28"/>
  <c r="T53" i="28"/>
  <c r="U53" i="28"/>
  <c r="V53" i="28"/>
  <c r="W53" i="28"/>
  <c r="X53" i="28"/>
  <c r="Y53" i="28"/>
  <c r="Z53" i="28"/>
  <c r="AA53" i="28"/>
  <c r="AB53" i="28"/>
  <c r="AC53" i="28"/>
  <c r="G54" i="28"/>
  <c r="H54" i="28"/>
  <c r="I54" i="28"/>
  <c r="J54" i="28"/>
  <c r="K54" i="28"/>
  <c r="L54" i="28"/>
  <c r="M54" i="28"/>
  <c r="N54" i="28"/>
  <c r="O54" i="28"/>
  <c r="P54" i="28"/>
  <c r="Q54" i="28"/>
  <c r="R54" i="28"/>
  <c r="S54" i="28"/>
  <c r="T54" i="28"/>
  <c r="U54" i="28"/>
  <c r="V54" i="28"/>
  <c r="W54" i="28"/>
  <c r="X54" i="28"/>
  <c r="Y54" i="28"/>
  <c r="Z54" i="28"/>
  <c r="AA54" i="28"/>
  <c r="AB54" i="28"/>
  <c r="AC54" i="28"/>
  <c r="G55" i="28"/>
  <c r="H55" i="28"/>
  <c r="I55" i="28"/>
  <c r="J55" i="28"/>
  <c r="K55" i="28"/>
  <c r="L55" i="28"/>
  <c r="M55" i="28"/>
  <c r="N55" i="28"/>
  <c r="O55" i="28"/>
  <c r="P55" i="28"/>
  <c r="Q55" i="28"/>
  <c r="R55" i="28"/>
  <c r="S55" i="28"/>
  <c r="T55" i="28"/>
  <c r="U55" i="28"/>
  <c r="V55" i="28"/>
  <c r="W55" i="28"/>
  <c r="X55" i="28"/>
  <c r="Y55" i="28"/>
  <c r="Z55" i="28"/>
  <c r="AA55" i="28"/>
  <c r="AB55" i="28"/>
  <c r="AC55" i="28"/>
  <c r="F54" i="28"/>
  <c r="F55" i="28"/>
  <c r="F53" i="28"/>
  <c r="E14" i="7" l="1"/>
  <c r="D118" i="18" l="1"/>
  <c r="L118" i="18" s="1"/>
  <c r="B118" i="18"/>
  <c r="B119" i="18"/>
  <c r="D119" i="18"/>
  <c r="L119" i="18"/>
  <c r="B120" i="18"/>
  <c r="D120" i="18"/>
  <c r="L120" i="18" s="1"/>
  <c r="B121" i="18"/>
  <c r="A120" i="18"/>
  <c r="A121" i="18"/>
  <c r="A118" i="18"/>
  <c r="A119" i="18"/>
  <c r="A25" i="29"/>
  <c r="A26" i="25"/>
  <c r="B24" i="29"/>
  <c r="A24" i="29"/>
  <c r="B25" i="25"/>
  <c r="A25" i="25"/>
  <c r="K118" i="18" l="1"/>
  <c r="G28" i="28"/>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G31" i="28"/>
  <c r="H31" i="28"/>
  <c r="I31" i="28"/>
  <c r="J31" i="28"/>
  <c r="K31" i="28"/>
  <c r="L31" i="28"/>
  <c r="M31" i="28"/>
  <c r="N31" i="28"/>
  <c r="O31" i="28"/>
  <c r="P31" i="28"/>
  <c r="Q31" i="28"/>
  <c r="R31" i="28"/>
  <c r="S31" i="28"/>
  <c r="T31" i="28"/>
  <c r="U31" i="28"/>
  <c r="V31" i="28"/>
  <c r="W31" i="28"/>
  <c r="X31" i="28"/>
  <c r="Y31" i="28"/>
  <c r="Z31" i="28"/>
  <c r="AA31" i="28"/>
  <c r="AB31" i="28"/>
  <c r="AC31" i="28"/>
  <c r="G32" i="28"/>
  <c r="H32" i="28"/>
  <c r="I32" i="28"/>
  <c r="J32" i="28"/>
  <c r="K32" i="28"/>
  <c r="L32" i="28"/>
  <c r="M32" i="28"/>
  <c r="N32" i="28"/>
  <c r="O32" i="28"/>
  <c r="P32" i="28"/>
  <c r="Q32" i="28"/>
  <c r="R32" i="28"/>
  <c r="S32" i="28"/>
  <c r="T32" i="28"/>
  <c r="U32" i="28"/>
  <c r="V32" i="28"/>
  <c r="W32" i="28"/>
  <c r="X32" i="28"/>
  <c r="Y32" i="28"/>
  <c r="Z32" i="28"/>
  <c r="AA32" i="28"/>
  <c r="AB32" i="28"/>
  <c r="AC32" i="28"/>
  <c r="G33" i="28"/>
  <c r="H33" i="28"/>
  <c r="I33" i="28"/>
  <c r="J33" i="28"/>
  <c r="K33" i="28"/>
  <c r="L33" i="28"/>
  <c r="M33" i="28"/>
  <c r="N33" i="28"/>
  <c r="O33" i="28"/>
  <c r="P33" i="28"/>
  <c r="Q33" i="28"/>
  <c r="R33" i="28"/>
  <c r="S33" i="28"/>
  <c r="T33" i="28"/>
  <c r="U33" i="28"/>
  <c r="V33" i="28"/>
  <c r="W33" i="28"/>
  <c r="X33" i="28"/>
  <c r="Y33" i="28"/>
  <c r="Z33" i="28"/>
  <c r="AA33" i="28"/>
  <c r="AB33" i="28"/>
  <c r="AC33" i="28"/>
  <c r="F32" i="28"/>
  <c r="F33" i="28"/>
  <c r="F31" i="28"/>
  <c r="F29" i="28"/>
  <c r="F30" i="28"/>
  <c r="F28" i="28"/>
  <c r="B18" i="18" l="1"/>
  <c r="L101" i="18"/>
  <c r="L39" i="18"/>
  <c r="L30" i="18"/>
  <c r="L25" i="18"/>
  <c r="L109" i="18"/>
  <c r="L106" i="18"/>
  <c r="L93" i="18"/>
  <c r="L84" i="18"/>
  <c r="H84" i="18"/>
  <c r="L59" i="18"/>
  <c r="E82" i="7"/>
  <c r="E19" i="7"/>
  <c r="E10" i="7"/>
  <c r="E11" i="7"/>
  <c r="E12" i="7"/>
  <c r="E13" i="7"/>
  <c r="E15" i="7"/>
  <c r="E16" i="7"/>
  <c r="E17" i="7"/>
  <c r="E18"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5" i="7"/>
  <c r="E126" i="7"/>
  <c r="E9" i="7"/>
  <c r="B184" i="18"/>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9" i="7"/>
  <c r="A125" i="7"/>
  <c r="A126" i="7"/>
  <c r="A127"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0" i="7"/>
  <c r="A11" i="7"/>
  <c r="A12" i="7"/>
  <c r="A13" i="7"/>
  <c r="A14" i="7"/>
  <c r="A15" i="7"/>
  <c r="A16" i="7"/>
  <c r="A17" i="7"/>
  <c r="A18" i="7"/>
  <c r="A19" i="7"/>
  <c r="A20" i="7"/>
  <c r="A21" i="7"/>
  <c r="A22" i="7"/>
  <c r="A23" i="7"/>
  <c r="A24" i="7"/>
  <c r="A25" i="7"/>
  <c r="A26" i="7"/>
  <c r="A27" i="7"/>
  <c r="A28" i="7"/>
  <c r="A29" i="7"/>
  <c r="A30" i="7"/>
  <c r="A9" i="7"/>
  <c r="H4" i="21" l="1"/>
  <c r="A1" i="7"/>
  <c r="A1" i="13"/>
  <c r="A1" i="1"/>
  <c r="A1" i="14"/>
  <c r="A1" i="25"/>
  <c r="A1" i="29"/>
  <c r="A1" i="28"/>
  <c r="A1" i="22"/>
  <c r="A1" i="27"/>
  <c r="A1" i="21"/>
  <c r="J1" i="21"/>
  <c r="A6" i="9" l="1"/>
  <c r="A1" i="18"/>
  <c r="B145" i="7"/>
  <c r="D26" i="14"/>
  <c r="D25" i="14"/>
  <c r="D24" i="14"/>
  <c r="C12" i="9" l="1"/>
  <c r="G11" i="9"/>
  <c r="C9" i="9" l="1"/>
  <c r="B21" i="9" l="1"/>
  <c r="B47" i="29" l="1"/>
  <c r="H30" i="29" s="1"/>
  <c r="C47" i="29"/>
  <c r="D47" i="29"/>
  <c r="H29" i="29" s="1"/>
  <c r="G13" i="9" l="1"/>
  <c r="G12" i="9"/>
  <c r="G10" i="9"/>
  <c r="J3" i="13" l="1"/>
  <c r="D9" i="7" s="1"/>
  <c r="F9" i="7" s="1"/>
  <c r="J4" i="13"/>
  <c r="D10" i="7" s="1"/>
  <c r="F10" i="7" s="1"/>
  <c r="G10" i="7" s="1"/>
  <c r="G15" i="9" l="1"/>
  <c r="H109" i="18" l="1"/>
  <c r="H101" i="18"/>
  <c r="A1" i="9" l="1"/>
  <c r="B20" i="9"/>
  <c r="A1" i="31"/>
  <c r="G14" i="9"/>
  <c r="G16" i="9" s="1"/>
  <c r="I14" i="1" l="1"/>
  <c r="I13" i="1"/>
  <c r="G9" i="9" l="1"/>
  <c r="G8" i="9"/>
  <c r="C37" i="29" l="1"/>
  <c r="J19" i="1"/>
  <c r="K19" i="1"/>
  <c r="L19" i="1"/>
  <c r="M19" i="1"/>
  <c r="N19" i="1"/>
  <c r="O19" i="1"/>
  <c r="P19" i="1"/>
  <c r="Q19" i="1"/>
  <c r="R19" i="1"/>
  <c r="S19" i="1"/>
  <c r="T19" i="1"/>
  <c r="U19" i="1"/>
  <c r="V19" i="1"/>
  <c r="W19" i="1"/>
  <c r="X19" i="1"/>
  <c r="I19" i="1"/>
  <c r="J18" i="1"/>
  <c r="K18" i="1"/>
  <c r="L18" i="1"/>
  <c r="M18" i="1"/>
  <c r="N18" i="1"/>
  <c r="O18" i="1"/>
  <c r="P18" i="1"/>
  <c r="Q18" i="1"/>
  <c r="R18" i="1"/>
  <c r="S18" i="1"/>
  <c r="T18" i="1"/>
  <c r="U18" i="1"/>
  <c r="V18" i="1"/>
  <c r="W18" i="1"/>
  <c r="X18" i="1"/>
  <c r="I18" i="1"/>
  <c r="J14" i="1"/>
  <c r="K14" i="1"/>
  <c r="L14" i="1"/>
  <c r="M14" i="1"/>
  <c r="N14" i="1"/>
  <c r="O14" i="1"/>
  <c r="P14" i="1"/>
  <c r="Q14" i="1"/>
  <c r="R14" i="1"/>
  <c r="S14" i="1"/>
  <c r="T14" i="1"/>
  <c r="U14" i="1"/>
  <c r="V14" i="1"/>
  <c r="W14" i="1"/>
  <c r="X14" i="1"/>
  <c r="J13" i="1"/>
  <c r="K13" i="1"/>
  <c r="L13" i="1"/>
  <c r="M13" i="1"/>
  <c r="N13" i="1"/>
  <c r="O13" i="1"/>
  <c r="P13" i="1"/>
  <c r="Q13" i="1"/>
  <c r="R13" i="1"/>
  <c r="S13" i="1"/>
  <c r="T13" i="1"/>
  <c r="U13" i="1"/>
  <c r="V13" i="1"/>
  <c r="W13" i="1"/>
  <c r="X13" i="1"/>
  <c r="C38" i="29" l="1"/>
  <c r="B30" i="29"/>
  <c r="B29" i="29"/>
  <c r="B3" i="9"/>
  <c r="A3" i="9"/>
  <c r="C3" i="9" s="1"/>
  <c r="D59" i="18"/>
  <c r="D60" i="18"/>
  <c r="L60" i="18" s="1"/>
  <c r="D61" i="18"/>
  <c r="L61" i="18" s="1"/>
  <c r="D62" i="18"/>
  <c r="L62" i="18" s="1"/>
  <c r="D63" i="18"/>
  <c r="L63" i="18" s="1"/>
  <c r="D64" i="18"/>
  <c r="L64" i="18" s="1"/>
  <c r="D65" i="18"/>
  <c r="L65" i="18" s="1"/>
  <c r="D66" i="18"/>
  <c r="L66" i="18" s="1"/>
  <c r="D67" i="18"/>
  <c r="L67" i="18" s="1"/>
  <c r="D68" i="18"/>
  <c r="L68" i="18" s="1"/>
  <c r="D69" i="18"/>
  <c r="L69" i="18" s="1"/>
  <c r="D70" i="18"/>
  <c r="L70" i="18" s="1"/>
  <c r="D71" i="18"/>
  <c r="L71" i="18" s="1"/>
  <c r="D72" i="18"/>
  <c r="L72" i="18" s="1"/>
  <c r="D73" i="18"/>
  <c r="L73" i="18" s="1"/>
  <c r="D74" i="18"/>
  <c r="L74" i="18" s="1"/>
  <c r="D75" i="18"/>
  <c r="L75" i="18" s="1"/>
  <c r="D76" i="18"/>
  <c r="L76" i="18" s="1"/>
  <c r="D77" i="18"/>
  <c r="L77" i="18" s="1"/>
  <c r="D78" i="18"/>
  <c r="L78" i="18" s="1"/>
  <c r="D79" i="18"/>
  <c r="L79" i="18" s="1"/>
  <c r="D80" i="18"/>
  <c r="L80" i="18" s="1"/>
  <c r="D81" i="18"/>
  <c r="L81" i="18" s="1"/>
  <c r="D82" i="18"/>
  <c r="L82" i="18" s="1"/>
  <c r="D83" i="18"/>
  <c r="L83" i="18" s="1"/>
  <c r="D84" i="18"/>
  <c r="D85" i="18"/>
  <c r="L85" i="18" s="1"/>
  <c r="D86" i="18"/>
  <c r="L86" i="18" s="1"/>
  <c r="D87" i="18"/>
  <c r="L87" i="18" s="1"/>
  <c r="D88" i="18"/>
  <c r="L88" i="18" s="1"/>
  <c r="D89" i="18"/>
  <c r="L89" i="18" s="1"/>
  <c r="D90" i="18"/>
  <c r="L90" i="18" s="1"/>
  <c r="D91" i="18"/>
  <c r="L91" i="18" s="1"/>
  <c r="D92" i="18"/>
  <c r="L92" i="18" s="1"/>
  <c r="D93" i="18"/>
  <c r="D94" i="18"/>
  <c r="L94" i="18" s="1"/>
  <c r="D95" i="18"/>
  <c r="L95" i="18" s="1"/>
  <c r="D96" i="18"/>
  <c r="L96" i="18" s="1"/>
  <c r="D97" i="18"/>
  <c r="L97" i="18" s="1"/>
  <c r="D98" i="18"/>
  <c r="L98" i="18" s="1"/>
  <c r="D99" i="18"/>
  <c r="L99" i="18" s="1"/>
  <c r="D100" i="18"/>
  <c r="L100" i="18" s="1"/>
  <c r="D101" i="18"/>
  <c r="D102" i="18"/>
  <c r="L102" i="18" s="1"/>
  <c r="D103" i="18"/>
  <c r="L103" i="18" s="1"/>
  <c r="D104" i="18"/>
  <c r="L104" i="18" s="1"/>
  <c r="D105" i="18"/>
  <c r="L105" i="18" s="1"/>
  <c r="D106" i="18"/>
  <c r="D107" i="18"/>
  <c r="L107" i="18" s="1"/>
  <c r="D108" i="18"/>
  <c r="L108" i="18" s="1"/>
  <c r="D109" i="18"/>
  <c r="D110" i="18"/>
  <c r="L110" i="18" s="1"/>
  <c r="D111" i="18"/>
  <c r="L111" i="18" s="1"/>
  <c r="D112" i="18"/>
  <c r="L112" i="18" s="1"/>
  <c r="D113" i="18"/>
  <c r="L113" i="18" s="1"/>
  <c r="D114" i="18"/>
  <c r="L114" i="18" s="1"/>
  <c r="D115" i="18"/>
  <c r="L115" i="18" s="1"/>
  <c r="D116" i="18"/>
  <c r="L116" i="18" s="1"/>
  <c r="D117" i="18"/>
  <c r="L117" i="18" s="1"/>
  <c r="D4" i="18"/>
  <c r="L4" i="18" s="1"/>
  <c r="D5" i="18"/>
  <c r="L5" i="18" s="1"/>
  <c r="D6" i="18"/>
  <c r="L6" i="18" s="1"/>
  <c r="D7" i="18"/>
  <c r="L7" i="18" s="1"/>
  <c r="D8" i="18"/>
  <c r="L8" i="18" s="1"/>
  <c r="D9" i="18"/>
  <c r="L9" i="18" s="1"/>
  <c r="D10" i="18"/>
  <c r="L10" i="18" s="1"/>
  <c r="D11" i="18"/>
  <c r="L11" i="18" s="1"/>
  <c r="D12" i="18"/>
  <c r="L12" i="18" s="1"/>
  <c r="D13" i="18"/>
  <c r="L13" i="18" s="1"/>
  <c r="D14" i="18"/>
  <c r="L14" i="18" s="1"/>
  <c r="D15" i="18"/>
  <c r="L15" i="18" s="1"/>
  <c r="D16" i="18"/>
  <c r="L16" i="18" s="1"/>
  <c r="D17" i="18"/>
  <c r="D18" i="18"/>
  <c r="L18" i="18" s="1"/>
  <c r="D19" i="18"/>
  <c r="L19" i="18" s="1"/>
  <c r="D20" i="18"/>
  <c r="L20" i="18" s="1"/>
  <c r="D21" i="18"/>
  <c r="L21" i="18" s="1"/>
  <c r="D22" i="18"/>
  <c r="L22" i="18" s="1"/>
  <c r="D23" i="18"/>
  <c r="L23" i="18" s="1"/>
  <c r="D24" i="18"/>
  <c r="L24" i="18" s="1"/>
  <c r="D25" i="18"/>
  <c r="D26" i="18"/>
  <c r="D27" i="18"/>
  <c r="L27" i="18" s="1"/>
  <c r="D28" i="18"/>
  <c r="L28" i="18" s="1"/>
  <c r="D29" i="18"/>
  <c r="L29" i="18" s="1"/>
  <c r="D30" i="18"/>
  <c r="D31" i="18"/>
  <c r="L31" i="18" s="1"/>
  <c r="D32" i="18"/>
  <c r="L32" i="18" s="1"/>
  <c r="D33" i="18"/>
  <c r="L33" i="18" s="1"/>
  <c r="D34" i="18"/>
  <c r="L34" i="18" s="1"/>
  <c r="D35" i="18"/>
  <c r="L35" i="18" s="1"/>
  <c r="D36" i="18"/>
  <c r="L36" i="18" s="1"/>
  <c r="D37" i="18"/>
  <c r="L37" i="18" s="1"/>
  <c r="D38" i="18"/>
  <c r="L38" i="18" s="1"/>
  <c r="D39" i="18"/>
  <c r="D40" i="18"/>
  <c r="L40" i="18" s="1"/>
  <c r="D41" i="18"/>
  <c r="L41" i="18" s="1"/>
  <c r="D42" i="18"/>
  <c r="L42" i="18" s="1"/>
  <c r="D43" i="18"/>
  <c r="L43" i="18" s="1"/>
  <c r="D44" i="18"/>
  <c r="L44" i="18" s="1"/>
  <c r="D45" i="18"/>
  <c r="L45" i="18" s="1"/>
  <c r="D46" i="18"/>
  <c r="L46" i="18" s="1"/>
  <c r="D47" i="18"/>
  <c r="L47" i="18" s="1"/>
  <c r="D48" i="18"/>
  <c r="L48" i="18" s="1"/>
  <c r="D49" i="18"/>
  <c r="L49" i="18" s="1"/>
  <c r="D50" i="18"/>
  <c r="L50" i="18" s="1"/>
  <c r="D51" i="18"/>
  <c r="L51" i="18" s="1"/>
  <c r="D52" i="18"/>
  <c r="L52" i="18" s="1"/>
  <c r="D53" i="18"/>
  <c r="L53" i="18" s="1"/>
  <c r="D54" i="18"/>
  <c r="L54" i="18" s="1"/>
  <c r="D55" i="18"/>
  <c r="L55" i="18" s="1"/>
  <c r="D56" i="18"/>
  <c r="L56" i="18" s="1"/>
  <c r="D57" i="18"/>
  <c r="L57" i="18" s="1"/>
  <c r="D58" i="18"/>
  <c r="L58" i="18" s="1"/>
  <c r="D3"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4" i="18"/>
  <c r="B5" i="18"/>
  <c r="B6" i="18"/>
  <c r="B7" i="18"/>
  <c r="B8" i="18"/>
  <c r="B9" i="18"/>
  <c r="B10" i="18"/>
  <c r="B11" i="18"/>
  <c r="B12" i="18"/>
  <c r="B13" i="18"/>
  <c r="B14" i="18"/>
  <c r="B15" i="18"/>
  <c r="B16" i="18"/>
  <c r="B17"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3" i="18"/>
  <c r="A113" i="18"/>
  <c r="A114" i="18"/>
  <c r="A115" i="18"/>
  <c r="A116" i="18"/>
  <c r="A117" i="18"/>
  <c r="A106" i="18"/>
  <c r="A107" i="18"/>
  <c r="A108" i="18"/>
  <c r="A109" i="18"/>
  <c r="A110" i="18"/>
  <c r="A111" i="18"/>
  <c r="A112" i="18"/>
  <c r="A91" i="18"/>
  <c r="A92" i="18"/>
  <c r="A93" i="18"/>
  <c r="A94" i="18"/>
  <c r="A95" i="18"/>
  <c r="A96" i="18"/>
  <c r="A97" i="18"/>
  <c r="A98" i="18"/>
  <c r="A99" i="18"/>
  <c r="A100" i="18"/>
  <c r="A101" i="18"/>
  <c r="A102" i="18"/>
  <c r="A103" i="18"/>
  <c r="A104" i="18"/>
  <c r="A105"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3" i="18"/>
  <c r="L3" i="18" l="1"/>
  <c r="H184" i="18"/>
  <c r="H185" i="18" l="1"/>
  <c r="H186" i="18"/>
  <c r="H187" i="18"/>
  <c r="H188" i="18"/>
  <c r="H189" i="18"/>
  <c r="H190" i="18"/>
  <c r="H191" i="18"/>
  <c r="C205" i="18" l="1"/>
  <c r="C204" i="18"/>
  <c r="C203" i="18"/>
  <c r="C202" i="18"/>
  <c r="C201" i="18"/>
  <c r="C200" i="18"/>
  <c r="C199" i="18"/>
  <c r="C198" i="18"/>
  <c r="C197" i="18"/>
  <c r="C196" i="18"/>
  <c r="C195" i="18"/>
  <c r="C193" i="18"/>
  <c r="C192" i="18"/>
  <c r="B199" i="18"/>
  <c r="D184" i="18"/>
  <c r="B205" i="18"/>
  <c r="G121" i="13"/>
  <c r="B204" i="18"/>
  <c r="B203" i="18"/>
  <c r="B202" i="18"/>
  <c r="B201" i="18"/>
  <c r="B200" i="18"/>
  <c r="B198" i="18"/>
  <c r="B197" i="18"/>
  <c r="B196" i="18"/>
  <c r="B195" i="18"/>
  <c r="B194" i="18"/>
  <c r="B193" i="18"/>
  <c r="B192" i="18"/>
  <c r="B191" i="18"/>
  <c r="B190" i="18"/>
  <c r="B189" i="18"/>
  <c r="B188" i="18"/>
  <c r="B187" i="18"/>
  <c r="I187" i="18" s="1"/>
  <c r="B186" i="18"/>
  <c r="B185" i="18"/>
  <c r="A184" i="18"/>
  <c r="A205" i="18"/>
  <c r="A195" i="18"/>
  <c r="A203" i="18"/>
  <c r="A204" i="18"/>
  <c r="A202" i="18"/>
  <c r="A201" i="18"/>
  <c r="A200" i="18"/>
  <c r="A199" i="18"/>
  <c r="A198" i="18"/>
  <c r="A197" i="18"/>
  <c r="A196" i="18"/>
  <c r="A194" i="18"/>
  <c r="A13" i="29" s="1"/>
  <c r="A193" i="18"/>
  <c r="A12" i="29" s="1"/>
  <c r="A192" i="18"/>
  <c r="A11" i="29" s="1"/>
  <c r="A191" i="18"/>
  <c r="A10" i="29" s="1"/>
  <c r="A190" i="18"/>
  <c r="A9" i="29" s="1"/>
  <c r="A189" i="18"/>
  <c r="A8" i="29" s="1"/>
  <c r="A188" i="18"/>
  <c r="A7" i="29" s="1"/>
  <c r="A187" i="18"/>
  <c r="A186" i="18"/>
  <c r="A185" i="18"/>
  <c r="J26" i="13"/>
  <c r="J14" i="13"/>
  <c r="J15" i="13"/>
  <c r="J16" i="13"/>
  <c r="J17" i="13"/>
  <c r="J18" i="13"/>
  <c r="J19" i="13"/>
  <c r="J20" i="13"/>
  <c r="J21" i="13"/>
  <c r="J22" i="13"/>
  <c r="J23" i="13"/>
  <c r="J24" i="13"/>
  <c r="J25"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C119" i="18" s="1"/>
  <c r="J119" i="18" s="1"/>
  <c r="J120" i="13"/>
  <c r="C120" i="18" s="1"/>
  <c r="J120" i="18" s="1"/>
  <c r="C4" i="18"/>
  <c r="J4" i="18" s="1"/>
  <c r="J5" i="13"/>
  <c r="J6" i="13"/>
  <c r="J7" i="13"/>
  <c r="J8" i="13"/>
  <c r="J9" i="13"/>
  <c r="J10" i="13"/>
  <c r="J11" i="13"/>
  <c r="J12" i="13"/>
  <c r="J13" i="13"/>
  <c r="C127" i="7" l="1"/>
  <c r="D121" i="18"/>
  <c r="D124" i="7"/>
  <c r="F124" i="7" s="1"/>
  <c r="G124" i="7" s="1"/>
  <c r="C118" i="18"/>
  <c r="J118" i="18" s="1"/>
  <c r="M118" i="18" s="1"/>
  <c r="F119" i="18"/>
  <c r="K119" i="18" s="1"/>
  <c r="M119" i="18" s="1"/>
  <c r="I120" i="18"/>
  <c r="I119" i="18"/>
  <c r="F120" i="18"/>
  <c r="K120" i="18" s="1"/>
  <c r="M120" i="18" s="1"/>
  <c r="C11" i="18"/>
  <c r="J11" i="18" s="1"/>
  <c r="D17" i="7"/>
  <c r="F17" i="7" s="1"/>
  <c r="G17" i="7" s="1"/>
  <c r="C84" i="18"/>
  <c r="J84" i="18" s="1"/>
  <c r="D90" i="7"/>
  <c r="F90" i="7" s="1"/>
  <c r="G90" i="7" s="1"/>
  <c r="C62" i="18"/>
  <c r="J62" i="18" s="1"/>
  <c r="D68" i="7"/>
  <c r="F68" i="7" s="1"/>
  <c r="G68" i="7" s="1"/>
  <c r="C40" i="18"/>
  <c r="J40" i="18" s="1"/>
  <c r="D46" i="7"/>
  <c r="F46" i="7" s="1"/>
  <c r="G46" i="7" s="1"/>
  <c r="C17" i="18"/>
  <c r="J17" i="18" s="1"/>
  <c r="D23" i="7"/>
  <c r="F23" i="7" s="1"/>
  <c r="G23" i="7" s="1"/>
  <c r="C39" i="18"/>
  <c r="J39" i="18" s="1"/>
  <c r="D45" i="7"/>
  <c r="F45" i="7" s="1"/>
  <c r="G45" i="7" s="1"/>
  <c r="C103" i="18"/>
  <c r="J103" i="18" s="1"/>
  <c r="D109" i="7"/>
  <c r="F109" i="7" s="1"/>
  <c r="G109" i="7" s="1"/>
  <c r="C18" i="18"/>
  <c r="J18" i="18" s="1"/>
  <c r="D24" i="7"/>
  <c r="F24" i="7" s="1"/>
  <c r="G24" i="7" s="1"/>
  <c r="C106" i="18"/>
  <c r="J106" i="18" s="1"/>
  <c r="D112" i="7"/>
  <c r="F112" i="7" s="1"/>
  <c r="G112" i="7" s="1"/>
  <c r="C9" i="18"/>
  <c r="J9" i="18" s="1"/>
  <c r="D15" i="7"/>
  <c r="F15" i="7" s="1"/>
  <c r="G15" i="7" s="1"/>
  <c r="C60" i="18"/>
  <c r="J60" i="18" s="1"/>
  <c r="D66" i="7"/>
  <c r="F66" i="7" s="1"/>
  <c r="G66" i="7" s="1"/>
  <c r="C15" i="18"/>
  <c r="J15" i="18" s="1"/>
  <c r="D21" i="7"/>
  <c r="F21" i="7" s="1"/>
  <c r="G21" i="7" s="1"/>
  <c r="C8" i="18"/>
  <c r="J8" i="18" s="1"/>
  <c r="D14" i="7"/>
  <c r="F14" i="7" s="1"/>
  <c r="G14" i="7" s="1"/>
  <c r="C81" i="18"/>
  <c r="J81" i="18" s="1"/>
  <c r="D87" i="7"/>
  <c r="F87" i="7" s="1"/>
  <c r="G87" i="7" s="1"/>
  <c r="C59" i="18"/>
  <c r="J59" i="18" s="1"/>
  <c r="D65" i="7"/>
  <c r="F65" i="7" s="1"/>
  <c r="G65" i="7" s="1"/>
  <c r="C37" i="18"/>
  <c r="J37" i="18" s="1"/>
  <c r="D43" i="7"/>
  <c r="F43" i="7" s="1"/>
  <c r="G43" i="7" s="1"/>
  <c r="C14" i="18"/>
  <c r="J14" i="18" s="1"/>
  <c r="D20" i="7"/>
  <c r="F20" i="7" s="1"/>
  <c r="G20" i="7" s="1"/>
  <c r="C99" i="18"/>
  <c r="J99" i="18" s="1"/>
  <c r="D105" i="7"/>
  <c r="F105" i="7" s="1"/>
  <c r="G105" i="7" s="1"/>
  <c r="C77" i="18"/>
  <c r="J77" i="18" s="1"/>
  <c r="D83" i="7"/>
  <c r="F83" i="7" s="1"/>
  <c r="G83" i="7" s="1"/>
  <c r="C55" i="18"/>
  <c r="J55" i="18" s="1"/>
  <c r="D61" i="7"/>
  <c r="F61" i="7" s="1"/>
  <c r="G61" i="7" s="1"/>
  <c r="C33" i="18"/>
  <c r="J33" i="18" s="1"/>
  <c r="D39" i="7"/>
  <c r="F39" i="7" s="1"/>
  <c r="G39" i="7" s="1"/>
  <c r="D126" i="7"/>
  <c r="F126" i="7" s="1"/>
  <c r="G126" i="7" s="1"/>
  <c r="C76" i="18"/>
  <c r="J76" i="18" s="1"/>
  <c r="D82" i="7"/>
  <c r="F82" i="7" s="1"/>
  <c r="G82" i="7" s="1"/>
  <c r="C32" i="18"/>
  <c r="J32" i="18" s="1"/>
  <c r="D38" i="7"/>
  <c r="F38" i="7" s="1"/>
  <c r="G38" i="7" s="1"/>
  <c r="C96" i="18"/>
  <c r="J96" i="18" s="1"/>
  <c r="D102" i="7"/>
  <c r="F102" i="7" s="1"/>
  <c r="G102" i="7" s="1"/>
  <c r="C74" i="18"/>
  <c r="J74" i="18" s="1"/>
  <c r="D80" i="7"/>
  <c r="F80" i="7" s="1"/>
  <c r="G80" i="7" s="1"/>
  <c r="C52" i="18"/>
  <c r="J52" i="18" s="1"/>
  <c r="D58" i="7"/>
  <c r="F58" i="7" s="1"/>
  <c r="G58" i="7" s="1"/>
  <c r="C30" i="18"/>
  <c r="J30" i="18" s="1"/>
  <c r="D36" i="7"/>
  <c r="F36" i="7" s="1"/>
  <c r="G36" i="7" s="1"/>
  <c r="C117" i="18"/>
  <c r="J117" i="18" s="1"/>
  <c r="D123" i="7"/>
  <c r="F123" i="7" s="1"/>
  <c r="G123" i="7" s="1"/>
  <c r="C73" i="18"/>
  <c r="J73" i="18" s="1"/>
  <c r="D79" i="7"/>
  <c r="F79" i="7" s="1"/>
  <c r="G79" i="7" s="1"/>
  <c r="C29" i="18"/>
  <c r="J29" i="18" s="1"/>
  <c r="D35" i="7"/>
  <c r="F35" i="7" s="1"/>
  <c r="G35" i="7" s="1"/>
  <c r="C13" i="18"/>
  <c r="J13" i="18" s="1"/>
  <c r="D19" i="7"/>
  <c r="F19" i="7" s="1"/>
  <c r="G19" i="7" s="1"/>
  <c r="C108" i="18"/>
  <c r="J108" i="18" s="1"/>
  <c r="D114" i="7"/>
  <c r="F114" i="7" s="1"/>
  <c r="G114" i="7" s="1"/>
  <c r="C86" i="18"/>
  <c r="J86" i="18" s="1"/>
  <c r="D92" i="7"/>
  <c r="F92" i="7" s="1"/>
  <c r="G92" i="7" s="1"/>
  <c r="C64" i="18"/>
  <c r="J64" i="18" s="1"/>
  <c r="D70" i="7"/>
  <c r="F70" i="7" s="1"/>
  <c r="G70" i="7" s="1"/>
  <c r="C42" i="18"/>
  <c r="J42" i="18" s="1"/>
  <c r="D48" i="7"/>
  <c r="F48" i="7" s="1"/>
  <c r="G48" i="7" s="1"/>
  <c r="C19" i="18"/>
  <c r="J19" i="18" s="1"/>
  <c r="D25" i="7"/>
  <c r="F25" i="7" s="1"/>
  <c r="G25" i="7" s="1"/>
  <c r="C82" i="18"/>
  <c r="J82" i="18" s="1"/>
  <c r="D88" i="7"/>
  <c r="F88" i="7" s="1"/>
  <c r="G88" i="7" s="1"/>
  <c r="C5" i="18"/>
  <c r="J5" i="18" s="1"/>
  <c r="D11" i="7"/>
  <c r="F11" i="7" s="1"/>
  <c r="C100" i="18"/>
  <c r="J100" i="18" s="1"/>
  <c r="D106" i="7"/>
  <c r="F106" i="7" s="1"/>
  <c r="G106" i="7" s="1"/>
  <c r="C78" i="18"/>
  <c r="J78" i="18" s="1"/>
  <c r="D84" i="7"/>
  <c r="F84" i="7" s="1"/>
  <c r="G84" i="7" s="1"/>
  <c r="C56" i="18"/>
  <c r="J56" i="18" s="1"/>
  <c r="D62" i="7"/>
  <c r="F62" i="7" s="1"/>
  <c r="G62" i="7" s="1"/>
  <c r="C34" i="18"/>
  <c r="J34" i="18" s="1"/>
  <c r="D40" i="7"/>
  <c r="F40" i="7" s="1"/>
  <c r="G40" i="7" s="1"/>
  <c r="C98" i="18"/>
  <c r="J98" i="18" s="1"/>
  <c r="D104" i="7"/>
  <c r="F104" i="7" s="1"/>
  <c r="G104" i="7" s="1"/>
  <c r="C54" i="18"/>
  <c r="J54" i="18" s="1"/>
  <c r="D60" i="7"/>
  <c r="F60" i="7" s="1"/>
  <c r="G60" i="7" s="1"/>
  <c r="C115" i="18"/>
  <c r="J115" i="18" s="1"/>
  <c r="D121" i="7"/>
  <c r="F121" i="7" s="1"/>
  <c r="G121" i="7" s="1"/>
  <c r="C113" i="18"/>
  <c r="J113" i="18" s="1"/>
  <c r="D119" i="7"/>
  <c r="F119" i="7" s="1"/>
  <c r="G119" i="7" s="1"/>
  <c r="C91" i="18"/>
  <c r="J91" i="18" s="1"/>
  <c r="D97" i="7"/>
  <c r="F97" i="7" s="1"/>
  <c r="G97" i="7" s="1"/>
  <c r="C69" i="18"/>
  <c r="J69" i="18" s="1"/>
  <c r="D75" i="7"/>
  <c r="F75" i="7" s="1"/>
  <c r="G75" i="7" s="1"/>
  <c r="C47" i="18"/>
  <c r="J47" i="18" s="1"/>
  <c r="D53" i="7"/>
  <c r="F53" i="7" s="1"/>
  <c r="G53" i="7" s="1"/>
  <c r="C24" i="18"/>
  <c r="J24" i="18" s="1"/>
  <c r="D30" i="7"/>
  <c r="F30" i="7" s="1"/>
  <c r="G30" i="7" s="1"/>
  <c r="C109" i="18"/>
  <c r="J109" i="18" s="1"/>
  <c r="D115" i="7"/>
  <c r="F115" i="7" s="1"/>
  <c r="G115" i="7" s="1"/>
  <c r="C87" i="18"/>
  <c r="J87" i="18" s="1"/>
  <c r="D93" i="7"/>
  <c r="F93" i="7" s="1"/>
  <c r="G93" i="7" s="1"/>
  <c r="C65" i="18"/>
  <c r="J65" i="18" s="1"/>
  <c r="D71" i="7"/>
  <c r="F71" i="7" s="1"/>
  <c r="G71" i="7" s="1"/>
  <c r="C43" i="18"/>
  <c r="J43" i="18" s="1"/>
  <c r="D49" i="7"/>
  <c r="F49" i="7" s="1"/>
  <c r="G49" i="7" s="1"/>
  <c r="C20" i="18"/>
  <c r="J20" i="18" s="1"/>
  <c r="D26" i="7"/>
  <c r="F26" i="7" s="1"/>
  <c r="G26" i="7" s="1"/>
  <c r="C12" i="18"/>
  <c r="J12" i="18" s="1"/>
  <c r="D18" i="7"/>
  <c r="F18" i="7" s="1"/>
  <c r="G18" i="7" s="1"/>
  <c r="C107" i="18"/>
  <c r="J107" i="18" s="1"/>
  <c r="D113" i="7"/>
  <c r="F113" i="7" s="1"/>
  <c r="G113" i="7" s="1"/>
  <c r="C85" i="18"/>
  <c r="J85" i="18" s="1"/>
  <c r="D91" i="7"/>
  <c r="F91" i="7" s="1"/>
  <c r="G91" i="7" s="1"/>
  <c r="C63" i="18"/>
  <c r="J63" i="18" s="1"/>
  <c r="D69" i="7"/>
  <c r="F69" i="7" s="1"/>
  <c r="G69" i="7" s="1"/>
  <c r="C41" i="18"/>
  <c r="J41" i="18" s="1"/>
  <c r="D47" i="7"/>
  <c r="F47" i="7" s="1"/>
  <c r="G47" i="7" s="1"/>
  <c r="C7" i="18"/>
  <c r="J7" i="18" s="1"/>
  <c r="D13" i="7"/>
  <c r="F13" i="7" s="1"/>
  <c r="G13" i="7" s="1"/>
  <c r="C102" i="18"/>
  <c r="J102" i="18" s="1"/>
  <c r="D108" i="7"/>
  <c r="F108" i="7" s="1"/>
  <c r="G108" i="7" s="1"/>
  <c r="C80" i="18"/>
  <c r="J80" i="18" s="1"/>
  <c r="D86" i="7"/>
  <c r="F86" i="7" s="1"/>
  <c r="G86" i="7" s="1"/>
  <c r="C58" i="18"/>
  <c r="J58" i="18" s="1"/>
  <c r="D64" i="7"/>
  <c r="F64" i="7" s="1"/>
  <c r="G64" i="7" s="1"/>
  <c r="C36" i="18"/>
  <c r="J36" i="18" s="1"/>
  <c r="D42" i="7"/>
  <c r="F42" i="7" s="1"/>
  <c r="G42" i="7" s="1"/>
  <c r="C26" i="18"/>
  <c r="J26" i="18" s="1"/>
  <c r="D32" i="7"/>
  <c r="F32" i="7" s="1"/>
  <c r="G32" i="7" s="1"/>
  <c r="C6" i="18"/>
  <c r="J6" i="18" s="1"/>
  <c r="D12" i="7"/>
  <c r="F12" i="7" s="1"/>
  <c r="G12" i="7" s="1"/>
  <c r="C101" i="18"/>
  <c r="J101" i="18" s="1"/>
  <c r="D107" i="7"/>
  <c r="F107" i="7" s="1"/>
  <c r="G107" i="7" s="1"/>
  <c r="C79" i="18"/>
  <c r="J79" i="18" s="1"/>
  <c r="D85" i="7"/>
  <c r="F85" i="7" s="1"/>
  <c r="G85" i="7" s="1"/>
  <c r="C57" i="18"/>
  <c r="J57" i="18" s="1"/>
  <c r="D63" i="7"/>
  <c r="F63" i="7" s="1"/>
  <c r="G63" i="7" s="1"/>
  <c r="C35" i="18"/>
  <c r="J35" i="18" s="1"/>
  <c r="D41" i="7"/>
  <c r="F41" i="7" s="1"/>
  <c r="G41" i="7" s="1"/>
  <c r="D125" i="7"/>
  <c r="F125" i="7" s="1"/>
  <c r="G125" i="7" s="1"/>
  <c r="C97" i="18"/>
  <c r="J97" i="18" s="1"/>
  <c r="D103" i="7"/>
  <c r="F103" i="7" s="1"/>
  <c r="G103" i="7" s="1"/>
  <c r="C75" i="18"/>
  <c r="J75" i="18" s="1"/>
  <c r="D81" i="7"/>
  <c r="F81" i="7" s="1"/>
  <c r="G81" i="7" s="1"/>
  <c r="C53" i="18"/>
  <c r="J53" i="18" s="1"/>
  <c r="D59" i="7"/>
  <c r="F59" i="7" s="1"/>
  <c r="G59" i="7" s="1"/>
  <c r="C31" i="18"/>
  <c r="J31" i="18" s="1"/>
  <c r="D37" i="7"/>
  <c r="F37" i="7" s="1"/>
  <c r="G37" i="7" s="1"/>
  <c r="C111" i="18"/>
  <c r="J111" i="18" s="1"/>
  <c r="D117" i="7"/>
  <c r="F117" i="7" s="1"/>
  <c r="G117" i="7" s="1"/>
  <c r="C89" i="18"/>
  <c r="J89" i="18" s="1"/>
  <c r="D95" i="7"/>
  <c r="F95" i="7" s="1"/>
  <c r="G95" i="7" s="1"/>
  <c r="C67" i="18"/>
  <c r="J67" i="18" s="1"/>
  <c r="D73" i="7"/>
  <c r="F73" i="7" s="1"/>
  <c r="G73" i="7" s="1"/>
  <c r="C45" i="18"/>
  <c r="J45" i="18" s="1"/>
  <c r="D51" i="7"/>
  <c r="F51" i="7" s="1"/>
  <c r="G51" i="7" s="1"/>
  <c r="C22" i="18"/>
  <c r="J22" i="18" s="1"/>
  <c r="D28" i="7"/>
  <c r="F28" i="7" s="1"/>
  <c r="G28" i="7" s="1"/>
  <c r="C105" i="18"/>
  <c r="J105" i="18" s="1"/>
  <c r="D111" i="7"/>
  <c r="F111" i="7" s="1"/>
  <c r="G111" i="7" s="1"/>
  <c r="C83" i="18"/>
  <c r="J83" i="18" s="1"/>
  <c r="D89" i="7"/>
  <c r="F89" i="7" s="1"/>
  <c r="G89" i="7" s="1"/>
  <c r="C61" i="18"/>
  <c r="J61" i="18" s="1"/>
  <c r="D67" i="7"/>
  <c r="F67" i="7" s="1"/>
  <c r="G67" i="7" s="1"/>
  <c r="C16" i="18"/>
  <c r="J16" i="18" s="1"/>
  <c r="D22" i="7"/>
  <c r="F22" i="7" s="1"/>
  <c r="G22" i="7" s="1"/>
  <c r="C104" i="18"/>
  <c r="J104" i="18" s="1"/>
  <c r="D110" i="7"/>
  <c r="F110" i="7" s="1"/>
  <c r="G110" i="7" s="1"/>
  <c r="C38" i="18"/>
  <c r="J38" i="18" s="1"/>
  <c r="D44" i="7"/>
  <c r="F44" i="7" s="1"/>
  <c r="G44" i="7" s="1"/>
  <c r="C95" i="18"/>
  <c r="J95" i="18" s="1"/>
  <c r="D101" i="7"/>
  <c r="F101" i="7" s="1"/>
  <c r="G101" i="7" s="1"/>
  <c r="C51" i="18"/>
  <c r="J51" i="18" s="1"/>
  <c r="D57" i="7"/>
  <c r="F57" i="7" s="1"/>
  <c r="G57" i="7" s="1"/>
  <c r="C116" i="18"/>
  <c r="J116" i="18" s="1"/>
  <c r="D122" i="7"/>
  <c r="F122" i="7" s="1"/>
  <c r="G122" i="7" s="1"/>
  <c r="C94" i="18"/>
  <c r="J94" i="18" s="1"/>
  <c r="D100" i="7"/>
  <c r="F100" i="7" s="1"/>
  <c r="G100" i="7" s="1"/>
  <c r="C72" i="18"/>
  <c r="J72" i="18" s="1"/>
  <c r="D78" i="7"/>
  <c r="F78" i="7" s="1"/>
  <c r="G78" i="7" s="1"/>
  <c r="C50" i="18"/>
  <c r="J50" i="18" s="1"/>
  <c r="D56" i="7"/>
  <c r="F56" i="7" s="1"/>
  <c r="G56" i="7" s="1"/>
  <c r="C28" i="18"/>
  <c r="J28" i="18" s="1"/>
  <c r="D34" i="7"/>
  <c r="F34" i="7" s="1"/>
  <c r="G34" i="7" s="1"/>
  <c r="C93" i="18"/>
  <c r="J93" i="18" s="1"/>
  <c r="D99" i="7"/>
  <c r="F99" i="7" s="1"/>
  <c r="G99" i="7" s="1"/>
  <c r="C71" i="18"/>
  <c r="J71" i="18" s="1"/>
  <c r="D77" i="7"/>
  <c r="F77" i="7" s="1"/>
  <c r="G77" i="7" s="1"/>
  <c r="C49" i="18"/>
  <c r="J49" i="18" s="1"/>
  <c r="D55" i="7"/>
  <c r="F55" i="7" s="1"/>
  <c r="G55" i="7" s="1"/>
  <c r="C27" i="18"/>
  <c r="J27" i="18" s="1"/>
  <c r="D33" i="7"/>
  <c r="F33" i="7" s="1"/>
  <c r="G33" i="7" s="1"/>
  <c r="C114" i="18"/>
  <c r="J114" i="18" s="1"/>
  <c r="D120" i="7"/>
  <c r="F120" i="7" s="1"/>
  <c r="G120" i="7" s="1"/>
  <c r="C92" i="18"/>
  <c r="J92" i="18" s="1"/>
  <c r="D98" i="7"/>
  <c r="F98" i="7" s="1"/>
  <c r="G98" i="7" s="1"/>
  <c r="C70" i="18"/>
  <c r="J70" i="18" s="1"/>
  <c r="D76" i="7"/>
  <c r="F76" i="7" s="1"/>
  <c r="G76" i="7" s="1"/>
  <c r="C48" i="18"/>
  <c r="J48" i="18" s="1"/>
  <c r="D54" i="7"/>
  <c r="F54" i="7" s="1"/>
  <c r="G54" i="7" s="1"/>
  <c r="C25" i="18"/>
  <c r="J25" i="18" s="1"/>
  <c r="D31" i="7"/>
  <c r="F31" i="7" s="1"/>
  <c r="G31" i="7" s="1"/>
  <c r="C112" i="18"/>
  <c r="J112" i="18" s="1"/>
  <c r="D118" i="7"/>
  <c r="F118" i="7" s="1"/>
  <c r="G118" i="7" s="1"/>
  <c r="C90" i="18"/>
  <c r="J90" i="18" s="1"/>
  <c r="D96" i="7"/>
  <c r="F96" i="7" s="1"/>
  <c r="G96" i="7" s="1"/>
  <c r="C68" i="18"/>
  <c r="J68" i="18" s="1"/>
  <c r="D74" i="7"/>
  <c r="F74" i="7" s="1"/>
  <c r="G74" i="7" s="1"/>
  <c r="C46" i="18"/>
  <c r="J46" i="18" s="1"/>
  <c r="D52" i="7"/>
  <c r="F52" i="7" s="1"/>
  <c r="G52" i="7" s="1"/>
  <c r="C23" i="18"/>
  <c r="J23" i="18" s="1"/>
  <c r="D29" i="7"/>
  <c r="F29" i="7" s="1"/>
  <c r="G29" i="7" s="1"/>
  <c r="C110" i="18"/>
  <c r="J110" i="18" s="1"/>
  <c r="D116" i="7"/>
  <c r="F116" i="7" s="1"/>
  <c r="G116" i="7" s="1"/>
  <c r="C88" i="18"/>
  <c r="J88" i="18" s="1"/>
  <c r="D94" i="7"/>
  <c r="F94" i="7" s="1"/>
  <c r="G94" i="7" s="1"/>
  <c r="C66" i="18"/>
  <c r="J66" i="18" s="1"/>
  <c r="D72" i="7"/>
  <c r="F72" i="7" s="1"/>
  <c r="G72" i="7" s="1"/>
  <c r="C44" i="18"/>
  <c r="J44" i="18" s="1"/>
  <c r="D50" i="7"/>
  <c r="F50" i="7" s="1"/>
  <c r="G50" i="7" s="1"/>
  <c r="C21" i="18"/>
  <c r="J21" i="18" s="1"/>
  <c r="D27" i="7"/>
  <c r="F27" i="7" s="1"/>
  <c r="G27" i="7" s="1"/>
  <c r="C10" i="18"/>
  <c r="J10" i="18" s="1"/>
  <c r="D16" i="7"/>
  <c r="F16" i="7" s="1"/>
  <c r="G16" i="7" s="1"/>
  <c r="F3" i="13"/>
  <c r="F4" i="13"/>
  <c r="I99" i="18"/>
  <c r="I62" i="18"/>
  <c r="I69" i="18"/>
  <c r="I24" i="18"/>
  <c r="I55" i="18"/>
  <c r="I75" i="18"/>
  <c r="I67" i="18"/>
  <c r="I33" i="18"/>
  <c r="I53" i="18"/>
  <c r="I30" i="18"/>
  <c r="I113" i="18"/>
  <c r="I92" i="18"/>
  <c r="I3" i="18"/>
  <c r="I11" i="18"/>
  <c r="I31" i="18"/>
  <c r="I8" i="18"/>
  <c r="I22" i="18"/>
  <c r="I76" i="18"/>
  <c r="I28" i="18"/>
  <c r="I84" i="18"/>
  <c r="I104" i="18"/>
  <c r="I74" i="18"/>
  <c r="I47" i="18"/>
  <c r="I40" i="18"/>
  <c r="I117" i="18"/>
  <c r="I66" i="18"/>
  <c r="I83" i="18"/>
  <c r="I115" i="18"/>
  <c r="I112" i="18"/>
  <c r="I71" i="18"/>
  <c r="I41" i="18"/>
  <c r="I95" i="18"/>
  <c r="I48" i="18"/>
  <c r="I56" i="18"/>
  <c r="I97" i="18"/>
  <c r="I78" i="18"/>
  <c r="I105" i="18"/>
  <c r="I87" i="18"/>
  <c r="I103" i="18"/>
  <c r="I5" i="18"/>
  <c r="I108" i="18"/>
  <c r="I88" i="18"/>
  <c r="I6" i="18"/>
  <c r="I57" i="18"/>
  <c r="I9" i="18"/>
  <c r="I4" i="18"/>
  <c r="I102" i="18"/>
  <c r="I96" i="18"/>
  <c r="I100" i="18"/>
  <c r="I91" i="18"/>
  <c r="I98" i="18"/>
  <c r="I39" i="18"/>
  <c r="I14" i="18"/>
  <c r="I64" i="18"/>
  <c r="I82" i="18"/>
  <c r="I13" i="18"/>
  <c r="I42" i="18"/>
  <c r="I19" i="18"/>
  <c r="I37" i="18"/>
  <c r="I20" i="18"/>
  <c r="I29" i="18"/>
  <c r="I10" i="18"/>
  <c r="I80" i="18"/>
  <c r="I101" i="18"/>
  <c r="I63" i="18"/>
  <c r="I25" i="18"/>
  <c r="I109" i="18"/>
  <c r="I12" i="18"/>
  <c r="I72" i="18"/>
  <c r="I50" i="18"/>
  <c r="I32" i="18"/>
  <c r="I7" i="18"/>
  <c r="I54" i="18"/>
  <c r="I18" i="18"/>
  <c r="I61" i="18"/>
  <c r="I58" i="18"/>
  <c r="I60" i="18"/>
  <c r="I46" i="18"/>
  <c r="I73" i="18"/>
  <c r="I89" i="18"/>
  <c r="I70" i="18"/>
  <c r="I45" i="18"/>
  <c r="I35" i="18"/>
  <c r="I36" i="18"/>
  <c r="I52" i="18"/>
  <c r="I114" i="18"/>
  <c r="I65" i="18"/>
  <c r="I15" i="18"/>
  <c r="I85" i="18"/>
  <c r="I49" i="18"/>
  <c r="I17" i="18"/>
  <c r="I111" i="18"/>
  <c r="I106" i="18"/>
  <c r="I26" i="18"/>
  <c r="I90" i="18"/>
  <c r="I38" i="18"/>
  <c r="I68" i="18"/>
  <c r="I51" i="18"/>
  <c r="I93" i="18"/>
  <c r="I79" i="18"/>
  <c r="I110" i="18"/>
  <c r="I107" i="18"/>
  <c r="I23" i="18"/>
  <c r="I34" i="18"/>
  <c r="I116" i="18"/>
  <c r="I44" i="18"/>
  <c r="I16" i="18"/>
  <c r="I81" i="18"/>
  <c r="I59" i="18"/>
  <c r="I94" i="18"/>
  <c r="I27" i="18"/>
  <c r="I21" i="18"/>
  <c r="I43" i="18"/>
  <c r="I77" i="18"/>
  <c r="I86" i="18"/>
  <c r="D204" i="18"/>
  <c r="I204" i="18" s="1"/>
  <c r="F51" i="18"/>
  <c r="K51" i="18" s="1"/>
  <c r="F20" i="18"/>
  <c r="K20" i="18" s="1"/>
  <c r="F110" i="18"/>
  <c r="K110" i="18" s="1"/>
  <c r="F108" i="18"/>
  <c r="F16" i="18"/>
  <c r="K16" i="18" s="1"/>
  <c r="F31" i="18"/>
  <c r="K31" i="18" s="1"/>
  <c r="F9" i="18"/>
  <c r="K9" i="18" s="1"/>
  <c r="F113" i="18"/>
  <c r="K113" i="18" s="1"/>
  <c r="F46" i="18"/>
  <c r="F8" i="18"/>
  <c r="K8" i="18" s="1"/>
  <c r="M8" i="18" s="1"/>
  <c r="F77" i="18"/>
  <c r="K77" i="18" s="1"/>
  <c r="F86" i="18"/>
  <c r="K86" i="18" s="1"/>
  <c r="M86" i="18" s="1"/>
  <c r="F105" i="18"/>
  <c r="K105" i="18" s="1"/>
  <c r="F57" i="18"/>
  <c r="K57" i="18" s="1"/>
  <c r="M57" i="18" s="1"/>
  <c r="F82" i="18"/>
  <c r="K82" i="18" s="1"/>
  <c r="F97" i="18"/>
  <c r="K97" i="18" s="1"/>
  <c r="F23" i="18"/>
  <c r="K23" i="18" s="1"/>
  <c r="M23" i="18" s="1"/>
  <c r="F73" i="18"/>
  <c r="K73" i="18" s="1"/>
  <c r="F80" i="18"/>
  <c r="K80" i="18" s="1"/>
  <c r="F32" i="18"/>
  <c r="F26" i="18"/>
  <c r="K26" i="18" s="1"/>
  <c r="F78" i="18"/>
  <c r="F66" i="18"/>
  <c r="K106" i="18"/>
  <c r="F10" i="18"/>
  <c r="K10" i="18" s="1"/>
  <c r="F27" i="18"/>
  <c r="K27" i="18" s="1"/>
  <c r="F35" i="18"/>
  <c r="F12" i="18"/>
  <c r="K12" i="18" s="1"/>
  <c r="F100" i="18"/>
  <c r="K100" i="18" s="1"/>
  <c r="F68" i="18"/>
  <c r="F54" i="18"/>
  <c r="K54" i="18" s="1"/>
  <c r="M54" i="18" s="1"/>
  <c r="F83" i="18"/>
  <c r="K83" i="18" s="1"/>
  <c r="F61" i="18"/>
  <c r="F88" i="18"/>
  <c r="K88" i="18" s="1"/>
  <c r="M88" i="18" s="1"/>
  <c r="F63" i="18"/>
  <c r="F15" i="18"/>
  <c r="K15" i="18" s="1"/>
  <c r="F49" i="18"/>
  <c r="F111" i="18"/>
  <c r="K111" i="18" s="1"/>
  <c r="F56" i="18"/>
  <c r="K56" i="18" s="1"/>
  <c r="F74" i="18"/>
  <c r="K74" i="18" s="1"/>
  <c r="F99" i="18"/>
  <c r="K99" i="18" s="1"/>
  <c r="M99" i="18" s="1"/>
  <c r="F92" i="18"/>
  <c r="K92" i="18" s="1"/>
  <c r="F115" i="18"/>
  <c r="K115" i="18" s="1"/>
  <c r="F67" i="18"/>
  <c r="K59" i="18"/>
  <c r="F91" i="18"/>
  <c r="K91" i="18" s="1"/>
  <c r="F96" i="18"/>
  <c r="K96" i="18" s="1"/>
  <c r="K39" i="18"/>
  <c r="F18" i="18"/>
  <c r="K18" i="18" s="1"/>
  <c r="F75" i="18"/>
  <c r="K75" i="18" s="1"/>
  <c r="F72" i="18"/>
  <c r="K72" i="18" s="1"/>
  <c r="F28" i="18"/>
  <c r="K28" i="18" s="1"/>
  <c r="F41" i="18"/>
  <c r="K41" i="18" s="1"/>
  <c r="F13" i="18"/>
  <c r="K13" i="18" s="1"/>
  <c r="M13" i="18" s="1"/>
  <c r="F38" i="18"/>
  <c r="K93" i="18"/>
  <c r="F107" i="18"/>
  <c r="F95" i="18"/>
  <c r="K95" i="18" s="1"/>
  <c r="F45" i="18"/>
  <c r="K45" i="18" s="1"/>
  <c r="F4" i="18"/>
  <c r="F44" i="18"/>
  <c r="K44" i="18" s="1"/>
  <c r="F3" i="18"/>
  <c r="K101" i="18"/>
  <c r="F43" i="18"/>
  <c r="F48" i="18"/>
  <c r="F19" i="18"/>
  <c r="K19" i="18" s="1"/>
  <c r="K17" i="18"/>
  <c r="F109" i="18"/>
  <c r="K109" i="18" s="1"/>
  <c r="F5" i="18"/>
  <c r="K5" i="18" s="1"/>
  <c r="F47" i="18"/>
  <c r="F114" i="18"/>
  <c r="K114" i="18" s="1"/>
  <c r="M114" i="18" s="1"/>
  <c r="F36" i="18"/>
  <c r="K36" i="18" s="1"/>
  <c r="F116" i="18"/>
  <c r="K116" i="18" s="1"/>
  <c r="F58" i="18"/>
  <c r="K58" i="18" s="1"/>
  <c r="M58" i="18" s="1"/>
  <c r="F87" i="18"/>
  <c r="K87" i="18" s="1"/>
  <c r="F98" i="18"/>
  <c r="K98" i="18" s="1"/>
  <c r="F94" i="18"/>
  <c r="K30" i="18"/>
  <c r="F50" i="18"/>
  <c r="K50" i="18" s="1"/>
  <c r="F62" i="18"/>
  <c r="F64" i="18"/>
  <c r="F6" i="18"/>
  <c r="F103" i="18"/>
  <c r="K103" i="18" s="1"/>
  <c r="F55" i="18"/>
  <c r="K55" i="18" s="1"/>
  <c r="M55" i="18" s="1"/>
  <c r="F117" i="18"/>
  <c r="K117" i="18" s="1"/>
  <c r="F33" i="18"/>
  <c r="F90" i="18"/>
  <c r="K90" i="18" s="1"/>
  <c r="F79" i="18"/>
  <c r="F76" i="18"/>
  <c r="K76" i="18" s="1"/>
  <c r="F21" i="18"/>
  <c r="K84" i="18"/>
  <c r="F34" i="18"/>
  <c r="F70" i="18"/>
  <c r="K70" i="18" s="1"/>
  <c r="K25" i="18"/>
  <c r="F29" i="18"/>
  <c r="F22" i="18"/>
  <c r="F65" i="18"/>
  <c r="F14" i="18"/>
  <c r="K14" i="18" s="1"/>
  <c r="F37" i="18"/>
  <c r="F85" i="18"/>
  <c r="K85" i="18" s="1"/>
  <c r="M85" i="18" s="1"/>
  <c r="F104" i="18"/>
  <c r="K104" i="18" s="1"/>
  <c r="F11" i="18"/>
  <c r="K11" i="18" s="1"/>
  <c r="F112" i="18"/>
  <c r="F81" i="18"/>
  <c r="K81" i="18" s="1"/>
  <c r="F53" i="18"/>
  <c r="K53" i="18" s="1"/>
  <c r="M53" i="18" s="1"/>
  <c r="F7" i="18"/>
  <c r="F24" i="18"/>
  <c r="F40" i="18"/>
  <c r="F71" i="18"/>
  <c r="K71" i="18" s="1"/>
  <c r="M71" i="18" s="1"/>
  <c r="F52" i="18"/>
  <c r="K52" i="18" s="1"/>
  <c r="F69" i="18"/>
  <c r="F89" i="18"/>
  <c r="K89" i="18" s="1"/>
  <c r="F42" i="18"/>
  <c r="K42" i="18" s="1"/>
  <c r="F102" i="18"/>
  <c r="K102" i="18" s="1"/>
  <c r="F60" i="18"/>
  <c r="K60" i="18" s="1"/>
  <c r="D197" i="18"/>
  <c r="D198" i="18"/>
  <c r="D194" i="18"/>
  <c r="D195" i="18"/>
  <c r="I191" i="18"/>
  <c r="I190" i="18"/>
  <c r="D201" i="18"/>
  <c r="I201" i="18" s="1"/>
  <c r="D196" i="18"/>
  <c r="D202" i="18"/>
  <c r="I202" i="18" s="1"/>
  <c r="D200" i="18"/>
  <c r="I189" i="18"/>
  <c r="D203" i="18"/>
  <c r="A4" i="29"/>
  <c r="D205" i="18"/>
  <c r="A5" i="29"/>
  <c r="D185" i="18"/>
  <c r="A6" i="29"/>
  <c r="D186" i="18"/>
  <c r="D199" i="18"/>
  <c r="I188" i="18"/>
  <c r="A15" i="29"/>
  <c r="A16" i="25"/>
  <c r="D193" i="18"/>
  <c r="A16" i="29"/>
  <c r="A17" i="25"/>
  <c r="D192" i="18"/>
  <c r="A17" i="29"/>
  <c r="A18" i="25"/>
  <c r="D191" i="18"/>
  <c r="A18" i="29"/>
  <c r="A19" i="25"/>
  <c r="D190" i="18"/>
  <c r="A20" i="25"/>
  <c r="A19" i="29"/>
  <c r="D189" i="18"/>
  <c r="A21" i="25"/>
  <c r="A20" i="29"/>
  <c r="D188" i="18"/>
  <c r="A22" i="25"/>
  <c r="A21" i="29"/>
  <c r="D187" i="18"/>
  <c r="A22" i="29"/>
  <c r="A23" i="25"/>
  <c r="A14" i="29"/>
  <c r="A15" i="25"/>
  <c r="A23" i="29"/>
  <c r="A24" i="25"/>
  <c r="B206" i="18"/>
  <c r="M73" i="18" l="1"/>
  <c r="M74" i="18"/>
  <c r="M103" i="18"/>
  <c r="M44" i="18"/>
  <c r="M81" i="18"/>
  <c r="M111" i="18"/>
  <c r="M82" i="18"/>
  <c r="M72" i="18"/>
  <c r="M25" i="18"/>
  <c r="M52" i="18"/>
  <c r="M59" i="18"/>
  <c r="M45" i="18"/>
  <c r="M11" i="18"/>
  <c r="M95" i="18"/>
  <c r="M15" i="18"/>
  <c r="M104" i="18"/>
  <c r="M50" i="18"/>
  <c r="M105" i="18"/>
  <c r="G11" i="7"/>
  <c r="F127" i="7"/>
  <c r="G127" i="7" s="1"/>
  <c r="M30" i="18"/>
  <c r="M113" i="18"/>
  <c r="M116" i="18"/>
  <c r="M12" i="18"/>
  <c r="M70" i="18"/>
  <c r="M20" i="18"/>
  <c r="M76" i="18"/>
  <c r="M51" i="18"/>
  <c r="M19" i="18"/>
  <c r="M92" i="18"/>
  <c r="K121" i="18"/>
  <c r="L121" i="18"/>
  <c r="M42" i="18"/>
  <c r="M84" i="18"/>
  <c r="M96" i="18"/>
  <c r="M89" i="18"/>
  <c r="M90" i="18"/>
  <c r="M115" i="18"/>
  <c r="M26" i="18"/>
  <c r="M117" i="18"/>
  <c r="M101" i="18"/>
  <c r="M80" i="18"/>
  <c r="M97" i="18"/>
  <c r="M100" i="18"/>
  <c r="M83" i="18"/>
  <c r="M41" i="18"/>
  <c r="M28" i="18"/>
  <c r="M60" i="18"/>
  <c r="M36" i="18"/>
  <c r="M75" i="18"/>
  <c r="M9" i="18"/>
  <c r="M14" i="18"/>
  <c r="M18" i="18"/>
  <c r="M31" i="18"/>
  <c r="M56" i="18"/>
  <c r="M98" i="18"/>
  <c r="M87" i="18"/>
  <c r="M102" i="18"/>
  <c r="M39" i="18"/>
  <c r="M16" i="18"/>
  <c r="M10" i="18"/>
  <c r="M93" i="18"/>
  <c r="M77" i="18"/>
  <c r="M27" i="18"/>
  <c r="M5" i="18"/>
  <c r="M109" i="18"/>
  <c r="M91" i="18"/>
  <c r="M106" i="18"/>
  <c r="M110" i="18"/>
  <c r="K38" i="18"/>
  <c r="M38" i="18" s="1"/>
  <c r="K34" i="18"/>
  <c r="M34" i="18" s="1"/>
  <c r="K68" i="18"/>
  <c r="M68" i="18" s="1"/>
  <c r="K35" i="18"/>
  <c r="M35" i="18" s="1"/>
  <c r="K32" i="18"/>
  <c r="M32" i="18" s="1"/>
  <c r="K66" i="18"/>
  <c r="M66" i="18" s="1"/>
  <c r="K49" i="18"/>
  <c r="M49" i="18" s="1"/>
  <c r="K24" i="18"/>
  <c r="M24" i="18" s="1"/>
  <c r="K94" i="18"/>
  <c r="M94" i="18" s="1"/>
  <c r="K6" i="18"/>
  <c r="M6" i="18" s="1"/>
  <c r="K29" i="18"/>
  <c r="M29" i="18" s="1"/>
  <c r="K79" i="18"/>
  <c r="M79" i="18" s="1"/>
  <c r="K43" i="18"/>
  <c r="M43" i="18" s="1"/>
  <c r="K40" i="18"/>
  <c r="M40" i="18" s="1"/>
  <c r="K64" i="18"/>
  <c r="M64" i="18" s="1"/>
  <c r="K7" i="18"/>
  <c r="M7" i="18" s="1"/>
  <c r="K108" i="18"/>
  <c r="M108" i="18" s="1"/>
  <c r="K62" i="18"/>
  <c r="M62" i="18" s="1"/>
  <c r="K37" i="18"/>
  <c r="M37" i="18" s="1"/>
  <c r="I195" i="18"/>
  <c r="K4" i="18"/>
  <c r="M4" i="18" s="1"/>
  <c r="K112" i="18"/>
  <c r="M112" i="18" s="1"/>
  <c r="K67" i="18"/>
  <c r="M67" i="18" s="1"/>
  <c r="K63" i="18"/>
  <c r="M63" i="18" s="1"/>
  <c r="K46" i="18"/>
  <c r="M46" i="18" s="1"/>
  <c r="K22" i="18"/>
  <c r="M22" i="18" s="1"/>
  <c r="K33" i="18"/>
  <c r="M33" i="18" s="1"/>
  <c r="K69" i="18"/>
  <c r="M69" i="18" s="1"/>
  <c r="K47" i="18"/>
  <c r="M47" i="18" s="1"/>
  <c r="K61" i="18"/>
  <c r="M61" i="18" s="1"/>
  <c r="K65" i="18"/>
  <c r="M65" i="18" s="1"/>
  <c r="K3" i="18"/>
  <c r="K107" i="18"/>
  <c r="M107" i="18" s="1"/>
  <c r="K48" i="18"/>
  <c r="M48" i="18" s="1"/>
  <c r="K21" i="18"/>
  <c r="M21" i="18" s="1"/>
  <c r="K78" i="18"/>
  <c r="M78" i="18" s="1"/>
  <c r="I203" i="18"/>
  <c r="I194" i="18"/>
  <c r="I197" i="18"/>
  <c r="I196" i="18"/>
  <c r="I200" i="18"/>
  <c r="I199" i="18"/>
  <c r="I192" i="18"/>
  <c r="I193" i="18"/>
  <c r="D206" i="18"/>
  <c r="I205" i="18"/>
  <c r="B133" i="7" l="1"/>
  <c r="C133" i="7" s="1"/>
  <c r="C3" i="18"/>
  <c r="J3" i="18" s="1"/>
  <c r="M3" i="18" s="1"/>
  <c r="J121" i="13"/>
  <c r="C121" i="18" s="1"/>
  <c r="J121" i="18" s="1"/>
  <c r="M121" i="18" s="1"/>
  <c r="B134" i="7"/>
  <c r="I206" i="18"/>
  <c r="B3" i="1"/>
  <c r="B18" i="1" s="1"/>
  <c r="B135" i="7" l="1"/>
  <c r="D127" i="7"/>
  <c r="D133" i="7"/>
  <c r="E133" i="7" s="1"/>
  <c r="B8" i="1"/>
  <c r="B13" i="1"/>
  <c r="C135" i="7" l="1"/>
  <c r="D135" i="7" s="1"/>
  <c r="E135" i="7" s="1"/>
  <c r="D3" i="7"/>
  <c r="A8" i="25"/>
  <c r="A9" i="25"/>
  <c r="A7" i="25"/>
  <c r="A6" i="25"/>
  <c r="A14" i="25"/>
  <c r="G137" i="7" l="1"/>
  <c r="E3" i="7" s="1"/>
  <c r="I121" i="13"/>
  <c r="A11" i="25" l="1"/>
  <c r="A13" i="25"/>
  <c r="A10" i="25"/>
  <c r="A12" i="25"/>
  <c r="A5" i="25"/>
  <c r="A3" i="29"/>
  <c r="A4" i="25"/>
  <c r="F26" i="13" l="1"/>
  <c r="F48" i="13"/>
  <c r="F70" i="13"/>
  <c r="F92" i="13"/>
  <c r="F114" i="13"/>
  <c r="F6" i="13"/>
  <c r="F50" i="13"/>
  <c r="F72" i="13"/>
  <c r="F116" i="13"/>
  <c r="F51" i="13"/>
  <c r="F95" i="13"/>
  <c r="F8" i="13"/>
  <c r="F74" i="13"/>
  <c r="F118" i="13"/>
  <c r="F31" i="13"/>
  <c r="F75" i="13"/>
  <c r="F97" i="13"/>
  <c r="F54" i="13"/>
  <c r="F120" i="13"/>
  <c r="F11" i="13"/>
  <c r="F55" i="13"/>
  <c r="F99" i="13"/>
  <c r="F12" i="13"/>
  <c r="F56" i="13"/>
  <c r="F78" i="13"/>
  <c r="F16" i="13"/>
  <c r="F82" i="13"/>
  <c r="F17" i="13"/>
  <c r="F83" i="13"/>
  <c r="F18" i="13"/>
  <c r="F62" i="13"/>
  <c r="F106" i="13"/>
  <c r="F19" i="13"/>
  <c r="F85" i="13"/>
  <c r="F42" i="13"/>
  <c r="F64" i="13"/>
  <c r="F86" i="13"/>
  <c r="F21" i="13"/>
  <c r="F43" i="13"/>
  <c r="F87" i="13"/>
  <c r="F44" i="13"/>
  <c r="F88" i="13"/>
  <c r="F45" i="13"/>
  <c r="F89" i="13"/>
  <c r="F46" i="13"/>
  <c r="F112" i="13"/>
  <c r="F25" i="13"/>
  <c r="F69" i="13"/>
  <c r="F91" i="13"/>
  <c r="F5" i="13"/>
  <c r="F27" i="13"/>
  <c r="F49" i="13"/>
  <c r="F71" i="13"/>
  <c r="F93" i="13"/>
  <c r="F115" i="13"/>
  <c r="F28" i="13"/>
  <c r="F94" i="13"/>
  <c r="F29" i="13"/>
  <c r="F73" i="13"/>
  <c r="F117" i="13"/>
  <c r="F30" i="13"/>
  <c r="F52" i="13"/>
  <c r="F96" i="13"/>
  <c r="F9" i="13"/>
  <c r="F53" i="13"/>
  <c r="F119" i="13"/>
  <c r="F10" i="13"/>
  <c r="F32" i="13"/>
  <c r="F76" i="13"/>
  <c r="F98" i="13"/>
  <c r="F33" i="13"/>
  <c r="F77" i="13"/>
  <c r="F34" i="13"/>
  <c r="F100" i="13"/>
  <c r="F13" i="13"/>
  <c r="F35" i="13"/>
  <c r="F57" i="13"/>
  <c r="F79" i="13"/>
  <c r="F101" i="13"/>
  <c r="F14" i="13"/>
  <c r="F36" i="13"/>
  <c r="F58" i="13"/>
  <c r="F80" i="13"/>
  <c r="F102" i="13"/>
  <c r="F15" i="13"/>
  <c r="F37" i="13"/>
  <c r="F59" i="13"/>
  <c r="F81" i="13"/>
  <c r="F103" i="13"/>
  <c r="F38" i="13"/>
  <c r="F60" i="13"/>
  <c r="F104" i="13"/>
  <c r="F39" i="13"/>
  <c r="F61" i="13"/>
  <c r="F105" i="13"/>
  <c r="F40" i="13"/>
  <c r="F84" i="13"/>
  <c r="F63" i="13"/>
  <c r="F107" i="13"/>
  <c r="F20" i="13"/>
  <c r="F108" i="13"/>
  <c r="F109" i="13"/>
  <c r="F22" i="13"/>
  <c r="F66" i="13"/>
  <c r="F23" i="13"/>
  <c r="F67" i="13"/>
  <c r="F24" i="13"/>
  <c r="F68" i="13"/>
  <c r="F47" i="13"/>
  <c r="F7" i="13"/>
  <c r="F41" i="13"/>
  <c r="F65" i="13"/>
  <c r="F110" i="13"/>
  <c r="F111" i="13"/>
  <c r="F90" i="13"/>
  <c r="F113" i="13"/>
  <c r="G9" i="7"/>
  <c r="A182" i="18"/>
  <c r="C134" i="7" l="1"/>
  <c r="D134" i="7" s="1"/>
  <c r="AB4" i="21"/>
  <c r="AB5" i="21"/>
  <c r="AB6" i="21"/>
  <c r="AB7" i="21"/>
  <c r="AB8" i="21"/>
  <c r="H5" i="21"/>
  <c r="H6" i="21"/>
  <c r="H7" i="21"/>
  <c r="H8" i="21"/>
  <c r="H9" i="21"/>
  <c r="H10" i="21"/>
  <c r="H11" i="21"/>
  <c r="H12" i="21"/>
  <c r="H13" i="21"/>
  <c r="H14" i="21"/>
  <c r="H15" i="21"/>
  <c r="H16" i="21"/>
  <c r="H17" i="21"/>
  <c r="H18" i="21"/>
  <c r="H19" i="21"/>
  <c r="E134" i="7" l="1"/>
  <c r="F134" i="7"/>
  <c r="F133" i="7" l="1"/>
  <c r="G133" i="7" s="1"/>
  <c r="E4" i="7" s="1"/>
  <c r="I133" i="7"/>
  <c r="I137" i="7"/>
  <c r="D4" i="7"/>
  <c r="I134" i="7"/>
</calcChain>
</file>

<file path=xl/sharedStrings.xml><?xml version="1.0" encoding="utf-8"?>
<sst xmlns="http://schemas.openxmlformats.org/spreadsheetml/2006/main" count="1759" uniqueCount="672">
  <si>
    <t>Data Sources</t>
  </si>
  <si>
    <t>Dataset</t>
  </si>
  <si>
    <t>Dodge 2023</t>
  </si>
  <si>
    <t>CEUS 2022</t>
  </si>
  <si>
    <t>ComStock 2023</t>
  </si>
  <si>
    <t>Prototype</t>
  </si>
  <si>
    <t>PNNL Outpatient prototype (90.1-2022)</t>
  </si>
  <si>
    <t>https://www.energycodes.gov/prototype-building-models#Commercial</t>
  </si>
  <si>
    <t xml:space="preserve"> </t>
  </si>
  <si>
    <t>Codes</t>
  </si>
  <si>
    <t xml:space="preserve">Title 24, part 6, referred to as T24 (1984, 2001, 2007, 2013, 2016, 2022, 2025) </t>
  </si>
  <si>
    <t>ASHRAE 90.1 (2022)</t>
  </si>
  <si>
    <t>CFR Title 10 (2008, 2010, 2025)</t>
  </si>
  <si>
    <t>ASHRAE 170/OSHPD</t>
  </si>
  <si>
    <t>2022 California Mechanical Code (Title 24, Part 4)</t>
  </si>
  <si>
    <t>ACM 2022</t>
  </si>
  <si>
    <t>T24 2022 - Appendix 5.4A and Appendix 5.4B</t>
  </si>
  <si>
    <t>https://www.energy.ca.gov/publications/2022/2022-nonresidential-and-multifamily-alternative-calculation-method-reference</t>
  </si>
  <si>
    <t>Other</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</si>
  <si>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</si>
  <si>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</si>
  <si>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</si>
  <si>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</si>
  <si>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2010</t>
  </si>
  <si>
    <t>https://www.pnnl.gov/main/publications/external/technical_reports/PNNL-20405.pdf</t>
  </si>
  <si>
    <t>Air leakage Memo, NORESCO, 2025</t>
  </si>
  <si>
    <t>https://2050partners.sharepoint.com/:w:/r/sites/CalBEMCollaborativeEfforts/_layouts/15/Doc.aspx?sourcedoc=%7B3BEF8F74-7FAC-44F2-A70C-D76617660066%7D&amp;file=Infiltration_rate_report_14May2025-Short-Version.docx&amp;wdLOR=c494C5A60-5F8A-438B-874B-578DCB850072&amp;action=default&amp;mobileredirect=true</t>
  </si>
  <si>
    <t>2019 High Efficiency Fume Hoods in Laboratory Spaces CASE Report</t>
  </si>
  <si>
    <t>https://title24stakeholders.com/wp-content/uploads/2017/09/2019-T24-CASE-Report_Fume-Hoods_Final_September-2017.pdf?</t>
  </si>
  <si>
    <t>Construction Rate</t>
  </si>
  <si>
    <t>Notes</t>
  </si>
  <si>
    <t>Outpatient</t>
  </si>
  <si>
    <t>An outpatient facility,  is a medical building that provides scheduled, non-emergency services such as diagnostic imaging, minor procedures, and consultations without overnight stays. It operates during standard business hours and includes exam rooms, procedure rooms, labs, waiting areas, and administrative spaces. HVAC systems are typically partial outdoor air systems, with moderate ventilation and pressurization controls tailored to specific healthcare spaces.</t>
  </si>
  <si>
    <t>EIA, 2018 CBECS</t>
  </si>
  <si>
    <t>On average, hospitals were 264,800 square feet per building, but outpatient health care buildings averaged 13,700 square feet.</t>
  </si>
  <si>
    <t>Source</t>
  </si>
  <si>
    <t>https://www.eia.gov/consumption/commercial/</t>
  </si>
  <si>
    <t>NORESCO, Updated August 2025</t>
  </si>
  <si>
    <t>Characteristic</t>
  </si>
  <si>
    <t>Value</t>
  </si>
  <si>
    <t>Building Type</t>
  </si>
  <si>
    <t>Building Category</t>
  </si>
  <si>
    <t>Nonresidential</t>
  </si>
  <si>
    <t>Vintages</t>
  </si>
  <si>
    <t>4 Vintages: Pre-1978 , 1978-1997 ,1998-2007 , 2008-2018
New Construction (2019+)</t>
  </si>
  <si>
    <t xml:space="preserve">Based on the vintage bin analysis
</t>
  </si>
  <si>
    <t>NonRes-Vintage bins-Draft Report-30Nov2023-Final.docx</t>
  </si>
  <si>
    <t>Shape</t>
  </si>
  <si>
    <t xml:space="preserve">The analysis uses prototype geometry originally developed by PNNL. </t>
  </si>
  <si>
    <t>Total Floor Area (ft²)</t>
  </si>
  <si>
    <t>Same as PNNL</t>
  </si>
  <si>
    <t>Aspect Ratio</t>
  </si>
  <si>
    <t>n/a</t>
  </si>
  <si>
    <t>Number of Floors</t>
  </si>
  <si>
    <t>Roof type</t>
  </si>
  <si>
    <t>Flat roof</t>
  </si>
  <si>
    <t>WWR</t>
  </si>
  <si>
    <t>North: 20.5%, East:19.1%, South: 24.1%, West: 12.9%
Average Total: 20%</t>
  </si>
  <si>
    <t>Shading Geometry</t>
  </si>
  <si>
    <t xml:space="preserve">No Shades </t>
  </si>
  <si>
    <t>Floor to floor height (feet)</t>
  </si>
  <si>
    <t xml:space="preserve">10 ft </t>
  </si>
  <si>
    <t>Floor to ceiling height (feet)</t>
  </si>
  <si>
    <t>10 ft</t>
  </si>
  <si>
    <t>Glazing sill height (feet)</t>
  </si>
  <si>
    <t>3 ft (4 ft high windows)</t>
  </si>
  <si>
    <t>Above grade wall area (ft²)</t>
  </si>
  <si>
    <t>Gross wall area  (ft²)</t>
  </si>
  <si>
    <t>Roof area  (ft²)</t>
  </si>
  <si>
    <t>Underground Gross Wall Area  (ft²)</t>
  </si>
  <si>
    <t>Space Type</t>
  </si>
  <si>
    <t>Space/ Thermal Zone</t>
  </si>
  <si>
    <t>HVAC System Name/AHU Name</t>
  </si>
  <si>
    <t>Schedule Category</t>
  </si>
  <si>
    <t>Conditioned (Y/N)</t>
  </si>
  <si>
    <t>Area Fraction</t>
  </si>
  <si>
    <t>Area (ft²)</t>
  </si>
  <si>
    <t>Volume (ft³)</t>
  </si>
  <si>
    <t>Multipliers</t>
  </si>
  <si>
    <t>Number of People</t>
  </si>
  <si>
    <t xml:space="preserve">People 
(Persons/1,000 ft²)
[T24, 2025,Table 120.1-A] </t>
  </si>
  <si>
    <t>Healthcare Facility and Hospitals (Exam/Treatment Room)</t>
  </si>
  <si>
    <t>Floor 1 Anesthesia</t>
  </si>
  <si>
    <t>AHU-1</t>
  </si>
  <si>
    <t>Health</t>
  </si>
  <si>
    <t>Yes</t>
  </si>
  <si>
    <t>Healthcare Facility and Hospitals (Medical Supply Room)</t>
  </si>
  <si>
    <t>Floor 1 Bio Haz</t>
  </si>
  <si>
    <t>Dining Area (Cafeteria/Fast Food)</t>
  </si>
  <si>
    <t>Floor 1 Café</t>
  </si>
  <si>
    <t>Floor 1 Clean</t>
  </si>
  <si>
    <t>Floor 1 Clean Work</t>
  </si>
  <si>
    <t>Office Area (&lt;250 square feet)</t>
  </si>
  <si>
    <t>Floor 1 Dictation</t>
  </si>
  <si>
    <t>Office</t>
  </si>
  <si>
    <t>Floor 1 Dressing Room</t>
  </si>
  <si>
    <t>Electrical, Mechanical, Telephone Rooms</t>
  </si>
  <si>
    <t>Floor 1 Electrical Room</t>
  </si>
  <si>
    <t>Floor 1 Elevator Pump Room</t>
  </si>
  <si>
    <t>Floor 1 Humid</t>
  </si>
  <si>
    <t>Corridor Area</t>
  </si>
  <si>
    <t>Floor 1 IT Hall</t>
  </si>
  <si>
    <t>Floor 1 IT Room</t>
  </si>
  <si>
    <t>Lobby, Main Entry</t>
  </si>
  <si>
    <t>Floor 1 Lobby</t>
  </si>
  <si>
    <t>Floor 1 Lobby Hall</t>
  </si>
  <si>
    <t>Restrooms</t>
  </si>
  <si>
    <t>Floor 1 Lobby Toilet</t>
  </si>
  <si>
    <t>Locker Room</t>
  </si>
  <si>
    <t>Floor 1 Locker Room</t>
  </si>
  <si>
    <t>Floor 1 Locker Room Hall</t>
  </si>
  <si>
    <t>Lounge, Breakroom, or Waiting Area</t>
  </si>
  <si>
    <t>Floor 1 Lounge</t>
  </si>
  <si>
    <t>Floor 1 Med Gas</t>
  </si>
  <si>
    <t>Healthcare Facility and Hospitals (Imaging Room)</t>
  </si>
  <si>
    <t>Floor 1 MRI Control Room</t>
  </si>
  <si>
    <t>Floor 1 MRI Hall</t>
  </si>
  <si>
    <t>Floor 1 MRI Room</t>
  </si>
  <si>
    <t>Floor 1 MRI Toilet</t>
  </si>
  <si>
    <t>Kitchen/Food Preparation Area</t>
  </si>
  <si>
    <t>Floor 1 Nourishment</t>
  </si>
  <si>
    <t>Floor 1 Nurse Hall</t>
  </si>
  <si>
    <t>Storage (General)</t>
  </si>
  <si>
    <t>Floor 1 Nurse Janitor</t>
  </si>
  <si>
    <t>Healthcare Facility and Hospitals (Nurse's Station)</t>
  </si>
  <si>
    <t>Floor 1 Nurse Station</t>
  </si>
  <si>
    <t>Floor 1 Nurse Toilet</t>
  </si>
  <si>
    <t>Office Area (&gt;250 square feet)</t>
  </si>
  <si>
    <t>Floor 1 Office</t>
  </si>
  <si>
    <t>Healthcare Facility and Hospitals (Operating Room)</t>
  </si>
  <si>
    <t>Floor 1 Operating Room 1</t>
  </si>
  <si>
    <t>Floor 1 Operating Room 2</t>
  </si>
  <si>
    <t>Floor 1 Operating Room 3</t>
  </si>
  <si>
    <t>Healthcare Facility and Hospitals (Recovery Room)</t>
  </si>
  <si>
    <t>Floor 1 PACU</t>
  </si>
  <si>
    <t>Floor 1 Pre-Op Hall</t>
  </si>
  <si>
    <t>Healthcare Facility and Hospitals (Patient Room)</t>
  </si>
  <si>
    <t>Floor 1 Pre-Op Room 1</t>
  </si>
  <si>
    <t>Floor 1 Pre-Op Room 2</t>
  </si>
  <si>
    <t>Floor 1 Pre-Op Toilet</t>
  </si>
  <si>
    <t>Floor 1 Procedure Room</t>
  </si>
  <si>
    <t>Reception area</t>
  </si>
  <si>
    <t>Floor 1 Reception</t>
  </si>
  <si>
    <t>Floor 1 Reception Hall</t>
  </si>
  <si>
    <t>Floor 1 Recovery Room</t>
  </si>
  <si>
    <t>Floor 1 Scheduling</t>
  </si>
  <si>
    <t>Floor 1 Scrub</t>
  </si>
  <si>
    <t>Floor 1 Soil</t>
  </si>
  <si>
    <t>Floor 1 Soil Hold</t>
  </si>
  <si>
    <t>Floor 1 Soil Work</t>
  </si>
  <si>
    <t>Floor 1 Step Down</t>
  </si>
  <si>
    <t>Floor 1 Sterile Hall</t>
  </si>
  <si>
    <t>Floor 1 Sterile Storage</t>
  </si>
  <si>
    <t>Floor 1 Storage</t>
  </si>
  <si>
    <t>Floor 1 Sub-Sterile</t>
  </si>
  <si>
    <t>Floor 1 Utility Hall</t>
  </si>
  <si>
    <t>Floor 1 Utility Janitor</t>
  </si>
  <si>
    <t>Floor 1 Utility Room</t>
  </si>
  <si>
    <t>Floor 1 Vestibule</t>
  </si>
  <si>
    <t>Convention, Conference, Multipurpose and Meeting Area</t>
  </si>
  <si>
    <t>Floor 2 Conference</t>
  </si>
  <si>
    <t>AHU-2</t>
  </si>
  <si>
    <t>Floor 2 Conference Toilet</t>
  </si>
  <si>
    <t>Floor 2 Dictation</t>
  </si>
  <si>
    <t>Floor 2 Exam 1</t>
  </si>
  <si>
    <t>Floor 2 Exam 2</t>
  </si>
  <si>
    <t>Floor 2 Exam 3</t>
  </si>
  <si>
    <t>Floor 2 Exam 4</t>
  </si>
  <si>
    <t>Floor 2 Exam 5</t>
  </si>
  <si>
    <t>Floor 2 Exam 6</t>
  </si>
  <si>
    <t>Floor 2 Exam 7</t>
  </si>
  <si>
    <t>Floor 2 Exam 8</t>
  </si>
  <si>
    <t>Floor 2 Exam 9</t>
  </si>
  <si>
    <t>Floor 2 Exam Hall 1</t>
  </si>
  <si>
    <t>Floor 2 Exam Hall 2</t>
  </si>
  <si>
    <t>Floor 2 Exam Hall 3</t>
  </si>
  <si>
    <t>Floor 2 Exam Hall 4</t>
  </si>
  <si>
    <t>Floor 2 Exam Hall 5</t>
  </si>
  <si>
    <t>Floor 2 Exam Hall 6</t>
  </si>
  <si>
    <t>Floor 2 Janitor</t>
  </si>
  <si>
    <t>Floor 2 Lounge</t>
  </si>
  <si>
    <t>Floor 2 Nurse Station 1</t>
  </si>
  <si>
    <t>Floor 2 Nurse Station 2</t>
  </si>
  <si>
    <t>Floor 2 Office</t>
  </si>
  <si>
    <t>Floor 2 Office Hall</t>
  </si>
  <si>
    <t>Floor 2 Reception</t>
  </si>
  <si>
    <t>Floor 2 Reception Hall</t>
  </si>
  <si>
    <t>Floor 2 Reception Toilet</t>
  </si>
  <si>
    <t>Floor 2 Scheduling 1</t>
  </si>
  <si>
    <t>Floor 2 Scheduling 2</t>
  </si>
  <si>
    <t>Floor 2 Storage 1</t>
  </si>
  <si>
    <t>Floor 2 Storage 2</t>
  </si>
  <si>
    <t>Floor 2 Storage 3</t>
  </si>
  <si>
    <t>Floor 2 Utility</t>
  </si>
  <si>
    <t>Floor 2 Work</t>
  </si>
  <si>
    <t>Floor 2 Work Hall</t>
  </si>
  <si>
    <t>Floor 2 Work Toilet</t>
  </si>
  <si>
    <t>Floor 2 X-Ray</t>
  </si>
  <si>
    <t>Floor 3 Dressing Room</t>
  </si>
  <si>
    <t>AHU-3</t>
  </si>
  <si>
    <t>Floor 3 Elevator Hall</t>
  </si>
  <si>
    <t>Floor 3 Humid</t>
  </si>
  <si>
    <t>Floor 3 Janitor</t>
  </si>
  <si>
    <t>Floor 3 Locker</t>
  </si>
  <si>
    <t>Floor 3 Lounge</t>
  </si>
  <si>
    <t>Floor 3 Lounge Toilet</t>
  </si>
  <si>
    <t>Floor 3 Mechanical</t>
  </si>
  <si>
    <t>Floor 3 Mechanical Hall</t>
  </si>
  <si>
    <t>Floor 3 Office</t>
  </si>
  <si>
    <t>Floor 3 Office Hall</t>
  </si>
  <si>
    <t>Floor 3 Office Toilet</t>
  </si>
  <si>
    <t>Healthcare Facility and Hospitals (Physical Therapy Room)</t>
  </si>
  <si>
    <t>Floor 3 Physical Therapy 1</t>
  </si>
  <si>
    <t>Floor 3 Physical Therapy 2</t>
  </si>
  <si>
    <t>Floor 3 Physical Therapy Toilet</t>
  </si>
  <si>
    <t>Floor 3 Storage 1</t>
  </si>
  <si>
    <t>Floor 3 Storage 2</t>
  </si>
  <si>
    <t>Floor 3 Treatment</t>
  </si>
  <si>
    <t>Floor 3 Undeveloped 1</t>
  </si>
  <si>
    <t>Floor 3 Undeveloped 2</t>
  </si>
  <si>
    <t>Floor 3 Utility</t>
  </si>
  <si>
    <t>Floor 3 Work</t>
  </si>
  <si>
    <t>Stairwell</t>
  </si>
  <si>
    <t>NE Stair</t>
  </si>
  <si>
    <t>Elevator</t>
  </si>
  <si>
    <t>NW Elevator</t>
  </si>
  <si>
    <t>NW Stair</t>
  </si>
  <si>
    <t>SW Stair</t>
  </si>
  <si>
    <t>Total (23 Space types)</t>
  </si>
  <si>
    <t>Total ( 118 spaces)</t>
  </si>
  <si>
    <t>Total ( Thermal Zones)</t>
  </si>
  <si>
    <t xml:space="preserve"> Total ( 118 Conditioned zones)</t>
  </si>
  <si>
    <t>Background Data [To be deleted prior to publication]</t>
  </si>
  <si>
    <t>Element</t>
  </si>
  <si>
    <t xml:space="preserve"> Assembly Type</t>
  </si>
  <si>
    <t>Construction</t>
  </si>
  <si>
    <t>Unit</t>
  </si>
  <si>
    <t>Vintage</t>
  </si>
  <si>
    <t>Selected T24</t>
  </si>
  <si>
    <t>Note</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</si>
  <si>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</si>
  <si>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</si>
  <si>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</si>
  <si>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</si>
  <si>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</si>
  <si>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</si>
  <si>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</si>
  <si>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</si>
  <si>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</si>
  <si>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</si>
  <si>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</si>
  <si>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</si>
  <si>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</si>
  <si>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</si>
  <si>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</si>
  <si>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</si>
  <si>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</si>
  <si>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</si>
  <si>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 + insulation + gypsum board</t>
  </si>
  <si>
    <t>U-value IP</t>
  </si>
  <si>
    <t>Pre 1978</t>
  </si>
  <si>
    <t>N/A</t>
  </si>
  <si>
    <t>ASHRAE 90.1,2022 Table A3.3.3.1, 3.5", R-0</t>
  </si>
  <si>
    <t>1978-1997</t>
  </si>
  <si>
    <t>Package A with heat capacity around 10 (Btu/F/ft²)</t>
  </si>
  <si>
    <t>1998-2007</t>
  </si>
  <si>
    <t>Table 1-H</t>
  </si>
  <si>
    <t>2008-2018</t>
  </si>
  <si>
    <t>Table 140.3-B</t>
  </si>
  <si>
    <t>2019+</t>
  </si>
  <si>
    <t>Roof</t>
  </si>
  <si>
    <t>FlatRoof_WoodFramedAndOther_NonRes</t>
  </si>
  <si>
    <t>Built-up Roof (Metal Decking Roof): 
Roof membrane + roof insulation + metal decking</t>
  </si>
  <si>
    <t>Considering 30 years for roof/ insulation replacement.</t>
  </si>
  <si>
    <t>Windows</t>
  </si>
  <si>
    <t>FixedWindow_NonRes</t>
  </si>
  <si>
    <t xml:space="preserve">Single pane </t>
  </si>
  <si>
    <t>ASHRAE Handbook of Fundamentals (Table 4-Ch15) for single pane &amp; T24, 2013  for double pane(88%-12%)*</t>
  </si>
  <si>
    <t>Double pane</t>
  </si>
  <si>
    <t>SHGC</t>
  </si>
  <si>
    <t>ASHRAE Handbook of Fundamentals (Table 10-Ch15) for single pane &amp; T24, 2013  for double pane(88%-12%)*</t>
  </si>
  <si>
    <t>Table 1-H - WWR:10-20% / SHGC non-north</t>
  </si>
  <si>
    <t>PNNL models have steel-framed walls.</t>
  </si>
  <si>
    <t xml:space="preserve">Infiltration </t>
  </si>
  <si>
    <t>I_75
6-sdied Infiltration rate @ 75 pa</t>
  </si>
  <si>
    <t xml:space="preserve"> I-design (cfm/ft²) 
(4-sided Infiltration rate at normal pressure) 
(Design flow rate approach and Flow/Exterior Wall Area calculation method) </t>
  </si>
  <si>
    <t>Infiltration</t>
  </si>
  <si>
    <t>2022 CASE report (Table 38)</t>
  </si>
  <si>
    <t>2022 CASE report (Table 38) &amp;
T24, 2008-2016 (Table 140.3-B)--Air barrier is required in CZ 10-16</t>
  </si>
  <si>
    <t>2022 CASE report (Table 38) &amp;  
T24, 2025 (Table 140.3-B)--Air barrier is required in all CZs</t>
  </si>
  <si>
    <t>Source:  Title 24 air barrier requirements (all editions) and the standardized infiltration rate reported in the 2022 CASE report and Dodge 2023 data</t>
  </si>
  <si>
    <t xml:space="preserve">Air Leakage Memo: </t>
  </si>
  <si>
    <t>Infiltration_rate_report_14May2025-Short-Version.docx</t>
  </si>
  <si>
    <t>Setpoint</t>
  </si>
  <si>
    <t>Health Heating Setpoint (F)</t>
  </si>
  <si>
    <t>T24 2022 - Appendix 5.4B</t>
  </si>
  <si>
    <t>PNNL Healthcare-Outpatient prototype use this setpoints: Administration zones: 72°F Cooling/70°F Heating, Critical zones: 72°F Cooling/70°F Heating, Operating rooms: 65°F Cooling/65°F Heating---PNNL Healthcare-Outpatient prototype use this setbacks: 77°F Cooling/65°F Heating, Critical zones: no setback, Operating rooms: 72°F Cooling/65°F Heating</t>
  </si>
  <si>
    <t>Health Heating Setback (F)</t>
  </si>
  <si>
    <t>Health Cooling Setpoint (F)</t>
  </si>
  <si>
    <t>Health Cooling Setback (F)</t>
  </si>
  <si>
    <t>Kitchen Heating Setpoint (F)</t>
  </si>
  <si>
    <t>PNNL 09.1, 2022 Restaurant prototype</t>
  </si>
  <si>
    <t>Kitchen Heating Setback (F)</t>
  </si>
  <si>
    <t>Kitchen Cooling Setpoint (F)</t>
  </si>
  <si>
    <t>Kitchen Cooling Setback (F)</t>
  </si>
  <si>
    <t>Spaces</t>
  </si>
  <si>
    <t xml:space="preserve">Heating </t>
  </si>
  <si>
    <t>Cooling</t>
  </si>
  <si>
    <t>Air Distribution</t>
  </si>
  <si>
    <t>Existing</t>
  </si>
  <si>
    <t xml:space="preserve">Conditioned zones </t>
  </si>
  <si>
    <t>Gas Boiler for Hydronic Reheat and Gas Furnace for Heating</t>
  </si>
  <si>
    <t>RTU DX</t>
  </si>
  <si>
    <t>Single Duct CAV--Outdoor air often supplied through RTU economizers or dedicated OA section</t>
  </si>
  <si>
    <t>CEUS 2022 (Other system based on T24 and Engineering judgement)</t>
  </si>
  <si>
    <t>Packaged RTU</t>
  </si>
  <si>
    <t>New Construction</t>
  </si>
  <si>
    <t>VAV + Hydronic Reheat</t>
  </si>
  <si>
    <t xml:space="preserve">T24 2025 ACM 2025, Table 2 and 3 
</t>
  </si>
  <si>
    <t xml:space="preserve">System 5 – PVAV </t>
  </si>
  <si>
    <t xml:space="preserve">Efficiency of HVAC system </t>
  </si>
  <si>
    <t>Upgrade/Installed year</t>
  </si>
  <si>
    <t>DX Cooling</t>
  </si>
  <si>
    <t>Gas Furnace</t>
  </si>
  <si>
    <t>Gas Boiler</t>
  </si>
  <si>
    <t>EER=9.5 (≥ 240,000 Btu/h 
and 
&lt; 760,000 Btu/h)</t>
  </si>
  <si>
    <t>. Gas-fired forced air furnaces with input ratings 
≥225,000 Btu/h--75% of the input rating</t>
  </si>
  <si>
    <t xml:space="preserve">T24, 2008 , Table 112-A (for DX Coil) </t>
  </si>
  <si>
    <t>EER=10 (≥ 240,000 Btu/h 
and 
&lt; 760,000 Btu/h)</t>
  </si>
  <si>
    <t>Warm-Air Duct 
Furnaces, Gas-Fired-All Capacities--80% Ec</t>
  </si>
  <si>
    <t>T24, 2013 , Table 110.2-D (for DX Coil) -Table 110.2-I (for Gas Furnace thermal efficiency)</t>
  </si>
  <si>
    <t>Gas-Fired Boiler ≥ 300,000 Btu/h and 
≤ 2,500,000 Btu/h-- 84% Et</t>
  </si>
  <si>
    <t>T24, 2013 , Table 110.2-A (for DX Coil) - Table 110.2-J (for Boiler thermal efficiency)-Table 110.2-I (for Gas Furnace thermal efficiency)</t>
  </si>
  <si>
    <t>* Et = Combustion efficiency</t>
  </si>
  <si>
    <t>* Et = Thermal efficiency</t>
  </si>
  <si>
    <t>Fan power</t>
  </si>
  <si>
    <t>Approach</t>
  </si>
  <si>
    <t>System</t>
  </si>
  <si>
    <t>Total Static Pressure (TSP)
in w.c.
[PNNL 20405, 2010, Table 5.11]</t>
  </si>
  <si>
    <t>Fan Efficiency
[ACM, 2025]</t>
  </si>
  <si>
    <t>Fan Motor and Drive Efficiency 
[ACM 2025, Table 13]</t>
  </si>
  <si>
    <t>W/cfm
[ACM 2025, Table 14 and 15]</t>
  </si>
  <si>
    <t>Data Source</t>
  </si>
  <si>
    <t>PNNL TSP</t>
  </si>
  <si>
    <t>Packaged RTU-CAV</t>
  </si>
  <si>
    <t xml:space="preserve"> ACM 2025, PNNL 2010 TSD</t>
  </si>
  <si>
    <t>Brake horse power (bhp)=(Supply cfm*TSP in w.c.)/(6356*Fan efficiency)</t>
  </si>
  <si>
    <t>Fan power (w/cfm) = bhp/motor and drive efficiency *746</t>
  </si>
  <si>
    <t>ACM 2025</t>
  </si>
  <si>
    <t xml:space="preserve"> 2025 ACM, PNNL 2010 TSD</t>
  </si>
  <si>
    <t>System 5-PVAV System &gt;5,000 cfm; &lt; 10,000 cfm</t>
  </si>
  <si>
    <t>System 5-PVAV System &gt;10,000 cfm</t>
  </si>
  <si>
    <t>* 0.9 is an average fan efficiency according to ACM 2025, Table 13</t>
  </si>
  <si>
    <t>Fan total eff (E+ input) = 0.65 x Motor_eff</t>
  </si>
  <si>
    <t>TSP (E+ input) in w.c. = Motor_eff/746 x (6356 x Fan_eff) x W/cfm</t>
  </si>
  <si>
    <t>Fan_eff=0.65</t>
  </si>
  <si>
    <t>CEUS 2022 data</t>
  </si>
  <si>
    <t>Water Heater</t>
  </si>
  <si>
    <t>Floorspace Heated</t>
  </si>
  <si>
    <t>Primary Heating</t>
  </si>
  <si>
    <t>Fuel Type</t>
  </si>
  <si>
    <t>Floorspace Cooled</t>
  </si>
  <si>
    <t>Primary Cooling</t>
  </si>
  <si>
    <t>Primary Air Dis</t>
  </si>
  <si>
    <t>The default is the floorspace method unless otherwise specified</t>
  </si>
  <si>
    <t>Elec</t>
  </si>
  <si>
    <t>Gas</t>
  </si>
  <si>
    <t xml:space="preserve">The default is the floorspace method unless otherwise specified </t>
  </si>
  <si>
    <t>Health Care</t>
  </si>
  <si>
    <t>Floorspace method:</t>
  </si>
  <si>
    <t>Boiler/ Hydronic (43.9%)</t>
  </si>
  <si>
    <t>Central Plant (Chiller) (43.5%)</t>
  </si>
  <si>
    <t>Single Duct CAV (53.4%)</t>
  </si>
  <si>
    <t>Package System / Heat Pump (40.8%)</t>
  </si>
  <si>
    <t>Package System / Heat Pump (40.7%)</t>
  </si>
  <si>
    <t>Fan Coil/Unit Ventilator (21.3%)</t>
  </si>
  <si>
    <t>Site method:</t>
  </si>
  <si>
    <t>Boiler/ Hydronic (6.8%)</t>
  </si>
  <si>
    <t>Central Plant (Chiller) (6.5%)</t>
  </si>
  <si>
    <t>Single Duct CAV (91.4%)</t>
  </si>
  <si>
    <t>Package System / Heat Pump (72.1%)</t>
  </si>
  <si>
    <t>Package System / Heat Pump (71.5%)</t>
  </si>
  <si>
    <t>Fan Coil/Unit Ventilator (5.7%)</t>
  </si>
  <si>
    <t>Statewide</t>
  </si>
  <si>
    <t>Space/Thermal Zone</t>
  </si>
  <si>
    <t>Floor Area (ft²)</t>
  </si>
  <si>
    <t>cfm/person 
[T24, 2025, Equation 120.1-F and Table 120.1-A]</t>
  </si>
  <si>
    <t>cfm/ft²
 [T24, 2025, Equation 120.1-F and Table 120.1-A]</t>
  </si>
  <si>
    <t>Required Exhaust Rate (cfm/ft²)
 [T24, 2025, Table 120.1-B – minimum exhaust rates]</t>
  </si>
  <si>
    <t>Required Exhaust Rate (cfm) 
[T24, 2025, Table 120.1-B – minimum exhaust rates]</t>
  </si>
  <si>
    <t>Min OA Ventilation Requirement (cfm/ft²)
[Table 4-A, 2022 California Mechanical Code]</t>
  </si>
  <si>
    <t>Total cfm 
Driven by People</t>
  </si>
  <si>
    <t>Total cfm 
Driven by Area</t>
  </si>
  <si>
    <t>Total cfm 
Driven by Exhaust</t>
  </si>
  <si>
    <t>Total cfm</t>
  </si>
  <si>
    <t>All Room air exhausted directly to the outdoor, according to Table 4-A, 2022 California Mechanical Code)</t>
  </si>
  <si>
    <t>*Restrooms in California per 2025 T24 and CALGreen (Part 11) require mechanical exhaust ventilation, but they do not require additional dedicated outdoor air (OA) beyond that local exhaust. Bathroom exhaust and exhaust fan energy will be captured in the models. We will assume make-up air is drawn from adjacent spaces.</t>
  </si>
  <si>
    <t>Exhaust Rate assumed according to PNNL outpatient model.</t>
  </si>
  <si>
    <t>Toilet rooms, intermittent exhaust 50 cfm per toilet</t>
  </si>
  <si>
    <t>Min. Occupancy Load (persons/1000 ft²)</t>
  </si>
  <si>
    <t xml:space="preserve">Total Number of Occupants </t>
  </si>
  <si>
    <t>cfm/ft² (Table 120.1-A – Minimum Ventilation Rates)</t>
  </si>
  <si>
    <t>Required Exhaust Rate-cfm/ft² (Table 120.1-B – Minimum Exhaust Rates)</t>
  </si>
  <si>
    <t>Min OA Ventilation Requirement-ACH-(Table 4-A, 2022 California Mechanical Code)</t>
  </si>
  <si>
    <t>Min OA Ventilation Requirement-cfm/ft²-(Table 4-A, 2022 California Mechanical Code)</t>
  </si>
  <si>
    <t>cfm</t>
  </si>
  <si>
    <t>Floor 1 Soil, Floor 1 Soil Hold, and Floor 1 Soil Work</t>
  </si>
  <si>
    <t>Floor 1 MRI Room, Floor 1 MRI Control Room, Floor 2 X-Ray</t>
  </si>
  <si>
    <t>50/70 cfm/Unit</t>
  </si>
  <si>
    <t>Total</t>
  </si>
  <si>
    <t>WH Type</t>
  </si>
  <si>
    <t>Efficiency</t>
  </si>
  <si>
    <t>Tank Volume (gal)</t>
  </si>
  <si>
    <t>Tank Loss</t>
  </si>
  <si>
    <t xml:space="preserve">Existing  </t>
  </si>
  <si>
    <t>(Btu/hr)</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</si>
  <si>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</si>
  <si>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</si>
  <si>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</si>
  <si>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</si>
  <si>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</si>
  <si>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</si>
  <si>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</si>
  <si>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 xml:space="preserve">Water Heater Capacity, Tank Capacity, and Tank Loss </t>
  </si>
  <si>
    <t>Heat Output (Btu/hr)
[ACM, 2025, 5.9.2: Rated capacity section]</t>
  </si>
  <si>
    <t>WH Capacity (Btu/hr)
[ACM, 2025, 5.9.2: Rated capacity section]</t>
  </si>
  <si>
    <t>Required Energy Input (Btu/hr)</t>
  </si>
  <si>
    <t>Storage Volume (gal)</t>
  </si>
  <si>
    <t xml:space="preserve">Standby Loss </t>
  </si>
  <si>
    <t>Off/On Cycle Loss Coefficient to Ambient Temp (Btu/h-F)</t>
  </si>
  <si>
    <t>Gas Storage WH</t>
  </si>
  <si>
    <t>Btu/hr</t>
  </si>
  <si>
    <t>Standby loss equation: Title 20, §1605.1 Table F-4 
WH capacity equation: ACM, 2025, 5.9.2: Rated capacity section)</t>
  </si>
  <si>
    <t xml:space="preserve">Electric resistance WH </t>
  </si>
  <si>
    <t>%hr</t>
  </si>
  <si>
    <t>Design supply temperature (F)</t>
  </si>
  <si>
    <t>Ref: T24 2022 - Appendix 5.4B</t>
  </si>
  <si>
    <t>Standby Loss for Existing</t>
  </si>
  <si>
    <t>Cold Water supply temperature (F)</t>
  </si>
  <si>
    <t>Ref: ACM, 2025, 5.9.2: Rated capacity section</t>
  </si>
  <si>
    <t>WH system factor</t>
  </si>
  <si>
    <t>Reheat multiplier</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</si>
  <si>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</si>
  <si>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**For Gas Water Heater: UA(Btu/h-°F)​=Q˙​SL​ (Btu/h)/ΔT (∘F)​</t>
  </si>
  <si>
    <t>Ambient temp</t>
  </si>
  <si>
    <t>Delta T</t>
  </si>
  <si>
    <t>** For Electric Water Heater: UA(Btu/h-°F)​= 0.0834 *SL​ (%/hr)*V gal</t>
  </si>
  <si>
    <t>Space</t>
  </si>
  <si>
    <t xml:space="preserve">New Construction </t>
  </si>
  <si>
    <t>LPD (W/ft²)</t>
  </si>
  <si>
    <t>Additional LPD for PorTable Lighting (W/ft²)</t>
  </si>
  <si>
    <t xml:space="preserve">LPD (W/ft²) </t>
  </si>
  <si>
    <t xml:space="preserve">T24, 2025, Table 140.6 C 
 (Area category method) </t>
  </si>
  <si>
    <t xml:space="preserve">T24, 2019, Table 140.6 C 
Room
 (Area category method) </t>
  </si>
  <si>
    <t>*Healthcare Buildings are expected to update their lighting systems more frequently than offices. Therefore code edition of 2019 was considered as the reference for LPD of the existing prototypes.</t>
  </si>
  <si>
    <t>Motion Controlled Luminaires (W)</t>
  </si>
  <si>
    <t>Non-motion Controlled Luminaires (W)</t>
  </si>
  <si>
    <t>Total (W)</t>
  </si>
  <si>
    <t>T24, 2022 &amp; 2025
2019 Outdoor Lighting CASE report 
 PNNL 90.1-2010 TSD</t>
  </si>
  <si>
    <t>Items (Assume LZ2)</t>
  </si>
  <si>
    <t>Assumptions
[2019 Outdoor Lighting CASE Report &amp; PNNL 90.1-2010 TSD]</t>
  </si>
  <si>
    <t>Lighting Power Allowance 
[Title 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</si>
  <si>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</si>
  <si>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</si>
  <si>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</si>
  <si>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</si>
  <si>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</si>
  <si>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</si>
  <si>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</si>
  <si>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</si>
  <si>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14 building entrance per PNNL Model</t>
  </si>
  <si>
    <t>(count)</t>
  </si>
  <si>
    <t>(W/ea)</t>
  </si>
  <si>
    <t>Hardscape Ornamental Light</t>
  </si>
  <si>
    <t>0.1 ft² per 1 ft² of gross building area for hardscape ornamental light</t>
  </si>
  <si>
    <t>Building façade</t>
  </si>
  <si>
    <t>0.1 W per 1 ft² of facade area
Façade Area = Perimeter × 0.5 × 28 ft (30 ft is the max height that is lit) *
The 0.5 factor assumes that only half of the perimeter walls are lit.
-Formula ia developed based on the 2019 Outdoor Lighting CASE report</t>
  </si>
  <si>
    <t>Non-sales canopy</t>
  </si>
  <si>
    <t>Non-motion-controlled Luminaires</t>
  </si>
  <si>
    <t>Total floor area</t>
  </si>
  <si>
    <t xml:space="preserve">Perimeter </t>
  </si>
  <si>
    <t>Floors</t>
  </si>
  <si>
    <t>Hour</t>
  </si>
  <si>
    <t>Saturday</t>
  </si>
  <si>
    <t>Sunday</t>
  </si>
  <si>
    <t>Weekday</t>
  </si>
  <si>
    <t>Plug load Power Density (W/ft²)</t>
  </si>
  <si>
    <t>Gas Power Density (Btu/hr-ft²)</t>
  </si>
  <si>
    <t>Refrigeration Power Density (W/ft²)</t>
  </si>
  <si>
    <t>T24 2022 - Appendix 5.4A</t>
  </si>
  <si>
    <t xml:space="preserve"> Appendix 5.4A: Gas equipment=1.1259 Btu/h-ft²--CEC model has the Gas equipment for 3.59 Btu/h-ft²</t>
  </si>
  <si>
    <t>PNNL has EPD=10 for Imaging room</t>
  </si>
  <si>
    <t>PNNL has EPD=2 for Nurse station</t>
  </si>
  <si>
    <t>PNNL has EPD=11 for Operating room--CEC: Gas equipment=3.62 Btu/h-ft²</t>
  </si>
  <si>
    <t>CEC: Refrig Load = 0.25 w/ft²</t>
  </si>
  <si>
    <t>Plug load and schedules project with CEC, 2025</t>
  </si>
  <si>
    <t xml:space="preserve"> Appendix 5.4A: Gas equipment=17.53768  --  CEC: Refrig Load = 1.12 w/ft²</t>
  </si>
  <si>
    <t>No. of Elevators</t>
  </si>
  <si>
    <t>Cab Lighting Power Limit (W/ft²)</t>
  </si>
  <si>
    <t>Lighting Shutoff</t>
  </si>
  <si>
    <t>Cab Fan Control</t>
  </si>
  <si>
    <t>Fan Power Limit</t>
  </si>
  <si>
    <t>Regenerative Drive Threshold</t>
  </si>
  <si>
    <t>Design load (W)</t>
  </si>
  <si>
    <t>Design Load based on PNNL ASHRAE 90.1 2013 Outpatient prototype</t>
  </si>
  <si>
    <t>≤ 0.6 W/ft² of cab floor area- Exempt (covered process)</t>
  </si>
  <si>
    <t>Automatic shut‑off after ≤ 5 min no‑occupancy</t>
  </si>
  <si>
    <t>When the elevator cab is stopped and unoccupied with doors closed for over 15 minutes, the cab interior lighting and ventilation fans shall be switched off until elevator cab operation resumes.</t>
  </si>
  <si>
    <t>≤ 0.33 W per cfm of fan airflow</t>
  </si>
  <si>
    <t>Design Load based on PNNL ASHRAE 90.1 2022 Outpatient prototype --- per T24 2025 §120.6 (f)</t>
  </si>
  <si>
    <t>Assumptions for elevators:</t>
  </si>
  <si>
    <t xml:space="preserve">One elevator for approximately 50,000 square feet in use. </t>
  </si>
  <si>
    <t>For every two floors or two and a half floors, one more elevator was added.</t>
  </si>
  <si>
    <t>An in-use rate of 70% for the floor area was assumed, based on engineering judgment.</t>
  </si>
  <si>
    <t xml:space="preserve">Calculated number of Elevators: </t>
  </si>
  <si>
    <t>Same as PNNL assumptions</t>
  </si>
  <si>
    <t>Calculate Elevator load (kw)based on ACM 2022:</t>
  </si>
  <si>
    <t>30 kw is PNNL ASHRE 90.1 2019 elevator load  (Lift,light and Fan)--CEC Model has 80K for the elevator load.</t>
  </si>
  <si>
    <t>ACM 2022 suggestion for elevator load (kw):</t>
  </si>
  <si>
    <t xml:space="preserve">Elevator load will be defined as exterior load not equipment load  </t>
  </si>
  <si>
    <t>Elevator Load= Elevator Lift+ Elevator Light+Fan</t>
  </si>
  <si>
    <t>Elevator Lift (W)</t>
  </si>
  <si>
    <t>Elevator Fan</t>
  </si>
  <si>
    <t>Elevator Light</t>
  </si>
  <si>
    <t>0.7 W/ft²</t>
  </si>
  <si>
    <t>1.5 w/ft²</t>
  </si>
  <si>
    <t>1.65 w/ft²</t>
  </si>
  <si>
    <t>based on PNNL ASHRAE 90.1 Outpatient prototype</t>
  </si>
  <si>
    <t>Zone</t>
  </si>
  <si>
    <t>Schedule</t>
  </si>
  <si>
    <t>Type</t>
  </si>
  <si>
    <t>All Zones at  level 2 and 3</t>
  </si>
  <si>
    <t>Occupancy</t>
  </si>
  <si>
    <t>T24 2022 - Appendix 5.4B, [Health]</t>
  </si>
  <si>
    <t>Lights</t>
  </si>
  <si>
    <t xml:space="preserve">ElecEquipment </t>
  </si>
  <si>
    <t>ServiceHotWater</t>
  </si>
  <si>
    <t>GasEquipment</t>
  </si>
  <si>
    <t>Refrigeration</t>
  </si>
  <si>
    <t>All Zones at  level 2 and 4</t>
  </si>
  <si>
    <t>HVACAvail</t>
  </si>
  <si>
    <t>All the zones</t>
  </si>
  <si>
    <t>HtgSetpt</t>
  </si>
  <si>
    <t>ClgSetpt</t>
  </si>
  <si>
    <r>
      <t xml:space="preserve">T24 2022 - Appendix 5.4B, [Office]
</t>
    </r>
    <r>
      <rPr>
        <sz val="9"/>
        <color rgb="FF0070C0"/>
        <rFont val="Arial"/>
        <family val="2"/>
      </rPr>
      <t xml:space="preserve">
Updated base on Plug load and schedules project with CEC, 2025</t>
    </r>
  </si>
  <si>
    <t>T24 2022 - Appendix 5.4B, [Office]</t>
  </si>
  <si>
    <t xml:space="preserve">Plug load and schedules project with CEC, 2025 </t>
  </si>
  <si>
    <r>
      <t xml:space="preserve">T24 2022 - Appendix 5.4B, [Office]
</t>
    </r>
    <r>
      <rPr>
        <sz val="9"/>
        <color rgb="FF0070C0"/>
        <rFont val="Arial"/>
        <family val="2"/>
      </rPr>
      <t>Updated base on Plug load and schedules project with CEC, 202</t>
    </r>
  </si>
  <si>
    <t>Honeywell-INNCOM e7 Thermostat User Guide 
&amp; Engineering Judgement</t>
  </si>
  <si>
    <t>Building</t>
  </si>
  <si>
    <t>ExtLightingNonMotionCtrl</t>
  </si>
  <si>
    <t>PNNL Hospital Prototype (2022)</t>
  </si>
  <si>
    <t>ExtLightingMotionCtrl</t>
  </si>
  <si>
    <t>PNNL Hospital Prototype (2022) Modified to 0 for 11 pm to 5 am during weekday and 12 am to 5 am during weekend</t>
  </si>
  <si>
    <t>Office, Exam Room,Nurse Station, Recovery Room,Operating Room. Patient Room,Physical Therapy, Imaging Room, Medical Supply Room</t>
  </si>
  <si>
    <t>FunctionalAreaPeopleActivityLevel</t>
  </si>
  <si>
    <t>CEC Hospital Prototype</t>
  </si>
  <si>
    <t>Corridor, Lobby, Restroom, Mechanical Room, Elevator, Stairwell, Reception rea, Lounge and Breakroom</t>
  </si>
  <si>
    <t>CommonAreaPeopleActivityLevel</t>
  </si>
  <si>
    <t>Dining</t>
  </si>
  <si>
    <t>DiningAreaPeopleActivityLevel</t>
  </si>
  <si>
    <t>Kitchen</t>
  </si>
  <si>
    <t>KitchenPeopleActivityLevel</t>
  </si>
  <si>
    <t>Locker room</t>
  </si>
  <si>
    <t>LockerRoomPeopleActivityLevel</t>
  </si>
  <si>
    <t>Restaurant</t>
  </si>
  <si>
    <t>Dining and Café</t>
  </si>
  <si>
    <t>PNNL,ASHRAE 90.1, 2022 Fast Food Restaurant prototype 
(It has higher occupancy rate during morning compared to T24 2022 - Appendix 5.4B)</t>
  </si>
  <si>
    <r>
      <t xml:space="preserve">T24 2022 - Appendix 5.4B
</t>
    </r>
    <r>
      <rPr>
        <sz val="9"/>
        <color rgb="FF00B050"/>
        <rFont val="Arial"/>
        <family val="2"/>
      </rPr>
      <t>Updated based on the equipment schedule from the plug load and schedule project with CEC</t>
    </r>
    <r>
      <rPr>
        <sz val="9"/>
        <color theme="1"/>
        <rFont val="Arial"/>
        <family val="2"/>
      </rPr>
      <t xml:space="preserve">
</t>
    </r>
  </si>
  <si>
    <t>ElecEuipment</t>
  </si>
  <si>
    <r>
      <t xml:space="preserve">T24 2022 - Appendix 5.4B 
</t>
    </r>
    <r>
      <rPr>
        <sz val="9"/>
        <color rgb="FF00B050"/>
        <rFont val="Arial"/>
        <family val="2"/>
      </rPr>
      <t xml:space="preserve">Updated based on the adopted PNNL occupancy 
</t>
    </r>
  </si>
  <si>
    <r>
      <t xml:space="preserve">T24 2022 - Appendix 5.4B
</t>
    </r>
    <r>
      <rPr>
        <sz val="9"/>
        <color rgb="FF00B050"/>
        <rFont val="Arial"/>
        <family val="2"/>
      </rPr>
      <t xml:space="preserve">
Updated based on the adopted PNNL occupancy </t>
    </r>
  </si>
  <si>
    <r>
      <t xml:space="preserve">T24 2022 - Appendix 5.4B
</t>
    </r>
    <r>
      <rPr>
        <sz val="9"/>
        <color rgb="FF00B050"/>
        <rFont val="Arial"/>
        <family val="2"/>
      </rPr>
      <t xml:space="preserve">Updated based on the adopted PNNL occupancy 
</t>
    </r>
    <r>
      <rPr>
        <sz val="9"/>
        <color theme="1"/>
        <rFont val="Arial"/>
        <family val="2"/>
      </rPr>
      <t xml:space="preserve">
</t>
    </r>
  </si>
  <si>
    <t>T24 2022 - Appendix 5.4B, [Restaurant]</t>
  </si>
  <si>
    <t>occupancy</t>
  </si>
  <si>
    <r>
      <t xml:space="preserve">T24 2022 - Appendix 5.4B, [Restaurant]
</t>
    </r>
    <r>
      <rPr>
        <sz val="9"/>
        <color rgb="FF00B050"/>
        <rFont val="Arial"/>
        <family val="2"/>
      </rPr>
      <t>Updated based on the equipment schedule from the plug load and schedule project with CEC</t>
    </r>
    <r>
      <rPr>
        <sz val="9"/>
        <color theme="1"/>
        <rFont val="Arial"/>
        <family val="2"/>
      </rPr>
      <t xml:space="preserve">
</t>
    </r>
  </si>
  <si>
    <t>ElecEquipment</t>
  </si>
  <si>
    <r>
      <t xml:space="preserve">T24 2022 - Appendix 5.4B , [Restaurant]
</t>
    </r>
    <r>
      <rPr>
        <sz val="9"/>
        <color rgb="FF00B050"/>
        <rFont val="Arial"/>
        <family val="2"/>
      </rPr>
      <t xml:space="preserve">Updated based on the adopted PNNL occupancy 
</t>
    </r>
  </si>
  <si>
    <r>
      <t xml:space="preserve">T24 2022 - Appendix 5.4B, [Restaurant]
</t>
    </r>
    <r>
      <rPr>
        <sz val="9"/>
        <color rgb="FF00B050"/>
        <rFont val="Arial"/>
        <family val="2"/>
      </rPr>
      <t xml:space="preserve">Updated based on the adopted PNNL occupancy 
</t>
    </r>
    <r>
      <rPr>
        <sz val="9"/>
        <color theme="1"/>
        <rFont val="Arial"/>
        <family val="2"/>
      </rPr>
      <t xml:space="preserve">
</t>
    </r>
  </si>
  <si>
    <t>ExhaustHoodEqualOrLessThan5000cfm</t>
  </si>
  <si>
    <r>
      <t xml:space="preserve">T24 2022 - Appendix 5.4B, [Restaurant]
</t>
    </r>
    <r>
      <rPr>
        <sz val="9"/>
        <color rgb="FF00B050"/>
        <rFont val="Arial"/>
        <family val="2"/>
      </rPr>
      <t xml:space="preserve">
Updated based on the adopted PNNL occupancy </t>
    </r>
  </si>
  <si>
    <t>ExhaustHoodGreaterThan 5000cfm</t>
  </si>
  <si>
    <r>
      <t xml:space="preserve">T24 2022 - Appendix 5.4B,  [Restaurant]
</t>
    </r>
    <r>
      <rPr>
        <sz val="9"/>
        <color rgb="FF00B050"/>
        <rFont val="Arial"/>
        <family val="2"/>
      </rPr>
      <t xml:space="preserve">
Updated based on the adopted PNNL occupancy</t>
    </r>
  </si>
  <si>
    <r>
      <t xml:space="preserve">T24 2022 - Appendix 5.4B,  [Restaurant]
</t>
    </r>
    <r>
      <rPr>
        <sz val="9"/>
        <color rgb="FF00B050"/>
        <rFont val="Arial"/>
        <family val="2"/>
      </rPr>
      <t>Updated based on the equipment schedule from the plug load and schedule project with CEC</t>
    </r>
  </si>
  <si>
    <t>Thermostat Setpoints of PNNL 09.1, 2022 Restaurant prototype and HVAC availability schedule of CEC Restaurant prototype</t>
  </si>
  <si>
    <t>CZ</t>
  </si>
  <si>
    <t>Total Floorspace (Thousand of ft²)</t>
  </si>
  <si>
    <r>
      <rPr>
        <b/>
        <sz val="10"/>
        <color theme="1"/>
        <rFont val="Arial"/>
        <family val="2"/>
      </rPr>
      <t xml:space="preserve">Ref: </t>
    </r>
    <r>
      <rPr>
        <sz val="10"/>
        <color theme="1"/>
        <rFont val="Arial"/>
        <family val="2"/>
      </rPr>
      <t xml:space="preserve">CEUS 2022 Report </t>
    </r>
  </si>
  <si>
    <t xml:space="preserve">And converted FZ level data to CZ level </t>
  </si>
  <si>
    <t>CEUS has only one category for healthcare.</t>
  </si>
  <si>
    <t>Vintage Bin</t>
  </si>
  <si>
    <t>Pre-1978</t>
  </si>
  <si>
    <t>Not available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</si>
  <si>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</si>
  <si>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</si>
  <si>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</si>
  <si>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</si>
  <si>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</si>
  <si>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</si>
  <si>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</si>
  <si>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</si>
  <si>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</si>
  <si>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</si>
  <si>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</si>
  <si>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</si>
  <si>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</si>
  <si>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</si>
  <si>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</si>
  <si>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</si>
  <si>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</si>
  <si>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</si>
  <si>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</si>
  <si>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</si>
  <si>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</si>
  <si>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</si>
  <si>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(Family and Leisure)</t>
  </si>
  <si>
    <t>Exercise/Fitness Center and Gymnasium Areas</t>
  </si>
  <si>
    <t>Financial Transaction Area</t>
  </si>
  <si>
    <t>Healthcare Facility and Hospitals (Nursery)</t>
  </si>
  <si>
    <t>Hotel Function Area</t>
  </si>
  <si>
    <t>Kitchenette or Residential Kitchen</t>
  </si>
  <si>
    <t>Laboratory, Scientific</t>
  </si>
  <si>
    <t xml:space="preserve">Laundry Area </t>
  </si>
  <si>
    <t>Library (Reading Area)</t>
  </si>
  <si>
    <t>Library (Stacks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</si>
  <si>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</si>
  <si>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</si>
  <si>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</si>
  <si>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</si>
  <si>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</si>
  <si>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</si>
  <si>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</si>
  <si>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</si>
  <si>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</si>
  <si>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</si>
  <si>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</si>
  <si>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</si>
  <si>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</si>
  <si>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</si>
  <si>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</si>
  <si>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</si>
  <si>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</si>
  <si>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</si>
  <si>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</si>
  <si>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</si>
  <si>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</si>
  <si>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</si>
  <si>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</si>
  <si>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</si>
  <si>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</si>
  <si>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</si>
  <si>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</si>
  <si>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</si>
  <si>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Plenum</t>
  </si>
  <si>
    <t>IT Room (EPD 12)</t>
  </si>
  <si>
    <t>Computer Room (EPD 20)</t>
  </si>
  <si>
    <t>Server Room (EPD 45)</t>
  </si>
  <si>
    <t>CalBEM Electricity EUI (KBTU/ft²)</t>
  </si>
  <si>
    <t>CalBEM Gas EUI (KBTU/ft²)</t>
  </si>
  <si>
    <t>CalBEM Total  EUI (KBTU/ft²)</t>
  </si>
  <si>
    <t>New Construction  Electricity EUI (KBTU/ft²)</t>
  </si>
  <si>
    <t>New Construction  Gas EUI (KBTU/ft²)</t>
  </si>
  <si>
    <t>New Construction  Total EUI (KBTU/ft²)</t>
  </si>
  <si>
    <t>National Average</t>
  </si>
  <si>
    <t>National Average Acceptable EUI Range</t>
  </si>
  <si>
    <t>CEUS 2023 Electricity EUI (kBtu/ft²)</t>
  </si>
  <si>
    <t>CEUS 2023 Gas EUI  (kBtu/ft²)</t>
  </si>
  <si>
    <t>CEUS 2023 Total EUI (kBtu/ft²)</t>
  </si>
  <si>
    <t xml:space="preserve">CEUS 2022 Acceptable EUI Range </t>
  </si>
  <si>
    <t>CalBEM Energy Consumption - Outpatient</t>
  </si>
  <si>
    <t>Acceptable Range (25% Higher)</t>
  </si>
  <si>
    <t>Acceptable Range (25% Lower)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</si>
</sst>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_(* #,##0.000_);_(* \(#,##0.000\);_(* &quot;-&quot;??_);_(@_)"/>
    <numFmt numFmtId="171" formatCode="#,##0.000"/>
    <numFmt numFmtId="172" formatCode="#,##0;\-0;[Color15]0"/>
    <numFmt numFmtId="173" formatCode="_(* #,##0.0_);_(* \(#,##0.0\);_(* &quot;-&quot;??_);_(@_)"/>
    <numFmt numFmtId="174" formatCode="_(* #,##0.0000_);_(* \(#,##0.0000\);_(* &quot;-&quot;??_);_(@_)"/>
  </numFmts>
  <fonts count="67">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2"/>
      <color theme="1"/>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1"/>
      <color rgb="FF0070C0"/>
      <name val="Arial"/>
      <family val="2"/>
    </font>
    <font>
      <b/>
      <sz val="10"/>
      <name val="Arial"/>
      <family val="2"/>
    </font>
    <font>
      <b/>
      <sz val="10"/>
      <color indexed="8"/>
      <name val="Arial"/>
      <family val="2"/>
    </font>
    <font>
      <sz val="10"/>
      <color rgb="FFFF0000"/>
      <name val="Arial"/>
      <family val="2"/>
    </font>
    <font>
      <sz val="10"/>
      <color rgb="FFC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sz val="11"/>
      <color theme="0"/>
      <name val="Arial"/>
      <family val="2"/>
    </font>
    <font>
      <b/>
      <sz val="10"/>
      <color rgb="FF002F8E"/>
      <name val="Arial"/>
      <family val="2"/>
    </font>
    <font>
      <sz val="10"/>
      <color theme="0"/>
      <name val="Arial"/>
      <family val="2"/>
    </font>
    <font>
      <b/>
      <u/>
      <sz val="11"/>
      <color theme="10"/>
      <name val="Calibri"/>
      <family val="2"/>
      <scheme val="minor"/>
    </font>
    <font>
      <b/>
      <sz val="12"/>
      <color rgb="FFFFFFFF"/>
      <name val="Arial"/>
      <family val="2"/>
    </font>
    <font>
      <b/>
      <sz val="12"/>
      <name val="Aptos Narrow"/>
      <family val="2"/>
    </font>
    <font>
      <b/>
      <sz val="12"/>
      <color rgb="FF000000"/>
      <name val="Aptos Narrow"/>
      <family val="2"/>
    </font>
    <font>
      <sz val="11"/>
      <color rgb="FF000000"/>
      <name val="Aptos Narrow"/>
      <family val="2"/>
    </font>
    <font>
      <sz val="8"/>
      <color rgb="FF000000"/>
      <name val="Aptos Narrow"/>
      <family val="2"/>
    </font>
    <font>
      <sz val="11"/>
      <name val="Arial"/>
      <family val="2"/>
    </font>
    <font>
      <sz val="11"/>
      <color rgb="FF000000"/>
      <name val="Arial"/>
      <family val="2"/>
    </font>
    <font>
      <b/>
      <sz val="11"/>
      <color rgb="FF000000"/>
      <name val="Aptos Narrow"/>
      <family val="2"/>
    </font>
    <font>
      <b/>
      <sz val="11"/>
      <color rgb="FF000000"/>
      <name val="Calibri"/>
      <family val="2"/>
      <scheme val="minor"/>
    </font>
    <font>
      <sz val="9"/>
      <color rgb="FF000000"/>
      <name val="Arial"/>
      <family val="2"/>
    </font>
    <font>
      <sz val="10"/>
      <color rgb="FFA6A6A6"/>
      <name val="Arial"/>
      <family val="2"/>
    </font>
    <font>
      <sz val="10"/>
      <color rgb="FF0070C0"/>
      <name val="Arial"/>
      <family val="2"/>
    </font>
    <font>
      <sz val="9"/>
      <color rgb="FFFF0000"/>
      <name val="Arial"/>
      <family val="2"/>
    </font>
    <font>
      <sz val="9"/>
      <color rgb="FF0070C0"/>
      <name val="Arial"/>
      <family val="2"/>
    </font>
    <font>
      <sz val="9"/>
      <color rgb="FF00B050"/>
      <name val="Arial"/>
      <family val="2"/>
    </font>
    <font>
      <sz val="9"/>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8"/>
      <color indexed="8"/>
      <name val="MS Sans Serif"/>
      <charset val="1"/>
    </font>
    <font>
      <sz val="11"/>
      <color rgb="FF9C6500"/>
      <name val="Calibri"/>
      <family val="2"/>
      <scheme val="minor"/>
    </font>
    <font>
      <sz val="11"/>
      <color theme="1"/>
      <name val="Calibri"/>
      <family val="2"/>
      <charset val="134"/>
      <scheme val="minor"/>
    </font>
    <font>
      <b/>
      <sz val="18"/>
      <color theme="3"/>
      <name val="Calibri Light"/>
      <family val="2"/>
      <scheme val="major"/>
    </font>
    <font>
      <u/>
      <sz val="10"/>
      <color theme="10"/>
      <name val="Arial Narrow"/>
      <family val="2"/>
    </font>
  </fonts>
  <fills count="51">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4.9989318521683403E-2"/>
        <bgColor rgb="FF000000"/>
      </patternFill>
    </fill>
    <fill>
      <patternFill patternType="solid">
        <fgColor theme="0" tint="-0.34998626667073579"/>
        <bgColor indexed="64"/>
      </patternFill>
    </fill>
    <fill>
      <patternFill patternType="solid">
        <fgColor rgb="FF203764"/>
        <bgColor rgb="FF000000"/>
      </patternFill>
    </fill>
    <fill>
      <patternFill patternType="solid">
        <fgColor rgb="FFFFFFFF"/>
        <bgColor rgb="FF000000"/>
      </patternFill>
    </fill>
    <fill>
      <patternFill patternType="solid">
        <fgColor rgb="FFF7C7AC"/>
        <bgColor rgb="FF000000"/>
      </patternFill>
    </fill>
    <fill>
      <patternFill patternType="solid">
        <fgColor rgb="FFDAE9F8"/>
        <bgColor rgb="FF000000"/>
      </patternFill>
    </fill>
    <fill>
      <patternFill patternType="solid">
        <fgColor rgb="FFC1F0C8"/>
        <bgColor rgb="FF000000"/>
      </patternFill>
    </fill>
    <fill>
      <patternFill patternType="solid">
        <fgColor rgb="FF83CCEB"/>
        <bgColor rgb="FF000000"/>
      </patternFill>
    </fill>
    <fill>
      <patternFill patternType="solid">
        <fgColor rgb="FFD9D9D9"/>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2CC"/>
        <bgColor rgb="FF000000"/>
      </patternFill>
    </fill>
  </fills>
  <borders count="194">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808080"/>
      </left>
      <right style="thin">
        <color rgb="FF808080"/>
      </right>
      <top style="thin">
        <color rgb="FF808080"/>
      </top>
      <bottom style="thin">
        <color rgb="FF808080"/>
      </bottom>
      <diagonal/>
    </border>
    <border>
      <left style="thin">
        <color rgb="FF595959"/>
      </left>
      <right style="thin">
        <color rgb="FF595959"/>
      </right>
      <top style="thin">
        <color rgb="FF595959"/>
      </top>
      <bottom style="thin">
        <color rgb="FF595959"/>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rgb="FF000000"/>
      </left>
      <right style="thin">
        <color rgb="FF000000"/>
      </right>
      <top/>
      <bottom/>
      <diagonal/>
    </border>
    <border>
      <left style="medium">
        <color indexed="64"/>
      </left>
      <right style="thin">
        <color indexed="64"/>
      </right>
      <top/>
      <bottom style="medium">
        <color indexed="64"/>
      </bottom>
      <diagonal/>
    </border>
    <border>
      <left style="thin">
        <color rgb="FF000000"/>
      </left>
      <right style="medium">
        <color indexed="64"/>
      </right>
      <top style="medium">
        <color indexed="64"/>
      </top>
      <bottom style="thin">
        <color rgb="FF000000"/>
      </bottom>
      <diagonal/>
    </border>
    <border>
      <left style="thin">
        <color rgb="FF595959"/>
      </left>
      <right style="thin">
        <color rgb="FF595959"/>
      </right>
      <top/>
      <bottom style="thin">
        <color rgb="FF59595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top style="medium">
        <color theme="1" tint="0.34998626667073579"/>
      </top>
      <bottom/>
      <diagonal/>
    </border>
    <border>
      <left/>
      <right/>
      <top style="medium">
        <color theme="1" tint="0.34998626667073579"/>
      </top>
      <bottom/>
      <diagonal/>
    </border>
    <border>
      <left/>
      <right style="medium">
        <color theme="1" tint="0.34998626667073579"/>
      </right>
      <top style="medium">
        <color theme="1" tint="0.34998626667073579"/>
      </top>
      <bottom/>
      <diagonal/>
    </border>
    <border>
      <left style="medium">
        <color theme="1" tint="0.34998626667073579"/>
      </left>
      <right/>
      <top/>
      <bottom/>
      <diagonal/>
    </border>
    <border>
      <left/>
      <right style="medium">
        <color theme="1" tint="0.34998626667073579"/>
      </right>
      <top/>
      <bottom/>
      <diagonal/>
    </border>
    <border>
      <left style="medium">
        <color theme="1" tint="0.34998626667073579"/>
      </left>
      <right/>
      <top/>
      <bottom style="medium">
        <color theme="1" tint="0.34998626667073579"/>
      </bottom>
      <diagonal/>
    </border>
    <border>
      <left/>
      <right/>
      <top/>
      <bottom style="medium">
        <color theme="1" tint="0.34998626667073579"/>
      </bottom>
      <diagonal/>
    </border>
    <border>
      <left/>
      <right style="medium">
        <color theme="1" tint="0.34998626667073579"/>
      </right>
      <top/>
      <bottom style="medium">
        <color theme="1" tint="0.34998626667073579"/>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1" tint="0.34998626667073579"/>
      </right>
      <top/>
      <bottom style="thin">
        <color theme="1" tint="0.34998626667073579"/>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thin">
        <color theme="1" tint="0.34998626667073579"/>
      </bottom>
      <diagonal/>
    </border>
    <border>
      <left style="thin">
        <color indexed="64"/>
      </left>
      <right style="thin">
        <color indexed="64"/>
      </right>
      <top style="thin">
        <color theme="1" tint="0.34998626667073579"/>
      </top>
      <bottom style="thin">
        <color theme="1" tint="0.34998626667073579"/>
      </bottom>
      <diagonal/>
    </border>
    <border>
      <left style="thin">
        <color indexed="64"/>
      </left>
      <right style="thin">
        <color indexed="64"/>
      </right>
      <top style="thin">
        <color theme="1" tint="0.34998626667073579"/>
      </top>
      <bottom/>
      <diagonal/>
    </border>
    <border>
      <left style="thin">
        <color indexed="64"/>
      </left>
      <right style="thin">
        <color indexed="64"/>
      </right>
      <top style="medium">
        <color theme="1" tint="0.34998626667073579"/>
      </top>
      <bottom style="thin">
        <color theme="1" tint="0.34998626667073579"/>
      </bottom>
      <diagonal/>
    </border>
    <border>
      <left style="thin">
        <color indexed="64"/>
      </left>
      <right style="thin">
        <color indexed="64"/>
      </right>
      <top style="thin">
        <color theme="1" tint="0.34998626667073579"/>
      </top>
      <bottom style="medium">
        <color theme="1" tint="0.34998626667073579"/>
      </bottom>
      <diagonal/>
    </border>
    <border>
      <left/>
      <right style="thin">
        <color theme="1" tint="0.34998626667073579"/>
      </right>
      <top/>
      <bottom/>
      <diagonal/>
    </border>
    <border>
      <left style="medium">
        <color indexed="64"/>
      </left>
      <right style="thin">
        <color indexed="64"/>
      </right>
      <top style="medium">
        <color indexed="64"/>
      </top>
      <bottom style="thin">
        <color theme="1" tint="0.34998626667073579"/>
      </bottom>
      <diagonal/>
    </border>
    <border>
      <left style="thin">
        <color indexed="64"/>
      </left>
      <right style="thin">
        <color indexed="64"/>
      </right>
      <top style="medium">
        <color indexed="64"/>
      </top>
      <bottom style="thin">
        <color theme="1" tint="0.34998626667073579"/>
      </bottom>
      <diagonal/>
    </border>
    <border>
      <left style="thin">
        <color indexed="64"/>
      </left>
      <right style="medium">
        <color indexed="64"/>
      </right>
      <top style="medium">
        <color indexed="64"/>
      </top>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thin">
        <color indexed="64"/>
      </left>
      <right style="medium">
        <color indexed="64"/>
      </right>
      <top/>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thin">
        <color indexed="64"/>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medium">
        <color indexed="64"/>
      </left>
      <right style="thin">
        <color indexed="64"/>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thin">
        <color theme="1" tint="0.34998626667073579"/>
      </left>
      <right/>
      <top style="medium">
        <color indexed="64"/>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thin">
        <color theme="1" tint="0.34998626667073579"/>
      </left>
      <right/>
      <top style="thin">
        <color theme="1" tint="0.34998626667073579"/>
      </top>
      <bottom style="medium">
        <color indexed="64"/>
      </bottom>
      <diagonal/>
    </border>
    <border>
      <left/>
      <right style="thin">
        <color theme="1" tint="0.34998626667073579"/>
      </right>
      <top style="medium">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right style="thin">
        <color theme="1" tint="0.34998626667073579"/>
      </right>
      <top style="thin">
        <color theme="1" tint="0.34998626667073579"/>
      </top>
      <bottom style="medium">
        <color theme="1" tint="0.34998626667073579"/>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indexed="64"/>
      </top>
      <bottom style="medium">
        <color indexed="64"/>
      </bottom>
      <diagonal/>
    </border>
    <border>
      <left style="medium">
        <color indexed="64"/>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indexed="64"/>
      </bottom>
      <diagonal/>
    </border>
    <border>
      <left style="thin">
        <color theme="1" tint="0.34998626667073579"/>
      </left>
      <right/>
      <top/>
      <bottom style="thin">
        <color indexed="64"/>
      </bottom>
      <diagonal/>
    </border>
    <border>
      <left style="thin">
        <color theme="1" tint="0.34998626667073579"/>
      </left>
      <right/>
      <top style="thin">
        <color indexed="64"/>
      </top>
      <bottom style="thin">
        <color indexed="64"/>
      </bottom>
      <diagonal/>
    </border>
    <border>
      <left style="thin">
        <color theme="1" tint="0.34998626667073579"/>
      </left>
      <right/>
      <top style="thin">
        <color indexed="64"/>
      </top>
      <bottom style="medium">
        <color indexed="64"/>
      </bottom>
      <diagonal/>
    </border>
    <border>
      <left style="thin">
        <color theme="1" tint="0.34998626667073579"/>
      </left>
      <right/>
      <top style="medium">
        <color indexed="64"/>
      </top>
      <bottom style="thin">
        <color indexed="64"/>
      </bottom>
      <diagonal/>
    </border>
    <border>
      <left style="thin">
        <color theme="1" tint="0.34998626667073579"/>
      </left>
      <right/>
      <top/>
      <bottom/>
      <diagonal/>
    </border>
    <border>
      <left/>
      <right style="thin">
        <color theme="1" tint="0.499984740745262"/>
      </right>
      <top style="medium">
        <color theme="1"/>
      </top>
      <bottom style="thin">
        <color theme="1" tint="0.499984740745262"/>
      </bottom>
      <diagonal/>
    </border>
    <border>
      <left style="thin">
        <color theme="1" tint="0.499984740745262"/>
      </left>
      <right style="thin">
        <color theme="1" tint="0.499984740745262"/>
      </right>
      <top style="medium">
        <color theme="1"/>
      </top>
      <bottom style="thin">
        <color theme="1" tint="0.499984740745262"/>
      </bottom>
      <diagonal/>
    </border>
    <border>
      <left style="thin">
        <color theme="1" tint="0.499984740745262"/>
      </left>
      <right style="medium">
        <color theme="1"/>
      </right>
      <top style="medium">
        <color theme="1"/>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right>
      <top style="thin">
        <color theme="1" tint="0.499984740745262"/>
      </top>
      <bottom style="thin">
        <color theme="1" tint="0.499984740745262"/>
      </bottom>
      <diagonal/>
    </border>
    <border>
      <left/>
      <right style="thin">
        <color theme="1" tint="0.499984740745262"/>
      </right>
      <top style="thin">
        <color theme="1" tint="0.499984740745262"/>
      </top>
      <bottom style="medium">
        <color theme="1"/>
      </bottom>
      <diagonal/>
    </border>
    <border>
      <left style="thin">
        <color theme="1" tint="0.499984740745262"/>
      </left>
      <right style="thin">
        <color theme="1" tint="0.499984740745262"/>
      </right>
      <top style="thin">
        <color theme="1" tint="0.499984740745262"/>
      </top>
      <bottom style="medium">
        <color theme="1"/>
      </bottom>
      <diagonal/>
    </border>
    <border>
      <left style="thin">
        <color theme="1" tint="0.499984740745262"/>
      </left>
      <right style="medium">
        <color theme="1"/>
      </right>
      <top style="thin">
        <color theme="1" tint="0.499984740745262"/>
      </top>
      <bottom style="medium">
        <color theme="1"/>
      </bottom>
      <diagonal/>
    </border>
    <border>
      <left style="thin">
        <color indexed="64"/>
      </left>
      <right style="thin">
        <color indexed="64"/>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thin">
        <color indexed="64"/>
      </right>
      <top style="thin">
        <color theme="1" tint="0.499984740745262"/>
      </top>
      <bottom style="medium">
        <color indexed="64"/>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
      <left style="thin">
        <color indexed="64"/>
      </left>
      <right style="medium">
        <color theme="1"/>
      </right>
      <top/>
      <bottom/>
      <diagonal/>
    </border>
    <border>
      <left style="medium">
        <color theme="1"/>
      </left>
      <right style="thin">
        <color theme="1" tint="0.499984740745262"/>
      </right>
      <top style="medium">
        <color theme="1"/>
      </top>
      <bottom style="thin">
        <color theme="1" tint="0.499984740745262"/>
      </bottom>
      <diagonal/>
    </border>
    <border>
      <left style="medium">
        <color theme="1"/>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theme="1" tint="0.499984740745262"/>
      </top>
      <bottom style="medium">
        <color theme="1" tint="0.34998626667073579"/>
      </bottom>
      <diagonal/>
    </border>
    <border>
      <left style="thin">
        <color indexed="64"/>
      </left>
      <right style="medium">
        <color theme="1"/>
      </right>
      <top/>
      <bottom style="medium">
        <color indexed="64"/>
      </bottom>
      <diagonal/>
    </border>
    <border>
      <left style="medium">
        <color theme="1"/>
      </left>
      <right style="thin">
        <color theme="1" tint="0.499984740745262"/>
      </right>
      <top style="thin">
        <color theme="1" tint="0.499984740745262"/>
      </top>
      <bottom style="medium">
        <color theme="1"/>
      </bottom>
      <diagonal/>
    </border>
    <border>
      <left style="thin">
        <color indexed="64"/>
      </left>
      <right style="medium">
        <color theme="1"/>
      </right>
      <top style="medium">
        <color indexed="64"/>
      </top>
      <bottom/>
      <diagonal/>
    </border>
    <border>
      <left style="thin">
        <color theme="1" tint="0.499984740745262"/>
      </left>
      <right style="thin">
        <color theme="1" tint="0.499984740745262"/>
      </right>
      <top/>
      <bottom style="medium">
        <color theme="1"/>
      </bottom>
      <diagonal/>
    </border>
    <border>
      <left style="thin">
        <color indexed="64"/>
      </left>
      <right style="thin">
        <color indexed="64"/>
      </right>
      <top style="medium">
        <color indexed="64"/>
      </top>
      <bottom style="thin">
        <color theme="1" tint="0.499984740745262"/>
      </bottom>
      <diagonal/>
    </border>
    <border>
      <left style="thin">
        <color theme="1" tint="0.499984740745262"/>
      </left>
      <right style="thin">
        <color theme="1" tint="0.499984740745262"/>
      </right>
      <top style="medium">
        <color theme="1"/>
      </top>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diagonal/>
    </border>
    <border>
      <left style="thin">
        <color theme="1" tint="0.34998626667073579"/>
      </left>
      <right style="medium">
        <color indexed="64"/>
      </right>
      <top style="medium">
        <color indexed="64"/>
      </top>
      <bottom/>
      <diagonal/>
    </border>
    <border>
      <left style="thin">
        <color theme="1" tint="0.34998626667073579"/>
      </left>
      <right style="medium">
        <color indexed="64"/>
      </right>
      <top/>
      <bottom/>
      <diagonal/>
    </border>
    <border>
      <left style="thin">
        <color theme="1" tint="0.34998626667073579"/>
      </left>
      <right style="medium">
        <color indexed="64"/>
      </right>
      <top/>
      <bottom style="medium">
        <color indexed="64"/>
      </bottom>
      <diagonal/>
    </border>
    <border>
      <left style="thin">
        <color indexed="64"/>
      </left>
      <right style="thin">
        <color indexed="64"/>
      </right>
      <top style="thin">
        <color theme="1" tint="0.499984740745262"/>
      </top>
      <bottom/>
      <diagonal/>
    </border>
    <border>
      <left/>
      <right style="thin">
        <color theme="1" tint="0.499984740745262"/>
      </right>
      <top style="medium">
        <color indexed="64"/>
      </top>
      <bottom style="thin">
        <color theme="1" tint="0.499984740745262"/>
      </bottom>
      <diagonal/>
    </border>
    <border>
      <left/>
      <right style="thin">
        <color theme="1" tint="0.499984740745262"/>
      </right>
      <top style="thin">
        <color theme="1" tint="0.499984740745262"/>
      </top>
      <bottom style="medium">
        <color indexed="64"/>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style="thin">
        <color theme="1" tint="0.499984740745262"/>
      </left>
      <right style="thin">
        <color theme="1" tint="0.499984740745262"/>
      </right>
      <top/>
      <bottom/>
      <diagonal/>
    </border>
    <border>
      <left style="thin">
        <color theme="1" tint="0.499984740745262"/>
      </left>
      <right style="medium">
        <color theme="1"/>
      </right>
      <top style="thin">
        <color theme="1" tint="0.499984740745262"/>
      </top>
      <bottom/>
      <diagonal/>
    </border>
    <border>
      <left style="thin">
        <color theme="1" tint="0.34998626667073579"/>
      </left>
      <right/>
      <top style="medium">
        <color theme="1" tint="0.34998626667073579"/>
      </top>
      <bottom style="thin">
        <color theme="1" tint="0.34998626667073579"/>
      </bottom>
      <diagonal/>
    </border>
    <border>
      <left style="medium">
        <color theme="1"/>
      </left>
      <right style="thin">
        <color theme="1" tint="0.499984740745262"/>
      </right>
      <top style="thin">
        <color theme="1" tint="0.499984740745262"/>
      </top>
      <bottom/>
      <diagonal/>
    </border>
    <border>
      <left style="medium">
        <color indexed="64"/>
      </left>
      <right/>
      <top style="medium">
        <color indexed="64"/>
      </top>
      <bottom style="thin">
        <color rgb="FF000000"/>
      </bottom>
      <diagonal/>
    </border>
    <border>
      <left style="medium">
        <color indexed="64"/>
      </left>
      <right/>
      <top/>
      <bottom style="thin">
        <color rgb="FF000000"/>
      </bottom>
      <diagonal/>
    </border>
    <border>
      <left style="medium">
        <color indexed="64"/>
      </left>
      <right style="thin">
        <color rgb="FF000000"/>
      </right>
      <top style="thin">
        <color rgb="FF000000"/>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medium">
        <color indexed="64"/>
      </top>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medium">
        <color indexed="64"/>
      </right>
      <top style="medium">
        <color theme="1" tint="0.34998626667073579"/>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7">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7" fillId="0" borderId="0"/>
    <xf numFmtId="0" fontId="9" fillId="0" borderId="0" applyNumberFormat="0" applyFill="0" applyBorder="0" applyAlignment="0" applyProtection="0"/>
    <xf numFmtId="43" fontId="2" fillId="0" borderId="0" applyFont="0" applyFill="0" applyBorder="0" applyAlignment="0" applyProtection="0"/>
    <xf numFmtId="0" fontId="2" fillId="0" borderId="0"/>
    <xf numFmtId="9" fontId="7" fillId="0" borderId="0" applyFont="0" applyFill="0" applyBorder="0" applyAlignment="0" applyProtection="0"/>
    <xf numFmtId="0" fontId="15" fillId="0" borderId="0"/>
    <xf numFmtId="0" fontId="17" fillId="0" borderId="0" applyNumberFormat="0" applyFill="0" applyBorder="0" applyAlignment="0" applyProtection="0"/>
    <xf numFmtId="0" fontId="7" fillId="0" borderId="0"/>
    <xf numFmtId="0" fontId="7" fillId="0" borderId="0"/>
    <xf numFmtId="0" fontId="49" fillId="0" borderId="0" applyNumberFormat="0" applyFill="0" applyBorder="0" applyAlignment="0" applyProtection="0"/>
    <xf numFmtId="0" fontId="50" fillId="0" borderId="185" applyNumberFormat="0" applyFill="0" applyAlignment="0" applyProtection="0"/>
    <xf numFmtId="0" fontId="51" fillId="0" borderId="186" applyNumberFormat="0" applyFill="0" applyAlignment="0" applyProtection="0"/>
    <xf numFmtId="0" fontId="52" fillId="0" borderId="187" applyNumberFormat="0" applyFill="0" applyAlignment="0" applyProtection="0"/>
    <xf numFmtId="0" fontId="52" fillId="0" borderId="0" applyNumberFormat="0" applyFill="0" applyBorder="0" applyAlignment="0" applyProtection="0"/>
    <xf numFmtId="0" fontId="53" fillId="19" borderId="0" applyNumberFormat="0" applyBorder="0" applyAlignment="0" applyProtection="0"/>
    <xf numFmtId="0" fontId="54" fillId="20" borderId="0" applyNumberFormat="0" applyBorder="0" applyAlignment="0" applyProtection="0"/>
    <xf numFmtId="0" fontId="55" fillId="21" borderId="0" applyNumberFormat="0" applyBorder="0" applyAlignment="0" applyProtection="0"/>
    <xf numFmtId="0" fontId="56" fillId="22" borderId="188" applyNumberFormat="0" applyAlignment="0" applyProtection="0"/>
    <xf numFmtId="0" fontId="57" fillId="23" borderId="189" applyNumberFormat="0" applyAlignment="0" applyProtection="0"/>
    <xf numFmtId="0" fontId="58" fillId="23" borderId="188" applyNumberFormat="0" applyAlignment="0" applyProtection="0"/>
    <xf numFmtId="0" fontId="59" fillId="0" borderId="190" applyNumberFormat="0" applyFill="0" applyAlignment="0" applyProtection="0"/>
    <xf numFmtId="0" fontId="10" fillId="24" borderId="191" applyNumberFormat="0" applyAlignment="0" applyProtection="0"/>
    <xf numFmtId="0" fontId="60" fillId="0" borderId="0" applyNumberFormat="0" applyFill="0" applyBorder="0" applyAlignment="0" applyProtection="0"/>
    <xf numFmtId="0" fontId="2" fillId="25" borderId="192" applyNumberFormat="0" applyFont="0" applyAlignment="0" applyProtection="0"/>
    <xf numFmtId="0" fontId="61" fillId="0" borderId="0" applyNumberFormat="0" applyFill="0" applyBorder="0" applyAlignment="0" applyProtection="0"/>
    <xf numFmtId="0" fontId="3" fillId="0" borderId="193" applyNumberFormat="0" applyFill="0" applyAlignment="0" applyProtection="0"/>
    <xf numFmtId="0" fontId="1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1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1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1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12" fillId="46"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2" fillId="49" borderId="0" applyNumberFormat="0" applyBorder="0" applyAlignment="0" applyProtection="0"/>
    <xf numFmtId="0" fontId="1" fillId="0" borderId="0"/>
    <xf numFmtId="0" fontId="2" fillId="0" borderId="0"/>
    <xf numFmtId="0" fontId="2" fillId="0" borderId="0"/>
    <xf numFmtId="9" fontId="1" fillId="0" borderId="0" applyFont="0" applyFill="0" applyBorder="0" applyAlignment="0" applyProtection="0"/>
    <xf numFmtId="0" fontId="2" fillId="0" borderId="0"/>
    <xf numFmtId="0" fontId="62" fillId="0" borderId="0" applyNumberFormat="0" applyFill="0" applyBorder="0" applyAlignment="0" applyProtection="0"/>
    <xf numFmtId="0" fontId="12" fillId="29" borderId="0" applyNumberFormat="0" applyBorder="0" applyAlignment="0" applyProtection="0"/>
    <xf numFmtId="0" fontId="12" fillId="33" borderId="0" applyNumberFormat="0" applyBorder="0" applyAlignment="0" applyProtection="0"/>
    <xf numFmtId="0" fontId="12" fillId="37" borderId="0" applyNumberFormat="0" applyBorder="0" applyAlignment="0" applyProtection="0"/>
    <xf numFmtId="0" fontId="12" fillId="41" borderId="0" applyNumberFormat="0" applyBorder="0" applyAlignment="0" applyProtection="0"/>
    <xf numFmtId="0" fontId="12" fillId="45" borderId="0" applyNumberFormat="0" applyBorder="0" applyAlignment="0" applyProtection="0"/>
    <xf numFmtId="0" fontId="12" fillId="49"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63" fillId="2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64"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25" borderId="192"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 fillId="0" borderId="0"/>
    <xf numFmtId="9" fontId="6" fillId="0" borderId="0" applyFont="0" applyFill="0" applyBorder="0" applyAlignment="0" applyProtection="0"/>
    <xf numFmtId="0" fontId="6" fillId="0" borderId="0"/>
    <xf numFmtId="0" fontId="2" fillId="0" borderId="0"/>
    <xf numFmtId="43" fontId="6" fillId="0" borderId="0" applyFont="0" applyFill="0" applyBorder="0" applyAlignment="0" applyProtection="0"/>
    <xf numFmtId="9" fontId="6" fillId="0" borderId="0" applyFont="0" applyFill="0" applyBorder="0" applyAlignment="0" applyProtection="0"/>
  </cellStyleXfs>
  <cellXfs count="697">
    <xf numFmtId="0" fontId="0" fillId="0" borderId="0" xfId="0"/>
    <xf numFmtId="0" fontId="0" fillId="0" borderId="0" xfId="0" applyAlignment="1">
      <alignment vertical="center"/>
    </xf>
    <xf numFmtId="0" fontId="9" fillId="0" borderId="0" xfId="5"/>
    <xf numFmtId="165" fontId="0" fillId="0" borderId="2" xfId="0" applyNumberFormat="1" applyBorder="1"/>
    <xf numFmtId="0" fontId="13" fillId="0" borderId="0" xfId="0" applyFont="1"/>
    <xf numFmtId="0" fontId="13" fillId="0" borderId="0" xfId="0" applyFont="1" applyAlignment="1">
      <alignment horizontal="center" vertical="center"/>
    </xf>
    <xf numFmtId="0" fontId="7" fillId="0" borderId="0" xfId="0" applyFont="1"/>
    <xf numFmtId="0" fontId="8" fillId="0" borderId="0" xfId="0" applyFont="1"/>
    <xf numFmtId="0" fontId="7"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center" vertical="center" wrapText="1"/>
    </xf>
    <xf numFmtId="0" fontId="17" fillId="0" borderId="0" xfId="5" applyFont="1"/>
    <xf numFmtId="0" fontId="7" fillId="0" borderId="0" xfId="0" applyFont="1" applyAlignment="1">
      <alignment wrapText="1"/>
    </xf>
    <xf numFmtId="0" fontId="16" fillId="0" borderId="0" xfId="0" applyFont="1" applyAlignment="1">
      <alignment vertical="center"/>
    </xf>
    <xf numFmtId="3" fontId="7" fillId="0" borderId="2" xfId="7" applyNumberFormat="1" applyFont="1" applyBorder="1" applyAlignment="1">
      <alignment horizontal="center" vertical="center"/>
    </xf>
    <xf numFmtId="1" fontId="1" fillId="0" borderId="2" xfId="7" applyNumberFormat="1" applyFont="1" applyBorder="1" applyAlignment="1">
      <alignment horizontal="center" vertical="center"/>
    </xf>
    <xf numFmtId="3" fontId="11" fillId="0" borderId="2" xfId="3" applyNumberFormat="1" applyFont="1" applyBorder="1" applyAlignment="1">
      <alignment horizontal="center" vertical="center" wrapText="1"/>
    </xf>
    <xf numFmtId="165" fontId="7" fillId="0" borderId="0" xfId="0" applyNumberFormat="1" applyFont="1" applyAlignment="1">
      <alignment horizontal="center" vertical="center"/>
    </xf>
    <xf numFmtId="0" fontId="7" fillId="0" borderId="0" xfId="0" applyFont="1" applyAlignment="1">
      <alignment horizontal="center" vertical="top" wrapText="1"/>
    </xf>
    <xf numFmtId="0" fontId="8" fillId="2" borderId="0" xfId="0" applyFont="1" applyFill="1"/>
    <xf numFmtId="0" fontId="8" fillId="2" borderId="0" xfId="0" applyFont="1" applyFill="1" applyAlignment="1">
      <alignment wrapText="1"/>
    </xf>
    <xf numFmtId="0" fontId="8" fillId="2" borderId="0" xfId="0" applyFont="1" applyFill="1" applyAlignment="1">
      <alignment horizontal="left"/>
    </xf>
    <xf numFmtId="0" fontId="8" fillId="2" borderId="0" xfId="0" applyFont="1" applyFill="1" applyAlignment="1">
      <alignment horizontal="center"/>
    </xf>
    <xf numFmtId="0" fontId="21" fillId="6" borderId="2" xfId="0" applyFont="1" applyFill="1" applyBorder="1" applyAlignment="1">
      <alignment horizontal="center" vertical="center" wrapText="1"/>
    </xf>
    <xf numFmtId="0" fontId="20" fillId="6" borderId="2" xfId="0" applyFont="1" applyFill="1" applyBorder="1" applyAlignment="1">
      <alignment horizontal="center" vertical="center"/>
    </xf>
    <xf numFmtId="9" fontId="7" fillId="0" borderId="0" xfId="2" applyFont="1" applyFill="1" applyBorder="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left" vertical="center" wrapText="1"/>
    </xf>
    <xf numFmtId="1" fontId="7" fillId="0" borderId="0" xfId="0" applyNumberFormat="1" applyFont="1"/>
    <xf numFmtId="9" fontId="7" fillId="0" borderId="0" xfId="2" applyFont="1" applyFill="1" applyBorder="1"/>
    <xf numFmtId="9" fontId="7" fillId="0" borderId="0" xfId="0" applyNumberFormat="1" applyFont="1"/>
    <xf numFmtId="9" fontId="8" fillId="0" borderId="0" xfId="2" applyFont="1" applyFill="1" applyBorder="1"/>
    <xf numFmtId="164" fontId="7" fillId="0" borderId="0" xfId="0" applyNumberFormat="1" applyFont="1"/>
    <xf numFmtId="9" fontId="7" fillId="0" borderId="0" xfId="0" applyNumberFormat="1" applyFont="1" applyAlignment="1">
      <alignment vertical="center"/>
    </xf>
    <xf numFmtId="0" fontId="8" fillId="0" borderId="0" xfId="0" applyFont="1" applyAlignment="1">
      <alignment vertical="center"/>
    </xf>
    <xf numFmtId="0" fontId="24" fillId="0" borderId="0" xfId="0" applyFont="1" applyAlignment="1">
      <alignment horizontal="center" vertical="center"/>
    </xf>
    <xf numFmtId="0" fontId="27" fillId="4" borderId="0" xfId="0" applyFont="1" applyFill="1" applyAlignment="1">
      <alignment vertical="center" wrapText="1"/>
    </xf>
    <xf numFmtId="0" fontId="24" fillId="4" borderId="0" xfId="0" applyFont="1" applyFill="1" applyAlignment="1">
      <alignment horizontal="center" vertical="center"/>
    </xf>
    <xf numFmtId="165" fontId="24" fillId="4" borderId="0" xfId="0" applyNumberFormat="1" applyFont="1" applyFill="1" applyAlignment="1">
      <alignment horizontal="center" vertical="center"/>
    </xf>
    <xf numFmtId="0" fontId="25" fillId="0" borderId="0" xfId="0" applyFont="1" applyAlignment="1">
      <alignment horizontal="left"/>
    </xf>
    <xf numFmtId="0" fontId="26" fillId="0" borderId="0" xfId="0" applyFont="1" applyAlignment="1">
      <alignment horizontal="left" vertical="center" wrapText="1"/>
    </xf>
    <xf numFmtId="0" fontId="26" fillId="0" borderId="0" xfId="0" applyFont="1" applyAlignment="1">
      <alignment horizontal="left" vertical="center"/>
    </xf>
    <xf numFmtId="0" fontId="26" fillId="0" borderId="0" xfId="0" applyFont="1" applyAlignment="1">
      <alignment horizontal="center" vertical="center" wrapText="1"/>
    </xf>
    <xf numFmtId="10" fontId="7" fillId="0" borderId="0" xfId="8" applyNumberFormat="1" applyFont="1" applyFill="1" applyBorder="1" applyAlignment="1">
      <alignment horizontal="center"/>
    </xf>
    <xf numFmtId="0" fontId="8" fillId="0" borderId="0" xfId="4" applyFont="1" applyAlignment="1">
      <alignment horizontal="center"/>
    </xf>
    <xf numFmtId="9" fontId="7" fillId="0" borderId="0" xfId="2" applyFont="1" applyFill="1" applyBorder="1" applyAlignment="1">
      <alignment horizontal="left"/>
    </xf>
    <xf numFmtId="1" fontId="7" fillId="0" borderId="0" xfId="2" applyNumberFormat="1" applyFont="1" applyFill="1" applyBorder="1"/>
    <xf numFmtId="3" fontId="7" fillId="0" borderId="0" xfId="0" applyNumberFormat="1" applyFont="1" applyAlignment="1">
      <alignment horizontal="center" vertical="center"/>
    </xf>
    <xf numFmtId="0" fontId="8" fillId="2" borderId="0" xfId="0" applyFont="1" applyFill="1" applyAlignment="1">
      <alignment horizontal="center" vertical="center"/>
    </xf>
    <xf numFmtId="168" fontId="24" fillId="0" borderId="0" xfId="0" applyNumberFormat="1" applyFont="1" applyAlignment="1">
      <alignment horizontal="center" vertical="center"/>
    </xf>
    <xf numFmtId="3" fontId="7" fillId="0" borderId="0" xfId="7" applyNumberFormat="1" applyFont="1" applyAlignment="1">
      <alignment horizontal="center" vertical="center"/>
    </xf>
    <xf numFmtId="0" fontId="28" fillId="0" borderId="0" xfId="0" applyFont="1"/>
    <xf numFmtId="0" fontId="29" fillId="0" borderId="0" xfId="0" quotePrefix="1" applyFont="1"/>
    <xf numFmtId="0" fontId="28" fillId="0" borderId="0" xfId="0" applyFont="1" applyAlignment="1">
      <alignment wrapText="1"/>
    </xf>
    <xf numFmtId="0" fontId="28" fillId="0" borderId="0" xfId="0" applyFont="1" applyAlignment="1">
      <alignment horizontal="center"/>
    </xf>
    <xf numFmtId="0" fontId="9" fillId="0" borderId="0" xfId="5" applyAlignment="1">
      <alignment vertical="center"/>
    </xf>
    <xf numFmtId="0" fontId="7" fillId="0" borderId="0" xfId="4" applyAlignment="1">
      <alignment horizontal="center" vertical="center"/>
    </xf>
    <xf numFmtId="9" fontId="7" fillId="0" borderId="0" xfId="0" applyNumberFormat="1" applyFont="1" applyAlignment="1">
      <alignment horizontal="center"/>
    </xf>
    <xf numFmtId="9" fontId="7" fillId="0" borderId="0" xfId="0" applyNumberFormat="1" applyFont="1" applyAlignment="1">
      <alignment horizontal="left"/>
    </xf>
    <xf numFmtId="0" fontId="23" fillId="0" borderId="0" xfId="0" applyFont="1" applyAlignment="1">
      <alignment horizontal="left" vertical="center" wrapText="1"/>
    </xf>
    <xf numFmtId="0" fontId="11" fillId="0" borderId="2" xfId="3" applyFont="1" applyFill="1" applyBorder="1" applyAlignment="1">
      <alignment horizontal="center" vertical="center" wrapText="1"/>
    </xf>
    <xf numFmtId="169" fontId="11" fillId="0" borderId="2" xfId="6" applyNumberFormat="1" applyFont="1" applyBorder="1" applyAlignment="1">
      <alignment horizontal="center" vertical="center" wrapText="1"/>
    </xf>
    <xf numFmtId="0" fontId="7" fillId="0" borderId="5" xfId="0" applyFont="1" applyBorder="1" applyAlignment="1">
      <alignment horizontal="center" vertical="center"/>
    </xf>
    <xf numFmtId="0" fontId="7" fillId="0" borderId="9" xfId="0" applyFont="1" applyBorder="1" applyAlignment="1">
      <alignment horizontal="center" vertical="center"/>
    </xf>
    <xf numFmtId="0" fontId="31" fillId="0" borderId="0" xfId="0" applyFont="1" applyAlignment="1">
      <alignment vertical="center" wrapText="1"/>
    </xf>
    <xf numFmtId="0" fontId="13" fillId="0" borderId="0" xfId="0" applyFont="1" applyAlignment="1">
      <alignment horizontal="center"/>
    </xf>
    <xf numFmtId="0" fontId="7" fillId="0" borderId="2" xfId="0" applyFont="1" applyBorder="1"/>
    <xf numFmtId="0" fontId="14" fillId="0" borderId="0" xfId="0" applyFont="1" applyAlignment="1">
      <alignment vertical="center" wrapText="1"/>
    </xf>
    <xf numFmtId="0" fontId="11" fillId="0" borderId="0" xfId="3" applyFont="1" applyBorder="1" applyAlignment="1">
      <alignment horizontal="left" vertical="center" wrapText="1"/>
    </xf>
    <xf numFmtId="169" fontId="7" fillId="0" borderId="0" xfId="6" applyNumberFormat="1" applyFont="1" applyBorder="1" applyAlignment="1">
      <alignment horizontal="left" vertical="center"/>
    </xf>
    <xf numFmtId="1" fontId="7" fillId="0" borderId="0" xfId="0" applyNumberFormat="1" applyFont="1" applyAlignment="1">
      <alignment horizontal="left" vertical="center" wrapText="1"/>
    </xf>
    <xf numFmtId="0" fontId="1" fillId="0" borderId="0" xfId="0" applyFont="1" applyAlignment="1">
      <alignment horizontal="center" vertical="center" wrapText="1"/>
    </xf>
    <xf numFmtId="0" fontId="22" fillId="0" borderId="0" xfId="0" applyFont="1"/>
    <xf numFmtId="16" fontId="0" fillId="0" borderId="0" xfId="0" applyNumberFormat="1"/>
    <xf numFmtId="0" fontId="7" fillId="0" borderId="2" xfId="0" quotePrefix="1" applyFont="1" applyBorder="1" applyAlignment="1">
      <alignment horizontal="center" vertical="center" wrapText="1"/>
    </xf>
    <xf numFmtId="0" fontId="25" fillId="0" borderId="0" xfId="0" applyFont="1" applyAlignment="1">
      <alignment vertical="top" wrapText="1"/>
    </xf>
    <xf numFmtId="2" fontId="7" fillId="0" borderId="2" xfId="0" applyNumberFormat="1" applyFont="1" applyBorder="1" applyAlignment="1">
      <alignment horizontal="center" vertical="center"/>
    </xf>
    <xf numFmtId="0" fontId="34" fillId="16" borderId="2" xfId="0" applyFont="1" applyFill="1" applyBorder="1" applyAlignment="1">
      <alignment horizontal="center" vertical="center"/>
    </xf>
    <xf numFmtId="0" fontId="36" fillId="16" borderId="2" xfId="0" applyFont="1" applyFill="1" applyBorder="1" applyAlignment="1">
      <alignment horizontal="center" vertical="center" wrapText="1"/>
    </xf>
    <xf numFmtId="0" fontId="37" fillId="14" borderId="2" xfId="0" applyFont="1" applyFill="1" applyBorder="1" applyAlignment="1">
      <alignment horizontal="center" vertical="center" wrapText="1"/>
    </xf>
    <xf numFmtId="0" fontId="36" fillId="14" borderId="2" xfId="0" applyFont="1" applyFill="1" applyBorder="1" applyAlignment="1">
      <alignment horizontal="center" vertical="center"/>
    </xf>
    <xf numFmtId="0" fontId="37" fillId="15" borderId="2" xfId="0" applyFont="1" applyFill="1" applyBorder="1" applyAlignment="1">
      <alignment horizontal="center" vertical="center" wrapText="1"/>
    </xf>
    <xf numFmtId="0" fontId="37" fillId="16" borderId="2" xfId="0" applyFont="1" applyFill="1" applyBorder="1" applyAlignment="1">
      <alignment horizontal="center" vertical="center" wrapText="1"/>
    </xf>
    <xf numFmtId="0" fontId="40" fillId="0" borderId="2" xfId="0" applyFont="1" applyBorder="1" applyAlignment="1">
      <alignment horizontal="left" vertical="center" wrapText="1"/>
    </xf>
    <xf numFmtId="0" fontId="36" fillId="0" borderId="2" xfId="0" applyFont="1" applyBorder="1" applyAlignment="1">
      <alignment horizontal="left" vertical="center" wrapText="1"/>
    </xf>
    <xf numFmtId="0" fontId="11" fillId="0" borderId="0" xfId="3" applyFont="1" applyFill="1" applyBorder="1" applyAlignment="1">
      <alignment horizontal="left" vertical="top" wrapText="1"/>
    </xf>
    <xf numFmtId="0" fontId="41" fillId="0" borderId="0" xfId="0" applyFont="1"/>
    <xf numFmtId="0" fontId="39" fillId="0" borderId="0" xfId="0" applyFont="1"/>
    <xf numFmtId="0" fontId="13" fillId="2" borderId="0" xfId="0" applyFont="1" applyFill="1"/>
    <xf numFmtId="0" fontId="8" fillId="2" borderId="0" xfId="0" applyFont="1" applyFill="1" applyAlignment="1">
      <alignment vertical="center"/>
    </xf>
    <xf numFmtId="1" fontId="7" fillId="0" borderId="0" xfId="0" applyNumberFormat="1" applyFont="1" applyAlignment="1">
      <alignment horizontal="left" vertical="center"/>
    </xf>
    <xf numFmtId="0" fontId="13" fillId="0" borderId="0" xfId="0" applyFont="1" applyAlignment="1">
      <alignment wrapText="1"/>
    </xf>
    <xf numFmtId="0" fontId="25" fillId="0" borderId="0" xfId="0" applyFont="1" applyAlignment="1">
      <alignment wrapText="1"/>
    </xf>
    <xf numFmtId="0" fontId="11" fillId="0" borderId="0" xfId="3" applyFont="1" applyBorder="1" applyAlignment="1">
      <alignment horizontal="center" vertical="top" wrapText="1"/>
    </xf>
    <xf numFmtId="0" fontId="11" fillId="0" borderId="2" xfId="3" applyFont="1" applyFill="1" applyBorder="1" applyAlignment="1">
      <alignment horizontal="left" vertical="center" wrapText="1"/>
    </xf>
    <xf numFmtId="0" fontId="11" fillId="0" borderId="2" xfId="3" applyFont="1" applyBorder="1" applyAlignment="1">
      <alignment horizontal="center" vertical="center" wrapText="1"/>
    </xf>
    <xf numFmtId="164" fontId="7" fillId="0" borderId="2" xfId="2" applyNumberFormat="1" applyFont="1" applyBorder="1" applyAlignment="1">
      <alignment horizontal="center" vertical="center"/>
    </xf>
    <xf numFmtId="169" fontId="11" fillId="0" borderId="2" xfId="6" applyNumberFormat="1" applyFont="1" applyFill="1" applyBorder="1" applyAlignment="1">
      <alignment horizontal="left" vertical="center" wrapText="1"/>
    </xf>
    <xf numFmtId="1" fontId="1" fillId="0" borderId="2" xfId="0" applyNumberFormat="1" applyFont="1" applyBorder="1" applyAlignment="1">
      <alignment horizontal="left" vertical="center" wrapText="1"/>
    </xf>
    <xf numFmtId="0" fontId="1" fillId="0" borderId="0" xfId="0" applyFont="1" applyAlignment="1">
      <alignment vertical="center"/>
    </xf>
    <xf numFmtId="3" fontId="11" fillId="0" borderId="2" xfId="3" applyNumberFormat="1" applyFont="1" applyFill="1" applyBorder="1" applyAlignment="1">
      <alignment vertical="center" wrapText="1"/>
    </xf>
    <xf numFmtId="0" fontId="17" fillId="0" borderId="0" xfId="5" applyFont="1" applyAlignment="1">
      <alignment vertical="center"/>
    </xf>
    <xf numFmtId="168" fontId="17" fillId="0" borderId="0" xfId="5" applyNumberFormat="1" applyFont="1" applyAlignment="1">
      <alignment horizontal="left" vertical="center"/>
    </xf>
    <xf numFmtId="168" fontId="17" fillId="0" borderId="0" xfId="5" applyNumberFormat="1" applyFont="1" applyAlignment="1">
      <alignment vertical="center"/>
    </xf>
    <xf numFmtId="0" fontId="8" fillId="2" borderId="0" xfId="0" applyFont="1" applyFill="1" applyAlignment="1">
      <alignment vertical="center" wrapText="1"/>
    </xf>
    <xf numFmtId="0" fontId="9" fillId="0" borderId="2" xfId="5" applyBorder="1" applyAlignment="1">
      <alignment horizontal="center" vertical="center"/>
    </xf>
    <xf numFmtId="0" fontId="14" fillId="0" borderId="0" xfId="0" applyFont="1" applyAlignment="1">
      <alignment vertical="center"/>
    </xf>
    <xf numFmtId="0" fontId="31" fillId="0" borderId="0" xfId="0" applyFont="1"/>
    <xf numFmtId="1" fontId="11" fillId="0" borderId="2" xfId="3" applyNumberFormat="1" applyFont="1" applyBorder="1" applyAlignment="1">
      <alignment horizontal="left" vertical="center" wrapText="1"/>
    </xf>
    <xf numFmtId="1" fontId="11" fillId="0" borderId="2" xfId="3" applyNumberFormat="1" applyFont="1" applyBorder="1" applyAlignment="1">
      <alignment horizontal="center" vertical="center" wrapText="1"/>
    </xf>
    <xf numFmtId="169" fontId="7" fillId="0" borderId="2" xfId="6" applyNumberFormat="1" applyFont="1" applyBorder="1" applyAlignment="1">
      <alignment horizontal="center" vertical="center" wrapText="1"/>
    </xf>
    <xf numFmtId="0" fontId="11" fillId="0" borderId="2" xfId="3" applyFont="1" applyBorder="1" applyAlignment="1">
      <alignment horizontal="left" vertical="center" wrapText="1"/>
    </xf>
    <xf numFmtId="1" fontId="7" fillId="0" borderId="2" xfId="0" applyNumberFormat="1" applyFont="1" applyBorder="1" applyAlignment="1">
      <alignment horizontal="center" vertical="center"/>
    </xf>
    <xf numFmtId="43" fontId="7" fillId="0" borderId="2" xfId="0" applyNumberFormat="1" applyFont="1" applyBorder="1" applyAlignment="1">
      <alignment horizontal="center" vertical="center" wrapText="1"/>
    </xf>
    <xf numFmtId="169" fontId="7" fillId="0" borderId="2" xfId="6" applyNumberFormat="1" applyFont="1" applyFill="1" applyBorder="1" applyAlignment="1">
      <alignment horizontal="center" vertical="center"/>
    </xf>
    <xf numFmtId="0" fontId="7" fillId="0" borderId="2" xfId="4" applyBorder="1" applyAlignment="1">
      <alignment horizontal="center" vertical="center"/>
    </xf>
    <xf numFmtId="9" fontId="25" fillId="0" borderId="2" xfId="0" applyNumberFormat="1" applyFont="1" applyBorder="1" applyAlignment="1">
      <alignment horizontal="center" vertical="center"/>
    </xf>
    <xf numFmtId="9" fontId="25" fillId="0" borderId="2" xfId="0" applyNumberFormat="1" applyFont="1" applyBorder="1" applyAlignment="1">
      <alignment horizontal="center"/>
    </xf>
    <xf numFmtId="43" fontId="7" fillId="0" borderId="0" xfId="0" applyNumberFormat="1" applyFont="1" applyAlignment="1">
      <alignment vertical="center"/>
    </xf>
    <xf numFmtId="0" fontId="0" fillId="0" borderId="0" xfId="0" applyAlignment="1">
      <alignment horizontal="left" vertical="center"/>
    </xf>
    <xf numFmtId="0" fontId="3" fillId="0" borderId="0" xfId="0" applyFont="1" applyAlignment="1">
      <alignment horizontal="left" vertical="center"/>
    </xf>
    <xf numFmtId="0" fontId="25" fillId="0" borderId="0" xfId="0" applyFont="1" applyAlignment="1">
      <alignment horizontal="center"/>
    </xf>
    <xf numFmtId="3" fontId="7" fillId="0" borderId="0" xfId="0" applyNumberFormat="1" applyFont="1"/>
    <xf numFmtId="0" fontId="26" fillId="9" borderId="2" xfId="0" applyFont="1" applyFill="1" applyBorder="1" applyAlignment="1">
      <alignment horizontal="center" vertical="center" wrapText="1"/>
    </xf>
    <xf numFmtId="0" fontId="26" fillId="9" borderId="2" xfId="0" applyFont="1" applyFill="1" applyBorder="1" applyAlignment="1">
      <alignment horizontal="center" vertical="center"/>
    </xf>
    <xf numFmtId="0" fontId="8" fillId="0" borderId="0" xfId="0" applyFont="1" applyAlignment="1">
      <alignment horizontal="center" vertical="center"/>
    </xf>
    <xf numFmtId="0" fontId="25" fillId="0" borderId="0" xfId="0" applyFont="1" applyAlignment="1">
      <alignment horizontal="center" vertical="center"/>
    </xf>
    <xf numFmtId="0" fontId="43" fillId="0" borderId="32" xfId="0" applyFont="1" applyBorder="1" applyAlignment="1">
      <alignment horizontal="left" vertical="top" wrapText="1"/>
    </xf>
    <xf numFmtId="3" fontId="43" fillId="0" borderId="32" xfId="0" applyNumberFormat="1" applyFont="1" applyBorder="1" applyAlignment="1">
      <alignment horizontal="center" vertical="center" wrapText="1"/>
    </xf>
    <xf numFmtId="169" fontId="7" fillId="0" borderId="0" xfId="0" applyNumberFormat="1" applyFont="1" applyAlignment="1">
      <alignment horizontal="center" vertical="center"/>
    </xf>
    <xf numFmtId="169" fontId="7" fillId="0" borderId="0" xfId="6" applyNumberFormat="1" applyFont="1" applyBorder="1" applyAlignment="1">
      <alignment horizontal="center" vertical="center"/>
    </xf>
    <xf numFmtId="0" fontId="25" fillId="0" borderId="33" xfId="0" applyFont="1" applyBorder="1"/>
    <xf numFmtId="3" fontId="25" fillId="0" borderId="33" xfId="0" applyNumberFormat="1" applyFont="1" applyBorder="1"/>
    <xf numFmtId="0" fontId="25" fillId="13" borderId="33" xfId="0" applyFont="1" applyFill="1" applyBorder="1" applyAlignment="1">
      <alignment vertical="center"/>
    </xf>
    <xf numFmtId="0" fontId="15" fillId="0" borderId="0" xfId="0" applyFont="1"/>
    <xf numFmtId="169" fontId="7" fillId="0" borderId="0" xfId="6" applyNumberFormat="1" applyFont="1"/>
    <xf numFmtId="0" fontId="26" fillId="9" borderId="33" xfId="0" applyFont="1" applyFill="1" applyBorder="1" applyAlignment="1">
      <alignment horizontal="left" vertical="center" wrapText="1"/>
    </xf>
    <xf numFmtId="0" fontId="20" fillId="9" borderId="33" xfId="0" applyFont="1" applyFill="1" applyBorder="1" applyAlignment="1">
      <alignment horizontal="left" vertical="center"/>
    </xf>
    <xf numFmtId="0" fontId="26" fillId="9" borderId="33" xfId="0" applyFont="1" applyFill="1" applyBorder="1" applyAlignment="1">
      <alignment horizontal="center" vertical="center" wrapText="1"/>
    </xf>
    <xf numFmtId="0" fontId="20" fillId="9" borderId="2" xfId="0" applyFont="1" applyFill="1" applyBorder="1" applyAlignment="1">
      <alignment horizontal="center" vertical="center" wrapText="1"/>
    </xf>
    <xf numFmtId="0" fontId="25" fillId="0" borderId="0" xfId="0" applyFont="1" applyAlignment="1">
      <alignment horizontal="center" vertical="center" wrapText="1"/>
    </xf>
    <xf numFmtId="0" fontId="25" fillId="0" borderId="0" xfId="0" applyFont="1" applyAlignment="1">
      <alignment vertical="center"/>
    </xf>
    <xf numFmtId="0" fontId="25" fillId="0" borderId="12" xfId="0" applyFont="1" applyBorder="1" applyAlignment="1">
      <alignment horizontal="center" vertical="center"/>
    </xf>
    <xf numFmtId="0" fontId="7" fillId="0" borderId="12" xfId="0" applyFont="1" applyBorder="1" applyAlignment="1">
      <alignment horizontal="center" vertical="center"/>
    </xf>
    <xf numFmtId="0" fontId="7" fillId="0" borderId="12" xfId="0" applyFont="1" applyBorder="1"/>
    <xf numFmtId="0" fontId="25" fillId="0" borderId="16" xfId="0" applyFont="1" applyBorder="1" applyAlignment="1">
      <alignment horizontal="center" vertical="center" wrapText="1"/>
    </xf>
    <xf numFmtId="0" fontId="7" fillId="0" borderId="12" xfId="0" applyFont="1" applyBorder="1" applyAlignment="1">
      <alignment vertical="center"/>
    </xf>
    <xf numFmtId="0" fontId="18" fillId="0" borderId="0" xfId="0" applyFont="1" applyAlignment="1">
      <alignment vertical="center"/>
    </xf>
    <xf numFmtId="0" fontId="42" fillId="13" borderId="0" xfId="0" applyFont="1" applyFill="1" applyAlignment="1">
      <alignment horizontal="center" vertical="center"/>
    </xf>
    <xf numFmtId="0" fontId="42" fillId="0" borderId="0" xfId="0" applyFont="1" applyAlignment="1">
      <alignment horizontal="center" vertical="center"/>
    </xf>
    <xf numFmtId="173" fontId="7" fillId="0" borderId="2" xfId="6" applyNumberFormat="1" applyFont="1" applyBorder="1"/>
    <xf numFmtId="165" fontId="7" fillId="0" borderId="2" xfId="0" applyNumberFormat="1" applyFont="1" applyBorder="1"/>
    <xf numFmtId="2" fontId="7" fillId="0" borderId="1" xfId="0" applyNumberFormat="1" applyFont="1" applyBorder="1" applyAlignment="1">
      <alignment horizontal="center" vertical="center"/>
    </xf>
    <xf numFmtId="2" fontId="7" fillId="0" borderId="16" xfId="0" applyNumberFormat="1" applyFont="1" applyBorder="1" applyAlignment="1">
      <alignment horizontal="center" vertical="center"/>
    </xf>
    <xf numFmtId="0" fontId="9" fillId="0" borderId="0" xfId="5" applyAlignment="1">
      <alignment horizontal="left"/>
    </xf>
    <xf numFmtId="165" fontId="25" fillId="0" borderId="2" xfId="0" applyNumberFormat="1" applyFont="1" applyBorder="1"/>
    <xf numFmtId="0" fontId="26" fillId="9" borderId="2" xfId="0" applyFont="1" applyFill="1" applyBorder="1" applyAlignment="1">
      <alignment vertical="center" wrapText="1"/>
    </xf>
    <xf numFmtId="0" fontId="20" fillId="6" borderId="20" xfId="0" applyFont="1" applyFill="1" applyBorder="1" applyAlignment="1">
      <alignment horizontal="center" vertical="center" wrapText="1"/>
    </xf>
    <xf numFmtId="0" fontId="26" fillId="9" borderId="20" xfId="0" applyFont="1" applyFill="1" applyBorder="1" applyAlignment="1">
      <alignment horizontal="center" vertical="center"/>
    </xf>
    <xf numFmtId="3" fontId="7" fillId="0" borderId="20" xfId="0" applyNumberFormat="1" applyFont="1" applyBorder="1" applyAlignment="1">
      <alignment horizontal="center" vertical="center"/>
    </xf>
    <xf numFmtId="0" fontId="26" fillId="6" borderId="20" xfId="0" applyFont="1" applyFill="1" applyBorder="1" applyAlignment="1">
      <alignment horizontal="left" vertical="center" wrapText="1"/>
    </xf>
    <xf numFmtId="0" fontId="7" fillId="0" borderId="20" xfId="0" applyFont="1" applyBorder="1" applyAlignment="1">
      <alignment vertical="center"/>
    </xf>
    <xf numFmtId="0" fontId="7" fillId="0" borderId="20" xfId="0" applyFont="1" applyBorder="1" applyAlignment="1">
      <alignment horizontal="right" vertical="center"/>
    </xf>
    <xf numFmtId="172" fontId="7" fillId="0" borderId="20" xfId="0" applyNumberFormat="1" applyFont="1" applyBorder="1" applyAlignment="1">
      <alignment vertical="center"/>
    </xf>
    <xf numFmtId="169" fontId="7" fillId="0" borderId="20" xfId="6" applyNumberFormat="1" applyFont="1" applyBorder="1" applyAlignment="1">
      <alignment horizontal="right" vertical="center" wrapText="1"/>
    </xf>
    <xf numFmtId="172" fontId="1" fillId="0" borderId="20" xfId="0" applyNumberFormat="1" applyFont="1" applyBorder="1" applyAlignment="1">
      <alignment vertical="center"/>
    </xf>
    <xf numFmtId="169" fontId="7" fillId="0" borderId="20" xfId="0" applyNumberFormat="1" applyFont="1" applyBorder="1" applyAlignment="1">
      <alignment horizontal="right" vertical="center"/>
    </xf>
    <xf numFmtId="0" fontId="25" fillId="0" borderId="2" xfId="0" applyFont="1" applyBorder="1" applyAlignment="1">
      <alignment wrapText="1"/>
    </xf>
    <xf numFmtId="0" fontId="25" fillId="0" borderId="16" xfId="0" applyFont="1" applyBorder="1"/>
    <xf numFmtId="0" fontId="25" fillId="0" borderId="16" xfId="0" applyFont="1" applyBorder="1" applyAlignment="1">
      <alignment wrapText="1"/>
    </xf>
    <xf numFmtId="0" fontId="25" fillId="0" borderId="19" xfId="0" applyFont="1" applyBorder="1" applyAlignment="1">
      <alignment wrapText="1"/>
    </xf>
    <xf numFmtId="0" fontId="25" fillId="0" borderId="33" xfId="0" applyFont="1" applyBorder="1" applyAlignment="1">
      <alignment horizontal="center" vertical="center"/>
    </xf>
    <xf numFmtId="0" fontId="25" fillId="0" borderId="39" xfId="0" applyFont="1" applyBorder="1" applyAlignment="1">
      <alignment horizontal="center" vertical="center"/>
    </xf>
    <xf numFmtId="1" fontId="7" fillId="0" borderId="20" xfId="0" applyNumberFormat="1" applyFont="1" applyBorder="1" applyAlignment="1">
      <alignment horizontal="left" vertical="center"/>
    </xf>
    <xf numFmtId="0" fontId="25" fillId="0" borderId="20" xfId="0" applyFont="1" applyBorder="1" applyAlignment="1">
      <alignment wrapText="1"/>
    </xf>
    <xf numFmtId="165" fontId="7" fillId="0" borderId="20" xfId="0" applyNumberFormat="1" applyFont="1" applyBorder="1" applyAlignment="1">
      <alignment horizontal="center" vertical="center"/>
    </xf>
    <xf numFmtId="0" fontId="7" fillId="0" borderId="20" xfId="0" applyFont="1" applyBorder="1"/>
    <xf numFmtId="2" fontId="7" fillId="0" borderId="20" xfId="0" applyNumberFormat="1" applyFont="1" applyBorder="1" applyAlignment="1">
      <alignment horizontal="center" vertical="center"/>
    </xf>
    <xf numFmtId="0" fontId="26" fillId="9" borderId="20" xfId="0" applyFont="1" applyFill="1" applyBorder="1" applyAlignment="1">
      <alignment horizontal="center" vertical="center" wrapText="1"/>
    </xf>
    <xf numFmtId="0" fontId="11" fillId="0" borderId="20" xfId="3" applyFont="1" applyFill="1" applyBorder="1" applyAlignment="1">
      <alignment horizontal="left" vertical="center" wrapText="1"/>
    </xf>
    <xf numFmtId="0" fontId="20" fillId="6" borderId="20" xfId="0" applyFont="1" applyFill="1" applyBorder="1" applyAlignment="1">
      <alignment horizontal="center" vertical="center"/>
    </xf>
    <xf numFmtId="0" fontId="20" fillId="9" borderId="20" xfId="0" applyFont="1" applyFill="1" applyBorder="1" applyAlignment="1">
      <alignment horizontal="center" vertical="center"/>
    </xf>
    <xf numFmtId="0" fontId="21" fillId="6" borderId="20" xfId="0" applyFont="1" applyFill="1" applyBorder="1" applyAlignment="1">
      <alignment horizontal="center" vertical="center" wrapText="1"/>
    </xf>
    <xf numFmtId="3" fontId="7" fillId="0" borderId="20" xfId="7" applyNumberFormat="1" applyFont="1" applyBorder="1" applyAlignment="1">
      <alignment horizontal="center" vertical="center"/>
    </xf>
    <xf numFmtId="43" fontId="25" fillId="0" borderId="20" xfId="6" applyFont="1" applyFill="1" applyBorder="1" applyAlignment="1">
      <alignment horizontal="center" vertical="center" wrapText="1"/>
    </xf>
    <xf numFmtId="169" fontId="25" fillId="0" borderId="20" xfId="6" applyNumberFormat="1" applyFont="1" applyBorder="1" applyAlignment="1">
      <alignment horizontal="center" vertical="center"/>
    </xf>
    <xf numFmtId="169" fontId="25" fillId="0" borderId="20" xfId="6" applyNumberFormat="1" applyFont="1" applyFill="1" applyBorder="1" applyAlignment="1">
      <alignment horizontal="center" vertical="center" wrapText="1"/>
    </xf>
    <xf numFmtId="169" fontId="25" fillId="0" borderId="20" xfId="0" applyNumberFormat="1" applyFont="1" applyBorder="1" applyAlignment="1">
      <alignment vertical="center"/>
    </xf>
    <xf numFmtId="4" fontId="7" fillId="0" borderId="20" xfId="7" applyNumberFormat="1" applyFont="1" applyBorder="1" applyAlignment="1">
      <alignment horizontal="center" vertical="center"/>
    </xf>
    <xf numFmtId="171" fontId="7" fillId="0" borderId="20" xfId="7" applyNumberFormat="1" applyFont="1" applyBorder="1" applyAlignment="1">
      <alignment horizontal="center" vertical="center"/>
    </xf>
    <xf numFmtId="0" fontId="20" fillId="6" borderId="20" xfId="0" applyFont="1" applyFill="1" applyBorder="1" applyAlignment="1">
      <alignment vertical="center"/>
    </xf>
    <xf numFmtId="0" fontId="20" fillId="6" borderId="20" xfId="0" applyFont="1" applyFill="1" applyBorder="1" applyAlignment="1">
      <alignment horizontal="left" vertical="center"/>
    </xf>
    <xf numFmtId="0" fontId="1" fillId="0" borderId="20" xfId="1" applyBorder="1" applyAlignment="1">
      <alignment vertical="center" wrapText="1"/>
    </xf>
    <xf numFmtId="3" fontId="1" fillId="0" borderId="20" xfId="1" applyNumberFormat="1" applyBorder="1" applyAlignment="1">
      <alignment horizontal="center" vertical="center" wrapText="1"/>
    </xf>
    <xf numFmtId="166" fontId="1" fillId="0" borderId="20" xfId="1" applyNumberFormat="1" applyBorder="1" applyAlignment="1">
      <alignment horizontal="center" vertical="center" wrapText="1"/>
    </xf>
    <xf numFmtId="0" fontId="1" fillId="0" borderId="20" xfId="1" applyBorder="1" applyAlignment="1">
      <alignment vertical="center"/>
    </xf>
    <xf numFmtId="10" fontId="7" fillId="0" borderId="20" xfId="0" applyNumberFormat="1" applyFont="1" applyBorder="1" applyAlignment="1">
      <alignment horizontal="center" vertical="center" wrapText="1"/>
    </xf>
    <xf numFmtId="0" fontId="1" fillId="0" borderId="20" xfId="1" applyBorder="1" applyAlignment="1">
      <alignment horizontal="center" vertical="center" wrapText="1"/>
    </xf>
    <xf numFmtId="168" fontId="7" fillId="0" borderId="20" xfId="0" applyNumberFormat="1" applyFont="1" applyBorder="1" applyAlignment="1">
      <alignment horizontal="center" vertical="center"/>
    </xf>
    <xf numFmtId="0" fontId="7" fillId="7" borderId="20" xfId="0" applyFont="1" applyFill="1" applyBorder="1" applyAlignment="1">
      <alignment horizontal="center" vertical="center"/>
    </xf>
    <xf numFmtId="168" fontId="7" fillId="7" borderId="20" xfId="0" applyNumberFormat="1" applyFont="1" applyFill="1" applyBorder="1" applyAlignment="1">
      <alignment horizontal="center" vertical="center"/>
    </xf>
    <xf numFmtId="0" fontId="1" fillId="10" borderId="20" xfId="0" applyFont="1" applyFill="1" applyBorder="1" applyAlignment="1">
      <alignment horizontal="center" vertical="center"/>
    </xf>
    <xf numFmtId="0" fontId="7" fillId="5" borderId="20" xfId="0" applyFont="1" applyFill="1" applyBorder="1" applyAlignment="1">
      <alignment horizontal="center" vertical="center"/>
    </xf>
    <xf numFmtId="168" fontId="7" fillId="5" borderId="20" xfId="0" applyNumberFormat="1" applyFont="1" applyFill="1" applyBorder="1" applyAlignment="1">
      <alignment horizontal="center" vertical="center"/>
    </xf>
    <xf numFmtId="0" fontId="7" fillId="3" borderId="20" xfId="0" applyFont="1" applyFill="1" applyBorder="1" applyAlignment="1">
      <alignment horizontal="center" vertical="center"/>
    </xf>
    <xf numFmtId="168" fontId="7" fillId="3" borderId="20" xfId="0" applyNumberFormat="1" applyFont="1" applyFill="1" applyBorder="1" applyAlignment="1">
      <alignment horizontal="center" vertical="center"/>
    </xf>
    <xf numFmtId="0" fontId="7" fillId="11" borderId="20" xfId="0" applyFont="1" applyFill="1" applyBorder="1" applyAlignment="1">
      <alignment horizontal="center" vertical="center"/>
    </xf>
    <xf numFmtId="0" fontId="1" fillId="11" borderId="20" xfId="0" applyFont="1" applyFill="1" applyBorder="1" applyAlignment="1">
      <alignment horizontal="center" vertical="center"/>
    </xf>
    <xf numFmtId="168" fontId="7" fillId="11" borderId="20" xfId="0" applyNumberFormat="1" applyFont="1" applyFill="1" applyBorder="1" applyAlignment="1">
      <alignment horizontal="center" vertical="center"/>
    </xf>
    <xf numFmtId="1" fontId="7" fillId="7" borderId="20" xfId="0" applyNumberFormat="1" applyFont="1" applyFill="1" applyBorder="1" applyAlignment="1">
      <alignment horizontal="center" vertical="center"/>
    </xf>
    <xf numFmtId="2" fontId="7" fillId="7" borderId="20" xfId="0" applyNumberFormat="1" applyFont="1" applyFill="1" applyBorder="1" applyAlignment="1">
      <alignment horizontal="center" vertical="center"/>
    </xf>
    <xf numFmtId="0" fontId="7" fillId="5" borderId="20" xfId="0" applyFont="1" applyFill="1" applyBorder="1" applyAlignment="1">
      <alignment horizontal="center" vertical="center" wrapText="1"/>
    </xf>
    <xf numFmtId="1" fontId="7" fillId="0" borderId="20" xfId="0" applyNumberFormat="1" applyFont="1" applyBorder="1" applyAlignment="1">
      <alignment horizontal="left" vertical="center" wrapText="1"/>
    </xf>
    <xf numFmtId="0" fontId="7" fillId="0" borderId="20" xfId="0" applyFont="1" applyBorder="1" applyAlignment="1">
      <alignment horizontal="left" vertical="center" wrapText="1"/>
    </xf>
    <xf numFmtId="169" fontId="7" fillId="0" borderId="20" xfId="0" applyNumberFormat="1" applyFont="1" applyBorder="1" applyAlignment="1">
      <alignment horizontal="center" vertical="center"/>
    </xf>
    <xf numFmtId="169" fontId="7" fillId="0" borderId="20" xfId="6" applyNumberFormat="1" applyFont="1" applyBorder="1" applyAlignment="1">
      <alignment horizontal="center" vertical="center"/>
    </xf>
    <xf numFmtId="169" fontId="7" fillId="0" borderId="20" xfId="0" applyNumberFormat="1" applyFont="1" applyBorder="1" applyAlignment="1">
      <alignment vertical="center"/>
    </xf>
    <xf numFmtId="0" fontId="25" fillId="13" borderId="20" xfId="0" applyFont="1" applyFill="1" applyBorder="1" applyAlignment="1">
      <alignment vertical="center"/>
    </xf>
    <xf numFmtId="173" fontId="25" fillId="13" borderId="20" xfId="0" applyNumberFormat="1" applyFont="1" applyFill="1" applyBorder="1" applyAlignment="1">
      <alignment vertical="center"/>
    </xf>
    <xf numFmtId="165" fontId="25" fillId="0" borderId="20" xfId="0" applyNumberFormat="1" applyFont="1" applyBorder="1"/>
    <xf numFmtId="0" fontId="11" fillId="0" borderId="20" xfId="3" applyFont="1" applyBorder="1" applyAlignment="1">
      <alignment horizontal="left" vertical="center" wrapText="1"/>
    </xf>
    <xf numFmtId="0" fontId="25" fillId="0" borderId="20" xfId="0" applyFont="1" applyBorder="1"/>
    <xf numFmtId="1" fontId="11" fillId="0" borderId="20" xfId="3" applyNumberFormat="1" applyFont="1" applyBorder="1" applyAlignment="1">
      <alignment horizontal="left" vertical="center" wrapText="1"/>
    </xf>
    <xf numFmtId="169" fontId="7" fillId="0" borderId="20" xfId="6" applyNumberFormat="1" applyFont="1" applyBorder="1" applyAlignment="1">
      <alignment horizontal="center" vertical="center" wrapText="1"/>
    </xf>
    <xf numFmtId="43" fontId="7" fillId="0" borderId="20" xfId="0" applyNumberFormat="1" applyFont="1" applyBorder="1" applyAlignment="1">
      <alignment vertical="center"/>
    </xf>
    <xf numFmtId="170" fontId="7" fillId="0" borderId="20" xfId="6" applyNumberFormat="1" applyFont="1" applyBorder="1" applyAlignment="1">
      <alignment horizontal="center" vertical="center"/>
    </xf>
    <xf numFmtId="9" fontId="7" fillId="0" borderId="20" xfId="0" applyNumberFormat="1" applyFont="1" applyBorder="1" applyAlignment="1">
      <alignment horizontal="center" vertical="center" wrapText="1"/>
    </xf>
    <xf numFmtId="0" fontId="7" fillId="0" borderId="7" xfId="0" applyFont="1" applyBorder="1" applyAlignment="1">
      <alignment horizontal="center" vertical="center"/>
    </xf>
    <xf numFmtId="0" fontId="7" fillId="0" borderId="21" xfId="0" applyFont="1" applyBorder="1" applyAlignment="1">
      <alignment horizontal="center" vertical="center"/>
    </xf>
    <xf numFmtId="0" fontId="7" fillId="0" borderId="27"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2" xfId="0" applyFont="1" applyBorder="1" applyAlignment="1">
      <alignment horizontal="center" vertical="center"/>
    </xf>
    <xf numFmtId="2" fontId="7" fillId="0" borderId="5" xfId="0" applyNumberFormat="1" applyFont="1" applyBorder="1" applyAlignment="1">
      <alignment horizontal="center" vertical="center"/>
    </xf>
    <xf numFmtId="2" fontId="7" fillId="0" borderId="7" xfId="0" applyNumberFormat="1" applyFont="1" applyBorder="1" applyAlignment="1">
      <alignment horizontal="center" vertical="center"/>
    </xf>
    <xf numFmtId="2" fontId="7" fillId="0" borderId="28" xfId="0" applyNumberFormat="1" applyFont="1" applyBorder="1" applyAlignment="1">
      <alignment horizontal="center" vertical="center"/>
    </xf>
    <xf numFmtId="2" fontId="7" fillId="0" borderId="9" xfId="0" applyNumberFormat="1" applyFont="1" applyBorder="1" applyAlignment="1">
      <alignment horizontal="center" vertical="center"/>
    </xf>
    <xf numFmtId="172" fontId="1" fillId="7" borderId="20" xfId="0" applyNumberFormat="1" applyFont="1" applyFill="1" applyBorder="1" applyAlignment="1">
      <alignment vertical="center"/>
    </xf>
    <xf numFmtId="0" fontId="7" fillId="0" borderId="20" xfId="0" applyFont="1" applyBorder="1" applyAlignment="1">
      <alignment wrapText="1"/>
    </xf>
    <xf numFmtId="9" fontId="8" fillId="0" borderId="0" xfId="2" applyFont="1"/>
    <xf numFmtId="0" fontId="8" fillId="0" borderId="0" xfId="0" applyFont="1" applyAlignment="1">
      <alignment wrapText="1"/>
    </xf>
    <xf numFmtId="0" fontId="8" fillId="0" borderId="0" xfId="0" applyFont="1" applyAlignment="1">
      <alignment horizontal="left"/>
    </xf>
    <xf numFmtId="0" fontId="8" fillId="0" borderId="0" xfId="0" applyFont="1" applyAlignment="1">
      <alignment horizontal="center"/>
    </xf>
    <xf numFmtId="0" fontId="8" fillId="0" borderId="20" xfId="0" applyFont="1" applyBorder="1"/>
    <xf numFmtId="173" fontId="7" fillId="0" borderId="2" xfId="0" applyNumberFormat="1" applyFont="1" applyBorder="1" applyAlignment="1">
      <alignment horizontal="center" vertical="center" wrapText="1"/>
    </xf>
    <xf numFmtId="0" fontId="0" fillId="0" borderId="2" xfId="0" applyBorder="1" applyAlignment="1">
      <alignment horizontal="center" vertical="center" wrapText="1"/>
    </xf>
    <xf numFmtId="170" fontId="7" fillId="0" borderId="2" xfId="6" applyNumberFormat="1" applyFont="1" applyBorder="1" applyAlignment="1">
      <alignment horizontal="center" vertical="center" wrapText="1"/>
    </xf>
    <xf numFmtId="0" fontId="1" fillId="0" borderId="2" xfId="0" applyFont="1" applyBorder="1" applyAlignment="1">
      <alignment horizontal="center" vertical="center"/>
    </xf>
    <xf numFmtId="0" fontId="8" fillId="9" borderId="43" xfId="0" applyFont="1" applyFill="1" applyBorder="1" applyAlignment="1">
      <alignment horizontal="center" vertical="center" wrapText="1"/>
    </xf>
    <xf numFmtId="0" fontId="8" fillId="4" borderId="0" xfId="0" applyFont="1" applyFill="1" applyAlignment="1">
      <alignment vertical="center"/>
    </xf>
    <xf numFmtId="0" fontId="8" fillId="4" borderId="44" xfId="0" applyFont="1" applyFill="1" applyBorder="1" applyAlignment="1">
      <alignment vertical="center"/>
    </xf>
    <xf numFmtId="0" fontId="8" fillId="4" borderId="45" xfId="0" applyFont="1" applyFill="1" applyBorder="1" applyAlignment="1">
      <alignment vertical="center"/>
    </xf>
    <xf numFmtId="0" fontId="7" fillId="4" borderId="45" xfId="0" applyFont="1" applyFill="1" applyBorder="1" applyAlignment="1">
      <alignment vertical="center"/>
    </xf>
    <xf numFmtId="0" fontId="7" fillId="4" borderId="46" xfId="0" applyFont="1" applyFill="1" applyBorder="1" applyAlignment="1">
      <alignment vertical="center"/>
    </xf>
    <xf numFmtId="0" fontId="8" fillId="4" borderId="47" xfId="0" applyFont="1" applyFill="1" applyBorder="1" applyAlignment="1">
      <alignment vertical="center"/>
    </xf>
    <xf numFmtId="0" fontId="7" fillId="4" borderId="0" xfId="0" applyFont="1" applyFill="1" applyAlignment="1">
      <alignment vertical="center"/>
    </xf>
    <xf numFmtId="0" fontId="7" fillId="4" borderId="48" xfId="0" applyFont="1" applyFill="1" applyBorder="1" applyAlignment="1">
      <alignment vertical="center"/>
    </xf>
    <xf numFmtId="0" fontId="0" fillId="4" borderId="0" xfId="0" applyFill="1" applyAlignment="1">
      <alignment vertical="center"/>
    </xf>
    <xf numFmtId="0" fontId="8" fillId="4" borderId="49" xfId="0" applyFont="1" applyFill="1" applyBorder="1" applyAlignment="1">
      <alignment vertical="center"/>
    </xf>
    <xf numFmtId="0" fontId="8" fillId="4" borderId="50" xfId="0" applyFont="1" applyFill="1" applyBorder="1" applyAlignment="1">
      <alignment vertical="center"/>
    </xf>
    <xf numFmtId="0" fontId="7" fillId="4" borderId="50" xfId="0" applyFont="1" applyFill="1" applyBorder="1" applyAlignment="1">
      <alignment vertical="center"/>
    </xf>
    <xf numFmtId="0" fontId="7" fillId="4" borderId="51" xfId="0" applyFont="1" applyFill="1" applyBorder="1" applyAlignment="1">
      <alignment vertical="center"/>
    </xf>
    <xf numFmtId="0" fontId="7" fillId="0" borderId="16" xfId="0" applyFont="1" applyBorder="1"/>
    <xf numFmtId="0" fontId="44" fillId="13" borderId="52" xfId="0" applyFont="1" applyFill="1" applyBorder="1" applyAlignment="1">
      <alignment horizontal="left" vertical="center"/>
    </xf>
    <xf numFmtId="0" fontId="25" fillId="13" borderId="53" xfId="0" applyFont="1" applyFill="1" applyBorder="1" applyAlignment="1">
      <alignment vertical="center"/>
    </xf>
    <xf numFmtId="0" fontId="25" fillId="13" borderId="54" xfId="0" applyFont="1" applyFill="1" applyBorder="1" applyAlignment="1">
      <alignment vertical="center"/>
    </xf>
    <xf numFmtId="0" fontId="44" fillId="13" borderId="55" xfId="0" applyFont="1" applyFill="1" applyBorder="1" applyAlignment="1">
      <alignment horizontal="left" vertical="center"/>
    </xf>
    <xf numFmtId="0" fontId="25" fillId="13" borderId="56" xfId="0" applyFont="1" applyFill="1" applyBorder="1" applyAlignment="1">
      <alignment vertical="center"/>
    </xf>
    <xf numFmtId="0" fontId="25" fillId="13" borderId="57" xfId="0" applyFont="1" applyFill="1" applyBorder="1" applyAlignment="1">
      <alignment vertical="center"/>
    </xf>
    <xf numFmtId="0" fontId="8" fillId="0" borderId="20" xfId="0" applyFont="1" applyBorder="1" applyAlignment="1">
      <alignment vertical="center"/>
    </xf>
    <xf numFmtId="9" fontId="7" fillId="0" borderId="2" xfId="0" applyNumberFormat="1" applyFont="1" applyBorder="1" applyAlignment="1">
      <alignment horizontal="center"/>
    </xf>
    <xf numFmtId="169" fontId="7" fillId="0" borderId="20" xfId="0" applyNumberFormat="1" applyFont="1" applyBorder="1" applyAlignment="1">
      <alignment horizontal="center" vertical="center" wrapText="1"/>
    </xf>
    <xf numFmtId="0" fontId="20" fillId="6" borderId="60" xfId="0" applyFont="1" applyFill="1" applyBorder="1" applyAlignment="1">
      <alignment horizontal="center" vertical="center" wrapText="1"/>
    </xf>
    <xf numFmtId="10" fontId="25" fillId="0" borderId="2" xfId="0" applyNumberFormat="1" applyFont="1" applyBorder="1" applyAlignment="1">
      <alignment horizontal="center" vertical="center"/>
    </xf>
    <xf numFmtId="10" fontId="25" fillId="0" borderId="2" xfId="0" applyNumberFormat="1" applyFont="1" applyBorder="1" applyAlignment="1">
      <alignment horizontal="center"/>
    </xf>
    <xf numFmtId="0" fontId="7" fillId="0" borderId="2" xfId="0" applyFont="1" applyBorder="1" applyAlignment="1">
      <alignment vertical="center"/>
    </xf>
    <xf numFmtId="168" fontId="7" fillId="0" borderId="2" xfId="0" applyNumberFormat="1" applyFont="1" applyBorder="1" applyAlignment="1">
      <alignment vertical="center"/>
    </xf>
    <xf numFmtId="169" fontId="7" fillId="0" borderId="40" xfId="6" applyNumberFormat="1" applyFont="1" applyBorder="1" applyAlignment="1">
      <alignment horizontal="center" vertical="center"/>
    </xf>
    <xf numFmtId="1" fontId="7" fillId="0" borderId="42" xfId="0" applyNumberFormat="1" applyFont="1" applyBorder="1" applyAlignment="1">
      <alignment horizontal="center" vertical="center"/>
    </xf>
    <xf numFmtId="170" fontId="7" fillId="0" borderId="60" xfId="6" applyNumberFormat="1" applyFont="1" applyBorder="1" applyAlignment="1">
      <alignment horizontal="center" vertical="center"/>
    </xf>
    <xf numFmtId="0" fontId="7" fillId="0" borderId="20" xfId="0" applyFont="1" applyBorder="1" applyAlignment="1">
      <alignment vertical="center" wrapText="1"/>
    </xf>
    <xf numFmtId="0" fontId="11" fillId="0" borderId="2" xfId="3" applyFont="1" applyBorder="1" applyAlignment="1">
      <alignment horizontal="center" vertical="top" wrapText="1"/>
    </xf>
    <xf numFmtId="0" fontId="24" fillId="0" borderId="62" xfId="0" applyFont="1" applyBorder="1" applyAlignment="1">
      <alignment horizontal="center" vertical="center"/>
    </xf>
    <xf numFmtId="1" fontId="24" fillId="0" borderId="1" xfId="0" applyNumberFormat="1" applyFont="1" applyBorder="1" applyAlignment="1">
      <alignment horizontal="center" vertical="center"/>
    </xf>
    <xf numFmtId="1" fontId="24" fillId="0" borderId="5" xfId="0" applyNumberFormat="1" applyFont="1" applyBorder="1" applyAlignment="1">
      <alignment horizontal="center" vertical="center"/>
    </xf>
    <xf numFmtId="0" fontId="24" fillId="0" borderId="11" xfId="0" applyFont="1" applyBorder="1" applyAlignment="1">
      <alignment horizontal="center" vertical="center"/>
    </xf>
    <xf numFmtId="1" fontId="24" fillId="0" borderId="2" xfId="0" applyNumberFormat="1" applyFont="1" applyBorder="1" applyAlignment="1">
      <alignment horizontal="center" vertical="center"/>
    </xf>
    <xf numFmtId="1" fontId="24" fillId="0" borderId="7" xfId="0" applyNumberFormat="1" applyFont="1" applyBorder="1" applyAlignment="1">
      <alignment horizontal="center" vertical="center"/>
    </xf>
    <xf numFmtId="0" fontId="24" fillId="0" borderId="63" xfId="0" applyFont="1" applyBorder="1" applyAlignment="1">
      <alignment horizontal="center" vertical="center"/>
    </xf>
    <xf numFmtId="1" fontId="24" fillId="0" borderId="28" xfId="0" applyNumberFormat="1" applyFont="1" applyBorder="1" applyAlignment="1">
      <alignment horizontal="center" vertical="center"/>
    </xf>
    <xf numFmtId="1" fontId="24" fillId="0" borderId="9" xfId="0" applyNumberFormat="1" applyFont="1" applyBorder="1" applyAlignment="1">
      <alignment horizontal="center" vertical="center"/>
    </xf>
    <xf numFmtId="0" fontId="24" fillId="0" borderId="19" xfId="0" applyFont="1" applyBorder="1" applyAlignment="1">
      <alignment horizontal="center" vertical="center"/>
    </xf>
    <xf numFmtId="1" fontId="24" fillId="0" borderId="16" xfId="0" applyNumberFormat="1" applyFont="1" applyBorder="1" applyAlignment="1">
      <alignment horizontal="center" vertical="center"/>
    </xf>
    <xf numFmtId="1" fontId="24" fillId="0" borderId="65" xfId="0" applyNumberFormat="1" applyFont="1" applyBorder="1" applyAlignment="1">
      <alignment horizontal="center" vertical="center"/>
    </xf>
    <xf numFmtId="0" fontId="24" fillId="0" borderId="13" xfId="0" applyFont="1" applyBorder="1" applyAlignment="1">
      <alignment horizontal="center" vertical="center"/>
    </xf>
    <xf numFmtId="1" fontId="24" fillId="0" borderId="12" xfId="0" applyNumberFormat="1" applyFont="1" applyBorder="1" applyAlignment="1">
      <alignment horizontal="center" vertical="center"/>
    </xf>
    <xf numFmtId="1" fontId="24" fillId="0" borderId="61" xfId="0" applyNumberFormat="1" applyFont="1" applyBorder="1" applyAlignment="1">
      <alignment horizontal="center" vertical="center"/>
    </xf>
    <xf numFmtId="0" fontId="7" fillId="0" borderId="38" xfId="0" applyFont="1" applyBorder="1" applyAlignment="1">
      <alignment horizontal="center" vertical="center"/>
    </xf>
    <xf numFmtId="0" fontId="24" fillId="0" borderId="76" xfId="0" applyFont="1" applyBorder="1" applyAlignment="1">
      <alignment horizontal="center" vertical="center"/>
    </xf>
    <xf numFmtId="1" fontId="24" fillId="0" borderId="77" xfId="0" applyNumberFormat="1" applyFont="1" applyBorder="1" applyAlignment="1">
      <alignment horizontal="center" vertical="center"/>
    </xf>
    <xf numFmtId="1" fontId="24" fillId="0" borderId="78" xfId="0" applyNumberFormat="1" applyFont="1" applyBorder="1" applyAlignment="1">
      <alignment horizontal="center" vertical="center"/>
    </xf>
    <xf numFmtId="0" fontId="24" fillId="0" borderId="80" xfId="0" applyFont="1" applyBorder="1" applyAlignment="1">
      <alignment horizontal="center" vertical="center"/>
    </xf>
    <xf numFmtId="1" fontId="24" fillId="0" borderId="43" xfId="0" applyNumberFormat="1" applyFont="1" applyBorder="1" applyAlignment="1">
      <alignment horizontal="center" vertical="center"/>
    </xf>
    <xf numFmtId="1" fontId="24" fillId="0" borderId="81" xfId="0" applyNumberFormat="1" applyFont="1" applyBorder="1" applyAlignment="1">
      <alignment horizontal="center" vertical="center"/>
    </xf>
    <xf numFmtId="0" fontId="24" fillId="0" borderId="83" xfId="0" applyFont="1" applyBorder="1" applyAlignment="1">
      <alignment horizontal="center" vertical="center"/>
    </xf>
    <xf numFmtId="1" fontId="24" fillId="0" borderId="84" xfId="0" applyNumberFormat="1" applyFont="1" applyBorder="1" applyAlignment="1">
      <alignment horizontal="center" vertical="center"/>
    </xf>
    <xf numFmtId="1" fontId="24" fillId="0" borderId="85" xfId="0" applyNumberFormat="1" applyFont="1" applyBorder="1" applyAlignment="1">
      <alignment horizontal="center" vertical="center"/>
    </xf>
    <xf numFmtId="0" fontId="24" fillId="0" borderId="57" xfId="0" applyFont="1" applyBorder="1" applyAlignment="1">
      <alignment horizontal="center" vertical="center"/>
    </xf>
    <xf numFmtId="1" fontId="45" fillId="0" borderId="87" xfId="0" applyNumberFormat="1" applyFont="1" applyBorder="1" applyAlignment="1">
      <alignment horizontal="center" vertical="center"/>
    </xf>
    <xf numFmtId="1" fontId="45" fillId="0" borderId="88" xfId="0" applyNumberFormat="1" applyFont="1" applyBorder="1" applyAlignment="1">
      <alignment horizontal="center" vertical="center"/>
    </xf>
    <xf numFmtId="1" fontId="45" fillId="0" borderId="43" xfId="0" applyNumberFormat="1" applyFont="1" applyBorder="1" applyAlignment="1">
      <alignment horizontal="center" vertical="center"/>
    </xf>
    <xf numFmtId="1" fontId="45" fillId="0" borderId="81" xfId="0" applyNumberFormat="1" applyFont="1" applyBorder="1" applyAlignment="1">
      <alignment horizontal="center" vertical="center"/>
    </xf>
    <xf numFmtId="0" fontId="24" fillId="0" borderId="54" xfId="0" applyFont="1" applyBorder="1" applyAlignment="1">
      <alignment horizontal="center" vertical="center"/>
    </xf>
    <xf numFmtId="1" fontId="45" fillId="0" borderId="89" xfId="0" applyNumberFormat="1" applyFont="1" applyBorder="1" applyAlignment="1">
      <alignment horizontal="center" vertical="center"/>
    </xf>
    <xf numFmtId="1" fontId="45" fillId="0" borderId="90" xfId="0" applyNumberFormat="1" applyFont="1" applyBorder="1" applyAlignment="1">
      <alignment horizontal="center" vertical="center"/>
    </xf>
    <xf numFmtId="0" fontId="24" fillId="0" borderId="5" xfId="0" applyFont="1" applyBorder="1" applyAlignment="1">
      <alignment horizontal="center" vertical="center"/>
    </xf>
    <xf numFmtId="0" fontId="24" fillId="0" borderId="7" xfId="0" applyFont="1" applyBorder="1" applyAlignment="1">
      <alignment horizontal="center" vertical="center"/>
    </xf>
    <xf numFmtId="0" fontId="24" fillId="0" borderId="9" xfId="0" applyFont="1" applyBorder="1" applyAlignment="1">
      <alignment horizontal="center" vertical="center"/>
    </xf>
    <xf numFmtId="2" fontId="7" fillId="0" borderId="12" xfId="0" applyNumberFormat="1" applyFont="1" applyBorder="1" applyAlignment="1">
      <alignment horizontal="center" vertical="center"/>
    </xf>
    <xf numFmtId="2" fontId="7" fillId="0" borderId="61" xfId="0" applyNumberFormat="1" applyFont="1" applyBorder="1" applyAlignment="1">
      <alignment horizontal="center" vertical="center"/>
    </xf>
    <xf numFmtId="0" fontId="24" fillId="0" borderId="4" xfId="0" applyFont="1" applyBorder="1" applyAlignment="1">
      <alignment horizontal="center" vertical="center"/>
    </xf>
    <xf numFmtId="0" fontId="24" fillId="0" borderId="6" xfId="0" applyFont="1" applyBorder="1" applyAlignment="1">
      <alignment horizontal="center" vertical="center"/>
    </xf>
    <xf numFmtId="0" fontId="24" fillId="0" borderId="8" xfId="0" applyFont="1" applyBorder="1" applyAlignment="1">
      <alignment horizontal="center" vertical="center"/>
    </xf>
    <xf numFmtId="0" fontId="8" fillId="6" borderId="60" xfId="0" applyFont="1" applyFill="1" applyBorder="1" applyAlignment="1">
      <alignment horizontal="center" vertical="center" wrapText="1"/>
    </xf>
    <xf numFmtId="0" fontId="8" fillId="6" borderId="12" xfId="0" applyFont="1" applyFill="1" applyBorder="1" applyAlignment="1">
      <alignment horizontal="center" vertical="center" wrapText="1"/>
    </xf>
    <xf numFmtId="1" fontId="7" fillId="0" borderId="20" xfId="0" applyNumberFormat="1" applyFont="1" applyBorder="1"/>
    <xf numFmtId="43" fontId="25" fillId="0" borderId="20" xfId="6" applyFont="1" applyBorder="1" applyAlignment="1">
      <alignment horizontal="center" vertical="center" wrapText="1"/>
    </xf>
    <xf numFmtId="169" fontId="25" fillId="0" borderId="20" xfId="6" applyNumberFormat="1" applyFont="1" applyBorder="1" applyAlignment="1">
      <alignment horizontal="center" vertical="center" wrapText="1"/>
    </xf>
    <xf numFmtId="174" fontId="7" fillId="0" borderId="20" xfId="0" applyNumberFormat="1" applyFont="1" applyBorder="1" applyAlignment="1">
      <alignment vertical="center"/>
    </xf>
    <xf numFmtId="2" fontId="24" fillId="0" borderId="1" xfId="0" applyNumberFormat="1" applyFont="1" applyBorder="1" applyAlignment="1">
      <alignment horizontal="center" vertical="center"/>
    </xf>
    <xf numFmtId="2" fontId="24" fillId="0" borderId="5" xfId="0" applyNumberFormat="1" applyFont="1" applyBorder="1" applyAlignment="1">
      <alignment horizontal="center" vertical="center"/>
    </xf>
    <xf numFmtId="2" fontId="24" fillId="0" borderId="2" xfId="0" applyNumberFormat="1" applyFont="1" applyBorder="1" applyAlignment="1">
      <alignment horizontal="center" vertical="center"/>
    </xf>
    <xf numFmtId="2" fontId="46" fillId="0" borderId="12" xfId="0" applyNumberFormat="1" applyFont="1" applyBorder="1" applyAlignment="1">
      <alignment horizontal="center" vertical="center"/>
    </xf>
    <xf numFmtId="2" fontId="46" fillId="0" borderId="2" xfId="0" applyNumberFormat="1" applyFont="1" applyBorder="1" applyAlignment="1">
      <alignment horizontal="center" vertical="center"/>
    </xf>
    <xf numFmtId="2" fontId="24" fillId="0" borderId="7" xfId="0" applyNumberFormat="1" applyFont="1" applyBorder="1" applyAlignment="1">
      <alignment horizontal="center" vertical="center"/>
    </xf>
    <xf numFmtId="2" fontId="24" fillId="0" borderId="12" xfId="0" applyNumberFormat="1" applyFont="1" applyBorder="1" applyAlignment="1">
      <alignment horizontal="center" vertical="center"/>
    </xf>
    <xf numFmtId="2" fontId="24" fillId="0" borderId="61" xfId="0" applyNumberFormat="1" applyFont="1" applyBorder="1" applyAlignment="1">
      <alignment horizontal="center" vertical="center"/>
    </xf>
    <xf numFmtId="0" fontId="24" fillId="0" borderId="94" xfId="0" applyFont="1" applyBorder="1" applyAlignment="1">
      <alignment horizontal="center" vertical="center"/>
    </xf>
    <xf numFmtId="2" fontId="24" fillId="0" borderId="28" xfId="0" applyNumberFormat="1" applyFont="1" applyBorder="1" applyAlignment="1">
      <alignment horizontal="center" vertical="center"/>
    </xf>
    <xf numFmtId="2" fontId="24" fillId="0" borderId="9" xfId="0" applyNumberFormat="1" applyFont="1" applyBorder="1" applyAlignment="1">
      <alignment horizontal="center" vertical="center"/>
    </xf>
    <xf numFmtId="2" fontId="46" fillId="0" borderId="95" xfId="0" applyNumberFormat="1" applyFont="1" applyBorder="1" applyAlignment="1">
      <alignment horizontal="center" vertical="center"/>
    </xf>
    <xf numFmtId="2" fontId="46" fillId="0" borderId="96" xfId="0" applyNumberFormat="1" applyFont="1" applyBorder="1" applyAlignment="1">
      <alignment horizontal="center" vertical="center"/>
    </xf>
    <xf numFmtId="2" fontId="46" fillId="0" borderId="97" xfId="0" applyNumberFormat="1" applyFont="1" applyBorder="1" applyAlignment="1">
      <alignment horizontal="center" vertical="center"/>
    </xf>
    <xf numFmtId="2" fontId="46" fillId="0" borderId="98" xfId="0" applyNumberFormat="1" applyFont="1" applyBorder="1" applyAlignment="1">
      <alignment horizontal="center" vertical="center"/>
    </xf>
    <xf numFmtId="0" fontId="24" fillId="0" borderId="99" xfId="0" applyFont="1" applyBorder="1" applyAlignment="1">
      <alignment horizontal="center" vertical="center"/>
    </xf>
    <xf numFmtId="2" fontId="46" fillId="0" borderId="100" xfId="0" applyNumberFormat="1" applyFont="1" applyBorder="1" applyAlignment="1">
      <alignment horizontal="center" vertical="center"/>
    </xf>
    <xf numFmtId="2" fontId="46" fillId="0" borderId="101" xfId="0" applyNumberFormat="1" applyFont="1" applyBorder="1" applyAlignment="1">
      <alignment horizontal="center" vertical="center"/>
    </xf>
    <xf numFmtId="2" fontId="24" fillId="0" borderId="16" xfId="0" applyNumberFormat="1" applyFont="1" applyBorder="1" applyAlignment="1">
      <alignment horizontal="center" vertical="center"/>
    </xf>
    <xf numFmtId="2" fontId="24" fillId="0" borderId="65" xfId="0" applyNumberFormat="1" applyFont="1" applyBorder="1" applyAlignment="1">
      <alignment horizontal="center" vertical="center"/>
    </xf>
    <xf numFmtId="2" fontId="24" fillId="0" borderId="87" xfId="0" applyNumberFormat="1" applyFont="1" applyBorder="1" applyAlignment="1">
      <alignment horizontal="center" vertical="center"/>
    </xf>
    <xf numFmtId="2" fontId="24" fillId="0" borderId="102" xfId="0" applyNumberFormat="1" applyFont="1" applyBorder="1" applyAlignment="1">
      <alignment horizontal="center" vertical="center"/>
    </xf>
    <xf numFmtId="2" fontId="24" fillId="0" borderId="43" xfId="0" applyNumberFormat="1" applyFont="1" applyBorder="1" applyAlignment="1">
      <alignment horizontal="center" vertical="center"/>
    </xf>
    <xf numFmtId="2" fontId="24" fillId="0" borderId="103" xfId="0" applyNumberFormat="1" applyFont="1" applyBorder="1" applyAlignment="1">
      <alignment horizontal="center" vertical="center"/>
    </xf>
    <xf numFmtId="2" fontId="24" fillId="0" borderId="104" xfId="0" applyNumberFormat="1" applyFont="1" applyBorder="1" applyAlignment="1">
      <alignment horizontal="center" vertical="center"/>
    </xf>
    <xf numFmtId="2" fontId="24" fillId="0" borderId="105" xfId="0" applyNumberFormat="1" applyFont="1" applyBorder="1" applyAlignment="1">
      <alignment horizontal="center" vertical="center"/>
    </xf>
    <xf numFmtId="0" fontId="24" fillId="0" borderId="64" xfId="0" applyFont="1" applyBorder="1" applyAlignment="1">
      <alignment horizontal="center" vertical="center"/>
    </xf>
    <xf numFmtId="2" fontId="24" fillId="0" borderId="124" xfId="0" applyNumberFormat="1" applyFont="1" applyBorder="1" applyAlignment="1">
      <alignment horizontal="center" vertical="center"/>
    </xf>
    <xf numFmtId="2" fontId="24" fillId="0" borderId="125" xfId="0" applyNumberFormat="1" applyFont="1" applyBorder="1" applyAlignment="1">
      <alignment horizontal="center" vertical="center"/>
    </xf>
    <xf numFmtId="2" fontId="24" fillId="0" borderId="126" xfId="0" applyNumberFormat="1" applyFont="1" applyBorder="1" applyAlignment="1">
      <alignment horizontal="center" vertical="center"/>
    </xf>
    <xf numFmtId="2" fontId="24" fillId="0" borderId="127" xfId="0" applyNumberFormat="1" applyFont="1" applyBorder="1" applyAlignment="1">
      <alignment horizontal="center" vertical="center"/>
    </xf>
    <xf numFmtId="2" fontId="24" fillId="0" borderId="97" xfId="0" applyNumberFormat="1" applyFont="1" applyBorder="1" applyAlignment="1">
      <alignment horizontal="center" vertical="center"/>
    </xf>
    <xf numFmtId="2" fontId="24" fillId="0" borderId="128" xfId="0" applyNumberFormat="1" applyFont="1" applyBorder="1" applyAlignment="1">
      <alignment horizontal="center" vertical="center"/>
    </xf>
    <xf numFmtId="2" fontId="24" fillId="0" borderId="129" xfId="0" applyNumberFormat="1" applyFont="1" applyBorder="1" applyAlignment="1">
      <alignment horizontal="center" vertical="center"/>
    </xf>
    <xf numFmtId="2" fontId="24" fillId="0" borderId="130" xfId="0" applyNumberFormat="1" applyFont="1" applyBorder="1" applyAlignment="1">
      <alignment horizontal="center" vertical="center"/>
    </xf>
    <xf numFmtId="2" fontId="24" fillId="0" borderId="131" xfId="0" applyNumberFormat="1" applyFont="1" applyBorder="1" applyAlignment="1">
      <alignment horizontal="center" vertical="center"/>
    </xf>
    <xf numFmtId="0" fontId="24" fillId="0" borderId="133" xfId="0" applyFont="1" applyBorder="1" applyAlignment="1">
      <alignment horizontal="center" vertical="center"/>
    </xf>
    <xf numFmtId="2" fontId="24" fillId="0" borderId="134" xfId="0" applyNumberFormat="1" applyFont="1" applyBorder="1" applyAlignment="1">
      <alignment horizontal="center" vertical="center"/>
    </xf>
    <xf numFmtId="2" fontId="47" fillId="0" borderId="134" xfId="0" applyNumberFormat="1" applyFont="1" applyBorder="1" applyAlignment="1">
      <alignment horizontal="center" vertical="center"/>
    </xf>
    <xf numFmtId="2" fontId="24" fillId="0" borderId="135" xfId="0" applyNumberFormat="1" applyFont="1" applyBorder="1" applyAlignment="1">
      <alignment horizontal="center" vertical="center"/>
    </xf>
    <xf numFmtId="0" fontId="24" fillId="0" borderId="127" xfId="0" applyFont="1" applyBorder="1" applyAlignment="1">
      <alignment horizontal="center" vertical="center"/>
    </xf>
    <xf numFmtId="2" fontId="47" fillId="0" borderId="97" xfId="0" applyNumberFormat="1" applyFont="1" applyBorder="1" applyAlignment="1">
      <alignment horizontal="center" vertical="center"/>
    </xf>
    <xf numFmtId="2" fontId="24" fillId="0" borderId="98" xfId="0" applyNumberFormat="1" applyFont="1" applyBorder="1" applyAlignment="1">
      <alignment horizontal="center" vertical="center"/>
    </xf>
    <xf numFmtId="0" fontId="24" fillId="0" borderId="138" xfId="0" applyFont="1" applyBorder="1" applyAlignment="1">
      <alignment horizontal="center" vertical="center"/>
    </xf>
    <xf numFmtId="2" fontId="24" fillId="0" borderId="139" xfId="0" applyNumberFormat="1" applyFont="1" applyBorder="1" applyAlignment="1">
      <alignment horizontal="center" vertical="center"/>
    </xf>
    <xf numFmtId="2" fontId="47" fillId="0" borderId="139" xfId="0" applyNumberFormat="1" applyFont="1" applyBorder="1" applyAlignment="1">
      <alignment horizontal="center" vertical="center"/>
    </xf>
    <xf numFmtId="2" fontId="24" fillId="0" borderId="140" xfId="0" applyNumberFormat="1" applyFont="1" applyBorder="1" applyAlignment="1">
      <alignment horizontal="center" vertical="center"/>
    </xf>
    <xf numFmtId="0" fontId="24" fillId="0" borderId="142" xfId="0" applyFont="1" applyBorder="1" applyAlignment="1">
      <alignment horizontal="center" vertical="center"/>
    </xf>
    <xf numFmtId="2" fontId="46" fillId="0" borderId="125" xfId="0" applyNumberFormat="1" applyFont="1" applyBorder="1" applyAlignment="1">
      <alignment horizontal="center" vertical="center"/>
    </xf>
    <xf numFmtId="0" fontId="24" fillId="0" borderId="143" xfId="0" applyFont="1" applyBorder="1" applyAlignment="1">
      <alignment horizontal="center" vertical="center"/>
    </xf>
    <xf numFmtId="0" fontId="24" fillId="0" borderId="146" xfId="0" applyFont="1" applyBorder="1" applyAlignment="1">
      <alignment horizontal="center" vertical="center"/>
    </xf>
    <xf numFmtId="2" fontId="46" fillId="0" borderId="130" xfId="0" applyNumberFormat="1" applyFont="1" applyBorder="1" applyAlignment="1">
      <alignment horizontal="center" vertical="center"/>
    </xf>
    <xf numFmtId="2" fontId="47" fillId="0" borderId="125" xfId="0" applyNumberFormat="1" applyFont="1" applyBorder="1" applyAlignment="1">
      <alignment horizontal="center" vertical="center"/>
    </xf>
    <xf numFmtId="2" fontId="47" fillId="0" borderId="148" xfId="0" applyNumberFormat="1" applyFont="1" applyBorder="1" applyAlignment="1">
      <alignment horizontal="center" vertical="center"/>
    </xf>
    <xf numFmtId="2" fontId="47" fillId="0" borderId="130" xfId="0" applyNumberFormat="1" applyFont="1" applyBorder="1" applyAlignment="1">
      <alignment horizontal="center" vertical="center"/>
    </xf>
    <xf numFmtId="2" fontId="47" fillId="0" borderId="150" xfId="0" applyNumberFormat="1" applyFont="1" applyBorder="1" applyAlignment="1">
      <alignment horizontal="center" vertical="center"/>
    </xf>
    <xf numFmtId="2" fontId="24" fillId="0" borderId="150" xfId="0" applyNumberFormat="1" applyFont="1" applyBorder="1" applyAlignment="1">
      <alignment horizontal="center" vertical="center"/>
    </xf>
    <xf numFmtId="0" fontId="24" fillId="0" borderId="124" xfId="0" applyFont="1" applyBorder="1" applyAlignment="1">
      <alignment horizontal="center" vertical="center"/>
    </xf>
    <xf numFmtId="0" fontId="24" fillId="0" borderId="129" xfId="0" applyFont="1" applyBorder="1" applyAlignment="1">
      <alignment horizontal="center" vertical="center"/>
    </xf>
    <xf numFmtId="2" fontId="47" fillId="0" borderId="1" xfId="0" applyNumberFormat="1" applyFont="1" applyBorder="1" applyAlignment="1">
      <alignment horizontal="center" vertical="center"/>
    </xf>
    <xf numFmtId="2" fontId="47" fillId="0" borderId="2" xfId="0" applyNumberFormat="1" applyFont="1" applyBorder="1" applyAlignment="1">
      <alignment horizontal="center" vertical="center"/>
    </xf>
    <xf numFmtId="2" fontId="47" fillId="0" borderId="12" xfId="0" applyNumberFormat="1" applyFont="1" applyBorder="1" applyAlignment="1">
      <alignment horizontal="center" vertical="center"/>
    </xf>
    <xf numFmtId="0" fontId="24" fillId="0" borderId="158" xfId="0" applyFont="1" applyBorder="1" applyAlignment="1">
      <alignment horizontal="center" vertical="center"/>
    </xf>
    <xf numFmtId="2" fontId="48" fillId="0" borderId="95" xfId="0" applyNumberFormat="1" applyFont="1" applyBorder="1" applyAlignment="1">
      <alignment horizontal="center" vertical="center"/>
    </xf>
    <xf numFmtId="2" fontId="47" fillId="0" borderId="95" xfId="0" applyNumberFormat="1" applyFont="1" applyBorder="1" applyAlignment="1">
      <alignment horizontal="center" vertical="center"/>
    </xf>
    <xf numFmtId="2" fontId="48" fillId="0" borderId="96" xfId="0" applyNumberFormat="1" applyFont="1" applyBorder="1" applyAlignment="1">
      <alignment horizontal="center" vertical="center"/>
    </xf>
    <xf numFmtId="2" fontId="48" fillId="0" borderId="97" xfId="0" applyNumberFormat="1" applyFont="1" applyBorder="1" applyAlignment="1">
      <alignment horizontal="center" vertical="center"/>
    </xf>
    <xf numFmtId="2" fontId="48" fillId="0" borderId="98" xfId="0" applyNumberFormat="1" applyFont="1" applyBorder="1" applyAlignment="1">
      <alignment horizontal="center" vertical="center"/>
    </xf>
    <xf numFmtId="0" fontId="24" fillId="0" borderId="159" xfId="0" applyFont="1" applyBorder="1" applyAlignment="1">
      <alignment horizontal="center" vertical="center"/>
    </xf>
    <xf numFmtId="2" fontId="48" fillId="0" borderId="100" xfId="0" applyNumberFormat="1" applyFont="1" applyBorder="1" applyAlignment="1">
      <alignment horizontal="center" vertical="center"/>
    </xf>
    <xf numFmtId="2" fontId="47" fillId="0" borderId="100" xfId="0" applyNumberFormat="1" applyFont="1" applyBorder="1" applyAlignment="1">
      <alignment horizontal="center" vertical="center"/>
    </xf>
    <xf numFmtId="2" fontId="48" fillId="0" borderId="101" xfId="0" applyNumberFormat="1" applyFont="1" applyBorder="1" applyAlignment="1">
      <alignment horizontal="center" vertical="center"/>
    </xf>
    <xf numFmtId="2" fontId="47" fillId="0" borderId="16" xfId="0" applyNumberFormat="1" applyFont="1" applyBorder="1" applyAlignment="1">
      <alignment horizontal="center" vertical="center"/>
    </xf>
    <xf numFmtId="2" fontId="47" fillId="0" borderId="164" xfId="0" applyNumberFormat="1" applyFont="1" applyBorder="1" applyAlignment="1">
      <alignment horizontal="center" vertical="center"/>
    </xf>
    <xf numFmtId="2" fontId="24" fillId="0" borderId="165" xfId="0" applyNumberFormat="1" applyFont="1" applyBorder="1" applyAlignment="1">
      <alignment horizontal="center" vertical="center"/>
    </xf>
    <xf numFmtId="0" fontId="24" fillId="0" borderId="167" xfId="0" applyFont="1" applyBorder="1" applyAlignment="1">
      <alignment horizontal="center" vertical="center"/>
    </xf>
    <xf numFmtId="0" fontId="24" fillId="0" borderId="168" xfId="0" applyFont="1" applyBorder="1" applyAlignment="1">
      <alignment horizontal="center" vertical="center"/>
    </xf>
    <xf numFmtId="0" fontId="24" fillId="0" borderId="162" xfId="0" applyFont="1" applyBorder="1" applyAlignment="1">
      <alignment horizontal="center" vertical="center"/>
    </xf>
    <xf numFmtId="0" fontId="24" fillId="0" borderId="163" xfId="0" applyFont="1" applyBorder="1" applyAlignment="1">
      <alignment horizontal="center" vertical="center"/>
    </xf>
    <xf numFmtId="0" fontId="24" fillId="0" borderId="169" xfId="0" applyFont="1" applyBorder="1" applyAlignment="1">
      <alignment horizontal="center" vertical="center"/>
    </xf>
    <xf numFmtId="0" fontId="7" fillId="0" borderId="160" xfId="0" applyFont="1" applyBorder="1" applyAlignment="1">
      <alignment horizontal="left" vertical="center"/>
    </xf>
    <xf numFmtId="0" fontId="7" fillId="0" borderId="23" xfId="0" applyFont="1" applyBorder="1" applyAlignment="1">
      <alignment horizontal="left" vertical="center"/>
    </xf>
    <xf numFmtId="0" fontId="7" fillId="0" borderId="170" xfId="0" applyFont="1" applyBorder="1" applyAlignment="1">
      <alignment horizontal="left" vertical="center"/>
    </xf>
    <xf numFmtId="0" fontId="26" fillId="9" borderId="60" xfId="0" applyFont="1" applyFill="1" applyBorder="1" applyAlignment="1">
      <alignment horizontal="center" vertical="center"/>
    </xf>
    <xf numFmtId="1" fontId="24" fillId="0" borderId="4" xfId="0" applyNumberFormat="1" applyFont="1" applyBorder="1" applyAlignment="1">
      <alignment horizontal="center" vertical="center"/>
    </xf>
    <xf numFmtId="1" fontId="24" fillId="0" borderId="6" xfId="0" applyNumberFormat="1" applyFont="1" applyBorder="1" applyAlignment="1">
      <alignment horizontal="center" vertical="center"/>
    </xf>
    <xf numFmtId="1" fontId="24" fillId="0" borderId="8" xfId="0" applyNumberFormat="1" applyFont="1" applyBorder="1" applyAlignment="1">
      <alignment horizontal="center" vertical="center"/>
    </xf>
    <xf numFmtId="1" fontId="24" fillId="0" borderId="66" xfId="0" applyNumberFormat="1" applyFont="1"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7" fillId="0" borderId="173" xfId="0" applyFont="1" applyBorder="1" applyAlignment="1">
      <alignment horizontal="center" vertical="center"/>
    </xf>
    <xf numFmtId="0" fontId="7" fillId="0" borderId="23" xfId="0" applyFont="1" applyBorder="1" applyAlignment="1">
      <alignment horizontal="center" vertical="center"/>
    </xf>
    <xf numFmtId="0" fontId="7" fillId="0" borderId="170" xfId="0" applyFont="1" applyBorder="1" applyAlignment="1">
      <alignment horizontal="center" vertical="center"/>
    </xf>
    <xf numFmtId="0" fontId="7" fillId="0" borderId="160" xfId="0" applyFont="1" applyBorder="1" applyAlignment="1">
      <alignment horizontal="center" vertical="center"/>
    </xf>
    <xf numFmtId="0" fontId="7" fillId="0" borderId="161" xfId="0" applyFont="1" applyBorder="1" applyAlignment="1">
      <alignment horizontal="center" vertical="center"/>
    </xf>
    <xf numFmtId="2" fontId="7" fillId="0" borderId="65" xfId="0" applyNumberFormat="1" applyFont="1" applyBorder="1" applyAlignment="1">
      <alignment horizontal="center" vertical="center"/>
    </xf>
    <xf numFmtId="0" fontId="7" fillId="0" borderId="174" xfId="0" applyFont="1" applyBorder="1" applyAlignment="1">
      <alignment horizontal="center" vertical="center"/>
    </xf>
    <xf numFmtId="2" fontId="7" fillId="0" borderId="175" xfId="0" applyNumberFormat="1" applyFont="1" applyBorder="1" applyAlignment="1">
      <alignment horizontal="center" vertical="center"/>
    </xf>
    <xf numFmtId="2" fontId="7" fillId="0" borderId="176" xfId="0" applyNumberFormat="1" applyFont="1" applyBorder="1" applyAlignment="1">
      <alignment horizontal="center" vertical="center"/>
    </xf>
    <xf numFmtId="0" fontId="7" fillId="0" borderId="177" xfId="0" applyFont="1" applyBorder="1" applyAlignment="1">
      <alignment horizontal="center" vertical="center"/>
    </xf>
    <xf numFmtId="2" fontId="7" fillId="0" borderId="178" xfId="0" applyNumberFormat="1" applyFont="1" applyBorder="1" applyAlignment="1">
      <alignment horizontal="center" vertical="center"/>
    </xf>
    <xf numFmtId="0" fontId="7" fillId="0" borderId="179" xfId="0" applyFont="1" applyBorder="1" applyAlignment="1">
      <alignment horizontal="center" vertical="center"/>
    </xf>
    <xf numFmtId="2" fontId="7" fillId="0" borderId="180" xfId="0" applyNumberFormat="1" applyFont="1" applyBorder="1" applyAlignment="1">
      <alignment horizontal="center" vertical="center"/>
    </xf>
    <xf numFmtId="2" fontId="7" fillId="0" borderId="181" xfId="0" applyNumberFormat="1" applyFont="1" applyBorder="1" applyAlignment="1">
      <alignment horizontal="center" vertical="center"/>
    </xf>
    <xf numFmtId="0" fontId="25" fillId="0" borderId="0" xfId="0" applyFont="1"/>
    <xf numFmtId="2" fontId="24" fillId="0" borderId="182" xfId="0" applyNumberFormat="1" applyFont="1" applyBorder="1" applyAlignment="1">
      <alignment horizontal="center" vertical="center"/>
    </xf>
    <xf numFmtId="0" fontId="7" fillId="0" borderId="0" xfId="0" applyFont="1" applyAlignment="1">
      <alignment vertical="center" wrapText="1"/>
    </xf>
    <xf numFmtId="0" fontId="0" fillId="0" borderId="0" xfId="0" applyAlignment="1">
      <alignment horizontal="left" vertical="center" wrapText="1"/>
    </xf>
    <xf numFmtId="0" fontId="25" fillId="0" borderId="0" xfId="0" applyFont="1" applyAlignment="1">
      <alignment horizontal="left" vertical="center"/>
    </xf>
    <xf numFmtId="0" fontId="7" fillId="0" borderId="0" xfId="0" applyFont="1" applyAlignment="1">
      <alignment horizontal="left" vertical="center"/>
    </xf>
    <xf numFmtId="0" fontId="7" fillId="0" borderId="0" xfId="0" applyFont="1" applyAlignment="1">
      <alignment horizontal="left"/>
    </xf>
    <xf numFmtId="0" fontId="7" fillId="0" borderId="20" xfId="0" applyFont="1" applyBorder="1" applyAlignment="1">
      <alignment horizontal="center" vertical="center"/>
    </xf>
    <xf numFmtId="0" fontId="7" fillId="0" borderId="20" xfId="0" applyFont="1" applyBorder="1" applyAlignment="1">
      <alignment horizontal="center" vertical="center" wrapText="1"/>
    </xf>
    <xf numFmtId="0" fontId="1" fillId="0" borderId="20" xfId="0" applyFont="1" applyBorder="1" applyAlignment="1">
      <alignment horizontal="center" vertical="center" wrapText="1"/>
    </xf>
    <xf numFmtId="0" fontId="8" fillId="6" borderId="2" xfId="0" applyFont="1" applyFill="1" applyBorder="1" applyAlignment="1">
      <alignment horizontal="center" vertical="center" wrapText="1"/>
    </xf>
    <xf numFmtId="0" fontId="7" fillId="0" borderId="0" xfId="0" applyFont="1" applyAlignment="1">
      <alignment horizontal="center"/>
    </xf>
    <xf numFmtId="0" fontId="25" fillId="0" borderId="20" xfId="0" applyFont="1" applyBorder="1" applyAlignment="1">
      <alignment horizontal="center" vertical="center" wrapText="1"/>
    </xf>
    <xf numFmtId="0" fontId="36" fillId="14" borderId="2" xfId="0" applyFont="1" applyFill="1" applyBorder="1" applyAlignment="1">
      <alignment horizontal="center" vertical="center" wrapText="1"/>
    </xf>
    <xf numFmtId="0" fontId="36" fillId="15" borderId="2" xfId="0" applyFont="1" applyFill="1" applyBorder="1" applyAlignment="1">
      <alignment horizontal="center" vertical="center" wrapText="1"/>
    </xf>
    <xf numFmtId="0" fontId="36" fillId="17" borderId="2" xfId="0" applyFont="1" applyFill="1" applyBorder="1" applyAlignment="1">
      <alignment horizontal="center" vertical="center"/>
    </xf>
    <xf numFmtId="0" fontId="1" fillId="0" borderId="2" xfId="0" applyFont="1" applyBorder="1" applyAlignment="1">
      <alignment horizontal="center" vertical="center" wrapText="1"/>
    </xf>
    <xf numFmtId="0" fontId="25" fillId="0" borderId="2"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8" fillId="2" borderId="0" xfId="0" applyFont="1" applyFill="1" applyAlignment="1">
      <alignment horizontal="left" vertical="center"/>
    </xf>
    <xf numFmtId="0" fontId="25" fillId="0" borderId="0" xfId="0" applyFont="1" applyAlignment="1">
      <alignment horizontal="left" wrapText="1"/>
    </xf>
    <xf numFmtId="0" fontId="8" fillId="6" borderId="20" xfId="0" applyFont="1" applyFill="1" applyBorder="1" applyAlignment="1">
      <alignment horizontal="center" vertical="center"/>
    </xf>
    <xf numFmtId="0" fontId="8" fillId="6" borderId="60" xfId="0" applyFont="1" applyFill="1" applyBorder="1" applyAlignment="1">
      <alignment horizontal="center" vertical="center"/>
    </xf>
    <xf numFmtId="0" fontId="8" fillId="6" borderId="20" xfId="0" applyFont="1" applyFill="1" applyBorder="1" applyAlignment="1">
      <alignment horizontal="center" vertical="center" wrapText="1"/>
    </xf>
    <xf numFmtId="0" fontId="26" fillId="6" borderId="20" xfId="0" applyFont="1" applyFill="1" applyBorder="1" applyAlignment="1">
      <alignment horizontal="center" vertical="center" wrapText="1"/>
    </xf>
    <xf numFmtId="0" fontId="7" fillId="0" borderId="0" xfId="0" applyFont="1" applyAlignment="1">
      <alignment horizontal="left" vertical="center" wrapText="1"/>
    </xf>
    <xf numFmtId="0" fontId="24" fillId="0" borderId="1" xfId="0" applyFont="1" applyBorder="1" applyAlignment="1">
      <alignment horizontal="center" vertical="center"/>
    </xf>
    <xf numFmtId="0" fontId="24" fillId="0" borderId="2" xfId="0" applyFont="1" applyBorder="1" applyAlignment="1">
      <alignment horizontal="center" vertical="center"/>
    </xf>
    <xf numFmtId="0" fontId="24" fillId="0" borderId="28" xfId="0" applyFont="1" applyBorder="1" applyAlignment="1">
      <alignment horizontal="center" vertical="center"/>
    </xf>
    <xf numFmtId="0" fontId="7" fillId="0" borderId="1" xfId="0" applyFont="1" applyBorder="1" applyAlignment="1">
      <alignment horizontal="center" vertical="center"/>
    </xf>
    <xf numFmtId="0" fontId="7" fillId="0" borderId="28" xfId="0" applyFont="1" applyBorder="1" applyAlignment="1">
      <alignment horizontal="center" vertical="center"/>
    </xf>
    <xf numFmtId="0" fontId="8" fillId="6" borderId="2" xfId="0" applyFont="1" applyFill="1" applyBorder="1" applyAlignment="1">
      <alignment horizontal="center" vertical="center"/>
    </xf>
    <xf numFmtId="0" fontId="8" fillId="6" borderId="12" xfId="0" applyFont="1" applyFill="1" applyBorder="1" applyAlignment="1">
      <alignment horizontal="center" vertical="center"/>
    </xf>
    <xf numFmtId="0" fontId="20" fillId="6" borderId="2" xfId="0" applyFont="1" applyFill="1" applyBorder="1" applyAlignment="1">
      <alignment horizontal="center" vertical="center" wrapText="1"/>
    </xf>
    <xf numFmtId="9" fontId="7" fillId="0" borderId="2" xfId="2" applyFont="1" applyFill="1" applyBorder="1" applyAlignment="1">
      <alignment horizontal="center" vertical="center"/>
    </xf>
    <xf numFmtId="0" fontId="26" fillId="6" borderId="2" xfId="0" applyFont="1" applyFill="1" applyBorder="1" applyAlignment="1">
      <alignment horizontal="center" vertical="center"/>
    </xf>
    <xf numFmtId="0" fontId="20" fillId="50" borderId="2" xfId="0" applyFont="1" applyFill="1" applyBorder="1" applyAlignment="1">
      <alignment horizontal="center" vertical="center" wrapText="1"/>
    </xf>
    <xf numFmtId="165" fontId="15" fillId="0" borderId="2" xfId="0" applyNumberFormat="1" applyFont="1" applyBorder="1"/>
    <xf numFmtId="169" fontId="7" fillId="0" borderId="2" xfId="6" applyNumberFormat="1" applyFont="1" applyBorder="1" applyAlignment="1">
      <alignment horizontal="center" vertical="center"/>
    </xf>
    <xf numFmtId="173" fontId="25" fillId="0" borderId="2" xfId="0" applyNumberFormat="1" applyFont="1" applyBorder="1" applyAlignment="1">
      <alignment horizontal="center" vertical="center"/>
    </xf>
    <xf numFmtId="173" fontId="7" fillId="0" borderId="2" xfId="6" applyNumberFormat="1" applyFont="1" applyBorder="1" applyAlignment="1">
      <alignment horizontal="center" vertical="center"/>
    </xf>
    <xf numFmtId="165" fontId="25" fillId="0" borderId="2" xfId="0" applyNumberFormat="1" applyFont="1" applyBorder="1" applyAlignment="1">
      <alignment horizontal="center" vertical="center"/>
    </xf>
    <xf numFmtId="173" fontId="7" fillId="0" borderId="2" xfId="0" applyNumberFormat="1" applyFont="1" applyBorder="1"/>
    <xf numFmtId="0" fontId="25" fillId="0" borderId="0" xfId="0" applyFont="1" applyAlignment="1">
      <alignment horizontal="left" vertical="center"/>
    </xf>
    <xf numFmtId="0" fontId="14" fillId="8" borderId="0" xfId="0" applyFont="1" applyFill="1" applyAlignment="1">
      <alignment horizontal="center" vertical="center"/>
    </xf>
    <xf numFmtId="0" fontId="7" fillId="0" borderId="0" xfId="0" applyFont="1" applyAlignment="1">
      <alignment horizontal="left" vertical="center"/>
    </xf>
    <xf numFmtId="0" fontId="7" fillId="0" borderId="0" xfId="0" applyFont="1" applyAlignment="1">
      <alignment horizontal="left"/>
    </xf>
    <xf numFmtId="0" fontId="32" fillId="0" borderId="0" xfId="5" applyFont="1" applyAlignment="1">
      <alignment vertical="center" wrapText="1"/>
    </xf>
    <xf numFmtId="0" fontId="7" fillId="0" borderId="0" xfId="0" applyFont="1" applyAlignment="1">
      <alignment vertical="center" wrapText="1"/>
    </xf>
    <xf numFmtId="0" fontId="0" fillId="0" borderId="0" xfId="0" applyAlignment="1">
      <alignment horizontal="left" vertical="center" wrapText="1"/>
    </xf>
    <xf numFmtId="0" fontId="19" fillId="0" borderId="0" xfId="0" applyFont="1" applyAlignment="1">
      <alignment horizontal="left" vertical="center"/>
    </xf>
    <xf numFmtId="0" fontId="14" fillId="8" borderId="20" xfId="1" applyFont="1" applyFill="1" applyBorder="1" applyAlignment="1">
      <alignment horizontal="center" vertical="center" wrapText="1"/>
    </xf>
    <xf numFmtId="0" fontId="14" fillId="8" borderId="3" xfId="0" applyFont="1" applyFill="1" applyBorder="1" applyAlignment="1">
      <alignment horizontal="center" vertical="center"/>
    </xf>
    <xf numFmtId="0" fontId="14" fillId="8" borderId="10" xfId="0" applyFont="1" applyFill="1" applyBorder="1" applyAlignment="1">
      <alignment horizontal="center" vertical="center"/>
    </xf>
    <xf numFmtId="0" fontId="14" fillId="8" borderId="20" xfId="0" applyFont="1" applyFill="1" applyBorder="1" applyAlignment="1">
      <alignment horizontal="center" vertical="center" wrapText="1"/>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5" fillId="0" borderId="20" xfId="0" applyFont="1" applyBorder="1" applyAlignment="1">
      <alignment horizontal="center" vertical="center" wrapText="1"/>
    </xf>
    <xf numFmtId="0" fontId="7" fillId="0" borderId="0" xfId="0" applyFont="1" applyAlignment="1">
      <alignment horizontal="center"/>
    </xf>
    <xf numFmtId="0" fontId="8" fillId="6" borderId="2" xfId="0" applyFont="1" applyFill="1" applyBorder="1" applyAlignment="1">
      <alignment horizontal="center" vertical="center" wrapText="1"/>
    </xf>
    <xf numFmtId="0" fontId="7" fillId="0" borderId="2" xfId="0" applyFont="1" applyBorder="1" applyAlignment="1">
      <alignment horizontal="left" vertical="center"/>
    </xf>
    <xf numFmtId="167" fontId="7" fillId="0" borderId="2" xfId="0" applyNumberFormat="1" applyFont="1" applyBorder="1" applyAlignment="1">
      <alignment horizontal="center" vertical="center" wrapText="1"/>
    </xf>
    <xf numFmtId="167" fontId="7" fillId="0" borderId="2" xfId="0" applyNumberFormat="1" applyFont="1" applyBorder="1" applyAlignment="1">
      <alignment horizontal="center" vertical="center"/>
    </xf>
    <xf numFmtId="0" fontId="14" fillId="8" borderId="17" xfId="0" applyFont="1" applyFill="1" applyBorder="1" applyAlignment="1">
      <alignment horizontal="center" vertical="center"/>
    </xf>
    <xf numFmtId="0" fontId="14" fillId="8" borderId="18" xfId="0" applyFont="1" applyFill="1" applyBorder="1" applyAlignment="1">
      <alignment horizontal="center" vertical="center"/>
    </xf>
    <xf numFmtId="0" fontId="14" fillId="8" borderId="19" xfId="0" applyFont="1" applyFill="1" applyBorder="1" applyAlignment="1">
      <alignment horizontal="center" vertical="center"/>
    </xf>
    <xf numFmtId="0" fontId="1" fillId="0" borderId="20" xfId="0" applyFont="1" applyBorder="1" applyAlignment="1">
      <alignment horizontal="center" vertical="center" wrapText="1"/>
    </xf>
    <xf numFmtId="0" fontId="14" fillId="8" borderId="0" xfId="0" applyFont="1" applyFill="1" applyAlignment="1">
      <alignment horizontal="center" vertical="center" wrapText="1"/>
    </xf>
    <xf numFmtId="0" fontId="7" fillId="0" borderId="38" xfId="0" applyFont="1" applyBorder="1" applyAlignment="1">
      <alignment vertical="center" wrapText="1"/>
    </xf>
    <xf numFmtId="0" fontId="7" fillId="0" borderId="24" xfId="0" applyFont="1" applyBorder="1" applyAlignment="1">
      <alignment vertical="center" wrapText="1"/>
    </xf>
    <xf numFmtId="0" fontId="7" fillId="0" borderId="26" xfId="0" applyFont="1" applyBorder="1" applyAlignment="1">
      <alignment vertical="center" wrapText="1"/>
    </xf>
    <xf numFmtId="0" fontId="7" fillId="0" borderId="22" xfId="0" applyFont="1" applyBorder="1" applyAlignment="1">
      <alignment horizontal="center" vertical="center" wrapText="1"/>
    </xf>
    <xf numFmtId="0" fontId="7" fillId="0" borderId="25" xfId="0" applyFont="1" applyBorder="1" applyAlignment="1">
      <alignment horizontal="center" vertical="center" wrapText="1"/>
    </xf>
    <xf numFmtId="0" fontId="30" fillId="0" borderId="0" xfId="0" applyFont="1" applyAlignment="1">
      <alignment horizontal="left" vertical="center" wrapText="1"/>
    </xf>
    <xf numFmtId="0" fontId="8" fillId="2" borderId="0" xfId="0" applyFont="1" applyFill="1" applyAlignment="1">
      <alignment horizontal="left" vertical="center"/>
    </xf>
    <xf numFmtId="0" fontId="0" fillId="0" borderId="0" xfId="0" applyAlignment="1">
      <alignment horizontal="center"/>
    </xf>
    <xf numFmtId="0" fontId="0" fillId="0" borderId="0" xfId="0" applyAlignment="1">
      <alignment horizontal="center" vertical="center"/>
    </xf>
    <xf numFmtId="0" fontId="7" fillId="0" borderId="38"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6" xfId="0" applyFont="1" applyBorder="1" applyAlignment="1">
      <alignment horizontal="center" vertical="center" wrapText="1"/>
    </xf>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33" fillId="12" borderId="2" xfId="0" applyFont="1" applyFill="1" applyBorder="1" applyAlignment="1">
      <alignment horizontal="center" vertical="center"/>
    </xf>
    <xf numFmtId="0" fontId="7" fillId="0" borderId="16" xfId="0" applyFont="1" applyBorder="1" applyAlignment="1">
      <alignment horizontal="center" vertical="center"/>
    </xf>
    <xf numFmtId="0" fontId="7" fillId="0" borderId="2" xfId="0" applyFont="1" applyBorder="1" applyAlignment="1">
      <alignment horizontal="center" vertical="center"/>
    </xf>
    <xf numFmtId="0" fontId="1" fillId="0" borderId="2" xfId="0" applyFont="1" applyBorder="1" applyAlignment="1">
      <alignment horizontal="center" vertical="center" wrapText="1"/>
    </xf>
    <xf numFmtId="0" fontId="25" fillId="0" borderId="2" xfId="0" applyFont="1" applyBorder="1" applyAlignment="1">
      <alignment horizontal="center" vertical="center" wrapText="1"/>
    </xf>
    <xf numFmtId="0" fontId="14" fillId="8" borderId="2" xfId="0" applyFont="1" applyFill="1" applyBorder="1" applyAlignment="1">
      <alignment horizontal="center" vertical="center" wrapText="1"/>
    </xf>
    <xf numFmtId="0" fontId="14" fillId="8" borderId="29" xfId="0" applyFont="1" applyFill="1" applyBorder="1" applyAlignment="1">
      <alignment horizontal="center" vertical="center" wrapText="1"/>
    </xf>
    <xf numFmtId="0" fontId="14" fillId="8" borderId="30" xfId="0" applyFont="1" applyFill="1" applyBorder="1" applyAlignment="1">
      <alignment horizontal="center" vertical="center" wrapText="1"/>
    </xf>
    <xf numFmtId="0" fontId="14" fillId="8" borderId="31" xfId="0" applyFont="1" applyFill="1" applyBorder="1" applyAlignment="1">
      <alignment horizontal="center" vertical="center" wrapText="1"/>
    </xf>
    <xf numFmtId="0" fontId="7" fillId="0" borderId="2" xfId="0" applyFont="1" applyBorder="1" applyAlignment="1">
      <alignment horizontal="center" vertical="center" wrapText="1"/>
    </xf>
    <xf numFmtId="9" fontId="36" fillId="0" borderId="2" xfId="0" applyNumberFormat="1" applyFont="1" applyBorder="1" applyAlignment="1">
      <alignment horizontal="center" vertical="center"/>
    </xf>
    <xf numFmtId="0" fontId="38" fillId="18" borderId="2" xfId="0" applyFont="1" applyFill="1" applyBorder="1" applyAlignment="1">
      <alignment horizontal="left" vertical="center"/>
    </xf>
    <xf numFmtId="9" fontId="39" fillId="0" borderId="2" xfId="0" applyNumberFormat="1" applyFont="1" applyBorder="1" applyAlignment="1">
      <alignment horizontal="center" vertical="center"/>
    </xf>
    <xf numFmtId="9" fontId="36" fillId="0" borderId="2" xfId="0" applyNumberFormat="1" applyFont="1" applyBorder="1" applyAlignment="1">
      <alignment horizontal="center" vertical="center" wrapText="1"/>
    </xf>
    <xf numFmtId="0" fontId="34" fillId="13" borderId="2" xfId="0" applyFont="1" applyFill="1" applyBorder="1" applyAlignment="1">
      <alignment horizontal="center" vertical="center" wrapText="1"/>
    </xf>
    <xf numFmtId="0" fontId="35" fillId="14" borderId="2" xfId="0" applyFont="1" applyFill="1" applyBorder="1" applyAlignment="1">
      <alignment horizontal="center" vertical="center"/>
    </xf>
    <xf numFmtId="0" fontId="35" fillId="15" borderId="2" xfId="0" applyFont="1" applyFill="1" applyBorder="1" applyAlignment="1">
      <alignment horizontal="center" vertical="center"/>
    </xf>
    <xf numFmtId="0" fontId="34" fillId="17" borderId="2" xfId="0" applyFont="1" applyFill="1" applyBorder="1" applyAlignment="1">
      <alignment horizontal="center" vertical="center"/>
    </xf>
    <xf numFmtId="0" fontId="36" fillId="14" borderId="2" xfId="0" applyFont="1" applyFill="1" applyBorder="1" applyAlignment="1">
      <alignment horizontal="center" vertical="center" wrapText="1"/>
    </xf>
    <xf numFmtId="0" fontId="36" fillId="15" borderId="2" xfId="0" applyFont="1" applyFill="1" applyBorder="1" applyAlignment="1">
      <alignment horizontal="center" vertical="center" wrapText="1"/>
    </xf>
    <xf numFmtId="0" fontId="36" fillId="17" borderId="2" xfId="0" applyFont="1" applyFill="1" applyBorder="1" applyAlignment="1">
      <alignment horizontal="center" vertical="center"/>
    </xf>
    <xf numFmtId="0" fontId="14" fillId="8" borderId="40" xfId="0" applyFont="1" applyFill="1" applyBorder="1" applyAlignment="1">
      <alignment horizontal="center" vertical="center"/>
    </xf>
    <xf numFmtId="0" fontId="14" fillId="8" borderId="41" xfId="0" applyFont="1" applyFill="1" applyBorder="1" applyAlignment="1">
      <alignment horizontal="center" vertical="center"/>
    </xf>
    <xf numFmtId="0" fontId="14" fillId="8" borderId="42" xfId="0" applyFont="1" applyFill="1" applyBorder="1" applyAlignment="1">
      <alignment horizontal="center" vertical="center"/>
    </xf>
    <xf numFmtId="0" fontId="25" fillId="0" borderId="0" xfId="0" applyFont="1" applyAlignment="1">
      <alignment horizontal="left" wrapText="1"/>
    </xf>
    <xf numFmtId="0" fontId="33" fillId="12" borderId="20" xfId="0" applyFont="1" applyFill="1" applyBorder="1" applyAlignment="1">
      <alignment horizontal="center" vertical="center" wrapText="1"/>
    </xf>
    <xf numFmtId="0" fontId="20" fillId="6" borderId="40" xfId="0" applyFont="1" applyFill="1" applyBorder="1" applyAlignment="1">
      <alignment horizontal="center" vertical="center" wrapText="1"/>
    </xf>
    <xf numFmtId="0" fontId="20" fillId="6" borderId="42" xfId="0" applyFont="1" applyFill="1" applyBorder="1" applyAlignment="1">
      <alignment horizontal="center" vertical="center" wrapText="1"/>
    </xf>
    <xf numFmtId="0" fontId="20" fillId="6" borderId="58" xfId="0" applyFont="1" applyFill="1" applyBorder="1" applyAlignment="1">
      <alignment horizontal="center" vertical="center" wrapText="1"/>
    </xf>
    <xf numFmtId="0" fontId="20" fillId="6" borderId="59" xfId="0" applyFont="1" applyFill="1" applyBorder="1" applyAlignment="1">
      <alignment horizontal="center" vertical="center" wrapText="1"/>
    </xf>
    <xf numFmtId="0" fontId="25" fillId="0" borderId="0" xfId="0" applyFont="1"/>
    <xf numFmtId="0" fontId="8" fillId="6" borderId="20" xfId="0" applyFont="1" applyFill="1" applyBorder="1" applyAlignment="1">
      <alignment horizontal="center" vertical="center"/>
    </xf>
    <xf numFmtId="0" fontId="8" fillId="6" borderId="60" xfId="0" applyFont="1" applyFill="1" applyBorder="1" applyAlignment="1">
      <alignment horizontal="center" vertical="center"/>
    </xf>
    <xf numFmtId="0" fontId="8" fillId="6" borderId="20" xfId="0" applyFont="1" applyFill="1" applyBorder="1" applyAlignment="1">
      <alignment horizontal="center" vertical="center" wrapText="1"/>
    </xf>
    <xf numFmtId="0" fontId="7" fillId="0" borderId="60"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21" xfId="0" applyFont="1" applyBorder="1" applyAlignment="1">
      <alignment horizontal="center" vertical="center" wrapText="1"/>
    </xf>
    <xf numFmtId="0" fontId="7" fillId="7" borderId="40" xfId="0" applyFont="1" applyFill="1" applyBorder="1" applyAlignment="1">
      <alignment horizontal="left" vertical="center"/>
    </xf>
    <xf numFmtId="0" fontId="7" fillId="7" borderId="41" xfId="0" applyFont="1" applyFill="1" applyBorder="1" applyAlignment="1">
      <alignment horizontal="left" vertical="center"/>
    </xf>
    <xf numFmtId="0" fontId="7" fillId="7" borderId="42" xfId="0" applyFont="1" applyFill="1" applyBorder="1" applyAlignment="1">
      <alignment horizontal="left" vertical="center"/>
    </xf>
    <xf numFmtId="0" fontId="14" fillId="8" borderId="29" xfId="0" applyFont="1" applyFill="1" applyBorder="1" applyAlignment="1">
      <alignment horizontal="center" vertical="center"/>
    </xf>
    <xf numFmtId="0" fontId="14" fillId="8" borderId="30" xfId="0" applyFont="1" applyFill="1" applyBorder="1" applyAlignment="1">
      <alignment horizontal="center" vertical="center"/>
    </xf>
    <xf numFmtId="0" fontId="14" fillId="8" borderId="31" xfId="0" applyFont="1" applyFill="1" applyBorder="1" applyAlignment="1">
      <alignment horizontal="center" vertical="center"/>
    </xf>
    <xf numFmtId="0" fontId="26" fillId="6" borderId="20" xfId="0" applyFont="1" applyFill="1" applyBorder="1" applyAlignment="1">
      <alignment horizontal="center" vertical="center" wrapText="1"/>
    </xf>
    <xf numFmtId="0" fontId="14" fillId="8" borderId="20" xfId="0" applyFont="1" applyFill="1" applyBorder="1" applyAlignment="1">
      <alignment horizontal="center" vertical="center"/>
    </xf>
    <xf numFmtId="0" fontId="8" fillId="0" borderId="0" xfId="0" applyFont="1" applyAlignment="1">
      <alignment horizontal="left" vertical="center"/>
    </xf>
    <xf numFmtId="0" fontId="7" fillId="0" borderId="0" xfId="0" applyFont="1" applyAlignment="1">
      <alignment horizontal="left" vertical="center" wrapText="1"/>
    </xf>
    <xf numFmtId="0" fontId="14" fillId="8" borderId="15" xfId="0" applyFont="1" applyFill="1" applyBorder="1" applyAlignment="1">
      <alignment horizontal="center" vertical="center"/>
    </xf>
    <xf numFmtId="0" fontId="24" fillId="0" borderId="1" xfId="0" applyFont="1" applyBorder="1" applyAlignment="1">
      <alignment horizontal="center" vertical="center"/>
    </xf>
    <xf numFmtId="0" fontId="24" fillId="0" borderId="2" xfId="0" applyFont="1" applyBorder="1" applyAlignment="1">
      <alignment horizontal="center" vertical="center"/>
    </xf>
    <xf numFmtId="0" fontId="24" fillId="0" borderId="28" xfId="0" applyFont="1" applyBorder="1" applyAlignment="1">
      <alignment horizontal="center" vertical="center"/>
    </xf>
    <xf numFmtId="0" fontId="24" fillId="0" borderId="75" xfId="0" applyFont="1" applyBorder="1" applyAlignment="1">
      <alignment horizontal="center" vertical="center" wrapText="1"/>
    </xf>
    <xf numFmtId="0" fontId="24" fillId="0" borderId="79" xfId="0" applyFont="1" applyBorder="1" applyAlignment="1">
      <alignment horizontal="center" vertical="center" wrapText="1"/>
    </xf>
    <xf numFmtId="0" fontId="24" fillId="0" borderId="82" xfId="0" applyFont="1" applyBorder="1" applyAlignment="1">
      <alignment horizontal="center" vertical="center" wrapText="1"/>
    </xf>
    <xf numFmtId="0" fontId="8" fillId="6" borderId="123" xfId="0" applyFont="1" applyFill="1" applyBorder="1" applyAlignment="1">
      <alignment horizontal="center" vertical="center"/>
    </xf>
    <xf numFmtId="0" fontId="8" fillId="6" borderId="0" xfId="0" applyFont="1" applyFill="1" applyAlignment="1">
      <alignment horizontal="center" vertical="center"/>
    </xf>
    <xf numFmtId="0" fontId="8" fillId="6" borderId="72" xfId="0" applyFont="1" applyFill="1" applyBorder="1" applyAlignment="1">
      <alignment horizontal="center" vertical="center"/>
    </xf>
    <xf numFmtId="0" fontId="24" fillId="0" borderId="4"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8" xfId="0" applyFont="1" applyBorder="1" applyAlignment="1">
      <alignment horizontal="center" vertical="center" wrapText="1"/>
    </xf>
    <xf numFmtId="0" fontId="7" fillId="0" borderId="171"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72"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12" xfId="0" applyFont="1" applyBorder="1" applyAlignment="1">
      <alignment horizontal="center" vertical="center" wrapText="1"/>
    </xf>
    <xf numFmtId="0" fontId="24" fillId="0" borderId="67" xfId="0" applyFont="1" applyBorder="1" applyAlignment="1">
      <alignment horizontal="center" vertical="center" wrapText="1"/>
    </xf>
    <xf numFmtId="0" fontId="24" fillId="0" borderId="68" xfId="0" applyFont="1" applyBorder="1" applyAlignment="1">
      <alignment horizontal="center" vertical="center" wrapText="1"/>
    </xf>
    <xf numFmtId="0" fontId="24" fillId="0" borderId="71" xfId="0" applyFont="1" applyBorder="1" applyAlignment="1">
      <alignment horizontal="center" vertical="center" wrapText="1"/>
    </xf>
    <xf numFmtId="0" fontId="24" fillId="0" borderId="112" xfId="0" applyFont="1" applyBorder="1" applyAlignment="1">
      <alignment horizontal="center" vertical="center" wrapText="1"/>
    </xf>
    <xf numFmtId="0" fontId="24" fillId="0" borderId="43" xfId="0" applyFont="1" applyBorder="1" applyAlignment="1">
      <alignment horizontal="center" vertical="center" wrapText="1"/>
    </xf>
    <xf numFmtId="0" fontId="24" fillId="0" borderId="104" xfId="0" applyFont="1" applyBorder="1" applyAlignment="1">
      <alignment horizontal="center" vertical="center" wrapText="1"/>
    </xf>
    <xf numFmtId="0" fontId="46" fillId="0" borderId="184" xfId="0" applyFont="1" applyBorder="1" applyAlignment="1">
      <alignment horizontal="center" vertical="center" wrapText="1"/>
    </xf>
    <xf numFmtId="0" fontId="46" fillId="0" borderId="155" xfId="0" applyFont="1" applyBorder="1" applyAlignment="1">
      <alignment horizontal="center" vertical="center" wrapText="1"/>
    </xf>
    <xf numFmtId="0" fontId="46" fillId="0" borderId="156" xfId="0" applyFont="1" applyBorder="1" applyAlignment="1">
      <alignment horizontal="center" vertical="center" wrapText="1"/>
    </xf>
    <xf numFmtId="0" fontId="24" fillId="0" borderId="107" xfId="0" applyFont="1" applyBorder="1" applyAlignment="1">
      <alignment horizontal="center" vertical="center"/>
    </xf>
    <xf numFmtId="0" fontId="24" fillId="0" borderId="109" xfId="0" applyFont="1" applyBorder="1" applyAlignment="1">
      <alignment horizontal="center" vertical="center"/>
    </xf>
    <xf numFmtId="0" fontId="24" fillId="0" borderId="111" xfId="0" applyFont="1" applyBorder="1" applyAlignment="1">
      <alignment horizontal="center" vertical="center"/>
    </xf>
    <xf numFmtId="0" fontId="24" fillId="0" borderId="77" xfId="0" applyFont="1" applyBorder="1" applyAlignment="1">
      <alignment horizontal="center" vertical="center" wrapText="1"/>
    </xf>
    <xf numFmtId="0" fontId="24" fillId="0" borderId="89" xfId="0" applyFont="1" applyBorder="1" applyAlignment="1">
      <alignment horizontal="center" vertical="center" wrapText="1"/>
    </xf>
    <xf numFmtId="0" fontId="24" fillId="0" borderId="154" xfId="0" applyFont="1" applyBorder="1" applyAlignment="1">
      <alignment horizontal="center" vertical="center" wrapText="1"/>
    </xf>
    <xf numFmtId="0" fontId="24" fillId="0" borderId="155" xfId="0" applyFont="1" applyBorder="1" applyAlignment="1">
      <alignment horizontal="center" vertical="center" wrapText="1"/>
    </xf>
    <xf numFmtId="0" fontId="24" fillId="0" borderId="156" xfId="0" applyFont="1" applyBorder="1" applyAlignment="1">
      <alignment horizontal="center" vertical="center" wrapText="1"/>
    </xf>
    <xf numFmtId="0" fontId="14" fillId="8" borderId="18" xfId="0" applyFont="1" applyFill="1" applyBorder="1" applyAlignment="1">
      <alignment horizontal="center" vertical="center" wrapText="1"/>
    </xf>
    <xf numFmtId="0" fontId="14" fillId="8" borderId="19" xfId="0" applyFont="1" applyFill="1" applyBorder="1" applyAlignment="1">
      <alignment horizontal="center" vertical="center" wrapText="1"/>
    </xf>
    <xf numFmtId="0" fontId="8" fillId="6" borderId="2" xfId="0" applyFont="1" applyFill="1" applyBorder="1" applyAlignment="1">
      <alignment horizontal="center" vertical="center"/>
    </xf>
    <xf numFmtId="0" fontId="8" fillId="6" borderId="12" xfId="0" applyFont="1" applyFill="1" applyBorder="1" applyAlignment="1">
      <alignment horizontal="center" vertical="center"/>
    </xf>
    <xf numFmtId="0" fontId="24" fillId="0" borderId="70" xfId="0" applyFont="1" applyBorder="1" applyAlignment="1">
      <alignment horizontal="center" vertical="center" wrapText="1"/>
    </xf>
    <xf numFmtId="0" fontId="24" fillId="0" borderId="69" xfId="0" applyFont="1" applyBorder="1" applyAlignment="1">
      <alignment horizontal="center" vertical="center" wrapText="1"/>
    </xf>
    <xf numFmtId="0" fontId="20" fillId="6" borderId="2"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28" xfId="0" applyFont="1" applyBorder="1" applyAlignment="1">
      <alignment horizontal="center" vertical="center"/>
    </xf>
    <xf numFmtId="0" fontId="24" fillId="0" borderId="106" xfId="0" applyFont="1" applyBorder="1" applyAlignment="1">
      <alignment horizontal="center" vertical="center" wrapText="1"/>
    </xf>
    <xf numFmtId="0" fontId="24" fillId="0" borderId="108" xfId="0" applyFont="1" applyBorder="1" applyAlignment="1">
      <alignment horizontal="center" vertical="center" wrapText="1"/>
    </xf>
    <xf numFmtId="0" fontId="24" fillId="0" borderId="110" xfId="0" applyFont="1" applyBorder="1" applyAlignment="1">
      <alignment horizontal="center" vertical="center" wrapText="1"/>
    </xf>
    <xf numFmtId="0" fontId="24" fillId="0" borderId="87" xfId="0" applyFont="1" applyBorder="1" applyAlignment="1">
      <alignment horizontal="center" vertical="center" wrapText="1"/>
    </xf>
    <xf numFmtId="0" fontId="24" fillId="0" borderId="122" xfId="0" applyFont="1" applyBorder="1" applyAlignment="1">
      <alignment horizontal="center" vertical="center" wrapText="1"/>
    </xf>
    <xf numFmtId="0" fontId="24" fillId="0" borderId="120" xfId="0" applyFont="1" applyBorder="1" applyAlignment="1">
      <alignment horizontal="center" vertical="center" wrapText="1"/>
    </xf>
    <xf numFmtId="0" fontId="24" fillId="0" borderId="121" xfId="0" applyFont="1" applyBorder="1" applyAlignment="1">
      <alignment horizontal="center" vertical="center" wrapText="1"/>
    </xf>
    <xf numFmtId="0" fontId="24" fillId="0" borderId="117" xfId="0" applyFont="1" applyBorder="1" applyAlignment="1">
      <alignment horizontal="center" vertical="center" wrapText="1"/>
    </xf>
    <xf numFmtId="0" fontId="24" fillId="0" borderId="115" xfId="0" applyFont="1" applyBorder="1" applyAlignment="1">
      <alignment horizontal="center" vertical="center" wrapText="1"/>
    </xf>
    <xf numFmtId="0" fontId="24" fillId="0" borderId="118" xfId="0" applyFont="1" applyBorder="1" applyAlignment="1">
      <alignment horizontal="center" vertical="center" wrapText="1"/>
    </xf>
    <xf numFmtId="0" fontId="24" fillId="0" borderId="114" xfId="0" applyFont="1" applyBorder="1" applyAlignment="1">
      <alignment horizontal="center" vertical="center" wrapText="1"/>
    </xf>
    <xf numFmtId="0" fontId="24" fillId="0" borderId="116" xfId="0" applyFont="1" applyBorder="1" applyAlignment="1">
      <alignment horizontal="center" vertical="center" wrapText="1"/>
    </xf>
    <xf numFmtId="0" fontId="24" fillId="0" borderId="18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24" fillId="0" borderId="113" xfId="0" applyFont="1" applyBorder="1" applyAlignment="1">
      <alignment horizontal="center" vertical="center" wrapText="1"/>
    </xf>
    <xf numFmtId="0" fontId="24" fillId="0" borderId="86" xfId="0" applyFont="1" applyBorder="1" applyAlignment="1">
      <alignment horizontal="center" vertical="center" wrapText="1"/>
    </xf>
    <xf numFmtId="0" fontId="24" fillId="0" borderId="35" xfId="0" applyFont="1" applyBorder="1" applyAlignment="1">
      <alignment horizontal="center" vertical="center" wrapText="1"/>
    </xf>
    <xf numFmtId="0" fontId="24" fillId="0" borderId="14" xfId="0" applyFont="1" applyBorder="1" applyAlignment="1">
      <alignment horizontal="center" vertical="center" wrapText="1"/>
    </xf>
    <xf numFmtId="0" fontId="45" fillId="0" borderId="67" xfId="0" applyFont="1" applyBorder="1" applyAlignment="1">
      <alignment horizontal="center" vertical="center" wrapText="1"/>
    </xf>
    <xf numFmtId="0" fontId="45" fillId="0" borderId="14" xfId="0" applyFont="1" applyBorder="1" applyAlignment="1">
      <alignment horizontal="center" vertical="center" wrapText="1"/>
    </xf>
    <xf numFmtId="0" fontId="20" fillId="6" borderId="0" xfId="0" applyFont="1" applyFill="1" applyAlignment="1">
      <alignment horizontal="center" vertical="center" wrapText="1"/>
    </xf>
    <xf numFmtId="0" fontId="20" fillId="6" borderId="72" xfId="0" applyFont="1" applyFill="1" applyBorder="1" applyAlignment="1">
      <alignment horizontal="center" vertical="center" wrapText="1"/>
    </xf>
    <xf numFmtId="0" fontId="24" fillId="0" borderId="1"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28"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64" xfId="0" applyFont="1" applyBorder="1" applyAlignment="1">
      <alignment horizontal="center" vertical="center" wrapText="1"/>
    </xf>
    <xf numFmtId="0" fontId="24" fillId="0" borderId="16" xfId="0" applyFont="1" applyBorder="1" applyAlignment="1">
      <alignment horizontal="center" vertical="center" wrapText="1"/>
    </xf>
    <xf numFmtId="0" fontId="24" fillId="0" borderId="65" xfId="0" applyFont="1" applyBorder="1" applyAlignment="1">
      <alignment horizontal="center" vertical="center" wrapText="1"/>
    </xf>
    <xf numFmtId="0" fontId="24" fillId="0" borderId="66" xfId="0" applyFont="1" applyBorder="1" applyAlignment="1">
      <alignment horizontal="center" vertical="center" wrapText="1"/>
    </xf>
    <xf numFmtId="0" fontId="24" fillId="0" borderId="12" xfId="0" applyFont="1" applyBorder="1" applyAlignment="1">
      <alignment horizontal="center" vertical="center" wrapText="1"/>
    </xf>
    <xf numFmtId="0" fontId="24" fillId="0" borderId="61" xfId="0" applyFont="1" applyBorder="1" applyAlignment="1">
      <alignment horizontal="center" vertical="center" wrapText="1"/>
    </xf>
    <xf numFmtId="0" fontId="24" fillId="0" borderId="132" xfId="0" applyFont="1" applyBorder="1" applyAlignment="1">
      <alignment horizontal="center" vertical="center"/>
    </xf>
    <xf numFmtId="0" fontId="24" fillId="0" borderId="136" xfId="0" applyFont="1" applyBorder="1" applyAlignment="1">
      <alignment horizontal="center" vertical="center"/>
    </xf>
    <xf numFmtId="0" fontId="24" fillId="0" borderId="137" xfId="0" applyFont="1" applyBorder="1" applyAlignment="1">
      <alignment horizontal="center" vertical="center"/>
    </xf>
    <xf numFmtId="0" fontId="24" fillId="0" borderId="77" xfId="0" applyFont="1" applyBorder="1" applyAlignment="1">
      <alignment horizontal="center" vertical="center"/>
    </xf>
    <xf numFmtId="0" fontId="24" fillId="0" borderId="43" xfId="0" applyFont="1" applyBorder="1" applyAlignment="1">
      <alignment horizontal="center" vertical="center"/>
    </xf>
    <xf numFmtId="0" fontId="24" fillId="0" borderId="84" xfId="0" applyFont="1" applyBorder="1" applyAlignment="1">
      <alignment horizontal="center" vertical="center"/>
    </xf>
    <xf numFmtId="0" fontId="24" fillId="0" borderId="91" xfId="0" applyFont="1" applyBorder="1" applyAlignment="1">
      <alignment horizontal="center" vertical="center"/>
    </xf>
    <xf numFmtId="0" fontId="24" fillId="0" borderId="92" xfId="0" applyFont="1" applyBorder="1" applyAlignment="1">
      <alignment horizontal="center" vertical="center"/>
    </xf>
    <xf numFmtId="0" fontId="24" fillId="0" borderId="93" xfId="0" applyFont="1" applyBorder="1" applyAlignment="1">
      <alignment horizontal="center" vertical="center"/>
    </xf>
    <xf numFmtId="0" fontId="24" fillId="0" borderId="119" xfId="0" applyFont="1" applyBorder="1" applyAlignment="1">
      <alignment horizontal="center" vertical="center" wrapText="1"/>
    </xf>
    <xf numFmtId="0" fontId="24" fillId="0" borderId="73" xfId="0" applyFont="1" applyBorder="1" applyAlignment="1">
      <alignment horizontal="center" vertical="center" wrapText="1"/>
    </xf>
    <xf numFmtId="0" fontId="24" fillId="0" borderId="37" xfId="0" applyFont="1" applyBorder="1" applyAlignment="1">
      <alignment horizontal="center" vertical="center" wrapText="1"/>
    </xf>
    <xf numFmtId="0" fontId="24" fillId="0" borderId="74" xfId="0" applyFont="1" applyBorder="1" applyAlignment="1">
      <alignment horizontal="center" vertical="center" wrapText="1"/>
    </xf>
    <xf numFmtId="0" fontId="24" fillId="0" borderId="34" xfId="0" applyFont="1" applyBorder="1" applyAlignment="1">
      <alignment horizontal="center" vertical="center" wrapText="1"/>
    </xf>
    <xf numFmtId="0" fontId="45" fillId="0" borderId="74" xfId="0" applyFont="1" applyBorder="1" applyAlignment="1">
      <alignment horizontal="center" vertical="center" wrapText="1"/>
    </xf>
    <xf numFmtId="0" fontId="45" fillId="0" borderId="34" xfId="0" applyFont="1" applyBorder="1" applyAlignment="1">
      <alignment horizontal="center" vertical="center" wrapText="1"/>
    </xf>
    <xf numFmtId="0" fontId="24" fillId="0" borderId="149" xfId="0" applyFont="1" applyBorder="1" applyAlignment="1">
      <alignment horizontal="center" vertical="center" wrapText="1"/>
    </xf>
    <xf numFmtId="0" fontId="24" fillId="0" borderId="136" xfId="0" applyFont="1" applyBorder="1" applyAlignment="1">
      <alignment horizontal="center" vertical="center" wrapText="1"/>
    </xf>
    <xf numFmtId="0" fontId="24" fillId="0" borderId="137" xfId="0" applyFont="1" applyBorder="1" applyAlignment="1">
      <alignment horizontal="center" vertical="center" wrapText="1"/>
    </xf>
    <xf numFmtId="0" fontId="24" fillId="0" borderId="147" xfId="0" applyFont="1" applyBorder="1" applyAlignment="1">
      <alignment horizontal="center" vertical="center" wrapText="1"/>
    </xf>
    <xf numFmtId="0" fontId="24" fillId="0" borderId="141" xfId="0" applyFont="1" applyBorder="1" applyAlignment="1">
      <alignment horizontal="center" vertical="center" wrapText="1"/>
    </xf>
    <xf numFmtId="0" fontId="24" fillId="0" borderId="145" xfId="0" applyFont="1" applyBorder="1" applyAlignment="1">
      <alignment horizontal="center" vertical="center" wrapText="1"/>
    </xf>
    <xf numFmtId="0" fontId="24" fillId="0" borderId="16" xfId="0" applyFont="1" applyBorder="1" applyAlignment="1">
      <alignment horizontal="center" vertical="center"/>
    </xf>
    <xf numFmtId="0" fontId="24" fillId="0" borderId="144" xfId="0" applyFont="1" applyBorder="1" applyAlignment="1">
      <alignment horizontal="center" vertical="center"/>
    </xf>
    <xf numFmtId="0" fontId="46" fillId="0" borderId="141" xfId="0" applyFont="1" applyBorder="1" applyAlignment="1">
      <alignment horizontal="center" vertical="center" wrapText="1"/>
    </xf>
    <xf numFmtId="0" fontId="46" fillId="0" borderId="145" xfId="0" applyFont="1" applyBorder="1" applyAlignment="1">
      <alignment horizontal="center" vertical="center" wrapText="1"/>
    </xf>
    <xf numFmtId="0" fontId="24" fillId="0" borderId="132" xfId="0" applyFont="1" applyBorder="1" applyAlignment="1">
      <alignment horizontal="center" vertical="center" wrapText="1"/>
    </xf>
    <xf numFmtId="0" fontId="24" fillId="0" borderId="151" xfId="0" applyFont="1" applyBorder="1" applyAlignment="1">
      <alignment horizontal="center" vertical="center" wrapText="1"/>
    </xf>
    <xf numFmtId="0" fontId="24" fillId="0" borderId="152" xfId="0" applyFont="1" applyBorder="1" applyAlignment="1">
      <alignment horizontal="center" vertical="center" wrapText="1"/>
    </xf>
    <xf numFmtId="0" fontId="24" fillId="0" borderId="153" xfId="0" applyFont="1" applyBorder="1" applyAlignment="1">
      <alignment horizontal="center" vertical="center" wrapText="1"/>
    </xf>
    <xf numFmtId="0" fontId="48" fillId="0" borderId="112" xfId="0" applyFont="1" applyBorder="1" applyAlignment="1">
      <alignment horizontal="center" vertical="center"/>
    </xf>
    <xf numFmtId="0" fontId="48" fillId="0" borderId="43" xfId="0" applyFont="1" applyBorder="1" applyAlignment="1">
      <alignment horizontal="center" vertical="center"/>
    </xf>
    <xf numFmtId="0" fontId="48" fillId="0" borderId="89" xfId="0" applyFont="1" applyBorder="1" applyAlignment="1">
      <alignment horizontal="center" vertical="center"/>
    </xf>
    <xf numFmtId="0" fontId="24" fillId="0" borderId="166" xfId="0" applyFont="1" applyBorder="1" applyAlignment="1">
      <alignment horizontal="center" vertical="center" wrapText="1"/>
    </xf>
    <xf numFmtId="0" fontId="24" fillId="0" borderId="92" xfId="0" applyFont="1" applyBorder="1" applyAlignment="1">
      <alignment horizontal="center" vertical="center" wrapText="1"/>
    </xf>
    <xf numFmtId="0" fontId="24" fillId="0" borderId="52" xfId="0" applyFont="1" applyBorder="1" applyAlignment="1">
      <alignment horizontal="center" vertical="center" wrapText="1"/>
    </xf>
    <xf numFmtId="0" fontId="48" fillId="0" borderId="77" xfId="0" applyFont="1" applyBorder="1" applyAlignment="1">
      <alignment horizontal="center" vertical="center"/>
    </xf>
    <xf numFmtId="0" fontId="48" fillId="0" borderId="84" xfId="0" applyFont="1" applyBorder="1" applyAlignment="1">
      <alignment horizontal="center" vertical="center"/>
    </xf>
    <xf numFmtId="0" fontId="24" fillId="0" borderId="84" xfId="0" applyFont="1" applyBorder="1" applyAlignment="1">
      <alignment horizontal="center" vertical="center" wrapText="1"/>
    </xf>
    <xf numFmtId="0" fontId="24" fillId="0" borderId="157" xfId="0" applyFont="1" applyBorder="1" applyAlignment="1">
      <alignment horizontal="center" vertical="center" wrapText="1"/>
    </xf>
    <xf numFmtId="0" fontId="24" fillId="0" borderId="149" xfId="0" applyFont="1" applyBorder="1" applyAlignment="1">
      <alignment horizontal="center" vertical="center"/>
    </xf>
    <xf numFmtId="0" fontId="24" fillId="0" borderId="93" xfId="0" applyFont="1" applyBorder="1" applyAlignment="1">
      <alignment horizontal="center" vertical="center" wrapText="1"/>
    </xf>
    <xf numFmtId="0" fontId="24" fillId="0" borderId="91" xfId="0" applyFont="1" applyBorder="1" applyAlignment="1">
      <alignment horizontal="center" vertical="center" wrapText="1"/>
    </xf>
    <xf numFmtId="9" fontId="7" fillId="0" borderId="2" xfId="2" applyFont="1" applyFill="1" applyBorder="1" applyAlignment="1">
      <alignment horizontal="center" vertical="center"/>
    </xf>
    <xf numFmtId="0" fontId="26" fillId="6" borderId="2" xfId="0" applyFont="1" applyFill="1" applyBorder="1" applyAlignment="1">
      <alignment horizontal="center" vertical="center"/>
    </xf>
    <xf numFmtId="0" fontId="1" fillId="0" borderId="60"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21" xfId="0" applyFont="1" applyBorder="1" applyAlignment="1">
      <alignment horizontal="center" vertical="center" wrapText="1"/>
    </xf>
    <xf numFmtId="1" fontId="1" fillId="0" borderId="2" xfId="0" applyNumberFormat="1" applyFont="1" applyFill="1" applyBorder="1" applyAlignment="1">
      <alignment horizontal="left" vertical="center" wrapText="1"/>
    </xf>
  </cellXfs>
  <cellStyles count="427">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1 2" xfId="60" xr:uid="{6388C7AE-80D6-4571-BCFE-70BBF45E4668}"/>
    <cellStyle name="60% - Accent2" xfId="37" builtinId="36" customBuiltin="1"/>
    <cellStyle name="60% - Accent2 2" xfId="61" xr:uid="{E301C0DB-0225-4433-9F8F-BB0671B5F292}"/>
    <cellStyle name="60% - Accent3" xfId="41" builtinId="40" customBuiltin="1"/>
    <cellStyle name="60% - Accent3 2" xfId="62" xr:uid="{F0910F77-7E62-4884-AF75-80CF1B7880B8}"/>
    <cellStyle name="60% - Accent4" xfId="45" builtinId="44" customBuiltin="1"/>
    <cellStyle name="60% - Accent4 2" xfId="63" xr:uid="{3724173B-3A60-4F6B-87EF-A47B76AB954F}"/>
    <cellStyle name="60% - Accent5" xfId="49" builtinId="48" customBuiltin="1"/>
    <cellStyle name="60% - Accent5 2" xfId="64" xr:uid="{DDA9D061-FA53-4D49-B286-CED370B718F3}"/>
    <cellStyle name="60% - Accent6" xfId="53" builtinId="52" customBuiltin="1"/>
    <cellStyle name="60% - Accent6 2" xfId="65" xr:uid="{3505F853-8B07-4A53-811D-4AA34B9A0FBC}"/>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6" builtinId="3"/>
    <cellStyle name="Comma 2" xfId="67" xr:uid="{D61AD27F-D637-457B-B28A-11F9AF551531}"/>
    <cellStyle name="Comma 2 10" xfId="425" xr:uid="{6E3E7C12-916E-49ED-A360-14B656F83968}"/>
    <cellStyle name="Comma 2 2" xfId="68" xr:uid="{C8A64174-2D3F-4EFF-A99E-F4D8283D04C8}"/>
    <cellStyle name="Comma 2 2 2" xfId="69" xr:uid="{8F2A3A5C-3FEA-4869-A34B-83C157FB0EAE}"/>
    <cellStyle name="Comma 2 2 3" xfId="70" xr:uid="{5A2764DF-4000-41B1-911E-A3982384F6BB}"/>
    <cellStyle name="Comma 2 3" xfId="71" xr:uid="{579C5AF3-A52A-4815-878F-B540C4F1419E}"/>
    <cellStyle name="Comma 2 4" xfId="72" xr:uid="{950E7AF3-BCE6-4D14-805F-07BBF2043AFE}"/>
    <cellStyle name="Comma 2 5" xfId="73" xr:uid="{7FE4718E-649F-4641-B557-6C32087633F1}"/>
    <cellStyle name="Comma 2 6" xfId="74" xr:uid="{7363D7A2-12FA-4E52-A3F2-2A11902063D4}"/>
    <cellStyle name="Comma 2 7" xfId="75" xr:uid="{033D2443-D6E0-4DE6-9488-BE11955F38D1}"/>
    <cellStyle name="Comma 2 8" xfId="76" xr:uid="{57603388-AF0C-4233-9804-0FE1C5D7E05C}"/>
    <cellStyle name="Comma 2 9" xfId="77" xr:uid="{56D2E282-2FB6-43EB-A1FF-17BE76DF43F5}"/>
    <cellStyle name="Comma 3" xfId="78" xr:uid="{E17D10BE-A28F-4E10-BCA6-5D9AB28224E3}"/>
    <cellStyle name="Comma 3 2" xfId="79" xr:uid="{6B02AB6A-94CC-469A-8447-A1742C76020A}"/>
    <cellStyle name="Comma 4" xfId="80" xr:uid="{3AEBBF18-1DE2-493D-B2EE-9D03CC6B0F30}"/>
    <cellStyle name="Comma 4 2" xfId="81" xr:uid="{1A8DFB2C-4379-4704-87D4-0EC9C0515457}"/>
    <cellStyle name="Comma 4 2 2" xfId="82" xr:uid="{4722C040-53F4-45E9-BC1B-504B7F6B501A}"/>
    <cellStyle name="Comma 5" xfId="83" xr:uid="{82C5EA8D-4621-4150-A975-8FF065EC915B}"/>
    <cellStyle name="Comma 5 2" xfId="84" xr:uid="{BEF1C062-0BB6-472F-AB7A-C896D8FF8DB9}"/>
    <cellStyle name="Comma 5 3" xfId="85" xr:uid="{311BFF0A-424D-45C4-89DB-1CC55513E6D6}"/>
    <cellStyle name="Comma 6" xfId="66" xr:uid="{6F06A65E-E095-4D8D-B1C2-0444B8C6C4D8}"/>
    <cellStyle name="Explanatory Text" xfId="28" builtinId="53" customBuiltin="1"/>
    <cellStyle name="Good" xfId="18" builtinId="26" customBuiltin="1"/>
    <cellStyle name="Heading 1" xfId="14" builtinId="16" customBuiltin="1"/>
    <cellStyle name="Heading 2" xfId="15" builtinId="17" customBuiltin="1"/>
    <cellStyle name="Heading 3" xfId="16" builtinId="18" customBuiltin="1"/>
    <cellStyle name="Heading 4" xfId="17" builtinId="19" customBuiltin="1"/>
    <cellStyle name="Hyperlink" xfId="5" builtinId="8"/>
    <cellStyle name="Hyperlink 2" xfId="10" xr:uid="{10C1E3C0-F46B-4E25-BD9A-EE5D62F88FF2}"/>
    <cellStyle name="Hyperlink 2 2" xfId="420" xr:uid="{DC54BD0A-D400-4914-AA7B-C28516FF3333}"/>
    <cellStyle name="Input" xfId="21" builtinId="20" customBuiltin="1"/>
    <cellStyle name="Linked Cell" xfId="24" builtinId="24" customBuiltin="1"/>
    <cellStyle name="Neutral" xfId="20" builtinId="28" customBuiltin="1"/>
    <cellStyle name="Neutral 2" xfId="86" xr:uid="{EBF023DE-B84A-48C6-B018-E2022B518F22}"/>
    <cellStyle name="Normal" xfId="0" builtinId="0" customBuiltin="1"/>
    <cellStyle name="Normal 10" xfId="87" xr:uid="{076D02A1-B267-4955-910F-ED1C0FDC16E2}"/>
    <cellStyle name="Normal 10 2" xfId="88" xr:uid="{AA8A051D-EA64-4008-8FB8-FFBA871F0F21}"/>
    <cellStyle name="Normal 100" xfId="89" xr:uid="{0CE197F6-1672-4699-B716-0647130B8194}"/>
    <cellStyle name="Normal 101" xfId="90" xr:uid="{DBBE1092-C245-44F0-B0E4-870CA37796DB}"/>
    <cellStyle name="Normal 102" xfId="91" xr:uid="{4F0BABC4-1540-4ACF-8D19-605CD387560F}"/>
    <cellStyle name="Normal 103" xfId="92" xr:uid="{60702D29-DDC6-4354-A2FA-F1FB6B5443D4}"/>
    <cellStyle name="Normal 104" xfId="93" xr:uid="{B860E6BA-C982-4CA1-BE70-747F7F88F8D4}"/>
    <cellStyle name="Normal 105" xfId="94" xr:uid="{84A93E0F-C254-4B14-9313-A7ED21084A44}"/>
    <cellStyle name="Normal 106" xfId="95" xr:uid="{74B91F55-C86B-4353-9089-DE928F90D737}"/>
    <cellStyle name="Normal 107" xfId="96" xr:uid="{F8248028-608A-4CD6-88BD-F72F465F43CE}"/>
    <cellStyle name="Normal 108" xfId="97" xr:uid="{3CD3C90D-31B7-41A9-9ECA-829C22FFF949}"/>
    <cellStyle name="Normal 109" xfId="98" xr:uid="{71F17A2F-EFA4-4CB6-9B2A-A8383DB1E55A}"/>
    <cellStyle name="Normal 11" xfId="99" xr:uid="{15868D11-3F06-4732-97CF-1C288D3E0839}"/>
    <cellStyle name="Normal 11 2 2 2" xfId="55" xr:uid="{22B3F830-34F0-4EB4-89C8-18BD82EA1231}"/>
    <cellStyle name="Normal 110" xfId="100" xr:uid="{63D8613D-CA8E-4BE7-AE54-DB6010BB0203}"/>
    <cellStyle name="Normal 111" xfId="101" xr:uid="{B8550807-9C1C-402C-BC51-6776C78D0A2F}"/>
    <cellStyle name="Normal 112" xfId="102" xr:uid="{9142C420-FA8F-4866-BEB3-756CE2233404}"/>
    <cellStyle name="Normal 113" xfId="103" xr:uid="{830C0458-E2A6-4542-9324-FFCE13DF2854}"/>
    <cellStyle name="Normal 114" xfId="104" xr:uid="{29C55A47-5B18-453B-9C89-1CE5B34AFBA4}"/>
    <cellStyle name="Normal 115" xfId="105" xr:uid="{2CFBC4BD-127B-473A-B197-75906C7737F4}"/>
    <cellStyle name="Normal 116" xfId="106" xr:uid="{F4670BBD-27C0-4BD7-AA6C-A65831213D99}"/>
    <cellStyle name="Normal 117" xfId="107" xr:uid="{14AF11FB-8EEA-413E-9BC6-673635C5EB77}"/>
    <cellStyle name="Normal 118" xfId="108" xr:uid="{6EE64FEF-DE5A-40E9-B191-F8C883F97385}"/>
    <cellStyle name="Normal 119" xfId="109" xr:uid="{45170C6C-3A08-4423-86B1-E8DF4BC471E4}"/>
    <cellStyle name="Normal 12" xfId="110" xr:uid="{8378A3BD-3160-4AD5-8FCE-BAA1D0F0EE0B}"/>
    <cellStyle name="Normal 120" xfId="111" xr:uid="{BA273789-2BC7-4A16-93C6-A11E05F902B5}"/>
    <cellStyle name="Normal 121" xfId="112" xr:uid="{7B0CD41F-5B60-4C45-A670-85FA8EF225EC}"/>
    <cellStyle name="Normal 122" xfId="113" xr:uid="{0E413870-7246-46E4-A457-423003BC8F2D}"/>
    <cellStyle name="Normal 123" xfId="114" xr:uid="{07B37C07-224E-45BC-A8AA-FDE3E66C6BEB}"/>
    <cellStyle name="Normal 124" xfId="115" xr:uid="{EC48D3C5-2F5C-4DCB-8863-65E12F7D9001}"/>
    <cellStyle name="Normal 125" xfId="116" xr:uid="{6120A0DF-E73C-4624-AAF3-F6CEFF4A0607}"/>
    <cellStyle name="Normal 126" xfId="117" xr:uid="{14F1518A-D151-48D6-8414-D596416D269C}"/>
    <cellStyle name="Normal 127" xfId="118" xr:uid="{DA31E73A-B80E-4B3F-8FF1-0C477F14F43B}"/>
    <cellStyle name="Normal 128" xfId="119" xr:uid="{43CF8257-08C5-4877-B22A-9243F4E4C88A}"/>
    <cellStyle name="Normal 129" xfId="120" xr:uid="{26C15FF3-04B7-481B-9EC3-2182ED8E4C6C}"/>
    <cellStyle name="Normal 13" xfId="121" xr:uid="{0C071D3D-84EA-4FBD-8513-4144D243339A}"/>
    <cellStyle name="Normal 130" xfId="122" xr:uid="{11D7426F-CACE-44E2-8C79-1287AC7C4F57}"/>
    <cellStyle name="Normal 131" xfId="123" xr:uid="{DC4834F1-7D55-4B8E-8D31-A3A37B92B323}"/>
    <cellStyle name="Normal 132" xfId="124" xr:uid="{ECEE0F4D-4BF7-4CA4-9A16-5C7CA55022CF}"/>
    <cellStyle name="Normal 133" xfId="125" xr:uid="{BACE7B96-C7B1-4A77-82FF-FF9504053F82}"/>
    <cellStyle name="Normal 134" xfId="126" xr:uid="{DA2AB8B4-F7BE-496C-8AAF-6341F563B03F}"/>
    <cellStyle name="Normal 135" xfId="127" xr:uid="{1BEBE9C4-73E7-4233-BB01-BA2C85490BF6}"/>
    <cellStyle name="Normal 136" xfId="128" xr:uid="{17A07220-6095-4153-BB39-36D63E51904F}"/>
    <cellStyle name="Normal 137" xfId="129" xr:uid="{B51798A8-531B-46FB-AF5E-F93E14B322BD}"/>
    <cellStyle name="Normal 138" xfId="130" xr:uid="{A15ED619-C6C1-4E0D-A133-615ED80164A9}"/>
    <cellStyle name="Normal 139" xfId="131" xr:uid="{CCE0BC79-B86C-4CD3-9C35-DF1E8432976E}"/>
    <cellStyle name="Normal 14" xfId="56" xr:uid="{C5913DDB-395A-4267-9552-550A444353FF}"/>
    <cellStyle name="Normal 14 2" xfId="132" xr:uid="{09D0C775-3EE8-4F09-B762-0AE99DA00878}"/>
    <cellStyle name="Normal 140" xfId="133" xr:uid="{25C29C06-AEA6-40E4-950C-803323E928B3}"/>
    <cellStyle name="Normal 141" xfId="134" xr:uid="{F205AAE7-2784-4868-BE3F-3800B4769D77}"/>
    <cellStyle name="Normal 142" xfId="135" xr:uid="{5FC1E751-F807-49F3-BF96-660418D0D42B}"/>
    <cellStyle name="Normal 143" xfId="136" xr:uid="{4FC1E3B9-E16F-43F0-A1F3-384643CE7903}"/>
    <cellStyle name="Normal 144" xfId="137" xr:uid="{DEDE0D84-3E31-4287-B112-1CA4C9B7B9DF}"/>
    <cellStyle name="Normal 145" xfId="138" xr:uid="{728D872B-19AA-4992-ABA0-0D23AB8224DE}"/>
    <cellStyle name="Normal 146" xfId="139" xr:uid="{E0B1AF6B-DD1A-412A-8713-F18458C38704}"/>
    <cellStyle name="Normal 147" xfId="140" xr:uid="{F7C3D8F4-DCBF-4948-84A1-9854C9664B5D}"/>
    <cellStyle name="Normal 148" xfId="141" xr:uid="{EA955369-A2EA-4B47-B35C-3246565C4F9E}"/>
    <cellStyle name="Normal 149" xfId="142" xr:uid="{F0644A08-4256-4D6E-A25A-CDBD46E352E7}"/>
    <cellStyle name="Normal 15" xfId="143" xr:uid="{D3F16F9A-FD21-4B8C-B931-F1C73A9A0F3F}"/>
    <cellStyle name="Normal 150" xfId="144" xr:uid="{59E71CAC-03BA-4042-A4E8-6A4A60DE5F1B}"/>
    <cellStyle name="Normal 151" xfId="145" xr:uid="{A7B06A1D-18E0-45C7-9E69-38462F3DDA93}"/>
    <cellStyle name="Normal 152" xfId="146" xr:uid="{3CEB2F5D-0699-45EE-A56F-5B77CD2D1465}"/>
    <cellStyle name="Normal 153" xfId="147" xr:uid="{5387ADCC-99B0-440F-99EF-1E275AB392EE}"/>
    <cellStyle name="Normal 154" xfId="148" xr:uid="{4ECEB7B1-6D86-487F-B217-EE96483C6775}"/>
    <cellStyle name="Normal 155" xfId="149" xr:uid="{86230AB1-5508-4A24-9EC1-E6669B56321B}"/>
    <cellStyle name="Normal 156" xfId="150" xr:uid="{ACB335A2-37D8-47C8-9CB8-7A98EE29AF3B}"/>
    <cellStyle name="Normal 157" xfId="151" xr:uid="{FE135C3C-0FA2-47B4-8CD8-89A97F19EFD0}"/>
    <cellStyle name="Normal 158" xfId="152" xr:uid="{D18D5D2C-95ED-457F-B90F-E66499424BB8}"/>
    <cellStyle name="Normal 159" xfId="153" xr:uid="{4CCCCB57-CD61-44D0-A906-080F637592E4}"/>
    <cellStyle name="Normal 16" xfId="154" xr:uid="{5954D9A5-ABBD-4CD9-96EA-EB85C8F70FCA}"/>
    <cellStyle name="Normal 160" xfId="155" xr:uid="{7F6A42B4-EE55-43F4-8E73-5DFFB30E6C9D}"/>
    <cellStyle name="Normal 161" xfId="156" xr:uid="{767A34DE-2873-4BE6-AF14-0A8369D00FC5}"/>
    <cellStyle name="Normal 162" xfId="157" xr:uid="{21CFE3AA-0EBF-49C2-8954-ED3865F151EE}"/>
    <cellStyle name="Normal 163" xfId="158" xr:uid="{760FE06A-588E-4B03-BF59-FFE8C9E197A8}"/>
    <cellStyle name="Normal 164" xfId="159" xr:uid="{F90C0FFE-E872-4E7A-864C-B3420DA6776E}"/>
    <cellStyle name="Normal 165" xfId="160" xr:uid="{E1075C76-21AC-47C6-897F-02495741C01E}"/>
    <cellStyle name="Normal 166" xfId="161" xr:uid="{91427B73-9164-4757-9FC7-2FACA3AA17E3}"/>
    <cellStyle name="Normal 167" xfId="162" xr:uid="{3F07ED36-39C5-4014-8E23-E01E3516D7FE}"/>
    <cellStyle name="Normal 168" xfId="163" xr:uid="{7A20138A-E44F-4351-AEB7-716BAAD97A27}"/>
    <cellStyle name="Normal 169" xfId="164" xr:uid="{0D6D2810-26B1-4C3F-B9EF-24D3069C49C5}"/>
    <cellStyle name="Normal 17" xfId="165" xr:uid="{71247783-FD04-4746-89E2-E9A54F4952C9}"/>
    <cellStyle name="Normal 170" xfId="166" xr:uid="{31C18488-6B2A-4097-8C4D-BF3CE6A73A5D}"/>
    <cellStyle name="Normal 171" xfId="167" xr:uid="{42DAC8DC-A677-44B4-AD10-7587CE8AF5D3}"/>
    <cellStyle name="Normal 172" xfId="168" xr:uid="{569349B8-1D46-4888-AD80-4801B695573F}"/>
    <cellStyle name="Normal 173" xfId="169" xr:uid="{AC38C7CD-ACFA-4E04-BCF5-739374C34B5F}"/>
    <cellStyle name="Normal 174" xfId="170" xr:uid="{9BBAB5F4-7F07-4F3D-99BD-0687A6DDF634}"/>
    <cellStyle name="Normal 175" xfId="171" xr:uid="{7555E1FC-E1D1-4360-B022-9C28BEFB7017}"/>
    <cellStyle name="Normal 176" xfId="172" xr:uid="{F4D8C11A-E929-4AAE-BD70-E360C1933081}"/>
    <cellStyle name="Normal 177" xfId="173" xr:uid="{140425F4-F455-449D-91A3-40D48BE0F93F}"/>
    <cellStyle name="Normal 178" xfId="174" xr:uid="{8AB49904-6A98-48C0-B7AC-99FDCF678976}"/>
    <cellStyle name="Normal 179" xfId="175" xr:uid="{5892327A-D106-4B89-A06E-3AB452D804BD}"/>
    <cellStyle name="Normal 18" xfId="176" xr:uid="{534A8C17-7936-4F5E-8B02-7FE6B75B5996}"/>
    <cellStyle name="Normal 180" xfId="177" xr:uid="{4B332908-9B6F-44E4-85BC-727594287A0B}"/>
    <cellStyle name="Normal 181" xfId="178" xr:uid="{62BBA363-B69F-44BB-8561-46B089932677}"/>
    <cellStyle name="Normal 182" xfId="179" xr:uid="{64F78B9B-C379-4F22-8D64-EDA2275175D5}"/>
    <cellStyle name="Normal 183" xfId="180" xr:uid="{401144F6-B47E-4C5D-8FC1-46719DDCCF8A}"/>
    <cellStyle name="Normal 184" xfId="181" xr:uid="{81CBD824-4681-4ADD-AE4E-320E966DD88B}"/>
    <cellStyle name="Normal 185" xfId="182" xr:uid="{78E5260A-95DC-42D3-871A-C5FEE703C7F3}"/>
    <cellStyle name="Normal 186" xfId="183" xr:uid="{9BA175D6-9559-4360-8264-17D746B5DD89}"/>
    <cellStyle name="Normal 187" xfId="184" xr:uid="{D1CDDF72-90F7-4825-AB98-C05D67600A2D}"/>
    <cellStyle name="Normal 188" xfId="185" xr:uid="{026C748F-2EDE-401E-8240-B5820D4936D6}"/>
    <cellStyle name="Normal 189" xfId="186" xr:uid="{333B9E6B-4008-4E6A-BC1E-BB295AD7877C}"/>
    <cellStyle name="Normal 19" xfId="187" xr:uid="{D382057F-B089-408E-A81D-BA7087407BDC}"/>
    <cellStyle name="Normal 190" xfId="188" xr:uid="{15AD4997-6F0C-4FF8-A326-1BD469306594}"/>
    <cellStyle name="Normal 191" xfId="189" xr:uid="{F7746F7E-8D98-4DF0-B594-B9EDA5951BBE}"/>
    <cellStyle name="Normal 192" xfId="190" xr:uid="{95A59D0D-9CED-4EF1-9416-C8F97E6C5326}"/>
    <cellStyle name="Normal 193" xfId="191" xr:uid="{A129E977-DE51-4C31-BEAB-3C613D4343AC}"/>
    <cellStyle name="Normal 194" xfId="192" xr:uid="{EBC10DA1-7D87-4781-B543-A2A012ACF25B}"/>
    <cellStyle name="Normal 195" xfId="193" xr:uid="{20211B93-EFAC-4E65-9DE5-49F8F8ACA618}"/>
    <cellStyle name="Normal 196" xfId="194" xr:uid="{A77FC2FD-2E88-4822-BA21-4033948BB8ED}"/>
    <cellStyle name="Normal 197" xfId="195" xr:uid="{11762033-268B-4C62-8363-5DC65E036944}"/>
    <cellStyle name="Normal 198" xfId="196" xr:uid="{FB55C1A2-41D3-48B4-B9F8-E4D8C0D45327}"/>
    <cellStyle name="Normal 199" xfId="197" xr:uid="{C8229EF4-E080-4D16-A00B-1D175C0D9692}"/>
    <cellStyle name="Normal 2" xfId="3" xr:uid="{E38C2638-0821-4BB2-9C33-A89D3950ADA6}"/>
    <cellStyle name="Normal 2 2" xfId="4" xr:uid="{7604919E-E68F-4366-A693-6A7B8B8DA661}"/>
    <cellStyle name="Normal 2 2 2" xfId="200" xr:uid="{067F78CB-9633-4C41-BF1A-F408696C156A}"/>
    <cellStyle name="Normal 2 2 3" xfId="201" xr:uid="{4EB42305-08E9-49B2-9FFB-D0166BB9BDCD}"/>
    <cellStyle name="Normal 2 2 4" xfId="202" xr:uid="{EDDE46C1-EC89-4109-99E5-26C91B9AEA84}"/>
    <cellStyle name="Normal 2 2 5" xfId="199" xr:uid="{E833398C-A593-4DE2-90E2-4E2AC884586F}"/>
    <cellStyle name="Normal 2 2 6" xfId="54" xr:uid="{A2D92282-36E2-42E4-ADED-1C5D634E5048}"/>
    <cellStyle name="Normal 2 3" xfId="9" xr:uid="{8A1E39CD-7ABA-4D79-A464-67010D1209C1}"/>
    <cellStyle name="Normal 2 3 2" xfId="204" xr:uid="{DCD3D281-6B97-4F02-89BF-AC23F99BB1A0}"/>
    <cellStyle name="Normal 2 3 3" xfId="205" xr:uid="{99B84C2A-C611-4A0A-AE7C-07FDEEA12BC1}"/>
    <cellStyle name="Normal 2 3 4" xfId="203" xr:uid="{41CAB179-E128-4729-9473-7498A6CE11CF}"/>
    <cellStyle name="Normal 2 4" xfId="206" xr:uid="{68460924-EB98-4943-9774-DA300C7C4E77}"/>
    <cellStyle name="Normal 2 4 2" xfId="207" xr:uid="{C8ECA8AB-8527-4593-A5A7-00618143955F}"/>
    <cellStyle name="Normal 2 4 3" xfId="208" xr:uid="{64B944D2-1335-467C-AAE5-2EAA16DC8591}"/>
    <cellStyle name="Normal 2 5" xfId="209" xr:uid="{F4E92ADC-9026-44B5-A1CD-E0ABF6F2E2D4}"/>
    <cellStyle name="Normal 2 6" xfId="421" xr:uid="{4DDB3944-16BC-4C5C-AEE2-39E4253E07B3}"/>
    <cellStyle name="Normal 2 7" xfId="198" xr:uid="{D09F5D4F-6251-489E-9E2F-4F47DA3D9AF4}"/>
    <cellStyle name="Normal 2_AEDG50_HotelSmall_Inputs" xfId="210" xr:uid="{0DB18DE5-13EE-47E5-9CA5-D2727033C06D}"/>
    <cellStyle name="Normal 20" xfId="211" xr:uid="{0B4A0AB8-E5C4-43B6-ACBF-F0FE07CF51D7}"/>
    <cellStyle name="Normal 200" xfId="212" xr:uid="{EFA7D135-E844-4BF3-8213-614885C3FF5A}"/>
    <cellStyle name="Normal 201" xfId="213" xr:uid="{CFB2DE6D-323E-4CD6-8D1C-F913E3487DDC}"/>
    <cellStyle name="Normal 202" xfId="214" xr:uid="{0C5C37D3-6801-4D04-9B78-D68A57D30C61}"/>
    <cellStyle name="Normal 203" xfId="215" xr:uid="{37D1A48D-A4E8-474B-9A5C-8FBDD0F29CCC}"/>
    <cellStyle name="Normal 204" xfId="216" xr:uid="{ED0435B3-30A7-4F12-AD84-8179C2F091AD}"/>
    <cellStyle name="Normal 205" xfId="217" xr:uid="{05DBF5B0-002F-4741-8A0B-EE9264D36F8B}"/>
    <cellStyle name="Normal 206" xfId="218" xr:uid="{9D1FC893-8B28-40EE-886E-10AD0BDB5828}"/>
    <cellStyle name="Normal 207" xfId="219" xr:uid="{BDFCD855-8E53-466C-94CC-BA41599C9B40}"/>
    <cellStyle name="Normal 208" xfId="220" xr:uid="{537A0600-1B61-425A-B658-A9287678F212}"/>
    <cellStyle name="Normal 209" xfId="221" xr:uid="{108C433C-0FF1-42EE-ADD2-340B34D0BD26}"/>
    <cellStyle name="Normal 21" xfId="222" xr:uid="{70B61C75-0268-4929-AD92-A04E666FF8F3}"/>
    <cellStyle name="Normal 210" xfId="223" xr:uid="{A7192DB2-D4CA-495A-8CF4-95997494CED5}"/>
    <cellStyle name="Normal 211" xfId="224" xr:uid="{9A9FEACC-9E38-4FCF-8619-CC879D6BD4D5}"/>
    <cellStyle name="Normal 212" xfId="225" xr:uid="{B3E0EAB7-0BFF-4AF9-A67A-06E5E5A5FA8C}"/>
    <cellStyle name="Normal 213" xfId="226" xr:uid="{A8847567-D12B-455E-AA3D-E7CA241E7050}"/>
    <cellStyle name="Normal 214" xfId="227" xr:uid="{CF37EAAC-49C2-498D-9944-322FEF530B61}"/>
    <cellStyle name="Normal 215" xfId="228" xr:uid="{06A63F54-D216-4864-B9CA-90D651FDA1FB}"/>
    <cellStyle name="Normal 216" xfId="229" xr:uid="{70452C23-FEA5-4BFC-8F10-0CABBB835E97}"/>
    <cellStyle name="Normal 217" xfId="230" xr:uid="{4E64F146-7659-4CDF-985B-1F7E8751E519}"/>
    <cellStyle name="Normal 218" xfId="231" xr:uid="{AC042960-2489-4DC3-ACD2-5275FAA014A2}"/>
    <cellStyle name="Normal 219" xfId="232" xr:uid="{A71B0906-264B-42AB-883F-CA00F520537A}"/>
    <cellStyle name="Normal 22" xfId="233" xr:uid="{A8E2F7DD-762D-481C-91D2-FCE2DA6DC665}"/>
    <cellStyle name="Normal 220" xfId="234" xr:uid="{C7D613EA-32E6-4520-A9B5-C56B1AF5E1AD}"/>
    <cellStyle name="Normal 221" xfId="235" xr:uid="{FE28D07A-E6CE-4121-AE1A-5DE7CEF139DE}"/>
    <cellStyle name="Normal 222" xfId="236" xr:uid="{5B59F53D-C82B-43D2-A966-B7B69C4D40A3}"/>
    <cellStyle name="Normal 223" xfId="237" xr:uid="{31782F0B-5518-4425-B51A-C9F732A84EFC}"/>
    <cellStyle name="Normal 224" xfId="238" xr:uid="{5000AAC9-8E3E-40AC-9602-929334CA6184}"/>
    <cellStyle name="Normal 225" xfId="239" xr:uid="{77F3A809-C7F8-415D-ACC5-ACA4029C8810}"/>
    <cellStyle name="Normal 226" xfId="240" xr:uid="{0FFC1BAE-B788-4DCD-BEEC-1E2F836AE24D}"/>
    <cellStyle name="Normal 227" xfId="241" xr:uid="{518D7343-1380-441B-8058-86267C53CF07}"/>
    <cellStyle name="Normal 228" xfId="242" xr:uid="{86F0E656-3A47-4C81-9195-915A1A000F92}"/>
    <cellStyle name="Normal 229" xfId="243" xr:uid="{4F8C36FB-ACFF-46B7-8EE2-2DAD14F1F47F}"/>
    <cellStyle name="Normal 23" xfId="244" xr:uid="{E426F850-F317-4CB5-88C1-36410E0C2607}"/>
    <cellStyle name="Normal 230" xfId="245" xr:uid="{1EE8D007-3005-43CA-88CE-1FF695666FED}"/>
    <cellStyle name="Normal 231" xfId="246" xr:uid="{C5FE5C68-6F88-46D8-9934-8462BE60DDD1}"/>
    <cellStyle name="Normal 232" xfId="247" xr:uid="{C5A0859F-FE58-414B-B2A9-8AF8FBE43538}"/>
    <cellStyle name="Normal 233" xfId="248" xr:uid="{04B7376C-5D00-4355-9E39-4683CC793220}"/>
    <cellStyle name="Normal 234" xfId="249" xr:uid="{1E346C3B-AAB4-4969-8204-773272E2DFD6}"/>
    <cellStyle name="Normal 235" xfId="250" xr:uid="{9B165095-FABC-4E2C-9AB6-02D074AE4C63}"/>
    <cellStyle name="Normal 236" xfId="251" xr:uid="{8A7551B9-AA41-464C-B00C-B51C833ECE8E}"/>
    <cellStyle name="Normal 237" xfId="252" xr:uid="{4F4CBC3F-6290-4BF7-B787-463AD761D2DB}"/>
    <cellStyle name="Normal 238" xfId="253" xr:uid="{258AC543-8B30-45AA-9640-770DE5156F7C}"/>
    <cellStyle name="Normal 239" xfId="254" xr:uid="{9988A64E-5614-497A-B777-017C1B7A6078}"/>
    <cellStyle name="Normal 24" xfId="255" xr:uid="{A2606A1B-DCAB-443C-A395-395997EFD1E8}"/>
    <cellStyle name="Normal 240" xfId="256" xr:uid="{B0FA9492-006D-438E-BA30-B8A40C73189B}"/>
    <cellStyle name="Normal 241" xfId="257" xr:uid="{E6E71A19-14A2-4B38-A4E9-0F9CDF47E13F}"/>
    <cellStyle name="Normal 242" xfId="258" xr:uid="{DE179000-664C-4489-BEC3-E00A36B66260}"/>
    <cellStyle name="Normal 243" xfId="259" xr:uid="{A3FDA283-E59C-4B4B-A002-FA96572873BA}"/>
    <cellStyle name="Normal 244" xfId="260" xr:uid="{16D64DF4-ECB5-4972-B0F2-BE79D9BF102F}"/>
    <cellStyle name="Normal 245" xfId="261" xr:uid="{7DCD533D-BA80-4C14-85C2-AF26E85DC06E}"/>
    <cellStyle name="Normal 246" xfId="262" xr:uid="{296E97D7-A8C8-4F7D-A399-070C7F7E7EDD}"/>
    <cellStyle name="Normal 247" xfId="263" xr:uid="{D3CE5012-6B53-4738-8D7A-B2368F8BD687}"/>
    <cellStyle name="Normal 248" xfId="264" xr:uid="{1C88EBAF-0BE0-4E65-936C-075EB0768AEA}"/>
    <cellStyle name="Normal 249" xfId="265" xr:uid="{0B3830F2-990A-4860-B779-68BEC860686A}"/>
    <cellStyle name="Normal 25" xfId="266" xr:uid="{BB7ABE8C-68DC-42CF-A32C-04CF665338F2}"/>
    <cellStyle name="Normal 250" xfId="267" xr:uid="{F3C570F9-6E47-4BA3-9A41-5B7A7A5CB5EF}"/>
    <cellStyle name="Normal 251" xfId="268" xr:uid="{95333269-4A68-458B-A13C-074C03E777E2}"/>
    <cellStyle name="Normal 252" xfId="269" xr:uid="{7C4A1E16-98DD-4566-9937-8D7C93C12603}"/>
    <cellStyle name="Normal 253" xfId="270" xr:uid="{1C0E6E8F-FD54-4E83-9A3E-94026AAD33CE}"/>
    <cellStyle name="Normal 254" xfId="271" xr:uid="{DA7E4F22-29F3-4AE5-A584-3972527A2E81}"/>
    <cellStyle name="Normal 255" xfId="272" xr:uid="{29A5700C-56EF-4EEA-A1A6-68706428878D}"/>
    <cellStyle name="Normal 256" xfId="273" xr:uid="{FAE62D28-5DA9-4E29-87FB-77A58849D0A1}"/>
    <cellStyle name="Normal 256 2" xfId="274" xr:uid="{940F7E57-44BE-428F-A0DE-365C4B3998B4}"/>
    <cellStyle name="Normal 257" xfId="275" xr:uid="{C75E5CF7-9CF6-446C-893F-5BC8ADA54D1B}"/>
    <cellStyle name="Normal 257 2" xfId="276" xr:uid="{9ECF9F53-C0E6-4FC8-B08D-21E03A419B3D}"/>
    <cellStyle name="Normal 258" xfId="277" xr:uid="{D9ABEB17-6978-4A4E-8D5F-FDFCEF04B439}"/>
    <cellStyle name="Normal 258 2" xfId="278" xr:uid="{21E5B325-C681-4BE3-820D-F49CB10228E1}"/>
    <cellStyle name="Normal 259" xfId="279" xr:uid="{802F8811-914A-430A-B666-0FBEE55DAAE6}"/>
    <cellStyle name="Normal 259 2" xfId="280" xr:uid="{4EDA75AF-F45B-4C4E-B571-54F10F1991FC}"/>
    <cellStyle name="Normal 26" xfId="281" xr:uid="{209C031D-FB01-41FE-9C48-47C707158C9E}"/>
    <cellStyle name="Normal 260" xfId="282" xr:uid="{F74C1AFF-2078-49A3-8EFB-F59EC26C4491}"/>
    <cellStyle name="Normal 260 2" xfId="283" xr:uid="{37AD3375-FFA3-4CDD-998E-0A61AC32FFF3}"/>
    <cellStyle name="Normal 261" xfId="284" xr:uid="{3EB9C392-9D72-4F79-884F-1A001CB71204}"/>
    <cellStyle name="Normal 262" xfId="285" xr:uid="{428B803B-FE86-4005-8CB8-240A6123EA58}"/>
    <cellStyle name="Normal 263" xfId="286" xr:uid="{0DBFE8A4-A545-4BB6-8A2F-8DA0A3722E92}"/>
    <cellStyle name="Normal 264" xfId="287" xr:uid="{9C310922-1BC9-4A7A-8449-42DF3993D46B}"/>
    <cellStyle name="Normal 265" xfId="288" xr:uid="{DDE49628-9824-42BD-814D-8A708E9A152C}"/>
    <cellStyle name="Normal 265 2" xfId="289" xr:uid="{9238F618-113B-4685-8787-C1D45DA53E2C}"/>
    <cellStyle name="Normal 265 3" xfId="290" xr:uid="{56D5FB92-A1C0-444A-9D9B-F909499AC837}"/>
    <cellStyle name="Normal 266" xfId="291" xr:uid="{6329A262-6523-4F6D-9E72-20FA8172151B}"/>
    <cellStyle name="Normal 266 2" xfId="292" xr:uid="{78C0A67A-1972-4910-A1D7-3A150CFDCF0F}"/>
    <cellStyle name="Normal 266 3" xfId="293" xr:uid="{7E48683E-C725-47AE-89B3-4767F164D8DA}"/>
    <cellStyle name="Normal 267" xfId="294" xr:uid="{7B11EF77-56EC-453D-9B95-96F46C23511A}"/>
    <cellStyle name="Normal 267 2" xfId="295" xr:uid="{F0D6451B-1BDF-48D1-AF5E-48C717581691}"/>
    <cellStyle name="Normal 268" xfId="296" xr:uid="{6EF0E36F-2D22-4CC7-A70C-B451598C21AF}"/>
    <cellStyle name="Normal 268 2" xfId="297" xr:uid="{DD8A3402-1EEB-46E3-813E-6C796A5F198F}"/>
    <cellStyle name="Normal 269" xfId="298" xr:uid="{6CD29925-1C47-45C5-8279-A956DF85AAAF}"/>
    <cellStyle name="Normal 269 2" xfId="299" xr:uid="{5A267E43-58F5-48D8-9B4B-EF71CED3E633}"/>
    <cellStyle name="Normal 27" xfId="300" xr:uid="{D527D8DF-4CEC-43F7-961A-6B352D25FEC4}"/>
    <cellStyle name="Normal 270" xfId="301" xr:uid="{264CC5D2-F8C2-4BCE-92A0-E44D8DC58F15}"/>
    <cellStyle name="Normal 270 2" xfId="302" xr:uid="{5DC71C32-4890-4A68-8712-7C3507BBD0DC}"/>
    <cellStyle name="Normal 271" xfId="303" xr:uid="{BA9E6D9C-1D57-4C2A-AD99-7CD6243C5267}"/>
    <cellStyle name="Normal 272" xfId="304" xr:uid="{C7CBDB0C-E66B-4001-9C55-96527368F101}"/>
    <cellStyle name="Normal 273" xfId="305" xr:uid="{64628EFB-345C-4A2C-B97A-D1F083874DFE}"/>
    <cellStyle name="Normal 274" xfId="306" xr:uid="{733F1CA3-B4B6-4DD2-A62C-8BEF66CCFEBE}"/>
    <cellStyle name="Normal 275" xfId="307" xr:uid="{89895BF7-198F-443D-9344-3E582F8CBFA1}"/>
    <cellStyle name="Normal 276" xfId="308" xr:uid="{81329A1B-B8E1-4649-A847-97A47285FF93}"/>
    <cellStyle name="Normal 277" xfId="309" xr:uid="{22E50753-3DC4-4BC1-A393-E8B2C1E94AD7}"/>
    <cellStyle name="Normal 278" xfId="310" xr:uid="{736AE09D-BD83-445F-9947-94C2361AD5F1}"/>
    <cellStyle name="Normal 279" xfId="311" xr:uid="{20D8603B-8AE4-4A22-BE3D-84BDD1BFB72E}"/>
    <cellStyle name="Normal 28" xfId="312" xr:uid="{3D671870-0736-400D-843F-E2F9CDC212AE}"/>
    <cellStyle name="Normal 280" xfId="313" xr:uid="{B192D56A-95BC-4777-B41A-60A290247C9B}"/>
    <cellStyle name="Normal 281" xfId="314" xr:uid="{494A02B8-E1F1-4049-AA09-413C79D881D4}"/>
    <cellStyle name="Normal 282" xfId="59" xr:uid="{A1838A61-7B3B-4A3B-9181-99034CD46EFD}"/>
    <cellStyle name="Normal 29" xfId="315" xr:uid="{6C74FAA3-ED13-4844-B77F-E2C7A472ECB0}"/>
    <cellStyle name="Normal 3" xfId="7" xr:uid="{1C10DAE4-4F9C-4E19-81E4-5574511A6741}"/>
    <cellStyle name="Normal 3 2" xfId="317" xr:uid="{0DFAB5BA-456A-4D69-82CC-A76EC5E8D03E}"/>
    <cellStyle name="Normal 3 2 2" xfId="318" xr:uid="{678EED67-60FD-4DED-B79A-2B1F4F4EDEB0}"/>
    <cellStyle name="Normal 3 2 2 2" xfId="319" xr:uid="{ACB15D60-B423-454B-8FA0-B0792C1639A6}"/>
    <cellStyle name="Normal 3 2 3" xfId="320" xr:uid="{ABDD6155-3867-42C8-A88E-A0557B3B4AC3}"/>
    <cellStyle name="Normal 3 2 4" xfId="424" xr:uid="{89B43970-3A89-4E6C-A5A5-A94949050C46}"/>
    <cellStyle name="Normal 3 3" xfId="321" xr:uid="{B9CF43E4-FE76-49A5-A3F7-D1CDE5B5E868}"/>
    <cellStyle name="Normal 3 3 2" xfId="322" xr:uid="{07D03C6D-1B68-4440-AF56-4FF8E9C55D0B}"/>
    <cellStyle name="Normal 3 3 3" xfId="323" xr:uid="{EA7BA37B-72A9-4A2F-BD40-F3029E07C84B}"/>
    <cellStyle name="Normal 3 4" xfId="324" xr:uid="{1E58B497-32CA-4147-BED3-DBABF880FB43}"/>
    <cellStyle name="Normal 3 5" xfId="423" xr:uid="{6EB72E51-B5C3-4E2F-A093-A1C4D8456644}"/>
    <cellStyle name="Normal 3 6" xfId="316" xr:uid="{2B7EC852-DDC1-4451-9E51-05C6AE8F3A25}"/>
    <cellStyle name="Normal 30" xfId="325" xr:uid="{B3173BE3-8DAE-439D-8C96-59FFFC40A4E1}"/>
    <cellStyle name="Normal 31" xfId="326" xr:uid="{79E4B112-935F-45BE-939E-66E4DBBE4AC6}"/>
    <cellStyle name="Normal 32" xfId="327" xr:uid="{62468930-B6C6-47FA-A629-49161F07F64D}"/>
    <cellStyle name="Normal 33" xfId="328" xr:uid="{EA530763-3040-4F85-9433-1463F2ED3574}"/>
    <cellStyle name="Normal 34" xfId="329" xr:uid="{219B7B84-58B6-4C89-848B-2544C81E9915}"/>
    <cellStyle name="Normal 35" xfId="330" xr:uid="{F5504E03-217A-4726-9BDE-75EB50C3F3DC}"/>
    <cellStyle name="Normal 36" xfId="331" xr:uid="{8C632697-47B6-4D2F-8158-49ECA771CE01}"/>
    <cellStyle name="Normal 37" xfId="332" xr:uid="{55AD8893-827C-4168-931D-391F7A7CF051}"/>
    <cellStyle name="Normal 38" xfId="333" xr:uid="{6FD15CCB-3167-49EC-8191-9E9FF8432B60}"/>
    <cellStyle name="Normal 39" xfId="334" xr:uid="{7FFA315F-C0EC-4471-8ACB-FA9580FCAF8F}"/>
    <cellStyle name="Normal 4" xfId="11" xr:uid="{43272557-B37F-4996-BC18-AA3EDEAFA379}"/>
    <cellStyle name="Normal 4 2" xfId="336" xr:uid="{15CDAA81-B422-40C4-A7F2-207B9A86BD27}"/>
    <cellStyle name="Normal 4 3" xfId="337" xr:uid="{18F22639-A533-43C4-A9A1-9AFC01BB88C3}"/>
    <cellStyle name="Normal 4 4" xfId="338" xr:uid="{1C818300-71DB-48C0-A7E6-4D2B7A7F0964}"/>
    <cellStyle name="Normal 4 5" xfId="335" xr:uid="{3CA4481B-DF2E-42BD-927B-BF185C0C9F21}"/>
    <cellStyle name="Normal 40" xfId="339" xr:uid="{83592CD5-C381-431F-B525-277F12E92EC6}"/>
    <cellStyle name="Normal 41" xfId="340" xr:uid="{597033CC-887C-400F-9D34-7EDA9319EC22}"/>
    <cellStyle name="Normal 42" xfId="341" xr:uid="{606CE804-A382-4A34-806C-C6593A5CEE5E}"/>
    <cellStyle name="Normal 43" xfId="342" xr:uid="{8BE70FBA-A0FB-47F9-B727-7B3694CCEDD5}"/>
    <cellStyle name="Normal 44" xfId="343" xr:uid="{0F9EE4C6-64F3-40D4-B1C3-425F164255B1}"/>
    <cellStyle name="Normal 45" xfId="344" xr:uid="{3672C6CE-071C-46BF-9383-5C27124F8E4C}"/>
    <cellStyle name="Normal 46" xfId="345" xr:uid="{3138528E-4487-4A4F-B9AD-384F2A378751}"/>
    <cellStyle name="Normal 47" xfId="346" xr:uid="{78415C8F-89CB-40CB-AEDA-AA4AF97D3ABE}"/>
    <cellStyle name="Normal 48" xfId="347" xr:uid="{919311EF-EE43-4BFE-BA60-12F051E420EB}"/>
    <cellStyle name="Normal 49" xfId="348" xr:uid="{33500E42-A765-4A22-96CB-EFB02B0B7FFA}"/>
    <cellStyle name="Normal 5" xfId="12" xr:uid="{642BE191-BE2F-4847-8420-1C59B95E270E}"/>
    <cellStyle name="Normal 5 2" xfId="349" xr:uid="{6C907A3B-8ACE-4DD8-9739-D161C2A77156}"/>
    <cellStyle name="Normal 50" xfId="350" xr:uid="{50EC2391-C472-4D01-AF16-6D6505826ACE}"/>
    <cellStyle name="Normal 51" xfId="351" xr:uid="{24B5E323-E6FB-43CA-8DD6-D7A798851657}"/>
    <cellStyle name="Normal 52" xfId="352" xr:uid="{E10E124D-292F-4FB5-AD17-9FAB485B4258}"/>
    <cellStyle name="Normal 53" xfId="353" xr:uid="{D4DB2F46-7329-4686-8E27-2633AD6C1F76}"/>
    <cellStyle name="Normal 54" xfId="354" xr:uid="{33E768E0-867D-4452-9280-B2D4865B8911}"/>
    <cellStyle name="Normal 55" xfId="355" xr:uid="{13A71318-C395-4C50-9CA9-800B2ED76951}"/>
    <cellStyle name="Normal 56" xfId="356" xr:uid="{D1010FBB-4F98-4BC4-AA2D-479F6FC9BFA7}"/>
    <cellStyle name="Normal 57" xfId="357" xr:uid="{65C41E80-64FD-4A06-B13C-ABD397CAB8B7}"/>
    <cellStyle name="Normal 58" xfId="358" xr:uid="{567224D9-3755-4079-A332-20B48B436A55}"/>
    <cellStyle name="Normal 59" xfId="359" xr:uid="{2AF418CC-A87C-45E3-B1D0-76B55656666F}"/>
    <cellStyle name="Normal 6" xfId="360" xr:uid="{69E87C51-5C18-48B0-B243-C7583D489B47}"/>
    <cellStyle name="Normal 6 2" xfId="58" xr:uid="{36112614-B7D1-4F9E-8074-2345D07A130D}"/>
    <cellStyle name="Normal 60" xfId="361" xr:uid="{0A6AAADE-CBDC-4B76-99FB-3C77FF764636}"/>
    <cellStyle name="Normal 61" xfId="362" xr:uid="{63F07349-2CC2-4924-8E51-C75A2B6E1592}"/>
    <cellStyle name="Normal 62" xfId="363" xr:uid="{CC7EAA79-5E43-42BD-B380-A2E7B1B99BA6}"/>
    <cellStyle name="Normal 63" xfId="364" xr:uid="{14429899-6DD9-4124-9ADF-1F0741B5ECC6}"/>
    <cellStyle name="Normal 64" xfId="365" xr:uid="{5FAE1DB9-B6CE-4299-8463-057AD0321AE9}"/>
    <cellStyle name="Normal 65" xfId="366" xr:uid="{827258AC-5113-4C2C-8DD2-6ACDCC12B382}"/>
    <cellStyle name="Normal 66" xfId="367" xr:uid="{593E2F0B-1966-420E-9FE2-0C710EF401E3}"/>
    <cellStyle name="Normal 67" xfId="368" xr:uid="{9364C1A6-F217-4BCF-8B7E-6BE2CD311A8B}"/>
    <cellStyle name="Normal 68" xfId="369" xr:uid="{24107760-5321-4E4F-93A5-92AB470ADBAA}"/>
    <cellStyle name="Normal 69" xfId="370" xr:uid="{BB2803A6-11EF-4112-9E2A-10264327CCAE}"/>
    <cellStyle name="Normal 7" xfId="371" xr:uid="{9E5A6EB4-4F28-40E0-B064-BC0093C3B53F}"/>
    <cellStyle name="Normal 70" xfId="372" xr:uid="{0379BCE7-9CA8-4F02-9D5D-39F24149F39D}"/>
    <cellStyle name="Normal 71" xfId="373" xr:uid="{4CB7E4B8-5FCD-4A70-88D1-40A9872A6AED}"/>
    <cellStyle name="Normal 72" xfId="374" xr:uid="{FD13581B-1F43-46CD-AF02-1C67AF8A1511}"/>
    <cellStyle name="Normal 73" xfId="375" xr:uid="{A5147B50-1ED0-47F4-8ADD-32D0BE6911AE}"/>
    <cellStyle name="Normal 74" xfId="376" xr:uid="{783EB4CB-CF79-4E49-8B7B-A4494574761F}"/>
    <cellStyle name="Normal 75" xfId="377" xr:uid="{04876BB5-D6E5-48F8-9F41-EE69C7185364}"/>
    <cellStyle name="Normal 76" xfId="378" xr:uid="{F755A1A4-811D-470C-8D9B-EE679B309527}"/>
    <cellStyle name="Normal 77" xfId="379" xr:uid="{952536A2-AF95-4416-888C-4EB11D5C2B7A}"/>
    <cellStyle name="Normal 78" xfId="380" xr:uid="{F7AE6535-C9B4-4630-9068-9986D8222BAB}"/>
    <cellStyle name="Normal 79" xfId="381" xr:uid="{0795E2E7-0783-477D-840A-492D686E9D40}"/>
    <cellStyle name="Normal 8" xfId="382" xr:uid="{57D51ABD-505E-4952-8B9D-D8D131C5EB7E}"/>
    <cellStyle name="Normal 80" xfId="383" xr:uid="{148B5165-2E67-4FC6-BE3A-836699DFC6D6}"/>
    <cellStyle name="Normal 81" xfId="384" xr:uid="{0C4D246D-D1B7-49F3-9D1F-81638E73B0A3}"/>
    <cellStyle name="Normal 82" xfId="385" xr:uid="{15B3B1F2-CD98-4844-887E-5BE107C41A5F}"/>
    <cellStyle name="Normal 83" xfId="386" xr:uid="{192BA2A3-9434-4AF3-8F09-05A24082E602}"/>
    <cellStyle name="Normal 84" xfId="387" xr:uid="{F5B597A8-079A-4707-AC4C-88A6C87A2E91}"/>
    <cellStyle name="Normal 85" xfId="388" xr:uid="{464C83A1-7F7D-474F-8515-12A7A7E365C7}"/>
    <cellStyle name="Normal 86" xfId="389" xr:uid="{E63576C0-99EC-4154-AC50-0868D777A0D0}"/>
    <cellStyle name="Normal 87" xfId="390" xr:uid="{11DFDF6E-C62D-42AF-8798-87A1CABDDBEF}"/>
    <cellStyle name="Normal 88" xfId="391" xr:uid="{F3A7588D-C649-4EC5-A6AC-A8CCE6F1EFF6}"/>
    <cellStyle name="Normal 89" xfId="392" xr:uid="{58ABFBDA-4D58-4BD0-96D2-72E82BEDD319}"/>
    <cellStyle name="Normal 9" xfId="393" xr:uid="{1F54B090-CAFD-4CA4-A3A7-C76496B64723}"/>
    <cellStyle name="Normal 9 3" xfId="394" xr:uid="{12710D1D-03E3-4383-902B-52B7BBBDBA5C}"/>
    <cellStyle name="Normal 9 3 2" xfId="395" xr:uid="{B02EB410-C718-43CB-9AC5-FFAE4BF7AF5A}"/>
    <cellStyle name="Normal 90" xfId="396" xr:uid="{B44F40AE-7215-4A1D-9168-1833CAFF6286}"/>
    <cellStyle name="Normal 91" xfId="397" xr:uid="{09AB9A8A-AA0A-42FF-9D3F-F2ED533A3FCB}"/>
    <cellStyle name="Normal 92" xfId="398" xr:uid="{C7B91DF2-326D-4B9A-8648-71F6C8BCC505}"/>
    <cellStyle name="Normal 93" xfId="399" xr:uid="{F1E829FC-92F7-472C-9B4B-936BB8CD7528}"/>
    <cellStyle name="Normal 94" xfId="400" xr:uid="{737A14B3-B95B-4676-A979-F7B2E91B61ED}"/>
    <cellStyle name="Normal 95" xfId="401" xr:uid="{11A68D2C-1824-4E5D-8C97-C170E4DE0638}"/>
    <cellStyle name="Normal 96" xfId="402" xr:uid="{52A5515F-91F7-457F-B7DA-B678E95443E0}"/>
    <cellStyle name="Normal 97" xfId="403" xr:uid="{AAD1E438-0E72-4AA0-A126-6DA339EB47F7}"/>
    <cellStyle name="Normal 98" xfId="404" xr:uid="{1EE61953-F882-4289-91AB-2BF4A633C575}"/>
    <cellStyle name="Normal 99" xfId="405" xr:uid="{0B1BBC3B-AEB8-4335-A08B-7675CB771887}"/>
    <cellStyle name="Normal_Prototype_Scorecard-LgOffice-2008-03-13" xfId="1" xr:uid="{F839F8A1-86E5-4008-9801-0F032E8A3317}"/>
    <cellStyle name="Note" xfId="27" builtinId="10" customBuiltin="1"/>
    <cellStyle name="Note 2" xfId="406" xr:uid="{04B18E09-619D-4E17-8979-7386E545E689}"/>
    <cellStyle name="Output" xfId="22" builtinId="21" customBuiltin="1"/>
    <cellStyle name="Percent" xfId="2" builtinId="5"/>
    <cellStyle name="Percent 2" xfId="8" xr:uid="{CB789C3E-741F-4464-8065-385A956411E6}"/>
    <cellStyle name="Percent 2 10" xfId="407" xr:uid="{8C18C1C4-C3FC-4015-9184-F2F9B978348A}"/>
    <cellStyle name="Percent 2 2" xfId="57" xr:uid="{393DF636-D585-43DB-8B59-46983416570C}"/>
    <cellStyle name="Percent 2 3" xfId="408" xr:uid="{8B3721BC-4479-4197-87D9-B74910DC2118}"/>
    <cellStyle name="Percent 2 4" xfId="409" xr:uid="{65372648-57F0-41FC-BCB4-8851DF92E9DF}"/>
    <cellStyle name="Percent 2 5" xfId="410" xr:uid="{48CC9F5F-0D20-4298-9FB9-C829CA7DADFB}"/>
    <cellStyle name="Percent 2 6" xfId="411" xr:uid="{B53B9170-0E17-40D2-A1E7-3A63DB859085}"/>
    <cellStyle name="Percent 2 7" xfId="412" xr:uid="{D627C09B-DB01-4962-B19E-599E358B6341}"/>
    <cellStyle name="Percent 2 8" xfId="413" xr:uid="{54AD00FA-D6D1-4B63-B14C-8AE02F5EBEC8}"/>
    <cellStyle name="Percent 2 9" xfId="422" xr:uid="{95195BC1-4881-41AC-8E69-2E11532ED130}"/>
    <cellStyle name="Percent 3" xfId="414" xr:uid="{9AB0A4F6-C8E7-4CBC-8250-43C5056E9F73}"/>
    <cellStyle name="Percent 3 2" xfId="426" xr:uid="{E79B003B-92E7-41CE-84DE-E6DDD7825C94}"/>
    <cellStyle name="Percent 4" xfId="415" xr:uid="{AF3A599B-F253-4027-B721-CF8A9F03F409}"/>
    <cellStyle name="Percent 5" xfId="416" xr:uid="{8DDA9B74-FBBA-4A10-8F04-1664CAEF6159}"/>
    <cellStyle name="Percent 6" xfId="417" xr:uid="{11893D72-97F2-45DB-904C-7AD943622249}"/>
    <cellStyle name="Percent 7" xfId="418" xr:uid="{987F44DE-E6D6-4DD5-BF02-9DA043D52339}"/>
    <cellStyle name="Title" xfId="13" builtinId="15" customBuiltin="1"/>
    <cellStyle name="Title 2" xfId="419" xr:uid="{D8BBF861-506B-49AA-9A9C-35578E46A50F}"/>
    <cellStyle name="Total" xfId="29" builtinId="25" customBuiltin="1"/>
    <cellStyle name="Warning Text" xfId="26"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8238BA"/>
      <color rgb="FFCCCCFF"/>
      <color rgb="FFFF9900"/>
      <color rgb="FFFFEBCD"/>
      <color rgb="FF002F8E"/>
      <color rgb="FF0000CC"/>
      <color rgb="FF2E9F17"/>
      <color rgb="FFFFFAF3"/>
      <color rgb="FF2DC8FF"/>
      <color rgb="FF001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c:v>
                </c:pt>
                <c:pt idx="6">
                  <c:v>0</c:v>
                </c:pt>
                <c:pt idx="7">
                  <c:v>0.1</c:v>
                </c:pt>
                <c:pt idx="8">
                  <c:v>0.5</c:v>
                </c:pt>
                <c:pt idx="9">
                  <c:v>0.8</c:v>
                </c:pt>
                <c:pt idx="10">
                  <c:v>0.8</c:v>
                </c:pt>
                <c:pt idx="11">
                  <c:v>0.8</c:v>
                </c:pt>
                <c:pt idx="12">
                  <c:v>0.8</c:v>
                </c:pt>
                <c:pt idx="13">
                  <c:v>0.8</c:v>
                </c:pt>
                <c:pt idx="14">
                  <c:v>0.8</c:v>
                </c:pt>
                <c:pt idx="15">
                  <c:v>0.8</c:v>
                </c:pt>
                <c:pt idx="16">
                  <c:v>0.8</c:v>
                </c:pt>
                <c:pt idx="17">
                  <c:v>0.5</c:v>
                </c:pt>
                <c:pt idx="18">
                  <c:v>0.3</c:v>
                </c:pt>
                <c:pt idx="19">
                  <c:v>0.3</c:v>
                </c:pt>
                <c:pt idx="20">
                  <c:v>0.2</c:v>
                </c:pt>
                <c:pt idx="21">
                  <c:v>0.2</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c:v>
                </c:pt>
                <c:pt idx="6">
                  <c:v>0</c:v>
                </c:pt>
                <c:pt idx="7">
                  <c:v>0.1</c:v>
                </c:pt>
                <c:pt idx="8">
                  <c:v>0.3</c:v>
                </c:pt>
                <c:pt idx="9">
                  <c:v>0.4</c:v>
                </c:pt>
                <c:pt idx="10">
                  <c:v>0.4</c:v>
                </c:pt>
                <c:pt idx="11">
                  <c:v>0.4</c:v>
                </c:pt>
                <c:pt idx="12">
                  <c:v>0.4</c:v>
                </c:pt>
                <c:pt idx="13">
                  <c:v>0.4</c:v>
                </c:pt>
                <c:pt idx="14">
                  <c:v>0.4</c:v>
                </c:pt>
                <c:pt idx="15">
                  <c:v>0.4</c:v>
                </c:pt>
                <c:pt idx="16">
                  <c:v>0.4</c:v>
                </c:pt>
                <c:pt idx="17">
                  <c:v>0.1</c:v>
                </c:pt>
                <c:pt idx="18">
                  <c:v>0.1</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c:v>
                </c:pt>
                <c:pt idx="6">
                  <c:v>0</c:v>
                </c:pt>
                <c:pt idx="7">
                  <c:v>0</c:v>
                </c:pt>
                <c:pt idx="8">
                  <c:v>0.05</c:v>
                </c:pt>
                <c:pt idx="9">
                  <c:v>0.05</c:v>
                </c:pt>
                <c:pt idx="10">
                  <c:v>0.05</c:v>
                </c:pt>
                <c:pt idx="11">
                  <c:v>0.05</c:v>
                </c:pt>
                <c:pt idx="12">
                  <c:v>0.05</c:v>
                </c:pt>
                <c:pt idx="13">
                  <c:v>0.05</c:v>
                </c:pt>
                <c:pt idx="14">
                  <c:v>0.05</c:v>
                </c:pt>
                <c:pt idx="15">
                  <c:v>0.05</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General</c:formatCode>
                <c:ptCount val="24"/>
                <c:pt idx="0">
                  <c:v>0.1</c:v>
                </c:pt>
                <c:pt idx="1">
                  <c:v>0.1</c:v>
                </c:pt>
                <c:pt idx="2">
                  <c:v>0.1</c:v>
                </c:pt>
                <c:pt idx="3">
                  <c:v>0.1</c:v>
                </c:pt>
                <c:pt idx="4">
                  <c:v>0.1</c:v>
                </c:pt>
                <c:pt idx="5">
                  <c:v>0.1</c:v>
                </c:pt>
                <c:pt idx="6">
                  <c:v>0.1</c:v>
                </c:pt>
                <c:pt idx="7">
                  <c:v>0.45</c:v>
                </c:pt>
                <c:pt idx="8">
                  <c:v>0.8</c:v>
                </c:pt>
                <c:pt idx="9">
                  <c:v>0.8</c:v>
                </c:pt>
                <c:pt idx="10">
                  <c:v>0.8</c:v>
                </c:pt>
                <c:pt idx="11">
                  <c:v>0.8</c:v>
                </c:pt>
                <c:pt idx="12">
                  <c:v>0.8</c:v>
                </c:pt>
                <c:pt idx="13">
                  <c:v>0.8</c:v>
                </c:pt>
                <c:pt idx="14">
                  <c:v>0.8</c:v>
                </c:pt>
                <c:pt idx="15">
                  <c:v>0.8</c:v>
                </c:pt>
                <c:pt idx="16">
                  <c:v>0.3</c:v>
                </c:pt>
                <c:pt idx="17">
                  <c:v>0.3</c:v>
                </c:pt>
                <c:pt idx="18">
                  <c:v>0.3</c:v>
                </c:pt>
                <c:pt idx="19">
                  <c:v>0.3</c:v>
                </c:pt>
                <c:pt idx="20">
                  <c:v>0.3</c:v>
                </c:pt>
                <c:pt idx="21">
                  <c:v>0.3</c:v>
                </c:pt>
                <c:pt idx="22">
                  <c:v>0.3</c:v>
                </c:pt>
                <c:pt idx="23">
                  <c:v>0.1</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General</c:formatCode>
                <c:ptCount val="24"/>
                <c:pt idx="0">
                  <c:v>0.1</c:v>
                </c:pt>
                <c:pt idx="1">
                  <c:v>0.1</c:v>
                </c:pt>
                <c:pt idx="2">
                  <c:v>0.1</c:v>
                </c:pt>
                <c:pt idx="3">
                  <c:v>0.1</c:v>
                </c:pt>
                <c:pt idx="4">
                  <c:v>0.1</c:v>
                </c:pt>
                <c:pt idx="5">
                  <c:v>0.1</c:v>
                </c:pt>
                <c:pt idx="6">
                  <c:v>0.1</c:v>
                </c:pt>
                <c:pt idx="7">
                  <c:v>0.2</c:v>
                </c:pt>
                <c:pt idx="8">
                  <c:v>0.35</c:v>
                </c:pt>
                <c:pt idx="9">
                  <c:v>0.35</c:v>
                </c:pt>
                <c:pt idx="10">
                  <c:v>0.35</c:v>
                </c:pt>
                <c:pt idx="11">
                  <c:v>0.35</c:v>
                </c:pt>
                <c:pt idx="12">
                  <c:v>0.35</c:v>
                </c:pt>
                <c:pt idx="13">
                  <c:v>0.35</c:v>
                </c:pt>
                <c:pt idx="14">
                  <c:v>0.35</c:v>
                </c:pt>
                <c:pt idx="15">
                  <c:v>0.35</c:v>
                </c:pt>
                <c:pt idx="16">
                  <c:v>0.35</c:v>
                </c:pt>
                <c:pt idx="17">
                  <c:v>0.35</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General</c:formatCode>
                <c:ptCount val="24"/>
                <c:pt idx="0">
                  <c:v>0.05</c:v>
                </c:pt>
                <c:pt idx="1">
                  <c:v>0.05</c:v>
                </c:pt>
                <c:pt idx="2">
                  <c:v>0.05</c:v>
                </c:pt>
                <c:pt idx="3">
                  <c:v>0.05</c:v>
                </c:pt>
                <c:pt idx="4">
                  <c:v>0.05</c:v>
                </c:pt>
                <c:pt idx="5">
                  <c:v>0.05</c:v>
                </c:pt>
                <c:pt idx="6">
                  <c:v>0.05</c:v>
                </c:pt>
                <c:pt idx="7">
                  <c:v>0.05</c:v>
                </c:pt>
                <c:pt idx="8">
                  <c:v>0.1</c:v>
                </c:pt>
                <c:pt idx="9">
                  <c:v>0.1</c:v>
                </c:pt>
                <c:pt idx="10">
                  <c:v>0.1</c:v>
                </c:pt>
                <c:pt idx="11">
                  <c:v>0.1</c:v>
                </c:pt>
                <c:pt idx="12">
                  <c:v>0.1</c:v>
                </c:pt>
                <c:pt idx="13">
                  <c:v>0.1</c:v>
                </c:pt>
                <c:pt idx="14">
                  <c:v>0.1</c:v>
                </c:pt>
                <c:pt idx="15">
                  <c:v>0.1</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c:v>
                </c:pt>
                <c:pt idx="1">
                  <c:v>0.1</c:v>
                </c:pt>
                <c:pt idx="2">
                  <c:v>0.1</c:v>
                </c:pt>
                <c:pt idx="3">
                  <c:v>0.1</c:v>
                </c:pt>
                <c:pt idx="4">
                  <c:v>0.1</c:v>
                </c:pt>
                <c:pt idx="5">
                  <c:v>0.1</c:v>
                </c:pt>
                <c:pt idx="6">
                  <c:v>0.1</c:v>
                </c:pt>
                <c:pt idx="7">
                  <c:v>0.5</c:v>
                </c:pt>
                <c:pt idx="8">
                  <c:v>0.9</c:v>
                </c:pt>
                <c:pt idx="9">
                  <c:v>0.9</c:v>
                </c:pt>
                <c:pt idx="10">
                  <c:v>0.9</c:v>
                </c:pt>
                <c:pt idx="11">
                  <c:v>0.9</c:v>
                </c:pt>
                <c:pt idx="12">
                  <c:v>0.9</c:v>
                </c:pt>
                <c:pt idx="13">
                  <c:v>0.9</c:v>
                </c:pt>
                <c:pt idx="14">
                  <c:v>0.9</c:v>
                </c:pt>
                <c:pt idx="15">
                  <c:v>0.9</c:v>
                </c:pt>
                <c:pt idx="16">
                  <c:v>0.3</c:v>
                </c:pt>
                <c:pt idx="17">
                  <c:v>0.3</c:v>
                </c:pt>
                <c:pt idx="18">
                  <c:v>0.3</c:v>
                </c:pt>
                <c:pt idx="19">
                  <c:v>0.3</c:v>
                </c:pt>
                <c:pt idx="20">
                  <c:v>0.3</c:v>
                </c:pt>
                <c:pt idx="21">
                  <c:v>0.3</c:v>
                </c:pt>
                <c:pt idx="22">
                  <c:v>0.3</c:v>
                </c:pt>
                <c:pt idx="23">
                  <c:v>0.1</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c:v>
                </c:pt>
                <c:pt idx="1">
                  <c:v>0.1</c:v>
                </c:pt>
                <c:pt idx="2">
                  <c:v>0.1</c:v>
                </c:pt>
                <c:pt idx="3">
                  <c:v>0.1</c:v>
                </c:pt>
                <c:pt idx="4">
                  <c:v>0.1</c:v>
                </c:pt>
                <c:pt idx="5">
                  <c:v>0.1</c:v>
                </c:pt>
                <c:pt idx="6">
                  <c:v>0.1</c:v>
                </c:pt>
                <c:pt idx="7">
                  <c:v>0.2</c:v>
                </c:pt>
                <c:pt idx="8">
                  <c:v>0.4</c:v>
                </c:pt>
                <c:pt idx="9">
                  <c:v>0.4</c:v>
                </c:pt>
                <c:pt idx="10">
                  <c:v>0.4</c:v>
                </c:pt>
                <c:pt idx="11">
                  <c:v>0.4</c:v>
                </c:pt>
                <c:pt idx="12">
                  <c:v>0.4</c:v>
                </c:pt>
                <c:pt idx="13">
                  <c:v>0.4</c:v>
                </c:pt>
                <c:pt idx="14">
                  <c:v>0.4</c:v>
                </c:pt>
                <c:pt idx="15">
                  <c:v>0.4</c:v>
                </c:pt>
                <c:pt idx="16">
                  <c:v>0.4</c:v>
                </c:pt>
                <c:pt idx="17">
                  <c:v>0.4</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0.1</c:v>
                </c:pt>
                <c:pt idx="9">
                  <c:v>0.1</c:v>
                </c:pt>
                <c:pt idx="10">
                  <c:v>0.1</c:v>
                </c:pt>
                <c:pt idx="11">
                  <c:v>0.1</c:v>
                </c:pt>
                <c:pt idx="12">
                  <c:v>0.1</c:v>
                </c:pt>
                <c:pt idx="13">
                  <c:v>0.1</c:v>
                </c:pt>
                <c:pt idx="14">
                  <c:v>0.1</c:v>
                </c:pt>
                <c:pt idx="15">
                  <c:v>0.1</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Schedules!$C$60</c:f>
          <c:strCache>
            <c:ptCount val="1"/>
            <c:pt idx="0">
              <c:v>Elevator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Schedules!$F$60:$AC$60</c:f>
              <c:numCache>
                <c:formatCode>General</c:formatCode>
                <c:ptCount val="24"/>
                <c:pt idx="0">
                  <c:v>0</c:v>
                </c:pt>
                <c:pt idx="1">
                  <c:v>0</c:v>
                </c:pt>
                <c:pt idx="2">
                  <c:v>0</c:v>
                </c:pt>
                <c:pt idx="3">
                  <c:v>0</c:v>
                </c:pt>
                <c:pt idx="4">
                  <c:v>0</c:v>
                </c:pt>
                <c:pt idx="5">
                  <c:v>0</c:v>
                </c:pt>
                <c:pt idx="6">
                  <c:v>0</c:v>
                </c:pt>
                <c:pt idx="7">
                  <c:v>0.02</c:v>
                </c:pt>
                <c:pt idx="8">
                  <c:v>0.75</c:v>
                </c:pt>
                <c:pt idx="9">
                  <c:v>1</c:v>
                </c:pt>
                <c:pt idx="10">
                  <c:v>1</c:v>
                </c:pt>
                <c:pt idx="11">
                  <c:v>1</c:v>
                </c:pt>
                <c:pt idx="12">
                  <c:v>0.75</c:v>
                </c:pt>
                <c:pt idx="13">
                  <c:v>1</c:v>
                </c:pt>
                <c:pt idx="14">
                  <c:v>1</c:v>
                </c:pt>
                <c:pt idx="15">
                  <c:v>1</c:v>
                </c:pt>
                <c:pt idx="16">
                  <c:v>1</c:v>
                </c:pt>
                <c:pt idx="17">
                  <c:v>1</c:v>
                </c:pt>
                <c:pt idx="18">
                  <c:v>0.52</c:v>
                </c:pt>
                <c:pt idx="19">
                  <c:v>0.52</c:v>
                </c:pt>
                <c:pt idx="20">
                  <c:v>0.52</c:v>
                </c:pt>
                <c:pt idx="21">
                  <c:v>0.28000000000000003</c:v>
                </c:pt>
                <c:pt idx="22">
                  <c:v>0</c:v>
                </c:pt>
                <c:pt idx="23">
                  <c:v>0</c:v>
                </c:pt>
              </c:numCache>
            </c:numRef>
          </c:val>
          <c:smooth val="0"/>
          <c:extLst>
            <c:ext xmlns:c16="http://schemas.microsoft.com/office/drawing/2014/chart" uri="{C3380CC4-5D6E-409C-BE32-E72D297353CC}">
              <c16:uniqueId val="{00000000-51AB-482C-B7A9-C5F811A81F2E}"/>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Schedules!$F$61:$AC$61</c:f>
              <c:numCache>
                <c:formatCode>General</c:formatCode>
                <c:ptCount val="24"/>
                <c:pt idx="0">
                  <c:v>0</c:v>
                </c:pt>
                <c:pt idx="1">
                  <c:v>0</c:v>
                </c:pt>
                <c:pt idx="2">
                  <c:v>0</c:v>
                </c:pt>
                <c:pt idx="3">
                  <c:v>0</c:v>
                </c:pt>
                <c:pt idx="4">
                  <c:v>0</c:v>
                </c:pt>
                <c:pt idx="5">
                  <c:v>0</c:v>
                </c:pt>
                <c:pt idx="6">
                  <c:v>0</c:v>
                </c:pt>
                <c:pt idx="7">
                  <c:v>0.02</c:v>
                </c:pt>
                <c:pt idx="8">
                  <c:v>0.46</c:v>
                </c:pt>
                <c:pt idx="9">
                  <c:v>0.7</c:v>
                </c:pt>
                <c:pt idx="10">
                  <c:v>0.7</c:v>
                </c:pt>
                <c:pt idx="11">
                  <c:v>0.7</c:v>
                </c:pt>
                <c:pt idx="12">
                  <c:v>0.51</c:v>
                </c:pt>
                <c:pt idx="13">
                  <c:v>0.51</c:v>
                </c:pt>
                <c:pt idx="14">
                  <c:v>0.51</c:v>
                </c:pt>
                <c:pt idx="15">
                  <c:v>0.51</c:v>
                </c:pt>
                <c:pt idx="16">
                  <c:v>0.51</c:v>
                </c:pt>
                <c:pt idx="17">
                  <c:v>0.25</c:v>
                </c:pt>
                <c:pt idx="18">
                  <c:v>0.02</c:v>
                </c:pt>
                <c:pt idx="19">
                  <c:v>0</c:v>
                </c:pt>
                <c:pt idx="20">
                  <c:v>0</c:v>
                </c:pt>
                <c:pt idx="21">
                  <c:v>0</c:v>
                </c:pt>
                <c:pt idx="22">
                  <c:v>0</c:v>
                </c:pt>
                <c:pt idx="23">
                  <c:v>0</c:v>
                </c:pt>
              </c:numCache>
            </c:numRef>
          </c:val>
          <c:smooth val="0"/>
          <c:extLst>
            <c:ext xmlns:c16="http://schemas.microsoft.com/office/drawing/2014/chart" uri="{C3380CC4-5D6E-409C-BE32-E72D297353CC}">
              <c16:uniqueId val="{00000001-51AB-482C-B7A9-C5F811A81F2E}"/>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Schedules!$F$62:$AC$62</c:f>
              <c:numCache>
                <c:formatCode>General</c:formatCode>
                <c:ptCount val="24"/>
                <c:pt idx="0">
                  <c:v>0</c:v>
                </c:pt>
                <c:pt idx="1">
                  <c:v>0</c:v>
                </c:pt>
                <c:pt idx="2">
                  <c:v>0</c:v>
                </c:pt>
                <c:pt idx="3">
                  <c:v>0</c:v>
                </c:pt>
                <c:pt idx="4">
                  <c:v>0</c:v>
                </c:pt>
                <c:pt idx="5">
                  <c:v>0</c:v>
                </c:pt>
                <c:pt idx="6">
                  <c:v>0</c:v>
                </c:pt>
                <c:pt idx="7">
                  <c:v>0</c:v>
                </c:pt>
                <c:pt idx="8">
                  <c:v>0.02</c:v>
                </c:pt>
                <c:pt idx="9">
                  <c:v>0.02</c:v>
                </c:pt>
                <c:pt idx="10">
                  <c:v>0.02</c:v>
                </c:pt>
                <c:pt idx="11">
                  <c:v>0.02</c:v>
                </c:pt>
                <c:pt idx="12">
                  <c:v>0.02</c:v>
                </c:pt>
                <c:pt idx="13">
                  <c:v>0.02</c:v>
                </c:pt>
                <c:pt idx="14">
                  <c:v>0.02</c:v>
                </c:pt>
                <c:pt idx="15">
                  <c:v>0.02</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1AB-482C-B7A9-C5F811A81F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0.75</c:v>
                </c:pt>
                <c:pt idx="8">
                  <c:v>0.9</c:v>
                </c:pt>
                <c:pt idx="9">
                  <c:v>0.9</c:v>
                </c:pt>
                <c:pt idx="10">
                  <c:v>0.9</c:v>
                </c:pt>
                <c:pt idx="11">
                  <c:v>0.9</c:v>
                </c:pt>
                <c:pt idx="12">
                  <c:v>0.9</c:v>
                </c:pt>
                <c:pt idx="13">
                  <c:v>0.9</c:v>
                </c:pt>
                <c:pt idx="14">
                  <c:v>0.9</c:v>
                </c:pt>
                <c:pt idx="15">
                  <c:v>0.9</c:v>
                </c:pt>
                <c:pt idx="16">
                  <c:v>0.9</c:v>
                </c:pt>
                <c:pt idx="17">
                  <c:v>0.75</c:v>
                </c:pt>
                <c:pt idx="18">
                  <c:v>0.2</c:v>
                </c:pt>
                <c:pt idx="19">
                  <c:v>0.1</c:v>
                </c:pt>
                <c:pt idx="20">
                  <c:v>0</c:v>
                </c:pt>
                <c:pt idx="21">
                  <c:v>0</c:v>
                </c:pt>
                <c:pt idx="22">
                  <c:v>0</c:v>
                </c:pt>
                <c:pt idx="23">
                  <c:v>0</c:v>
                </c:pt>
              </c:numCache>
            </c:numRef>
          </c:val>
          <c:smooth val="0"/>
          <c:extLst>
            <c:ext xmlns:c16="http://schemas.microsoft.com/office/drawing/2014/chart" uri="{C3380CC4-5D6E-409C-BE32-E72D297353CC}">
              <c16:uniqueId val="{00000000-2D5E-43D9-9D39-369DFAAB902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0.3</c:v>
                </c:pt>
                <c:pt idx="8">
                  <c:v>0.5</c:v>
                </c:pt>
                <c:pt idx="9">
                  <c:v>0.5</c:v>
                </c:pt>
                <c:pt idx="10">
                  <c:v>0.5</c:v>
                </c:pt>
                <c:pt idx="11">
                  <c:v>0.5</c:v>
                </c:pt>
                <c:pt idx="12">
                  <c:v>0.5</c:v>
                </c:pt>
                <c:pt idx="13">
                  <c:v>0.5</c:v>
                </c:pt>
                <c:pt idx="14">
                  <c:v>0.5</c:v>
                </c:pt>
                <c:pt idx="15">
                  <c:v>0.5</c:v>
                </c:pt>
                <c:pt idx="16">
                  <c:v>0.5</c:v>
                </c:pt>
                <c:pt idx="17">
                  <c:v>0.3</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2D5E-43D9-9D39-369DFAAB9026}"/>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2D5E-43D9-9D39-369DFAAB90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CC28-48CD-BF25-42D80026CFA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CC28-48CD-BF25-42D80026CFA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CC28-48CD-BF25-42D80026CFA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General</c:formatCode>
                <c:ptCount val="24"/>
                <c:pt idx="0">
                  <c:v>0.01</c:v>
                </c:pt>
                <c:pt idx="1">
                  <c:v>0.01</c:v>
                </c:pt>
                <c:pt idx="2">
                  <c:v>0.01</c:v>
                </c:pt>
                <c:pt idx="3">
                  <c:v>0.01</c:v>
                </c:pt>
                <c:pt idx="4">
                  <c:v>0.01</c:v>
                </c:pt>
                <c:pt idx="5">
                  <c:v>0.01</c:v>
                </c:pt>
                <c:pt idx="6">
                  <c:v>0.01</c:v>
                </c:pt>
                <c:pt idx="7">
                  <c:v>0.17</c:v>
                </c:pt>
                <c:pt idx="8">
                  <c:v>0.57999999999999996</c:v>
                </c:pt>
                <c:pt idx="9">
                  <c:v>0.66</c:v>
                </c:pt>
                <c:pt idx="10">
                  <c:v>0.78</c:v>
                </c:pt>
                <c:pt idx="11">
                  <c:v>0.82</c:v>
                </c:pt>
                <c:pt idx="12">
                  <c:v>0.71</c:v>
                </c:pt>
                <c:pt idx="13">
                  <c:v>0.82</c:v>
                </c:pt>
                <c:pt idx="14">
                  <c:v>0.78</c:v>
                </c:pt>
                <c:pt idx="15">
                  <c:v>0.74</c:v>
                </c:pt>
                <c:pt idx="16">
                  <c:v>0.63</c:v>
                </c:pt>
                <c:pt idx="17">
                  <c:v>0.41</c:v>
                </c:pt>
                <c:pt idx="18">
                  <c:v>0.18</c:v>
                </c:pt>
                <c:pt idx="19">
                  <c:v>0.18</c:v>
                </c:pt>
                <c:pt idx="20">
                  <c:v>0.18</c:v>
                </c:pt>
                <c:pt idx="21">
                  <c:v>0.1</c:v>
                </c:pt>
                <c:pt idx="22">
                  <c:v>0.01</c:v>
                </c:pt>
                <c:pt idx="23">
                  <c:v>0.01</c:v>
                </c:pt>
              </c:numCache>
            </c:numRef>
          </c:val>
          <c:smooth val="0"/>
          <c:extLst>
            <c:ext xmlns:c16="http://schemas.microsoft.com/office/drawing/2014/chart" uri="{C3380CC4-5D6E-409C-BE32-E72D297353CC}">
              <c16:uniqueId val="{00000000-3135-48D8-A067-570C878F17DC}"/>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General</c:formatCode>
                <c:ptCount val="24"/>
                <c:pt idx="0">
                  <c:v>0.01</c:v>
                </c:pt>
                <c:pt idx="1">
                  <c:v>0.01</c:v>
                </c:pt>
                <c:pt idx="2">
                  <c:v>0.01</c:v>
                </c:pt>
                <c:pt idx="3">
                  <c:v>0.01</c:v>
                </c:pt>
                <c:pt idx="4">
                  <c:v>0.01</c:v>
                </c:pt>
                <c:pt idx="5">
                  <c:v>0.01</c:v>
                </c:pt>
                <c:pt idx="6">
                  <c:v>0.01</c:v>
                </c:pt>
                <c:pt idx="7">
                  <c:v>0.01</c:v>
                </c:pt>
                <c:pt idx="8">
                  <c:v>0.2</c:v>
                </c:pt>
                <c:pt idx="9">
                  <c:v>0.28000000000000003</c:v>
                </c:pt>
                <c:pt idx="10">
                  <c:v>0.3</c:v>
                </c:pt>
                <c:pt idx="11">
                  <c:v>0.3</c:v>
                </c:pt>
                <c:pt idx="12">
                  <c:v>0.24</c:v>
                </c:pt>
                <c:pt idx="13">
                  <c:v>0.24</c:v>
                </c:pt>
                <c:pt idx="14">
                  <c:v>0.23</c:v>
                </c:pt>
                <c:pt idx="15">
                  <c:v>0.23</c:v>
                </c:pt>
                <c:pt idx="16">
                  <c:v>0.23</c:v>
                </c:pt>
                <c:pt idx="17">
                  <c:v>0.1</c:v>
                </c:pt>
                <c:pt idx="18">
                  <c:v>0.01</c:v>
                </c:pt>
                <c:pt idx="19">
                  <c:v>0.01</c:v>
                </c:pt>
                <c:pt idx="20">
                  <c:v>0.01</c:v>
                </c:pt>
                <c:pt idx="21">
                  <c:v>0.01</c:v>
                </c:pt>
                <c:pt idx="22">
                  <c:v>0.01</c:v>
                </c:pt>
                <c:pt idx="23">
                  <c:v>0.01</c:v>
                </c:pt>
              </c:numCache>
            </c:numRef>
          </c:val>
          <c:smooth val="0"/>
          <c:extLst>
            <c:ext xmlns:c16="http://schemas.microsoft.com/office/drawing/2014/chart" uri="{C3380CC4-5D6E-409C-BE32-E72D297353CC}">
              <c16:uniqueId val="{00000001-3135-48D8-A067-570C878F17DC}"/>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General</c:formatCode>
                <c:ptCount val="24"/>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EF18-4730-82A1-851E6C8A753E}"/>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EF18-4730-82A1-851E6C8A753E}"/>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EF18-4730-82A1-851E6C8A753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8D35-4DB5-8B34-6C975AECA418}"/>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8D35-4DB5-8B34-6C975AECA418}"/>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8D35-4DB5-8B34-6C975AECA41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2CAB-4F4D-9A1B-BC277F80FC67}"/>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2CAB-4F4D-9A1B-BC277F80FC67}"/>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2CAB-4F4D-9A1B-BC277F80FC6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0-62F7-47BB-BA7B-EAF1E6C4616D}"/>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01-62F7-47BB-BA7B-EAF1E6C4616D}"/>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62F7-47BB-BA7B-EAF1E6C4616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Outpatient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Usage'!$V$2</c:f>
              <c:strCache>
                <c:ptCount val="1"/>
                <c:pt idx="0">
                  <c:v>Acceptable Range (25% Lower)</c:v>
                </c:pt>
              </c:strCache>
            </c:strRef>
          </c:tx>
          <c:spPr>
            <a:noFill/>
            <a:ln>
              <a:noFill/>
            </a:ln>
            <a:effectLst/>
          </c:spPr>
          <c:invertIfNegative val="0"/>
          <c:val>
            <c:numRef>
              <c:f>'Energy Usage'!$V$3:$V$18</c:f>
              <c:numCache>
                <c:formatCode>_(* #,##0.0_);_(* \(#,##0.0\);_(* "-"??_);_(@_)</c:formatCode>
                <c:ptCount val="16"/>
                <c:pt idx="0">
                  <c:v>91.60344117127579</c:v>
                </c:pt>
                <c:pt idx="1">
                  <c:v>74.330019181577256</c:v>
                </c:pt>
                <c:pt idx="2">
                  <c:v>76.236172957109986</c:v>
                </c:pt>
                <c:pt idx="3">
                  <c:v>78.68643378679171</c:v>
                </c:pt>
                <c:pt idx="4">
                  <c:v>48.483508803172441</c:v>
                </c:pt>
                <c:pt idx="5">
                  <c:v>97.806368133941262</c:v>
                </c:pt>
                <c:pt idx="6">
                  <c:v>90.247369099445123</c:v>
                </c:pt>
                <c:pt idx="7">
                  <c:v>107.59155890866316</c:v>
                </c:pt>
                <c:pt idx="8">
                  <c:v>81.448753975008586</c:v>
                </c:pt>
                <c:pt idx="9">
                  <c:v>97.954687830978884</c:v>
                </c:pt>
                <c:pt idx="10">
                  <c:v>82.450567458265652</c:v>
                </c:pt>
                <c:pt idx="11">
                  <c:v>83.979435808234626</c:v>
                </c:pt>
                <c:pt idx="12">
                  <c:v>92.921710944559734</c:v>
                </c:pt>
                <c:pt idx="13">
                  <c:v>105.51441725743651</c:v>
                </c:pt>
                <c:pt idx="14">
                  <c:v>93.655895138289651</c:v>
                </c:pt>
                <c:pt idx="15">
                  <c:v>102.48850179871603</c:v>
                </c:pt>
              </c:numCache>
            </c:numRef>
          </c:val>
          <c:extLst>
            <c:ext xmlns:c16="http://schemas.microsoft.com/office/drawing/2014/chart" uri="{C3380CC4-5D6E-409C-BE32-E72D297353CC}">
              <c16:uniqueId val="{00000000-C947-4790-A585-35713F166C16}"/>
            </c:ext>
          </c:extLst>
        </c:ser>
        <c:ser>
          <c:idx val="2"/>
          <c:order val="1"/>
          <c:tx>
            <c:strRef>
              <c:f>'Energy Usage'!$W$2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Usage'!$W$3:$W$18</c:f>
              <c:numCache>
                <c:formatCode>_(* #,##0.0_);_(* \(#,##0.0\);_(* "-"??_);_(@_)</c:formatCode>
                <c:ptCount val="16"/>
                <c:pt idx="0">
                  <c:v>61.068960780850546</c:v>
                </c:pt>
                <c:pt idx="1">
                  <c:v>49.553346121051504</c:v>
                </c:pt>
                <c:pt idx="2">
                  <c:v>50.824115304739991</c:v>
                </c:pt>
                <c:pt idx="3">
                  <c:v>52.457622524527793</c:v>
                </c:pt>
                <c:pt idx="4">
                  <c:v>32.322339202114961</c:v>
                </c:pt>
                <c:pt idx="5">
                  <c:v>65.204245422627523</c:v>
                </c:pt>
                <c:pt idx="6">
                  <c:v>60.16491273296343</c:v>
                </c:pt>
                <c:pt idx="7">
                  <c:v>71.727705939108773</c:v>
                </c:pt>
                <c:pt idx="8">
                  <c:v>54.299169316672405</c:v>
                </c:pt>
                <c:pt idx="9">
                  <c:v>65.303125220652589</c:v>
                </c:pt>
                <c:pt idx="10">
                  <c:v>54.967044972177121</c:v>
                </c:pt>
                <c:pt idx="11">
                  <c:v>55.986290538823084</c:v>
                </c:pt>
                <c:pt idx="12">
                  <c:v>61.947807296373171</c:v>
                </c:pt>
                <c:pt idx="13">
                  <c:v>70.342944838291018</c:v>
                </c:pt>
                <c:pt idx="14">
                  <c:v>62.437263425526453</c:v>
                </c:pt>
                <c:pt idx="15">
                  <c:v>68.325667865810701</c:v>
                </c:pt>
              </c:numCache>
            </c:numRef>
          </c:val>
          <c:extLst>
            <c:ext xmlns:c16="http://schemas.microsoft.com/office/drawing/2014/chart" uri="{C3380CC4-5D6E-409C-BE32-E72D297353CC}">
              <c16:uniqueId val="{00000001-C947-4790-A585-35713F166C16}"/>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pt idx="0">
                  <c:v>88.4</c:v>
                </c:pt>
                <c:pt idx="1">
                  <c:v>90.2</c:v>
                </c:pt>
                <c:pt idx="2">
                  <c:v>83.4</c:v>
                </c:pt>
                <c:pt idx="3">
                  <c:v>93.1</c:v>
                </c:pt>
                <c:pt idx="4">
                  <c:v>84.5</c:v>
                </c:pt>
                <c:pt idx="5">
                  <c:v>76.599999999999994</c:v>
                </c:pt>
                <c:pt idx="6">
                  <c:v>73.7</c:v>
                </c:pt>
                <c:pt idx="7">
                  <c:v>82.8</c:v>
                </c:pt>
                <c:pt idx="8">
                  <c:v>85.4</c:v>
                </c:pt>
                <c:pt idx="9">
                  <c:v>84.5</c:v>
                </c:pt>
                <c:pt idx="10">
                  <c:v>92.8</c:v>
                </c:pt>
                <c:pt idx="11">
                  <c:v>87.7</c:v>
                </c:pt>
                <c:pt idx="12">
                  <c:v>85.2</c:v>
                </c:pt>
                <c:pt idx="13">
                  <c:v>98.5</c:v>
                </c:pt>
                <c:pt idx="14">
                  <c:v>90.2</c:v>
                </c:pt>
                <c:pt idx="15">
                  <c:v>96.9</c:v>
                </c:pt>
              </c:numCache>
            </c:numRef>
          </c:yVal>
          <c:smooth val="0"/>
          <c:extLst>
            <c:ext xmlns:c16="http://schemas.microsoft.com/office/drawing/2014/chart" uri="{C3380CC4-5D6E-409C-BE32-E72D297353CC}">
              <c16:uniqueId val="{00000002-C947-4790-A585-35713F166C16}"/>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pt idx="0">
                  <c:v>57.7</c:v>
                </c:pt>
                <c:pt idx="1">
                  <c:v>55.2</c:v>
                </c:pt>
                <c:pt idx="2">
                  <c:v>51.7</c:v>
                </c:pt>
                <c:pt idx="3">
                  <c:v>55</c:v>
                </c:pt>
                <c:pt idx="4">
                  <c:v>51.7</c:v>
                </c:pt>
                <c:pt idx="5">
                  <c:v>44.9</c:v>
                </c:pt>
                <c:pt idx="6">
                  <c:v>43.7</c:v>
                </c:pt>
                <c:pt idx="7">
                  <c:v>46.2</c:v>
                </c:pt>
                <c:pt idx="8">
                  <c:v>47.5</c:v>
                </c:pt>
                <c:pt idx="9">
                  <c:v>49</c:v>
                </c:pt>
                <c:pt idx="10">
                  <c:v>56.2</c:v>
                </c:pt>
                <c:pt idx="11">
                  <c:v>53.6</c:v>
                </c:pt>
                <c:pt idx="12">
                  <c:v>52.1</c:v>
                </c:pt>
                <c:pt idx="13">
                  <c:v>57.7</c:v>
                </c:pt>
                <c:pt idx="14">
                  <c:v>51.2</c:v>
                </c:pt>
                <c:pt idx="15">
                  <c:v>61.4</c:v>
                </c:pt>
              </c:numCache>
            </c:numRef>
          </c:yVal>
          <c:smooth val="0"/>
          <c:extLst>
            <c:ext xmlns:c16="http://schemas.microsoft.com/office/drawing/2014/chart" uri="{C3380CC4-5D6E-409C-BE32-E72D297353CC}">
              <c16:uniqueId val="{00000003-C947-4790-A585-35713F166C16}"/>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Outpatient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81</c:v>
                </c:pt>
                <c:pt idx="1">
                  <c:v>79.800000000000011</c:v>
                </c:pt>
                <c:pt idx="2">
                  <c:v>78.449999999999989</c:v>
                </c:pt>
                <c:pt idx="3">
                  <c:v>83.85</c:v>
                </c:pt>
                <c:pt idx="4">
                  <c:v>77.849999999999994</c:v>
                </c:pt>
                <c:pt idx="5">
                  <c:v>80.474999999999994</c:v>
                </c:pt>
                <c:pt idx="6">
                  <c:v>81.375</c:v>
                </c:pt>
                <c:pt idx="7">
                  <c:v>85.199999999999989</c:v>
                </c:pt>
                <c:pt idx="8">
                  <c:v>84.824999999999989</c:v>
                </c:pt>
                <c:pt idx="9">
                  <c:v>82.574999999999989</c:v>
                </c:pt>
                <c:pt idx="10">
                  <c:v>89.474999999999994</c:v>
                </c:pt>
                <c:pt idx="11">
                  <c:v>86.699999999999989</c:v>
                </c:pt>
                <c:pt idx="12">
                  <c:v>91.125</c:v>
                </c:pt>
                <c:pt idx="13">
                  <c:v>89.925000000000011</c:v>
                </c:pt>
                <c:pt idx="14">
                  <c:v>103.42500000000001</c:v>
                </c:pt>
                <c:pt idx="15">
                  <c:v>84.824999999999989</c:v>
                </c:pt>
              </c:numCache>
            </c:numRef>
          </c:val>
          <c:extLst>
            <c:ext xmlns:c16="http://schemas.microsoft.com/office/drawing/2014/chart" uri="{C3380CC4-5D6E-409C-BE32-E72D297353CC}">
              <c16:uniqueId val="{00000000-DFAB-47BF-861C-9D778C40555A}"/>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54</c:v>
                </c:pt>
                <c:pt idx="1">
                  <c:v>53.199999999999989</c:v>
                </c:pt>
                <c:pt idx="2">
                  <c:v>52.300000000000011</c:v>
                </c:pt>
                <c:pt idx="3">
                  <c:v>55.900000000000006</c:v>
                </c:pt>
                <c:pt idx="4">
                  <c:v>51.900000000000006</c:v>
                </c:pt>
                <c:pt idx="5">
                  <c:v>53.650000000000006</c:v>
                </c:pt>
                <c:pt idx="6">
                  <c:v>54.25</c:v>
                </c:pt>
                <c:pt idx="7">
                  <c:v>56.800000000000011</c:v>
                </c:pt>
                <c:pt idx="8">
                  <c:v>56.550000000000011</c:v>
                </c:pt>
                <c:pt idx="9">
                  <c:v>55.050000000000011</c:v>
                </c:pt>
                <c:pt idx="10">
                  <c:v>59.650000000000006</c:v>
                </c:pt>
                <c:pt idx="11">
                  <c:v>57.800000000000011</c:v>
                </c:pt>
                <c:pt idx="12">
                  <c:v>60.75</c:v>
                </c:pt>
                <c:pt idx="13">
                  <c:v>59.949999999999989</c:v>
                </c:pt>
                <c:pt idx="14">
                  <c:v>68.949999999999989</c:v>
                </c:pt>
                <c:pt idx="15">
                  <c:v>56.550000000000011</c:v>
                </c:pt>
              </c:numCache>
            </c:numRef>
          </c:val>
          <c:extLst>
            <c:ext xmlns:c16="http://schemas.microsoft.com/office/drawing/2014/chart" uri="{C3380CC4-5D6E-409C-BE32-E72D297353CC}">
              <c16:uniqueId val="{00000001-DFAB-47BF-861C-9D778C40555A}"/>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pt idx="0">
                  <c:v>88.4</c:v>
                </c:pt>
                <c:pt idx="1">
                  <c:v>90.2</c:v>
                </c:pt>
                <c:pt idx="2">
                  <c:v>83.4</c:v>
                </c:pt>
                <c:pt idx="3">
                  <c:v>93.1</c:v>
                </c:pt>
                <c:pt idx="4">
                  <c:v>84.5</c:v>
                </c:pt>
                <c:pt idx="5">
                  <c:v>76.599999999999994</c:v>
                </c:pt>
                <c:pt idx="6">
                  <c:v>73.7</c:v>
                </c:pt>
                <c:pt idx="7">
                  <c:v>82.8</c:v>
                </c:pt>
                <c:pt idx="8">
                  <c:v>85.4</c:v>
                </c:pt>
                <c:pt idx="9">
                  <c:v>84.5</c:v>
                </c:pt>
                <c:pt idx="10">
                  <c:v>92.8</c:v>
                </c:pt>
                <c:pt idx="11">
                  <c:v>87.7</c:v>
                </c:pt>
                <c:pt idx="12">
                  <c:v>85.2</c:v>
                </c:pt>
                <c:pt idx="13">
                  <c:v>98.5</c:v>
                </c:pt>
                <c:pt idx="14">
                  <c:v>90.2</c:v>
                </c:pt>
                <c:pt idx="15">
                  <c:v>96.9</c:v>
                </c:pt>
              </c:numCache>
            </c:numRef>
          </c:yVal>
          <c:smooth val="0"/>
          <c:extLst>
            <c:ext xmlns:c16="http://schemas.microsoft.com/office/drawing/2014/chart" uri="{C3380CC4-5D6E-409C-BE32-E72D297353CC}">
              <c16:uniqueId val="{00000002-DFAB-47BF-861C-9D778C40555A}"/>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pt idx="0">
                  <c:v>57.7</c:v>
                </c:pt>
                <c:pt idx="1">
                  <c:v>55.2</c:v>
                </c:pt>
                <c:pt idx="2">
                  <c:v>51.7</c:v>
                </c:pt>
                <c:pt idx="3">
                  <c:v>55</c:v>
                </c:pt>
                <c:pt idx="4">
                  <c:v>51.7</c:v>
                </c:pt>
                <c:pt idx="5">
                  <c:v>44.9</c:v>
                </c:pt>
                <c:pt idx="6">
                  <c:v>43.7</c:v>
                </c:pt>
                <c:pt idx="7">
                  <c:v>46.2</c:v>
                </c:pt>
                <c:pt idx="8">
                  <c:v>47.5</c:v>
                </c:pt>
                <c:pt idx="9">
                  <c:v>49</c:v>
                </c:pt>
                <c:pt idx="10">
                  <c:v>56.2</c:v>
                </c:pt>
                <c:pt idx="11">
                  <c:v>53.6</c:v>
                </c:pt>
                <c:pt idx="12">
                  <c:v>52.1</c:v>
                </c:pt>
                <c:pt idx="13">
                  <c:v>57.7</c:v>
                </c:pt>
                <c:pt idx="14">
                  <c:v>51.2</c:v>
                </c:pt>
                <c:pt idx="15">
                  <c:v>61.4</c:v>
                </c:pt>
              </c:numCache>
            </c:numRef>
          </c:yVal>
          <c:smooth val="0"/>
          <c:extLst>
            <c:ext xmlns:c16="http://schemas.microsoft.com/office/drawing/2014/chart" uri="{C3380CC4-5D6E-409C-BE32-E72D297353CC}">
              <c16:uniqueId val="{00000003-DFAB-47BF-861C-9D778C40555A}"/>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54188</xdr:colOff>
      <xdr:row>40</xdr:row>
      <xdr:rowOff>168634</xdr:rowOff>
    </xdr:from>
    <xdr:to>
      <xdr:col>1</xdr:col>
      <xdr:colOff>4518237</xdr:colOff>
      <xdr:row>57</xdr:row>
      <xdr:rowOff>134659</xdr:rowOff>
    </xdr:to>
    <xdr:pic>
      <xdr:nvPicPr>
        <xdr:cNvPr id="3" name="Picture 2">
          <a:extLst>
            <a:ext uri="{FF2B5EF4-FFF2-40B4-BE49-F238E27FC236}">
              <a16:creationId xmlns:a16="http://schemas.microsoft.com/office/drawing/2014/main" id="{A38FE243-02A3-3051-BEFA-34D095E68C6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685" r="966"/>
        <a:stretch/>
      </xdr:blipFill>
      <xdr:spPr>
        <a:xfrm>
          <a:off x="54188" y="8286051"/>
          <a:ext cx="5576146" cy="2862048"/>
        </a:xfrm>
        <a:prstGeom prst="rect">
          <a:avLst/>
        </a:prstGeom>
      </xdr:spPr>
    </xdr:pic>
    <xdr:clientData/>
  </xdr:twoCellAnchor>
  <xdr:twoCellAnchor editAs="oneCell">
    <xdr:from>
      <xdr:col>1</xdr:col>
      <xdr:colOff>4728420</xdr:colOff>
      <xdr:row>41</xdr:row>
      <xdr:rowOff>63978</xdr:rowOff>
    </xdr:from>
    <xdr:to>
      <xdr:col>4</xdr:col>
      <xdr:colOff>285326</xdr:colOff>
      <xdr:row>50</xdr:row>
      <xdr:rowOff>154940</xdr:rowOff>
    </xdr:to>
    <xdr:pic>
      <xdr:nvPicPr>
        <xdr:cNvPr id="4" name="Picture 3" descr="A bar chart showing health care buildings by square footage category. On average, hospitals were 264,800 square feet per building, but outpatient health care buildings averaged 13,700 square feet.">
          <a:extLst>
            <a:ext uri="{FF2B5EF4-FFF2-40B4-BE49-F238E27FC236}">
              <a16:creationId xmlns:a16="http://schemas.microsoft.com/office/drawing/2014/main" id="{5B7F2AF0-03AD-2AD5-0101-D8B54EE873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29087" y="8361311"/>
          <a:ext cx="4685877" cy="1614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4782185</xdr:colOff>
      <xdr:row>51</xdr:row>
      <xdr:rowOff>154550</xdr:rowOff>
    </xdr:from>
    <xdr:to>
      <xdr:col>4</xdr:col>
      <xdr:colOff>131823</xdr:colOff>
      <xdr:row>63</xdr:row>
      <xdr:rowOff>54186</xdr:rowOff>
    </xdr:to>
    <xdr:pic>
      <xdr:nvPicPr>
        <xdr:cNvPr id="6" name="Picture 5" descr="A bar chart showing energy consumption in health care buildings by fuel. In health care buildings, electricity was the most-used fuel (327 TBtu), followed by natural gas (207 TBtu).">
          <a:extLst>
            <a:ext uri="{FF2B5EF4-FFF2-40B4-BE49-F238E27FC236}">
              <a16:creationId xmlns:a16="http://schemas.microsoft.com/office/drawing/2014/main" id="{2C654C4F-6557-E5D3-A998-E1727C7CAC6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82852" y="10145217"/>
          <a:ext cx="4488134" cy="19460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320040</xdr:colOff>
      <xdr:row>6</xdr:row>
      <xdr:rowOff>24765</xdr:rowOff>
    </xdr:from>
    <xdr:to>
      <xdr:col>1</xdr:col>
      <xdr:colOff>3259475</xdr:colOff>
      <xdr:row>6</xdr:row>
      <xdr:rowOff>1198245</xdr:rowOff>
    </xdr:to>
    <xdr:pic>
      <xdr:nvPicPr>
        <xdr:cNvPr id="2" name="Picture 1" descr="Screen Clipping">
          <a:extLst>
            <a:ext uri="{FF2B5EF4-FFF2-40B4-BE49-F238E27FC236}">
              <a16:creationId xmlns:a16="http://schemas.microsoft.com/office/drawing/2014/main" id="{DAD09BD1-A4C1-446A-B8D0-8CC33B5E6485}"/>
            </a:ext>
          </a:extLst>
        </xdr:cNvPr>
        <xdr:cNvPicPr>
          <a:picLocks noChangeAspect="1"/>
        </xdr:cNvPicPr>
      </xdr:nvPicPr>
      <xdr:blipFill>
        <a:blip xmlns:r="http://schemas.openxmlformats.org/officeDocument/2006/relationships" r:embed="rId1" cstate="print">
          <a:clrChange>
            <a:clrFrom>
              <a:srgbClr val="99BD90"/>
            </a:clrFrom>
            <a:clrTo>
              <a:srgbClr val="99BD90">
                <a:alpha val="0"/>
              </a:srgbClr>
            </a:clrTo>
          </a:clrChange>
          <a:extLst>
            <a:ext uri="{28A0092B-C50C-407E-A947-70E740481C1C}">
              <a14:useLocalDpi xmlns:a14="http://schemas.microsoft.com/office/drawing/2010/main" val="0"/>
            </a:ext>
          </a:extLst>
        </a:blip>
        <a:srcRect/>
        <a:stretch>
          <a:fillRect/>
        </a:stretch>
      </xdr:blipFill>
      <xdr:spPr bwMode="auto">
        <a:xfrm>
          <a:off x="2034540" y="1605915"/>
          <a:ext cx="2948960" cy="11849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1282561</xdr:colOff>
      <xdr:row>0</xdr:row>
      <xdr:rowOff>35035</xdr:rowOff>
    </xdr:from>
    <xdr:to>
      <xdr:col>13</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1325218</xdr:colOff>
      <xdr:row>0</xdr:row>
      <xdr:rowOff>67505</xdr:rowOff>
    </xdr:from>
    <xdr:to>
      <xdr:col>13</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12</xdr:col>
      <xdr:colOff>84297</xdr:colOff>
      <xdr:row>1</xdr:row>
      <xdr:rowOff>437196</xdr:rowOff>
    </xdr:from>
    <xdr:to>
      <xdr:col>18</xdr:col>
      <xdr:colOff>897254</xdr:colOff>
      <xdr:row>27</xdr:row>
      <xdr:rowOff>134877</xdr:rowOff>
    </xdr:to>
    <xdr:pic>
      <xdr:nvPicPr>
        <xdr:cNvPr id="2" name="Picture 9">
          <a:extLst>
            <a:ext uri="{FF2B5EF4-FFF2-40B4-BE49-F238E27FC236}">
              <a16:creationId xmlns:a16="http://schemas.microsoft.com/office/drawing/2014/main" id="{ED8ACD4A-B1E3-F976-A890-9F046FCB80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972247" y="761046"/>
          <a:ext cx="9511187" cy="56336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217645</xdr:colOff>
      <xdr:row>28</xdr:row>
      <xdr:rowOff>120015</xdr:rowOff>
    </xdr:from>
    <xdr:to>
      <xdr:col>18</xdr:col>
      <xdr:colOff>1013043</xdr:colOff>
      <xdr:row>53</xdr:row>
      <xdr:rowOff>17621</xdr:rowOff>
    </xdr:to>
    <xdr:pic>
      <xdr:nvPicPr>
        <xdr:cNvPr id="5" name="Picture 10">
          <a:extLst>
            <a:ext uri="{FF2B5EF4-FFF2-40B4-BE49-F238E27FC236}">
              <a16:creationId xmlns:a16="http://schemas.microsoft.com/office/drawing/2014/main" id="{23D653C6-5670-8536-5C86-438DF82000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05595" y="6644640"/>
          <a:ext cx="9506963" cy="53744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315754</xdr:colOff>
      <xdr:row>53</xdr:row>
      <xdr:rowOff>123350</xdr:rowOff>
    </xdr:from>
    <xdr:to>
      <xdr:col>19</xdr:col>
      <xdr:colOff>77790</xdr:colOff>
      <xdr:row>78</xdr:row>
      <xdr:rowOff>19525</xdr:rowOff>
    </xdr:to>
    <xdr:pic>
      <xdr:nvPicPr>
        <xdr:cNvPr id="6" name="Picture 11">
          <a:extLst>
            <a:ext uri="{FF2B5EF4-FFF2-40B4-BE49-F238E27FC236}">
              <a16:creationId xmlns:a16="http://schemas.microsoft.com/office/drawing/2014/main" id="{BC742AA4-12C9-06B2-ED64-49FDA98845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203704" y="12124850"/>
          <a:ext cx="9591836" cy="537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24</xdr:row>
      <xdr:rowOff>0</xdr:rowOff>
    </xdr:from>
    <xdr:to>
      <xdr:col>8</xdr:col>
      <xdr:colOff>496183</xdr:colOff>
      <xdr:row>32</xdr:row>
      <xdr:rowOff>30480</xdr:rowOff>
    </xdr:to>
    <xdr:pic>
      <xdr:nvPicPr>
        <xdr:cNvPr id="2" name="Picture 1">
          <a:extLst>
            <a:ext uri="{FF2B5EF4-FFF2-40B4-BE49-F238E27FC236}">
              <a16:creationId xmlns:a16="http://schemas.microsoft.com/office/drawing/2014/main" id="{482379C0-10C7-4BFA-B4E5-C753DE6F6821}"/>
            </a:ext>
          </a:extLst>
        </xdr:cNvPr>
        <xdr:cNvPicPr>
          <a:picLocks noChangeAspect="1"/>
        </xdr:cNvPicPr>
      </xdr:nvPicPr>
      <xdr:blipFill>
        <a:blip xmlns:r="http://schemas.openxmlformats.org/officeDocument/2006/relationships" r:embed="rId1"/>
        <a:stretch>
          <a:fillRect/>
        </a:stretch>
      </xdr:blipFill>
      <xdr:spPr>
        <a:xfrm>
          <a:off x="0" y="6423660"/>
          <a:ext cx="8733403"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97971</xdr:colOff>
      <xdr:row>134</xdr:row>
      <xdr:rowOff>171753</xdr:rowOff>
    </xdr:from>
    <xdr:to>
      <xdr:col>2</xdr:col>
      <xdr:colOff>1196952</xdr:colOff>
      <xdr:row>178</xdr:row>
      <xdr:rowOff>15261</xdr:rowOff>
    </xdr:to>
    <xdr:pic>
      <xdr:nvPicPr>
        <xdr:cNvPr id="3" name="Picture 2">
          <a:extLst>
            <a:ext uri="{FF2B5EF4-FFF2-40B4-BE49-F238E27FC236}">
              <a16:creationId xmlns:a16="http://schemas.microsoft.com/office/drawing/2014/main" id="{A709DE88-FA16-9D6B-5A49-5AC043EAF7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971" y="30259867"/>
          <a:ext cx="5725886" cy="7478613"/>
        </a:xfrm>
        <a:prstGeom prst="rect">
          <a:avLst/>
        </a:prstGeom>
      </xdr:spPr>
    </xdr:pic>
    <xdr:clientData/>
  </xdr:twoCellAnchor>
  <xdr:twoCellAnchor editAs="oneCell">
    <xdr:from>
      <xdr:col>4</xdr:col>
      <xdr:colOff>134487</xdr:colOff>
      <xdr:row>134</xdr:row>
      <xdr:rowOff>56777</xdr:rowOff>
    </xdr:from>
    <xdr:to>
      <xdr:col>7</xdr:col>
      <xdr:colOff>554025</xdr:colOff>
      <xdr:row>177</xdr:row>
      <xdr:rowOff>40822</xdr:rowOff>
    </xdr:to>
    <xdr:pic>
      <xdr:nvPicPr>
        <xdr:cNvPr id="5" name="Picture 4">
          <a:extLst>
            <a:ext uri="{FF2B5EF4-FFF2-40B4-BE49-F238E27FC236}">
              <a16:creationId xmlns:a16="http://schemas.microsoft.com/office/drawing/2014/main" id="{3CED911C-4EC7-F1BA-06B8-8ABFBD856A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03916" y="30536777"/>
          <a:ext cx="5769117" cy="7590437"/>
        </a:xfrm>
        <a:prstGeom prst="rect">
          <a:avLst/>
        </a:prstGeom>
      </xdr:spPr>
    </xdr:pic>
    <xdr:clientData/>
  </xdr:twoCellAnchor>
  <xdr:twoCellAnchor editAs="oneCell">
    <xdr:from>
      <xdr:col>9</xdr:col>
      <xdr:colOff>469423</xdr:colOff>
      <xdr:row>134</xdr:row>
      <xdr:rowOff>83548</xdr:rowOff>
    </xdr:from>
    <xdr:to>
      <xdr:col>13</xdr:col>
      <xdr:colOff>2117885</xdr:colOff>
      <xdr:row>177</xdr:row>
      <xdr:rowOff>21500</xdr:rowOff>
    </xdr:to>
    <xdr:pic>
      <xdr:nvPicPr>
        <xdr:cNvPr id="7" name="Picture 6">
          <a:extLst>
            <a:ext uri="{FF2B5EF4-FFF2-40B4-BE49-F238E27FC236}">
              <a16:creationId xmlns:a16="http://schemas.microsoft.com/office/drawing/2014/main" id="{FFE12CE0-1E7F-E2B1-49B5-C6C53E88295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804173" y="5322298"/>
          <a:ext cx="5778501" cy="7550059"/>
        </a:xfrm>
        <a:prstGeom prst="rect">
          <a:avLst/>
        </a:prstGeom>
      </xdr:spPr>
    </xdr:pic>
    <xdr:clientData/>
  </xdr:twoCellAnchor>
  <xdr:twoCellAnchor editAs="oneCell">
    <xdr:from>
      <xdr:col>15</xdr:col>
      <xdr:colOff>391429</xdr:colOff>
      <xdr:row>134</xdr:row>
      <xdr:rowOff>106952</xdr:rowOff>
    </xdr:from>
    <xdr:to>
      <xdr:col>22</xdr:col>
      <xdr:colOff>586794</xdr:colOff>
      <xdr:row>177</xdr:row>
      <xdr:rowOff>1362</xdr:rowOff>
    </xdr:to>
    <xdr:pic>
      <xdr:nvPicPr>
        <xdr:cNvPr id="9" name="Picture 8">
          <a:extLst>
            <a:ext uri="{FF2B5EF4-FFF2-40B4-BE49-F238E27FC236}">
              <a16:creationId xmlns:a16="http://schemas.microsoft.com/office/drawing/2014/main" id="{4F0ADCEC-5169-47D4-CBF2-32B3317A806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631679" y="5345702"/>
          <a:ext cx="10247234" cy="748583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179403</xdr:colOff>
      <xdr:row>158</xdr:row>
      <xdr:rowOff>53340</xdr:rowOff>
    </xdr:from>
    <xdr:to>
      <xdr:col>9</xdr:col>
      <xdr:colOff>1103471</xdr:colOff>
      <xdr:row>176</xdr:row>
      <xdr:rowOff>18588</xdr:rowOff>
    </xdr:to>
    <xdr:pic>
      <xdr:nvPicPr>
        <xdr:cNvPr id="2" name="Picture 1">
          <a:extLst>
            <a:ext uri="{FF2B5EF4-FFF2-40B4-BE49-F238E27FC236}">
              <a16:creationId xmlns:a16="http://schemas.microsoft.com/office/drawing/2014/main" id="{AFEA444E-9695-43EF-A659-63F4DD3F1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65928" y="13778865"/>
          <a:ext cx="11117247" cy="3234228"/>
        </a:xfrm>
        <a:prstGeom prst="rect">
          <a:avLst/>
        </a:prstGeom>
      </xdr:spPr>
    </xdr:pic>
    <xdr:clientData/>
  </xdr:twoCellAnchor>
  <xdr:twoCellAnchor>
    <xdr:from>
      <xdr:col>0</xdr:col>
      <xdr:colOff>142380</xdr:colOff>
      <xdr:row>158</xdr:row>
      <xdr:rowOff>82565</xdr:rowOff>
    </xdr:from>
    <xdr:to>
      <xdr:col>3</xdr:col>
      <xdr:colOff>17145</xdr:colOff>
      <xdr:row>196</xdr:row>
      <xdr:rowOff>131463</xdr:rowOff>
    </xdr:to>
    <xdr:pic>
      <xdr:nvPicPr>
        <xdr:cNvPr id="3" name="Picture 2">
          <a:extLst>
            <a:ext uri="{FF2B5EF4-FFF2-40B4-BE49-F238E27FC236}">
              <a16:creationId xmlns:a16="http://schemas.microsoft.com/office/drawing/2014/main" id="{B19D1045-9E71-456A-B218-18674A7C5C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80" y="13808090"/>
          <a:ext cx="6368910" cy="69259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339399</xdr:colOff>
      <xdr:row>59</xdr:row>
      <xdr:rowOff>74324</xdr:rowOff>
    </xdr:from>
    <xdr:to>
      <xdr:col>36</xdr:col>
      <xdr:colOff>53649</xdr:colOff>
      <xdr:row>61</xdr:row>
      <xdr:rowOff>453602</xdr:rowOff>
    </xdr:to>
    <xdr:graphicFrame macro="">
      <xdr:nvGraphicFramePr>
        <xdr:cNvPr id="2" name="Chart 5">
          <a:extLst>
            <a:ext uri="{FF2B5EF4-FFF2-40B4-BE49-F238E27FC236}">
              <a16:creationId xmlns:a16="http://schemas.microsoft.com/office/drawing/2014/main" id="{4BFFA047-264D-465D-AB1C-FD1D056BC60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317591</xdr:colOff>
      <xdr:row>15</xdr:row>
      <xdr:rowOff>0</xdr:rowOff>
    </xdr:from>
    <xdr:to>
      <xdr:col>36</xdr:col>
      <xdr:colOff>22316</xdr:colOff>
      <xdr:row>17</xdr:row>
      <xdr:rowOff>416719</xdr:rowOff>
    </xdr:to>
    <xdr:graphicFrame macro="">
      <xdr:nvGraphicFramePr>
        <xdr:cNvPr id="3" name="Chart 5">
          <a:extLst>
            <a:ext uri="{FF2B5EF4-FFF2-40B4-BE49-F238E27FC236}">
              <a16:creationId xmlns:a16="http://schemas.microsoft.com/office/drawing/2014/main" id="{884648C1-6468-4333-AE0F-5CE56E487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4" name="Chart 5">
          <a:extLst>
            <a:ext uri="{FF2B5EF4-FFF2-40B4-BE49-F238E27FC236}">
              <a16:creationId xmlns:a16="http://schemas.microsoft.com/office/drawing/2014/main" id="{27D64350-4A7F-4D54-86AE-92FDC42BF73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5"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268332</xdr:colOff>
      <xdr:row>33</xdr:row>
      <xdr:rowOff>133894</xdr:rowOff>
    </xdr:from>
    <xdr:to>
      <xdr:col>36</xdr:col>
      <xdr:colOff>190500</xdr:colOff>
      <xdr:row>37</xdr:row>
      <xdr:rowOff>27214</xdr:rowOff>
    </xdr:to>
    <xdr:graphicFrame macro="">
      <xdr:nvGraphicFramePr>
        <xdr:cNvPr id="6" name="Chart 5">
          <a:extLst>
            <a:ext uri="{FF2B5EF4-FFF2-40B4-BE49-F238E27FC236}">
              <a16:creationId xmlns:a16="http://schemas.microsoft.com/office/drawing/2014/main" id="{43792DBA-9605-40F4-8206-0334DB8DA97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274047</xdr:colOff>
      <xdr:row>37</xdr:row>
      <xdr:rowOff>0</xdr:rowOff>
    </xdr:from>
    <xdr:to>
      <xdr:col>36</xdr:col>
      <xdr:colOff>192405</xdr:colOff>
      <xdr:row>39</xdr:row>
      <xdr:rowOff>462643</xdr:rowOff>
    </xdr:to>
    <xdr:graphicFrame macro="">
      <xdr:nvGraphicFramePr>
        <xdr:cNvPr id="7" name="Chart 6">
          <a:extLst>
            <a:ext uri="{FF2B5EF4-FFF2-40B4-BE49-F238E27FC236}">
              <a16:creationId xmlns:a16="http://schemas.microsoft.com/office/drawing/2014/main" id="{26D59DDC-4164-43D3-BFAE-47DD7B37834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272143</xdr:colOff>
      <xdr:row>39</xdr:row>
      <xdr:rowOff>476251</xdr:rowOff>
    </xdr:from>
    <xdr:to>
      <xdr:col>36</xdr:col>
      <xdr:colOff>184786</xdr:colOff>
      <xdr:row>42</xdr:row>
      <xdr:rowOff>439239</xdr:rowOff>
    </xdr:to>
    <xdr:graphicFrame macro="">
      <xdr:nvGraphicFramePr>
        <xdr:cNvPr id="8" name="Chart 7">
          <a:extLst>
            <a:ext uri="{FF2B5EF4-FFF2-40B4-BE49-F238E27FC236}">
              <a16:creationId xmlns:a16="http://schemas.microsoft.com/office/drawing/2014/main" id="{1FFB5595-E51A-4DCC-B8D6-F9EA26CE40D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299357</xdr:colOff>
      <xdr:row>24</xdr:row>
      <xdr:rowOff>122465</xdr:rowOff>
    </xdr:from>
    <xdr:to>
      <xdr:col>36</xdr:col>
      <xdr:colOff>4082</xdr:colOff>
      <xdr:row>26</xdr:row>
      <xdr:rowOff>387927</xdr:rowOff>
    </xdr:to>
    <xdr:graphicFrame macro="">
      <xdr:nvGraphicFramePr>
        <xdr:cNvPr id="10" name="Chart 5">
          <a:extLst>
            <a:ext uri="{FF2B5EF4-FFF2-40B4-BE49-F238E27FC236}">
              <a16:creationId xmlns:a16="http://schemas.microsoft.com/office/drawing/2014/main" id="{C29DFB75-5077-46FA-8936-FE7A949978A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24</xdr:col>
      <xdr:colOff>0</xdr:colOff>
      <xdr:row>0</xdr:row>
      <xdr:rowOff>0</xdr:rowOff>
    </xdr:from>
    <xdr:to>
      <xdr:col>40</xdr:col>
      <xdr:colOff>323851</xdr:colOff>
      <xdr:row>16</xdr:row>
      <xdr:rowOff>220980</xdr:rowOff>
    </xdr:to>
    <xdr:graphicFrame macro="">
      <xdr:nvGraphicFramePr>
        <xdr:cNvPr id="2" name="Chart 1">
          <a:extLst>
            <a:ext uri="{FF2B5EF4-FFF2-40B4-BE49-F238E27FC236}">
              <a16:creationId xmlns:a16="http://schemas.microsoft.com/office/drawing/2014/main" id="{69AD7333-7902-4B5F-86CF-A53C862F3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0</xdr:colOff>
      <xdr:row>18</xdr:row>
      <xdr:rowOff>0</xdr:rowOff>
    </xdr:from>
    <xdr:to>
      <xdr:col>40</xdr:col>
      <xdr:colOff>320041</xdr:colOff>
      <xdr:row>45</xdr:row>
      <xdr:rowOff>76200</xdr:rowOff>
    </xdr:to>
    <xdr:graphicFrame macro="">
      <xdr:nvGraphicFramePr>
        <xdr:cNvPr id="3" name="Chart 2">
          <a:extLst>
            <a:ext uri="{FF2B5EF4-FFF2-40B4-BE49-F238E27FC236}">
              <a16:creationId xmlns:a16="http://schemas.microsoft.com/office/drawing/2014/main" id="{238135D9-5800-4516-B9E6-5B87301F0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20</xdr:row>
      <xdr:rowOff>0</xdr:rowOff>
    </xdr:from>
    <xdr:to>
      <xdr:col>9</xdr:col>
      <xdr:colOff>529363</xdr:colOff>
      <xdr:row>56</xdr:row>
      <xdr:rowOff>118657</xdr:rowOff>
    </xdr:to>
    <xdr:pic>
      <xdr:nvPicPr>
        <xdr:cNvPr id="4" name="Picture 3">
          <a:extLst>
            <a:ext uri="{FF2B5EF4-FFF2-40B4-BE49-F238E27FC236}">
              <a16:creationId xmlns:a16="http://schemas.microsoft.com/office/drawing/2014/main" id="{2475B1BC-DB7C-4236-141A-79061005828B}"/>
            </a:ext>
          </a:extLst>
        </xdr:cNvPr>
        <xdr:cNvPicPr>
          <a:picLocks noChangeAspect="1"/>
        </xdr:cNvPicPr>
      </xdr:nvPicPr>
      <xdr:blipFill>
        <a:blip xmlns:r="http://schemas.openxmlformats.org/officeDocument/2006/relationships" r:embed="rId3"/>
        <a:stretch>
          <a:fillRect/>
        </a:stretch>
      </xdr:blipFill>
      <xdr:spPr>
        <a:xfrm>
          <a:off x="707571" y="5116286"/>
          <a:ext cx="8693649" cy="630990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itle24stakeholders.com/wp-content/uploads/2017/09/2019-T24-CASE-Report_Fume-Hoods_Final_September-2017.pdf?" TargetMode="External"/><Relationship Id="rId3" Type="http://schemas.openxmlformats.org/officeDocument/2006/relationships/hyperlink" Target="https://www.energy.ca.gov/publications/2022/2022-nonresidential-and-multifamily-alternative-calculation-method-reference" TargetMode="External"/><Relationship Id="rId7"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2" Type="http://schemas.openxmlformats.org/officeDocument/2006/relationships/hyperlink" Target="https://www.eia.gov/consumption/commercial/" TargetMode="External"/><Relationship Id="rId1" Type="http://schemas.openxmlformats.org/officeDocument/2006/relationships/hyperlink" Target="https://www.energycodes.gov/prototype-building-models" TargetMode="External"/><Relationship Id="rId6" Type="http://schemas.openxmlformats.org/officeDocument/2006/relationships/hyperlink" Target="https://www.pnnl.gov/main/publications/external/technical_reports/PNNL-20405.pdf" TargetMode="External"/><Relationship Id="rId5" Type="http://schemas.openxmlformats.org/officeDocument/2006/relationships/hyperlink" Target="https://title24stakeholders.com/wp-content/uploads/2016/10/T24-2019-CASE-Study-Results-Report-Outdoor-Sources_Final_with-Attachments.pdf" TargetMode="External"/><Relationship Id="rId4" Type="http://schemas.openxmlformats.org/officeDocument/2006/relationships/hyperlink" Target="https://title24stakeholders.com/wp-content/uploads/2020/10/2022-T24-Final-CASE-Report_Reduce-Infiltration.pd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53"/>
  <sheetViews>
    <sheetView zoomScale="90" zoomScaleNormal="90" workbookViewId="0">
      <selection sqref="A1:C1"/>
    </sheetView>
  </sheetViews>
  <sheetFormatPr defaultColWidth="9.28515625" defaultRowHeight="12.75"/>
  <cols>
    <col min="1" max="1" width="16.140625" style="6" bestFit="1" customWidth="1"/>
    <col min="2" max="2" width="83.7109375" style="6" customWidth="1"/>
    <col min="3" max="3" width="40.28515625" style="6" customWidth="1"/>
    <col min="4" max="4" width="9.28515625" style="6"/>
    <col min="5" max="5" width="21.7109375" style="6" customWidth="1"/>
    <col min="6" max="6" width="10.7109375" style="6" customWidth="1"/>
    <col min="7" max="7" width="9.7109375" style="6" customWidth="1"/>
    <col min="8" max="8" width="9.7109375" style="6" bestFit="1" customWidth="1"/>
    <col min="9" max="16384" width="9.28515625" style="6"/>
  </cols>
  <sheetData>
    <row r="1" spans="1:4" ht="20.45" customHeight="1">
      <c r="A1" s="482" t="s">
        <v>0</v>
      </c>
      <c r="B1" s="482"/>
      <c r="C1" s="482"/>
    </row>
    <row r="2" spans="1:4">
      <c r="A2" s="483" t="s">
        <v>1</v>
      </c>
      <c r="B2" s="6" t="s">
        <v>2</v>
      </c>
      <c r="C2" s="446"/>
    </row>
    <row r="3" spans="1:4">
      <c r="A3" s="483"/>
      <c r="B3" s="6" t="s">
        <v>3</v>
      </c>
      <c r="C3" s="446"/>
    </row>
    <row r="4" spans="1:4">
      <c r="A4" s="483"/>
      <c r="B4" s="6" t="s">
        <v>4</v>
      </c>
      <c r="C4" s="446"/>
    </row>
    <row r="5" spans="1:4">
      <c r="A5" s="483"/>
      <c r="C5" s="446"/>
    </row>
    <row r="6" spans="1:4" ht="15">
      <c r="A6" s="481" t="s">
        <v>5</v>
      </c>
      <c r="B6" s="6" t="s">
        <v>6</v>
      </c>
      <c r="C6" s="154" t="s">
        <v>7</v>
      </c>
      <c r="D6" s="6" t="s">
        <v>8</v>
      </c>
    </row>
    <row r="7" spans="1:4" ht="15">
      <c r="A7" s="481"/>
      <c r="C7" s="154"/>
      <c r="D7" s="6" t="s">
        <v>8</v>
      </c>
    </row>
    <row r="8" spans="1:4" ht="15">
      <c r="A8" s="481"/>
      <c r="C8" s="154"/>
      <c r="D8" s="6" t="s">
        <v>8</v>
      </c>
    </row>
    <row r="9" spans="1:4">
      <c r="A9" s="483" t="s">
        <v>9</v>
      </c>
      <c r="B9" s="435" t="s">
        <v>10</v>
      </c>
      <c r="C9" s="446"/>
      <c r="D9" s="6" t="s">
        <v>8</v>
      </c>
    </row>
    <row r="10" spans="1:4">
      <c r="A10" s="483"/>
      <c r="B10" s="435" t="s">
        <v>11</v>
      </c>
      <c r="C10" s="446"/>
    </row>
    <row r="11" spans="1:4">
      <c r="A11" s="483"/>
      <c r="B11" s="435" t="s">
        <v>12</v>
      </c>
      <c r="C11" s="446"/>
      <c r="D11" s="6" t="s">
        <v>8</v>
      </c>
    </row>
    <row r="12" spans="1:4">
      <c r="A12" s="483"/>
      <c r="B12" s="435" t="s">
        <v>13</v>
      </c>
      <c r="C12" s="446"/>
      <c r="D12" s="6" t="s">
        <v>8</v>
      </c>
    </row>
    <row r="13" spans="1:4">
      <c r="A13" s="483"/>
      <c r="B13" s="435" t="s">
        <v>14</v>
      </c>
      <c r="C13" s="446"/>
    </row>
    <row r="14" spans="1:4">
      <c r="A14" s="483"/>
      <c r="B14" s="435" t="s">
        <v>15</v>
      </c>
      <c r="C14" s="121"/>
      <c r="D14" s="6" t="s">
        <v>8</v>
      </c>
    </row>
    <row r="15" spans="1:4" ht="15">
      <c r="A15" s="483"/>
      <c r="B15" s="435" t="s">
        <v>16</v>
      </c>
      <c r="C15" s="2" t="s">
        <v>17</v>
      </c>
      <c r="D15" s="6" t="s">
        <v>8</v>
      </c>
    </row>
    <row r="16" spans="1:4">
      <c r="A16" s="483"/>
      <c r="B16" s="435"/>
      <c r="C16" s="446"/>
      <c r="D16" s="6" t="s">
        <v>8</v>
      </c>
    </row>
    <row r="17" spans="1:4" ht="15">
      <c r="A17" s="483" t="s">
        <v>18</v>
      </c>
      <c r="B17" s="92" t="s">
        <v>19</v>
      </c>
      <c r="C17" s="2" t="s">
        <v>20</v>
      </c>
      <c r="D17" s="6" t="s">
        <v>8</v>
      </c>
    </row>
    <row r="18" spans="1:4" ht="15">
      <c r="A18" s="483"/>
      <c r="B18" s="435" t="s">
        <v>21</v>
      </c>
      <c r="C18" s="2" t="s">
        <v>22</v>
      </c>
      <c r="D18" s="6" t="s">
        <v>8</v>
      </c>
    </row>
    <row r="19" spans="1:4" ht="15">
      <c r="A19" s="483"/>
      <c r="B19" s="435" t="s">
        <v>23</v>
      </c>
      <c r="C19" s="2" t="s">
        <v>24</v>
      </c>
      <c r="D19" s="6" t="s">
        <v>8</v>
      </c>
    </row>
    <row r="20" spans="1:4" ht="13.15" customHeight="1">
      <c r="A20" s="483"/>
      <c r="B20" s="435" t="s">
        <v>25</v>
      </c>
      <c r="C20" s="154" t="s">
        <v>26</v>
      </c>
      <c r="D20" s="6" t="s">
        <v>8</v>
      </c>
    </row>
    <row r="21" spans="1:4" ht="13.15" customHeight="1">
      <c r="A21" s="483"/>
      <c r="B21" s="92" t="s">
        <v>27</v>
      </c>
      <c r="C21" s="2" t="s">
        <v>28</v>
      </c>
      <c r="D21" s="435" t="s">
        <v>8</v>
      </c>
    </row>
    <row r="22" spans="1:4">
      <c r="C22" s="446"/>
      <c r="D22" s="6" t="s">
        <v>8</v>
      </c>
    </row>
    <row r="23" spans="1:4" ht="18.600000000000001" customHeight="1">
      <c r="A23" s="482" t="s">
        <v>29</v>
      </c>
      <c r="B23" s="482"/>
      <c r="C23" s="482"/>
    </row>
    <row r="24" spans="1:4">
      <c r="C24" s="446"/>
    </row>
    <row r="25" spans="1:4">
      <c r="C25" s="446"/>
    </row>
    <row r="26" spans="1:4">
      <c r="C26" s="446"/>
    </row>
    <row r="27" spans="1:4">
      <c r="C27" s="446"/>
    </row>
    <row r="28" spans="1:4">
      <c r="C28" s="446"/>
    </row>
    <row r="29" spans="1:4">
      <c r="C29" s="446"/>
    </row>
    <row r="30" spans="1:4">
      <c r="C30" s="446"/>
    </row>
    <row r="31" spans="1:4">
      <c r="C31" s="446"/>
    </row>
    <row r="32" spans="1:4">
      <c r="C32" s="446"/>
    </row>
    <row r="33" spans="1:8">
      <c r="C33" s="446"/>
    </row>
    <row r="34" spans="1:8">
      <c r="C34" s="446"/>
    </row>
    <row r="35" spans="1:8">
      <c r="C35" s="446"/>
    </row>
    <row r="36" spans="1:8" ht="19.149999999999999" customHeight="1">
      <c r="A36" s="482" t="s">
        <v>30</v>
      </c>
      <c r="B36" s="482"/>
      <c r="C36" s="482"/>
    </row>
    <row r="37" spans="1:8" ht="93" customHeight="1">
      <c r="A37" s="438" t="s">
        <v>31</v>
      </c>
      <c r="B37" s="487" t="s">
        <v>32</v>
      </c>
      <c r="C37" s="487"/>
    </row>
    <row r="38" spans="1:8" ht="14.65" customHeight="1">
      <c r="A38" s="6" t="s">
        <v>33</v>
      </c>
      <c r="B38" s="484" t="s">
        <v>34</v>
      </c>
      <c r="C38" s="484"/>
      <c r="E38" s="437"/>
      <c r="F38" s="8"/>
      <c r="G38" s="8"/>
      <c r="H38" s="8"/>
    </row>
    <row r="39" spans="1:8" ht="15">
      <c r="A39" s="463" t="s">
        <v>35</v>
      </c>
      <c r="B39" s="485" t="s">
        <v>36</v>
      </c>
      <c r="C39" s="485"/>
      <c r="E39" s="437"/>
      <c r="F39" s="25"/>
      <c r="G39" s="25"/>
      <c r="H39" s="25"/>
    </row>
    <row r="40" spans="1:8">
      <c r="A40" s="10"/>
      <c r="B40" s="486"/>
      <c r="C40" s="486"/>
    </row>
    <row r="41" spans="1:8" ht="15">
      <c r="A41" s="10"/>
      <c r="B41" s="486"/>
      <c r="C41" s="486"/>
      <c r="E41"/>
    </row>
    <row r="53" spans="4:4" ht="15">
      <c r="D53"/>
    </row>
  </sheetData>
  <mergeCells count="12">
    <mergeCell ref="B40:C40"/>
    <mergeCell ref="B41:C41"/>
    <mergeCell ref="A36:C36"/>
    <mergeCell ref="B37:C37"/>
    <mergeCell ref="A23:C23"/>
    <mergeCell ref="A6:A8"/>
    <mergeCell ref="A1:C1"/>
    <mergeCell ref="A2:A5"/>
    <mergeCell ref="B38:C38"/>
    <mergeCell ref="B39:C39"/>
    <mergeCell ref="A9:A16"/>
    <mergeCell ref="A17:A21"/>
  </mergeCells>
  <hyperlinks>
    <hyperlink ref="C6" r:id="rId1" location="Commercial" xr:uid="{626A4776-C2FA-489E-88C0-BC9C7C8EA36F}"/>
    <hyperlink ref="B39:C39" r:id="rId2" display="https://www.eia.gov/consumption/commercial/" xr:uid="{DC68CB0C-ABDF-4162-A924-6AD5F402DC52}"/>
    <hyperlink ref="C15" r:id="rId3" xr:uid="{5BFB95B5-CBB3-49AC-8A63-D7F891B206DE}"/>
    <hyperlink ref="C17" r:id="rId4" xr:uid="{13012B7A-3BAB-40C0-A217-E782EBE293D7}"/>
    <hyperlink ref="C18" r:id="rId5" xr:uid="{6153A1CD-A26F-423D-8CE9-C47BAC50B7AD}"/>
    <hyperlink ref="C19" r:id="rId6" xr:uid="{D587D565-7CD5-41E9-AB1A-3E1D3FAF7380}"/>
    <hyperlink ref="C20" r:id="rId7" display="https://2050partners.sharepoint.com/:w:/r/sites/CalBEMCollaborativeEfforts/_layouts/15/Doc.aspx?sourcedoc=%7B3BEF8F74-7FAC-44F2-A70C-D76617660066%7D&amp;file=Infiltration_rate_report_14May2025-Short-Version.docx&amp;wdLOR=c494C5A60-5F8A-438B-874B-578DCB850072&amp;action=default&amp;mobileredirect=true" xr:uid="{B7FABA7F-7EA1-4A29-BC05-832CC940B92D}"/>
    <hyperlink ref="C21" r:id="rId8" xr:uid="{64CE1683-1034-47FB-8972-DC7077D1869C}"/>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8"/>
  <sheetViews>
    <sheetView tabSelected="1" zoomScaleNormal="100" workbookViewId="0">
      <selection sqref="A1:C1"/>
    </sheetView>
  </sheetViews>
  <sheetFormatPr defaultColWidth="9.28515625" defaultRowHeight="14.25"/>
  <cols>
    <col min="1" max="1" width="25" style="4" customWidth="1"/>
    <col min="2" max="2" width="51.28515625" style="4" customWidth="1"/>
    <col min="3" max="3" width="41.85546875" style="4" customWidth="1"/>
    <col min="4" max="9" width="8.7109375" style="4" customWidth="1"/>
    <col min="10" max="16384" width="9.28515625" style="4"/>
  </cols>
  <sheetData>
    <row r="1" spans="1:9" ht="18">
      <c r="A1" s="488" t="s">
        <v>37</v>
      </c>
      <c r="B1" s="488"/>
      <c r="C1" s="488"/>
      <c r="D1" s="13"/>
      <c r="E1" s="13"/>
      <c r="F1" s="13"/>
    </row>
    <row r="2" spans="1:9" ht="25.15" customHeight="1">
      <c r="A2" s="489" t="s">
        <v>31</v>
      </c>
      <c r="B2" s="489"/>
      <c r="C2" s="489"/>
      <c r="D2" s="13"/>
      <c r="E2" s="13"/>
      <c r="F2" s="13"/>
    </row>
    <row r="3" spans="1:9" ht="20.45" customHeight="1">
      <c r="A3" s="190" t="s">
        <v>38</v>
      </c>
      <c r="B3" s="459" t="s">
        <v>39</v>
      </c>
      <c r="C3" s="191" t="s">
        <v>0</v>
      </c>
    </row>
    <row r="4" spans="1:9" ht="16.149999999999999" customHeight="1">
      <c r="A4" s="161" t="s">
        <v>40</v>
      </c>
      <c r="B4" s="442" t="s">
        <v>31</v>
      </c>
      <c r="C4" s="161"/>
    </row>
    <row r="5" spans="1:9" ht="16.149999999999999" customHeight="1">
      <c r="A5" s="161" t="s">
        <v>41</v>
      </c>
      <c r="B5" s="442" t="s">
        <v>42</v>
      </c>
      <c r="C5" s="161"/>
    </row>
    <row r="6" spans="1:9" ht="28.9" customHeight="1">
      <c r="A6" s="161" t="s">
        <v>43</v>
      </c>
      <c r="B6" s="443" t="s">
        <v>44</v>
      </c>
      <c r="C6" s="281" t="s">
        <v>45</v>
      </c>
      <c r="D6" s="55" t="s">
        <v>46</v>
      </c>
    </row>
    <row r="7" spans="1:9" ht="97.15" customHeight="1">
      <c r="A7" s="161" t="s">
        <v>47</v>
      </c>
      <c r="B7" s="442"/>
      <c r="C7" s="281" t="s">
        <v>48</v>
      </c>
      <c r="I7" s="5"/>
    </row>
    <row r="8" spans="1:9" ht="16.149999999999999" customHeight="1">
      <c r="A8" s="192" t="s">
        <v>49</v>
      </c>
      <c r="B8" s="193">
        <v>40950</v>
      </c>
      <c r="C8" s="161" t="s">
        <v>50</v>
      </c>
    </row>
    <row r="9" spans="1:9" ht="40.15" customHeight="1">
      <c r="A9" s="192" t="s">
        <v>51</v>
      </c>
      <c r="B9" s="194" t="s">
        <v>52</v>
      </c>
      <c r="C9" s="161" t="s">
        <v>50</v>
      </c>
    </row>
    <row r="10" spans="1:9" ht="18.600000000000001" customHeight="1">
      <c r="A10" s="195" t="s">
        <v>53</v>
      </c>
      <c r="B10" s="443">
        <v>3</v>
      </c>
      <c r="C10" s="161" t="s">
        <v>50</v>
      </c>
    </row>
    <row r="11" spans="1:9" ht="17.45" customHeight="1">
      <c r="A11" s="195" t="s">
        <v>54</v>
      </c>
      <c r="B11" s="442" t="s">
        <v>55</v>
      </c>
      <c r="C11" s="161" t="s">
        <v>50</v>
      </c>
    </row>
    <row r="12" spans="1:9" ht="37.9" customHeight="1">
      <c r="A12" s="195" t="s">
        <v>56</v>
      </c>
      <c r="B12" s="196" t="s">
        <v>57</v>
      </c>
      <c r="C12" s="161"/>
    </row>
    <row r="13" spans="1:9" ht="14.65" customHeight="1">
      <c r="A13" s="192" t="s">
        <v>58</v>
      </c>
      <c r="B13" s="197" t="s">
        <v>59</v>
      </c>
      <c r="C13" s="161" t="s">
        <v>50</v>
      </c>
    </row>
    <row r="14" spans="1:9" ht="33.6" customHeight="1">
      <c r="A14" s="192" t="s">
        <v>60</v>
      </c>
      <c r="B14" s="443" t="s">
        <v>61</v>
      </c>
      <c r="C14" s="161" t="s">
        <v>50</v>
      </c>
    </row>
    <row r="15" spans="1:9" ht="16.149999999999999" customHeight="1">
      <c r="A15" s="192" t="s">
        <v>62</v>
      </c>
      <c r="B15" s="442" t="s">
        <v>63</v>
      </c>
      <c r="C15" s="161" t="s">
        <v>50</v>
      </c>
    </row>
    <row r="16" spans="1:9">
      <c r="A16" s="192" t="s">
        <v>64</v>
      </c>
      <c r="B16" s="443" t="s">
        <v>65</v>
      </c>
      <c r="C16" s="161" t="s">
        <v>50</v>
      </c>
    </row>
    <row r="19" spans="1:2" ht="14.65" customHeight="1"/>
    <row r="20" spans="1:2" ht="14.65" customHeight="1">
      <c r="A20" s="127" t="s">
        <v>66</v>
      </c>
      <c r="B20" s="128">
        <v>16716.352877150199</v>
      </c>
    </row>
    <row r="21" spans="1:2">
      <c r="A21" s="127" t="s">
        <v>67</v>
      </c>
      <c r="B21" s="128">
        <v>16716.352877150199</v>
      </c>
    </row>
    <row r="22" spans="1:2" ht="14.65" customHeight="1">
      <c r="A22" s="127" t="s">
        <v>68</v>
      </c>
      <c r="B22" s="128">
        <v>14778.849002142448</v>
      </c>
    </row>
    <row r="23" spans="1:2" ht="14.65" customHeight="1">
      <c r="A23" s="127" t="s">
        <v>69</v>
      </c>
      <c r="B23" s="128">
        <v>0</v>
      </c>
    </row>
    <row r="24" spans="1:2" ht="14.65" customHeight="1"/>
    <row r="27" spans="1:2" ht="14.65" customHeight="1"/>
    <row r="28" spans="1:2" ht="14.65" customHeight="1"/>
  </sheetData>
  <mergeCells count="2">
    <mergeCell ref="A1:C1"/>
    <mergeCell ref="A2:C2"/>
  </mergeCells>
  <hyperlinks>
    <hyperlink ref="D6"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T134"/>
  <sheetViews>
    <sheetView zoomScaleNormal="100" workbookViewId="0">
      <pane xSplit="1" topLeftCell="B1" activePane="topRight" state="frozen"/>
      <selection pane="topRight" sqref="A1:K1"/>
    </sheetView>
  </sheetViews>
  <sheetFormatPr defaultColWidth="8.7109375" defaultRowHeight="12.75"/>
  <cols>
    <col min="1" max="1" width="60" style="9" customWidth="1"/>
    <col min="2" max="2" width="32.140625" style="9" customWidth="1"/>
    <col min="3" max="4" width="30.7109375" style="9" customWidth="1"/>
    <col min="5" max="5" width="19" style="9" customWidth="1"/>
    <col min="6" max="6" width="14.7109375" style="9" customWidth="1"/>
    <col min="7" max="7" width="12.7109375" style="9" customWidth="1"/>
    <col min="8" max="8" width="12" style="9" bestFit="1" customWidth="1"/>
    <col min="9" max="10" width="11.28515625" style="9" customWidth="1"/>
    <col min="11" max="11" width="32.5703125" style="9" customWidth="1"/>
    <col min="12" max="12" width="12.140625" style="9" customWidth="1"/>
    <col min="13" max="13" width="12.7109375" style="9" customWidth="1"/>
    <col min="14" max="14" width="25.28515625" style="9" customWidth="1"/>
    <col min="15" max="15" width="22.28515625" style="9" bestFit="1" customWidth="1"/>
    <col min="16" max="16" width="18.28515625" style="9" customWidth="1"/>
    <col min="17" max="17" width="25.7109375" style="9" customWidth="1"/>
    <col min="18" max="18" width="22.7109375" style="9" customWidth="1"/>
    <col min="19" max="19" width="16.28515625" style="9" customWidth="1"/>
    <col min="20" max="20" width="6.7109375" style="9" bestFit="1" customWidth="1"/>
    <col min="21" max="25" width="17.28515625" style="9" customWidth="1"/>
    <col min="26" max="16384" width="8.7109375" style="9"/>
  </cols>
  <sheetData>
    <row r="1" spans="1:20" ht="25.9" customHeight="1" thickBot="1">
      <c r="A1" s="490" t="str">
        <f>"Proposed Layout - "&amp;Prototype!A2</f>
        <v>Proposed Layout - Outpatient</v>
      </c>
      <c r="B1" s="491"/>
      <c r="C1" s="491"/>
      <c r="D1" s="491"/>
      <c r="E1" s="491"/>
      <c r="F1" s="491"/>
      <c r="G1" s="491"/>
      <c r="H1" s="491"/>
      <c r="I1" s="491"/>
      <c r="J1" s="491"/>
      <c r="K1" s="491"/>
    </row>
    <row r="2" spans="1:20" ht="38.25">
      <c r="A2" s="136" t="s">
        <v>70</v>
      </c>
      <c r="B2" s="137" t="s">
        <v>71</v>
      </c>
      <c r="C2" s="24" t="s">
        <v>72</v>
      </c>
      <c r="D2" s="24" t="s">
        <v>73</v>
      </c>
      <c r="E2" s="156" t="s">
        <v>74</v>
      </c>
      <c r="F2" s="24" t="s">
        <v>75</v>
      </c>
      <c r="G2" s="24" t="s">
        <v>76</v>
      </c>
      <c r="H2" s="123" t="s">
        <v>77</v>
      </c>
      <c r="I2" s="23" t="s">
        <v>78</v>
      </c>
      <c r="J2" s="138" t="s">
        <v>79</v>
      </c>
      <c r="K2" s="23" t="s">
        <v>80</v>
      </c>
      <c r="M2" s="251"/>
      <c r="N2" s="252"/>
      <c r="O2" s="252"/>
      <c r="P2" s="252"/>
      <c r="Q2" s="253"/>
      <c r="R2" s="253"/>
      <c r="S2" s="253"/>
      <c r="T2" s="254"/>
    </row>
    <row r="3" spans="1:20" ht="17.649999999999999" customHeight="1">
      <c r="A3" s="94" t="s">
        <v>81</v>
      </c>
      <c r="B3" s="94" t="s">
        <v>82</v>
      </c>
      <c r="C3" s="95" t="s">
        <v>83</v>
      </c>
      <c r="D3" s="282" t="s">
        <v>84</v>
      </c>
      <c r="E3" s="60" t="s">
        <v>85</v>
      </c>
      <c r="F3" s="96">
        <f>G3/$G$121</f>
        <v>2.6376202803692667E-3</v>
      </c>
      <c r="G3" s="97">
        <v>108</v>
      </c>
      <c r="H3" s="14">
        <v>1080</v>
      </c>
      <c r="I3" s="14">
        <v>1</v>
      </c>
      <c r="J3" s="14">
        <f>K3*G3/1000</f>
        <v>1.08</v>
      </c>
      <c r="K3" s="15">
        <v>10</v>
      </c>
      <c r="M3" s="255"/>
      <c r="N3" s="250"/>
      <c r="O3" s="250"/>
      <c r="P3" s="250"/>
      <c r="Q3" s="256"/>
      <c r="R3" s="256"/>
      <c r="S3" s="256"/>
      <c r="T3" s="257"/>
    </row>
    <row r="4" spans="1:20" ht="17.649999999999999" customHeight="1">
      <c r="A4" s="94" t="s">
        <v>86</v>
      </c>
      <c r="B4" s="94" t="s">
        <v>87</v>
      </c>
      <c r="C4" s="95" t="s">
        <v>83</v>
      </c>
      <c r="D4" s="282" t="s">
        <v>84</v>
      </c>
      <c r="E4" s="60" t="s">
        <v>85</v>
      </c>
      <c r="F4" s="96">
        <f t="shared" ref="F4:F67" si="0">G4/$G$121</f>
        <v>1.3676549601914717E-3</v>
      </c>
      <c r="G4" s="97">
        <v>56</v>
      </c>
      <c r="H4" s="14">
        <v>560</v>
      </c>
      <c r="I4" s="14">
        <v>1</v>
      </c>
      <c r="J4" s="14">
        <f t="shared" ref="J4:J67" si="1">K4*G4/1000</f>
        <v>0.56000000000000005</v>
      </c>
      <c r="K4" s="15">
        <v>10</v>
      </c>
      <c r="M4" s="255"/>
      <c r="N4" s="250"/>
      <c r="O4" s="250"/>
      <c r="P4" s="250"/>
      <c r="Q4" s="256"/>
      <c r="R4" s="256"/>
      <c r="S4" s="256"/>
      <c r="T4" s="257"/>
    </row>
    <row r="5" spans="1:20" ht="17.649999999999999" customHeight="1">
      <c r="A5" s="94" t="s">
        <v>88</v>
      </c>
      <c r="B5" s="94" t="s">
        <v>89</v>
      </c>
      <c r="C5" s="95" t="s">
        <v>83</v>
      </c>
      <c r="D5" s="282" t="s">
        <v>84</v>
      </c>
      <c r="E5" s="60" t="s">
        <v>85</v>
      </c>
      <c r="F5" s="96">
        <f t="shared" si="0"/>
        <v>1.0257412201436038E-2</v>
      </c>
      <c r="G5" s="97">
        <v>420</v>
      </c>
      <c r="H5" s="14">
        <v>4200</v>
      </c>
      <c r="I5" s="14">
        <v>1</v>
      </c>
      <c r="J5" s="14">
        <f t="shared" si="1"/>
        <v>13.86</v>
      </c>
      <c r="K5" s="15">
        <v>33</v>
      </c>
      <c r="M5" s="255"/>
      <c r="N5" s="250"/>
      <c r="O5" s="250"/>
      <c r="P5" s="250"/>
      <c r="Q5" s="256"/>
      <c r="R5" s="256"/>
      <c r="S5" s="256"/>
      <c r="T5" s="257"/>
    </row>
    <row r="6" spans="1:20" ht="17.649999999999999" customHeight="1">
      <c r="A6" s="94" t="s">
        <v>86</v>
      </c>
      <c r="B6" s="94" t="s">
        <v>90</v>
      </c>
      <c r="C6" s="95" t="s">
        <v>83</v>
      </c>
      <c r="D6" s="282" t="s">
        <v>84</v>
      </c>
      <c r="E6" s="60" t="s">
        <v>85</v>
      </c>
      <c r="F6" s="96">
        <f t="shared" si="0"/>
        <v>3.0772236604308112E-3</v>
      </c>
      <c r="G6" s="97">
        <v>126</v>
      </c>
      <c r="H6" s="14">
        <v>1260</v>
      </c>
      <c r="I6" s="14">
        <v>1</v>
      </c>
      <c r="J6" s="14">
        <f t="shared" si="1"/>
        <v>1.26</v>
      </c>
      <c r="K6" s="15">
        <v>10</v>
      </c>
      <c r="M6" s="255"/>
      <c r="N6" s="250"/>
      <c r="O6" s="250"/>
      <c r="P6" s="250"/>
      <c r="Q6" s="256"/>
      <c r="R6" s="256"/>
      <c r="S6" s="256"/>
      <c r="T6" s="257"/>
    </row>
    <row r="7" spans="1:20" ht="17.649999999999999" customHeight="1">
      <c r="A7" s="94" t="s">
        <v>86</v>
      </c>
      <c r="B7" s="94" t="s">
        <v>91</v>
      </c>
      <c r="C7" s="95" t="s">
        <v>83</v>
      </c>
      <c r="D7" s="282" t="s">
        <v>84</v>
      </c>
      <c r="E7" s="60" t="s">
        <v>85</v>
      </c>
      <c r="F7" s="96">
        <f t="shared" si="0"/>
        <v>4.0296976505641577E-3</v>
      </c>
      <c r="G7" s="97">
        <v>165</v>
      </c>
      <c r="H7" s="14">
        <v>1650</v>
      </c>
      <c r="I7" s="14">
        <v>1</v>
      </c>
      <c r="J7" s="14">
        <f t="shared" si="1"/>
        <v>1.65</v>
      </c>
      <c r="K7" s="15">
        <v>10</v>
      </c>
      <c r="M7" s="255"/>
      <c r="N7" s="250"/>
      <c r="O7" s="250"/>
      <c r="P7" s="250"/>
      <c r="Q7" s="256"/>
      <c r="R7" s="256"/>
      <c r="S7" s="256"/>
      <c r="T7" s="257"/>
    </row>
    <row r="8" spans="1:20" ht="17.649999999999999" customHeight="1">
      <c r="A8" s="94" t="s">
        <v>92</v>
      </c>
      <c r="B8" s="94" t="s">
        <v>93</v>
      </c>
      <c r="C8" s="95" t="s">
        <v>83</v>
      </c>
      <c r="D8" s="282" t="s">
        <v>94</v>
      </c>
      <c r="E8" s="60" t="s">
        <v>85</v>
      </c>
      <c r="F8" s="96">
        <f t="shared" si="0"/>
        <v>3.0772236604308112E-3</v>
      </c>
      <c r="G8" s="97">
        <v>126</v>
      </c>
      <c r="H8" s="14">
        <v>1260</v>
      </c>
      <c r="I8" s="14">
        <v>1</v>
      </c>
      <c r="J8" s="14">
        <f t="shared" si="1"/>
        <v>0.63</v>
      </c>
      <c r="K8" s="15">
        <v>5</v>
      </c>
      <c r="M8" s="255"/>
      <c r="N8" s="250"/>
      <c r="O8" s="250"/>
      <c r="P8" s="250"/>
      <c r="Q8" s="256"/>
      <c r="R8" s="256"/>
      <c r="S8" s="256"/>
      <c r="T8" s="257"/>
    </row>
    <row r="9" spans="1:20" ht="17.649999999999999" customHeight="1">
      <c r="A9" s="94" t="s">
        <v>92</v>
      </c>
      <c r="B9" s="94" t="s">
        <v>95</v>
      </c>
      <c r="C9" s="95" t="s">
        <v>83</v>
      </c>
      <c r="D9" s="282" t="s">
        <v>94</v>
      </c>
      <c r="E9" s="60" t="s">
        <v>85</v>
      </c>
      <c r="F9" s="96">
        <f t="shared" si="0"/>
        <v>1.0990084501538611E-3</v>
      </c>
      <c r="G9" s="97">
        <v>45</v>
      </c>
      <c r="H9" s="14">
        <v>450</v>
      </c>
      <c r="I9" s="14">
        <v>1</v>
      </c>
      <c r="J9" s="14">
        <f t="shared" si="1"/>
        <v>0.22500000000000001</v>
      </c>
      <c r="K9" s="15">
        <v>5</v>
      </c>
      <c r="M9" s="255"/>
      <c r="N9" s="250"/>
      <c r="O9" s="250"/>
      <c r="P9" s="250"/>
      <c r="Q9" s="256"/>
      <c r="R9" s="256"/>
      <c r="S9" s="256"/>
      <c r="T9" s="257"/>
    </row>
    <row r="10" spans="1:20" ht="17.649999999999999" customHeight="1">
      <c r="A10" s="98" t="s">
        <v>96</v>
      </c>
      <c r="B10" s="94" t="s">
        <v>97</v>
      </c>
      <c r="C10" s="95" t="s">
        <v>83</v>
      </c>
      <c r="D10" s="282" t="s">
        <v>84</v>
      </c>
      <c r="E10" s="60" t="s">
        <v>85</v>
      </c>
      <c r="F10" s="96">
        <f t="shared" si="0"/>
        <v>2.3933961803350753E-3</v>
      </c>
      <c r="G10" s="97">
        <v>98</v>
      </c>
      <c r="H10" s="14">
        <v>980</v>
      </c>
      <c r="I10" s="14">
        <v>1</v>
      </c>
      <c r="J10" s="14">
        <f t="shared" si="1"/>
        <v>0.29399999999999998</v>
      </c>
      <c r="K10" s="15">
        <v>3</v>
      </c>
      <c r="M10" s="255"/>
      <c r="N10" s="250"/>
      <c r="O10" s="250"/>
      <c r="P10" s="250"/>
      <c r="Q10" s="256"/>
      <c r="R10" s="256"/>
      <c r="S10" s="256"/>
      <c r="T10" s="257"/>
    </row>
    <row r="11" spans="1:20" ht="17.649999999999999" customHeight="1">
      <c r="A11" s="98" t="s">
        <v>96</v>
      </c>
      <c r="B11" s="94" t="s">
        <v>98</v>
      </c>
      <c r="C11" s="95" t="s">
        <v>83</v>
      </c>
      <c r="D11" s="282" t="s">
        <v>84</v>
      </c>
      <c r="E11" s="60" t="s">
        <v>85</v>
      </c>
      <c r="F11" s="96">
        <f t="shared" si="0"/>
        <v>2.2224393103111415E-3</v>
      </c>
      <c r="G11" s="97">
        <v>91</v>
      </c>
      <c r="H11" s="14">
        <v>910</v>
      </c>
      <c r="I11" s="14">
        <v>1</v>
      </c>
      <c r="J11" s="14">
        <f t="shared" si="1"/>
        <v>0.27300000000000002</v>
      </c>
      <c r="K11" s="15">
        <v>3</v>
      </c>
      <c r="M11" s="255"/>
      <c r="N11" s="250"/>
      <c r="O11" s="250"/>
      <c r="P11" s="250"/>
      <c r="Q11" s="256"/>
      <c r="R11" s="256"/>
      <c r="S11" s="256"/>
      <c r="T11" s="257"/>
    </row>
    <row r="12" spans="1:20" ht="17.649999999999999" customHeight="1">
      <c r="A12" s="94" t="s">
        <v>92</v>
      </c>
      <c r="B12" s="94" t="s">
        <v>99</v>
      </c>
      <c r="C12" s="95" t="s">
        <v>83</v>
      </c>
      <c r="D12" s="282" t="s">
        <v>94</v>
      </c>
      <c r="E12" s="60" t="s">
        <v>85</v>
      </c>
      <c r="F12" s="96">
        <f t="shared" si="0"/>
        <v>1.3188101401846333E-3</v>
      </c>
      <c r="G12" s="97">
        <v>54</v>
      </c>
      <c r="H12" s="14">
        <v>540</v>
      </c>
      <c r="I12" s="14">
        <v>1</v>
      </c>
      <c r="J12" s="14">
        <f t="shared" si="1"/>
        <v>0.27</v>
      </c>
      <c r="K12" s="15">
        <v>5</v>
      </c>
      <c r="M12" s="255"/>
      <c r="N12" s="250"/>
      <c r="O12" s="250"/>
      <c r="P12" s="250"/>
      <c r="Q12" s="256"/>
      <c r="R12" s="256"/>
      <c r="S12" s="256"/>
      <c r="T12" s="257"/>
    </row>
    <row r="13" spans="1:20" ht="17.649999999999999" customHeight="1">
      <c r="A13" s="94" t="s">
        <v>100</v>
      </c>
      <c r="B13" s="94" t="s">
        <v>101</v>
      </c>
      <c r="C13" s="95" t="s">
        <v>83</v>
      </c>
      <c r="D13" s="282" t="s">
        <v>84</v>
      </c>
      <c r="E13" s="60" t="s">
        <v>85</v>
      </c>
      <c r="F13" s="96">
        <f t="shared" si="0"/>
        <v>3.4191374004786793E-3</v>
      </c>
      <c r="G13" s="97">
        <v>140</v>
      </c>
      <c r="H13" s="14">
        <v>1400</v>
      </c>
      <c r="I13" s="14">
        <v>1</v>
      </c>
      <c r="J13" s="14">
        <f t="shared" si="1"/>
        <v>0.7</v>
      </c>
      <c r="K13" s="15">
        <v>5</v>
      </c>
      <c r="M13" s="255"/>
      <c r="N13" s="250"/>
      <c r="O13" s="250"/>
      <c r="P13" s="250"/>
      <c r="Q13" s="256"/>
      <c r="R13" s="256"/>
      <c r="S13" s="256"/>
      <c r="T13" s="257"/>
    </row>
    <row r="14" spans="1:20" ht="17.649999999999999" customHeight="1">
      <c r="A14" s="94" t="s">
        <v>92</v>
      </c>
      <c r="B14" s="94" t="s">
        <v>102</v>
      </c>
      <c r="C14" s="95" t="s">
        <v>83</v>
      </c>
      <c r="D14" s="282" t="s">
        <v>94</v>
      </c>
      <c r="E14" s="60" t="s">
        <v>85</v>
      </c>
      <c r="F14" s="96">
        <f t="shared" si="0"/>
        <v>2.7353099203829435E-3</v>
      </c>
      <c r="G14" s="97">
        <v>112</v>
      </c>
      <c r="H14" s="14">
        <v>1120</v>
      </c>
      <c r="I14" s="14">
        <v>1</v>
      </c>
      <c r="J14" s="14">
        <f t="shared" si="1"/>
        <v>0.56000000000000005</v>
      </c>
      <c r="K14" s="15">
        <v>5</v>
      </c>
      <c r="M14" s="255"/>
      <c r="N14" s="250"/>
      <c r="O14" s="250"/>
      <c r="P14" s="250"/>
      <c r="Q14" s="256"/>
      <c r="R14" s="256"/>
      <c r="S14" s="256"/>
      <c r="T14" s="257"/>
    </row>
    <row r="15" spans="1:20" ht="17.649999999999999" customHeight="1">
      <c r="A15" s="94" t="s">
        <v>103</v>
      </c>
      <c r="B15" s="94" t="s">
        <v>104</v>
      </c>
      <c r="C15" s="95" t="s">
        <v>83</v>
      </c>
      <c r="D15" s="282" t="s">
        <v>84</v>
      </c>
      <c r="E15" s="60" t="s">
        <v>85</v>
      </c>
      <c r="F15" s="96">
        <f t="shared" si="0"/>
        <v>1.5190739022126703E-2</v>
      </c>
      <c r="G15" s="97">
        <v>622</v>
      </c>
      <c r="H15" s="14">
        <v>6220</v>
      </c>
      <c r="I15" s="14">
        <v>1</v>
      </c>
      <c r="J15" s="14">
        <f t="shared" si="1"/>
        <v>20.526</v>
      </c>
      <c r="K15" s="15">
        <v>33</v>
      </c>
      <c r="M15" s="255"/>
      <c r="N15" s="250"/>
      <c r="O15" s="250"/>
      <c r="P15" s="250"/>
      <c r="Q15" s="256"/>
      <c r="R15" s="256"/>
      <c r="S15" s="256"/>
      <c r="T15" s="257"/>
    </row>
    <row r="16" spans="1:20" ht="17.649999999999999" customHeight="1">
      <c r="A16" s="94" t="s">
        <v>100</v>
      </c>
      <c r="B16" s="94" t="s">
        <v>105</v>
      </c>
      <c r="C16" s="95" t="s">
        <v>83</v>
      </c>
      <c r="D16" s="282" t="s">
        <v>84</v>
      </c>
      <c r="E16" s="60" t="s">
        <v>85</v>
      </c>
      <c r="F16" s="96">
        <f t="shared" si="0"/>
        <v>5.8613784008205933E-3</v>
      </c>
      <c r="G16" s="97">
        <v>240</v>
      </c>
      <c r="H16" s="14">
        <v>2400</v>
      </c>
      <c r="I16" s="14">
        <v>1</v>
      </c>
      <c r="J16" s="14">
        <f t="shared" si="1"/>
        <v>1.2</v>
      </c>
      <c r="K16" s="15">
        <v>5</v>
      </c>
      <c r="M16" s="255"/>
      <c r="N16" s="250"/>
      <c r="O16" s="250"/>
      <c r="P16" s="250"/>
      <c r="Q16" s="256"/>
      <c r="R16" s="256"/>
      <c r="S16" s="256"/>
      <c r="T16" s="257"/>
    </row>
    <row r="17" spans="1:20" ht="17.649999999999999" customHeight="1">
      <c r="A17" s="98" t="s">
        <v>106</v>
      </c>
      <c r="B17" s="94" t="s">
        <v>107</v>
      </c>
      <c r="C17" s="95" t="s">
        <v>83</v>
      </c>
      <c r="D17" s="282" t="s">
        <v>84</v>
      </c>
      <c r="E17" s="60" t="s">
        <v>85</v>
      </c>
      <c r="F17" s="96">
        <f t="shared" si="0"/>
        <v>1.3188101401846333E-3</v>
      </c>
      <c r="G17" s="97">
        <v>54</v>
      </c>
      <c r="H17" s="14">
        <v>540</v>
      </c>
      <c r="I17" s="14">
        <v>1</v>
      </c>
      <c r="J17" s="14">
        <f t="shared" si="1"/>
        <v>0.27</v>
      </c>
      <c r="K17" s="15">
        <v>5</v>
      </c>
      <c r="M17" s="255"/>
      <c r="N17" s="250"/>
      <c r="O17" s="250"/>
      <c r="P17" s="250"/>
      <c r="Q17" s="256"/>
      <c r="R17" s="256"/>
      <c r="S17" s="256"/>
      <c r="T17" s="257"/>
    </row>
    <row r="18" spans="1:20" ht="17.649999999999999" customHeight="1">
      <c r="A18" s="94" t="s">
        <v>108</v>
      </c>
      <c r="B18" s="94" t="s">
        <v>109</v>
      </c>
      <c r="C18" s="95" t="s">
        <v>83</v>
      </c>
      <c r="D18" s="282" t="s">
        <v>84</v>
      </c>
      <c r="E18" s="60" t="s">
        <v>85</v>
      </c>
      <c r="F18" s="96">
        <f t="shared" si="0"/>
        <v>1.6118790602256631E-2</v>
      </c>
      <c r="G18" s="97">
        <v>660</v>
      </c>
      <c r="H18" s="14">
        <v>6600</v>
      </c>
      <c r="I18" s="14">
        <v>1</v>
      </c>
      <c r="J18" s="14">
        <f t="shared" si="1"/>
        <v>13.2</v>
      </c>
      <c r="K18" s="15">
        <v>20</v>
      </c>
      <c r="M18" s="255"/>
      <c r="N18" s="250"/>
      <c r="O18" s="250"/>
      <c r="P18" s="250"/>
      <c r="Q18" s="256"/>
      <c r="R18" s="256"/>
      <c r="S18" s="256"/>
      <c r="T18" s="257"/>
    </row>
    <row r="19" spans="1:20" ht="17.649999999999999" customHeight="1">
      <c r="A19" s="94" t="s">
        <v>100</v>
      </c>
      <c r="B19" s="94" t="s">
        <v>110</v>
      </c>
      <c r="C19" s="95" t="s">
        <v>83</v>
      </c>
      <c r="D19" s="282" t="s">
        <v>84</v>
      </c>
      <c r="E19" s="60" t="s">
        <v>85</v>
      </c>
      <c r="F19" s="96">
        <f t="shared" si="0"/>
        <v>1.2113515361695892E-2</v>
      </c>
      <c r="G19" s="97">
        <v>496</v>
      </c>
      <c r="H19" s="14">
        <v>4960</v>
      </c>
      <c r="I19" s="14">
        <v>1</v>
      </c>
      <c r="J19" s="14">
        <f t="shared" si="1"/>
        <v>2.48</v>
      </c>
      <c r="K19" s="15">
        <v>5</v>
      </c>
      <c r="M19" s="255"/>
      <c r="N19" s="250"/>
      <c r="O19" s="250"/>
      <c r="P19" s="250"/>
      <c r="Q19" s="256"/>
      <c r="R19" s="256"/>
      <c r="S19" s="256"/>
      <c r="T19" s="257"/>
    </row>
    <row r="20" spans="1:20" ht="17.649999999999999" customHeight="1">
      <c r="A20" s="94" t="s">
        <v>111</v>
      </c>
      <c r="B20" s="94" t="s">
        <v>112</v>
      </c>
      <c r="C20" s="95" t="s">
        <v>83</v>
      </c>
      <c r="D20" s="282" t="s">
        <v>84</v>
      </c>
      <c r="E20" s="60" t="s">
        <v>85</v>
      </c>
      <c r="F20" s="96">
        <f t="shared" si="0"/>
        <v>8.7920676012308886E-3</v>
      </c>
      <c r="G20" s="97">
        <v>360</v>
      </c>
      <c r="H20" s="14">
        <v>3600</v>
      </c>
      <c r="I20" s="14">
        <v>1</v>
      </c>
      <c r="J20" s="14">
        <f t="shared" si="1"/>
        <v>11.88</v>
      </c>
      <c r="K20" s="15">
        <v>33</v>
      </c>
      <c r="M20" s="255"/>
      <c r="N20" s="250"/>
      <c r="O20" s="250"/>
      <c r="P20" s="250"/>
      <c r="Q20" s="256"/>
      <c r="R20" s="256"/>
      <c r="S20" s="256"/>
      <c r="T20" s="257"/>
    </row>
    <row r="21" spans="1:20" ht="17.649999999999999" customHeight="1">
      <c r="A21" s="94" t="s">
        <v>86</v>
      </c>
      <c r="B21" s="94" t="s">
        <v>113</v>
      </c>
      <c r="C21" s="95" t="s">
        <v>83</v>
      </c>
      <c r="D21" s="282" t="s">
        <v>84</v>
      </c>
      <c r="E21" s="60" t="s">
        <v>85</v>
      </c>
      <c r="F21" s="96">
        <f t="shared" si="0"/>
        <v>1.3676549601914717E-3</v>
      </c>
      <c r="G21" s="97">
        <v>56</v>
      </c>
      <c r="H21" s="14">
        <v>560</v>
      </c>
      <c r="I21" s="14">
        <v>1</v>
      </c>
      <c r="J21" s="14">
        <f t="shared" si="1"/>
        <v>0.56000000000000005</v>
      </c>
      <c r="K21" s="15">
        <v>10</v>
      </c>
      <c r="M21" s="255"/>
      <c r="N21" s="250"/>
      <c r="O21" s="250"/>
      <c r="P21" s="250"/>
      <c r="Q21" s="256"/>
      <c r="R21" s="256"/>
      <c r="S21" s="256"/>
      <c r="T21" s="257"/>
    </row>
    <row r="22" spans="1:20" ht="17.649999999999999" customHeight="1">
      <c r="A22" s="94" t="s">
        <v>114</v>
      </c>
      <c r="B22" s="94" t="s">
        <v>115</v>
      </c>
      <c r="C22" s="95" t="s">
        <v>83</v>
      </c>
      <c r="D22" s="282" t="s">
        <v>84</v>
      </c>
      <c r="E22" s="60" t="s">
        <v>85</v>
      </c>
      <c r="F22" s="96">
        <f t="shared" si="0"/>
        <v>4.1029648805744152E-3</v>
      </c>
      <c r="G22" s="97">
        <v>168</v>
      </c>
      <c r="H22" s="14">
        <v>1680</v>
      </c>
      <c r="I22" s="14">
        <v>1</v>
      </c>
      <c r="J22" s="14">
        <f t="shared" si="1"/>
        <v>1.68</v>
      </c>
      <c r="K22" s="15">
        <v>10</v>
      </c>
      <c r="M22" s="255"/>
      <c r="N22" s="250"/>
      <c r="O22" s="250"/>
      <c r="P22" s="250"/>
      <c r="Q22" s="256"/>
      <c r="R22" s="256"/>
      <c r="S22" s="256"/>
      <c r="T22" s="257"/>
    </row>
    <row r="23" spans="1:20" ht="17.649999999999999" customHeight="1">
      <c r="A23" s="94" t="s">
        <v>100</v>
      </c>
      <c r="B23" s="94" t="s">
        <v>116</v>
      </c>
      <c r="C23" s="95" t="s">
        <v>83</v>
      </c>
      <c r="D23" s="282" t="s">
        <v>84</v>
      </c>
      <c r="E23" s="60" t="s">
        <v>85</v>
      </c>
      <c r="F23" s="96">
        <f t="shared" si="0"/>
        <v>3.5900942705026132E-3</v>
      </c>
      <c r="G23" s="97">
        <v>147</v>
      </c>
      <c r="H23" s="14">
        <v>1470</v>
      </c>
      <c r="I23" s="14">
        <v>1</v>
      </c>
      <c r="J23" s="14">
        <f t="shared" si="1"/>
        <v>0.73499999999999999</v>
      </c>
      <c r="K23" s="15">
        <v>5</v>
      </c>
      <c r="M23" s="255"/>
      <c r="N23" s="250"/>
      <c r="O23" s="250"/>
      <c r="P23" s="250"/>
      <c r="Q23" s="256"/>
      <c r="R23" s="256"/>
      <c r="S23" s="256"/>
      <c r="T23" s="257"/>
    </row>
    <row r="24" spans="1:20" ht="17.649999999999999" customHeight="1">
      <c r="A24" s="94" t="s">
        <v>114</v>
      </c>
      <c r="B24" s="94" t="s">
        <v>117</v>
      </c>
      <c r="C24" s="95" t="s">
        <v>83</v>
      </c>
      <c r="D24" s="282" t="s">
        <v>84</v>
      </c>
      <c r="E24" s="60" t="s">
        <v>85</v>
      </c>
      <c r="F24" s="96">
        <f t="shared" si="0"/>
        <v>1.0745860401504421E-2</v>
      </c>
      <c r="G24" s="97">
        <v>440</v>
      </c>
      <c r="H24" s="14">
        <v>4400</v>
      </c>
      <c r="I24" s="14">
        <v>1</v>
      </c>
      <c r="J24" s="14">
        <f t="shared" si="1"/>
        <v>4.4000000000000004</v>
      </c>
      <c r="K24" s="15">
        <v>10</v>
      </c>
      <c r="M24" s="255"/>
      <c r="N24" s="250"/>
      <c r="O24" s="250"/>
      <c r="P24" s="250"/>
      <c r="Q24" s="256"/>
      <c r="R24" s="256"/>
      <c r="S24" s="256"/>
      <c r="T24" s="257"/>
    </row>
    <row r="25" spans="1:20" ht="17.649999999999999" customHeight="1">
      <c r="A25" s="98" t="s">
        <v>106</v>
      </c>
      <c r="B25" s="94" t="s">
        <v>118</v>
      </c>
      <c r="C25" s="95" t="s">
        <v>83</v>
      </c>
      <c r="D25" s="282" t="s">
        <v>84</v>
      </c>
      <c r="E25" s="60" t="s">
        <v>85</v>
      </c>
      <c r="F25" s="96">
        <f t="shared" si="0"/>
        <v>1.3188101401846333E-3</v>
      </c>
      <c r="G25" s="97">
        <v>54</v>
      </c>
      <c r="H25" s="14">
        <v>540</v>
      </c>
      <c r="I25" s="14">
        <v>1</v>
      </c>
      <c r="J25" s="14">
        <f t="shared" si="1"/>
        <v>0.27</v>
      </c>
      <c r="K25" s="15">
        <v>5</v>
      </c>
      <c r="M25" s="255"/>
      <c r="N25" s="250"/>
      <c r="O25" s="250"/>
      <c r="P25" s="250"/>
      <c r="Q25" s="256"/>
      <c r="R25" s="256"/>
      <c r="S25" s="256"/>
      <c r="T25" s="257"/>
    </row>
    <row r="26" spans="1:20" ht="17.649999999999999" customHeight="1">
      <c r="A26" s="99" t="s">
        <v>119</v>
      </c>
      <c r="B26" s="94" t="s">
        <v>120</v>
      </c>
      <c r="C26" s="95" t="s">
        <v>83</v>
      </c>
      <c r="D26" s="282" t="s">
        <v>84</v>
      </c>
      <c r="E26" s="60" t="s">
        <v>85</v>
      </c>
      <c r="F26" s="96">
        <f t="shared" si="0"/>
        <v>4.4448786206222829E-3</v>
      </c>
      <c r="G26" s="97">
        <v>182</v>
      </c>
      <c r="H26" s="14">
        <v>1820</v>
      </c>
      <c r="I26" s="14">
        <v>1</v>
      </c>
      <c r="J26" s="14">
        <f>K26*G26/1000</f>
        <v>0.54600000000000004</v>
      </c>
      <c r="K26" s="15">
        <v>3</v>
      </c>
      <c r="M26" s="255"/>
      <c r="N26" s="250"/>
      <c r="O26" s="250"/>
      <c r="P26" s="250"/>
      <c r="Q26" s="256"/>
      <c r="R26" s="256"/>
      <c r="S26" s="256"/>
      <c r="T26" s="257"/>
    </row>
    <row r="27" spans="1:20" ht="17.649999999999999" customHeight="1">
      <c r="A27" s="94" t="s">
        <v>100</v>
      </c>
      <c r="B27" s="94" t="s">
        <v>121</v>
      </c>
      <c r="C27" s="95" t="s">
        <v>83</v>
      </c>
      <c r="D27" s="282" t="s">
        <v>84</v>
      </c>
      <c r="E27" s="60" t="s">
        <v>85</v>
      </c>
      <c r="F27" s="96">
        <f t="shared" si="0"/>
        <v>1.2113515361695892E-2</v>
      </c>
      <c r="G27" s="97">
        <v>496</v>
      </c>
      <c r="H27" s="14">
        <v>4960</v>
      </c>
      <c r="I27" s="14">
        <v>1</v>
      </c>
      <c r="J27" s="14">
        <f t="shared" si="1"/>
        <v>2.48</v>
      </c>
      <c r="K27" s="15">
        <v>5</v>
      </c>
      <c r="M27" s="255"/>
      <c r="N27" s="250"/>
      <c r="O27" s="250"/>
      <c r="P27" s="250"/>
      <c r="Q27" s="256"/>
      <c r="R27" s="256"/>
      <c r="S27" s="256"/>
      <c r="T27" s="257"/>
    </row>
    <row r="28" spans="1:20" ht="17.649999999999999" customHeight="1">
      <c r="A28" s="94" t="s">
        <v>122</v>
      </c>
      <c r="B28" s="94" t="s">
        <v>123</v>
      </c>
      <c r="C28" s="95" t="s">
        <v>83</v>
      </c>
      <c r="D28" s="282" t="s">
        <v>84</v>
      </c>
      <c r="E28" s="60" t="s">
        <v>85</v>
      </c>
      <c r="F28" s="96">
        <f t="shared" si="0"/>
        <v>1.3188101401846333E-3</v>
      </c>
      <c r="G28" s="97">
        <v>54</v>
      </c>
      <c r="H28" s="14">
        <v>540</v>
      </c>
      <c r="I28" s="14">
        <v>1</v>
      </c>
      <c r="J28" s="14">
        <f t="shared" si="1"/>
        <v>0.108</v>
      </c>
      <c r="K28" s="15">
        <v>2</v>
      </c>
      <c r="M28" s="255"/>
      <c r="N28" s="250"/>
      <c r="O28" s="250"/>
      <c r="P28" s="250"/>
      <c r="Q28" s="256"/>
      <c r="R28" s="256"/>
      <c r="S28" s="256"/>
      <c r="T28" s="257"/>
    </row>
    <row r="29" spans="1:20" ht="17.649999999999999" customHeight="1">
      <c r="A29" s="94" t="s">
        <v>124</v>
      </c>
      <c r="B29" s="94" t="s">
        <v>125</v>
      </c>
      <c r="C29" s="95" t="s">
        <v>83</v>
      </c>
      <c r="D29" s="282" t="s">
        <v>84</v>
      </c>
      <c r="E29" s="60" t="s">
        <v>85</v>
      </c>
      <c r="F29" s="96">
        <f t="shared" si="0"/>
        <v>6.3742490108923949E-3</v>
      </c>
      <c r="G29" s="97">
        <v>261</v>
      </c>
      <c r="H29" s="14">
        <v>2610</v>
      </c>
      <c r="I29" s="14">
        <v>1</v>
      </c>
      <c r="J29" s="14">
        <f t="shared" si="1"/>
        <v>2.61</v>
      </c>
      <c r="K29" s="15">
        <v>10</v>
      </c>
      <c r="M29" s="255"/>
      <c r="N29" s="250"/>
      <c r="O29" s="250"/>
      <c r="P29" s="250"/>
      <c r="Q29" s="256"/>
      <c r="R29" s="256"/>
      <c r="S29" s="256"/>
      <c r="T29" s="257"/>
    </row>
    <row r="30" spans="1:20" ht="17.649999999999999" customHeight="1">
      <c r="A30" s="98" t="s">
        <v>106</v>
      </c>
      <c r="B30" s="94" t="s">
        <v>126</v>
      </c>
      <c r="C30" s="95" t="s">
        <v>83</v>
      </c>
      <c r="D30" s="282" t="s">
        <v>84</v>
      </c>
      <c r="E30" s="60" t="s">
        <v>85</v>
      </c>
      <c r="F30" s="96">
        <f t="shared" si="0"/>
        <v>1.3188101401846333E-3</v>
      </c>
      <c r="G30" s="97">
        <v>54</v>
      </c>
      <c r="H30" s="14">
        <v>540</v>
      </c>
      <c r="I30" s="14">
        <v>1</v>
      </c>
      <c r="J30" s="14">
        <f t="shared" si="1"/>
        <v>0.27</v>
      </c>
      <c r="K30" s="15">
        <v>5</v>
      </c>
      <c r="M30" s="255"/>
      <c r="N30" s="250"/>
      <c r="O30" s="250"/>
      <c r="P30" s="250"/>
      <c r="Q30" s="256"/>
      <c r="R30" s="256"/>
      <c r="S30" s="256"/>
      <c r="T30" s="257"/>
    </row>
    <row r="31" spans="1:20" ht="17.649999999999999" customHeight="1">
      <c r="A31" s="94" t="s">
        <v>127</v>
      </c>
      <c r="B31" s="94" t="s">
        <v>128</v>
      </c>
      <c r="C31" s="95" t="s">
        <v>83</v>
      </c>
      <c r="D31" s="282" t="s">
        <v>94</v>
      </c>
      <c r="E31" s="60" t="s">
        <v>85</v>
      </c>
      <c r="F31" s="96">
        <f t="shared" si="0"/>
        <v>1.1796024031651444E-2</v>
      </c>
      <c r="G31" s="97">
        <v>483</v>
      </c>
      <c r="H31" s="14">
        <v>4830</v>
      </c>
      <c r="I31" s="14">
        <v>1</v>
      </c>
      <c r="J31" s="14">
        <f t="shared" si="1"/>
        <v>2.415</v>
      </c>
      <c r="K31" s="15">
        <v>5</v>
      </c>
      <c r="M31" s="255"/>
      <c r="N31" s="250"/>
      <c r="O31" s="250"/>
      <c r="P31" s="250"/>
      <c r="Q31" s="256"/>
      <c r="R31" s="256"/>
      <c r="S31" s="256"/>
      <c r="T31" s="257"/>
    </row>
    <row r="32" spans="1:20" ht="17.649999999999999" customHeight="1">
      <c r="A32" s="94" t="s">
        <v>129</v>
      </c>
      <c r="B32" s="94" t="s">
        <v>130</v>
      </c>
      <c r="C32" s="95" t="s">
        <v>83</v>
      </c>
      <c r="D32" s="282" t="s">
        <v>84</v>
      </c>
      <c r="E32" s="60" t="s">
        <v>85</v>
      </c>
      <c r="F32" s="96">
        <f t="shared" si="0"/>
        <v>1.1234308601572804E-2</v>
      </c>
      <c r="G32" s="97">
        <v>460</v>
      </c>
      <c r="H32" s="14">
        <v>4600</v>
      </c>
      <c r="I32" s="14">
        <v>1</v>
      </c>
      <c r="J32" s="14">
        <f t="shared" si="1"/>
        <v>4.5999999999999996</v>
      </c>
      <c r="K32" s="15">
        <v>10</v>
      </c>
      <c r="M32" s="255"/>
      <c r="N32" s="250"/>
      <c r="O32" s="250"/>
      <c r="P32" s="250"/>
      <c r="Q32" s="256"/>
      <c r="R32" s="256"/>
      <c r="S32" s="256"/>
      <c r="T32" s="257"/>
    </row>
    <row r="33" spans="1:20" ht="17.649999999999999" customHeight="1">
      <c r="A33" s="94" t="s">
        <v>129</v>
      </c>
      <c r="B33" s="94" t="s">
        <v>131</v>
      </c>
      <c r="C33" s="95" t="s">
        <v>83</v>
      </c>
      <c r="D33" s="282" t="s">
        <v>84</v>
      </c>
      <c r="E33" s="60" t="s">
        <v>85</v>
      </c>
      <c r="F33" s="96">
        <f t="shared" si="0"/>
        <v>1.1722756801641187E-2</v>
      </c>
      <c r="G33" s="97">
        <v>480</v>
      </c>
      <c r="H33" s="14">
        <v>4800</v>
      </c>
      <c r="I33" s="14">
        <v>1</v>
      </c>
      <c r="J33" s="14">
        <f t="shared" si="1"/>
        <v>4.8</v>
      </c>
      <c r="K33" s="15">
        <v>10</v>
      </c>
      <c r="M33" s="255"/>
      <c r="N33" s="250"/>
      <c r="O33" s="250"/>
      <c r="P33" s="250"/>
      <c r="Q33" s="256"/>
      <c r="R33" s="256"/>
      <c r="S33" s="256"/>
      <c r="T33" s="257"/>
    </row>
    <row r="34" spans="1:20" ht="17.649999999999999" customHeight="1">
      <c r="A34" s="94" t="s">
        <v>129</v>
      </c>
      <c r="B34" s="94" t="s">
        <v>132</v>
      </c>
      <c r="C34" s="95" t="s">
        <v>83</v>
      </c>
      <c r="D34" s="282" t="s">
        <v>84</v>
      </c>
      <c r="E34" s="60" t="s">
        <v>85</v>
      </c>
      <c r="F34" s="96">
        <f t="shared" si="0"/>
        <v>1.1625067161627509E-2</v>
      </c>
      <c r="G34" s="97">
        <v>476</v>
      </c>
      <c r="H34" s="14">
        <v>4760</v>
      </c>
      <c r="I34" s="14">
        <v>1</v>
      </c>
      <c r="J34" s="14">
        <f t="shared" si="1"/>
        <v>4.76</v>
      </c>
      <c r="K34" s="15">
        <v>10</v>
      </c>
      <c r="M34" s="255"/>
      <c r="N34" s="250"/>
      <c r="O34" s="250"/>
      <c r="P34" s="250"/>
      <c r="Q34" s="256"/>
      <c r="R34" s="256"/>
      <c r="S34" s="256"/>
      <c r="T34" s="257"/>
    </row>
    <row r="35" spans="1:20" ht="17.649999999999999" customHeight="1">
      <c r="A35" s="94" t="s">
        <v>133</v>
      </c>
      <c r="B35" s="94" t="s">
        <v>134</v>
      </c>
      <c r="C35" s="95" t="s">
        <v>83</v>
      </c>
      <c r="D35" s="282" t="s">
        <v>84</v>
      </c>
      <c r="E35" s="60" t="s">
        <v>85</v>
      </c>
      <c r="F35" s="96">
        <f t="shared" si="0"/>
        <v>2.6376202803692667E-3</v>
      </c>
      <c r="G35" s="97">
        <v>108</v>
      </c>
      <c r="H35" s="14">
        <v>1080</v>
      </c>
      <c r="I35" s="14">
        <v>1</v>
      </c>
      <c r="J35" s="14">
        <f t="shared" si="1"/>
        <v>1.08</v>
      </c>
      <c r="K35" s="15">
        <v>10</v>
      </c>
      <c r="M35" s="255"/>
      <c r="N35" s="250"/>
      <c r="O35" s="250"/>
      <c r="P35" s="250"/>
      <c r="Q35" s="256"/>
      <c r="R35" s="256"/>
      <c r="S35" s="256"/>
      <c r="T35" s="257"/>
    </row>
    <row r="36" spans="1:20" ht="17.649999999999999" customHeight="1">
      <c r="A36" s="94" t="s">
        <v>100</v>
      </c>
      <c r="B36" s="94" t="s">
        <v>135</v>
      </c>
      <c r="C36" s="95" t="s">
        <v>83</v>
      </c>
      <c r="D36" s="282" t="s">
        <v>84</v>
      </c>
      <c r="E36" s="60" t="s">
        <v>85</v>
      </c>
      <c r="F36" s="96">
        <f t="shared" si="0"/>
        <v>1.2895032481805305E-2</v>
      </c>
      <c r="G36" s="97">
        <v>528</v>
      </c>
      <c r="H36" s="14">
        <v>5280</v>
      </c>
      <c r="I36" s="14">
        <v>1</v>
      </c>
      <c r="J36" s="14">
        <f t="shared" si="1"/>
        <v>2.64</v>
      </c>
      <c r="K36" s="15">
        <v>5</v>
      </c>
      <c r="M36" s="255"/>
      <c r="N36" s="250"/>
      <c r="O36" s="250"/>
      <c r="P36" s="250"/>
      <c r="Q36" s="256"/>
      <c r="R36" s="256"/>
      <c r="S36" s="256"/>
      <c r="T36" s="257"/>
    </row>
    <row r="37" spans="1:20" ht="17.649999999999999" customHeight="1">
      <c r="A37" s="94" t="s">
        <v>136</v>
      </c>
      <c r="B37" s="94" t="s">
        <v>137</v>
      </c>
      <c r="C37" s="95" t="s">
        <v>83</v>
      </c>
      <c r="D37" s="282" t="s">
        <v>84</v>
      </c>
      <c r="E37" s="60" t="s">
        <v>85</v>
      </c>
      <c r="F37" s="96">
        <f t="shared" si="0"/>
        <v>4.6158354906462168E-3</v>
      </c>
      <c r="G37" s="97">
        <v>189</v>
      </c>
      <c r="H37" s="14">
        <v>1890</v>
      </c>
      <c r="I37" s="14">
        <v>1</v>
      </c>
      <c r="J37" s="14">
        <f t="shared" si="1"/>
        <v>1.89</v>
      </c>
      <c r="K37" s="15">
        <v>10</v>
      </c>
      <c r="M37" s="255"/>
      <c r="N37" s="250"/>
      <c r="O37" s="250"/>
      <c r="P37" s="250"/>
      <c r="Q37" s="256"/>
      <c r="R37" s="256"/>
      <c r="S37" s="256"/>
      <c r="T37" s="257"/>
    </row>
    <row r="38" spans="1:20" ht="17.649999999999999" customHeight="1">
      <c r="A38" s="94" t="s">
        <v>136</v>
      </c>
      <c r="B38" s="94" t="s">
        <v>138</v>
      </c>
      <c r="C38" s="95" t="s">
        <v>83</v>
      </c>
      <c r="D38" s="282" t="s">
        <v>84</v>
      </c>
      <c r="E38" s="60" t="s">
        <v>85</v>
      </c>
      <c r="F38" s="96">
        <f t="shared" si="0"/>
        <v>8.2547745811556682E-3</v>
      </c>
      <c r="G38" s="97">
        <v>338</v>
      </c>
      <c r="H38" s="14">
        <v>3380</v>
      </c>
      <c r="I38" s="14">
        <v>1</v>
      </c>
      <c r="J38" s="14">
        <f t="shared" si="1"/>
        <v>3.38</v>
      </c>
      <c r="K38" s="15">
        <v>10</v>
      </c>
      <c r="M38" s="255"/>
      <c r="N38" s="250"/>
      <c r="O38" s="250"/>
      <c r="P38" s="250"/>
      <c r="Q38" s="256"/>
      <c r="R38" s="256"/>
      <c r="S38" s="256"/>
      <c r="T38" s="257"/>
    </row>
    <row r="39" spans="1:20" ht="17.649999999999999" customHeight="1">
      <c r="A39" s="98" t="s">
        <v>106</v>
      </c>
      <c r="B39" s="94" t="s">
        <v>139</v>
      </c>
      <c r="C39" s="95" t="s">
        <v>83</v>
      </c>
      <c r="D39" s="282" t="s">
        <v>84</v>
      </c>
      <c r="E39" s="60" t="s">
        <v>85</v>
      </c>
      <c r="F39" s="96">
        <f t="shared" si="0"/>
        <v>1.3188101401846333E-3</v>
      </c>
      <c r="G39" s="97">
        <v>54</v>
      </c>
      <c r="H39" s="14">
        <v>540</v>
      </c>
      <c r="I39" s="14">
        <v>1</v>
      </c>
      <c r="J39" s="14">
        <f t="shared" si="1"/>
        <v>0.27</v>
      </c>
      <c r="K39" s="15">
        <v>5</v>
      </c>
      <c r="M39" s="255"/>
      <c r="N39" s="250"/>
      <c r="O39" s="250"/>
      <c r="P39" s="250"/>
      <c r="Q39" s="256"/>
      <c r="R39" s="256"/>
      <c r="S39" s="256"/>
      <c r="T39" s="257"/>
    </row>
    <row r="40" spans="1:20" ht="17.649999999999999" customHeight="1">
      <c r="A40" s="94" t="s">
        <v>81</v>
      </c>
      <c r="B40" s="94" t="s">
        <v>140</v>
      </c>
      <c r="C40" s="95" t="s">
        <v>83</v>
      </c>
      <c r="D40" s="282" t="s">
        <v>84</v>
      </c>
      <c r="E40" s="60" t="s">
        <v>85</v>
      </c>
      <c r="F40" s="96">
        <f t="shared" si="0"/>
        <v>6.9603868509744539E-3</v>
      </c>
      <c r="G40" s="97">
        <v>285</v>
      </c>
      <c r="H40" s="14">
        <v>2850</v>
      </c>
      <c r="I40" s="14">
        <v>1</v>
      </c>
      <c r="J40" s="14">
        <f t="shared" si="1"/>
        <v>2.85</v>
      </c>
      <c r="K40" s="15">
        <v>10</v>
      </c>
      <c r="M40" s="255"/>
      <c r="N40" s="250"/>
      <c r="O40" s="250"/>
      <c r="P40" s="250"/>
      <c r="Q40" s="256"/>
      <c r="R40" s="256"/>
      <c r="S40" s="256"/>
      <c r="T40" s="257"/>
    </row>
    <row r="41" spans="1:20" ht="17.649999999999999" customHeight="1">
      <c r="A41" s="94" t="s">
        <v>141</v>
      </c>
      <c r="B41" s="94" t="s">
        <v>142</v>
      </c>
      <c r="C41" s="95" t="s">
        <v>83</v>
      </c>
      <c r="D41" s="282" t="s">
        <v>94</v>
      </c>
      <c r="E41" s="60" t="s">
        <v>85</v>
      </c>
      <c r="F41" s="96">
        <f t="shared" si="0"/>
        <v>1.2431006691740342E-2</v>
      </c>
      <c r="G41" s="97">
        <v>509</v>
      </c>
      <c r="H41" s="14">
        <v>5090</v>
      </c>
      <c r="I41" s="14">
        <v>1</v>
      </c>
      <c r="J41" s="14">
        <f t="shared" si="1"/>
        <v>2.5449999999999999</v>
      </c>
      <c r="K41" s="15">
        <v>5</v>
      </c>
      <c r="M41" s="255"/>
      <c r="N41" s="250"/>
      <c r="O41" s="250"/>
      <c r="P41" s="250"/>
      <c r="Q41" s="256"/>
      <c r="R41" s="256"/>
      <c r="S41" s="256"/>
      <c r="T41" s="257"/>
    </row>
    <row r="42" spans="1:20" ht="17.649999999999999" customHeight="1">
      <c r="A42" s="94" t="s">
        <v>100</v>
      </c>
      <c r="B42" s="94" t="s">
        <v>143</v>
      </c>
      <c r="C42" s="95" t="s">
        <v>83</v>
      </c>
      <c r="D42" s="282" t="s">
        <v>84</v>
      </c>
      <c r="E42" s="60" t="s">
        <v>85</v>
      </c>
      <c r="F42" s="96">
        <f t="shared" si="0"/>
        <v>3.1260684804376494E-3</v>
      </c>
      <c r="G42" s="97">
        <v>128</v>
      </c>
      <c r="H42" s="14">
        <v>1280</v>
      </c>
      <c r="I42" s="14">
        <v>1</v>
      </c>
      <c r="J42" s="14">
        <f t="shared" si="1"/>
        <v>0.64</v>
      </c>
      <c r="K42" s="15">
        <v>5</v>
      </c>
      <c r="M42" s="255"/>
      <c r="N42" s="250"/>
      <c r="O42" s="250"/>
      <c r="P42" s="250"/>
      <c r="Q42" s="256"/>
      <c r="R42" s="256"/>
      <c r="S42" s="256"/>
      <c r="T42" s="257"/>
    </row>
    <row r="43" spans="1:20" ht="17.649999999999999" customHeight="1">
      <c r="A43" s="94" t="s">
        <v>133</v>
      </c>
      <c r="B43" s="94" t="s">
        <v>144</v>
      </c>
      <c r="C43" s="95" t="s">
        <v>83</v>
      </c>
      <c r="D43" s="282" t="s">
        <v>84</v>
      </c>
      <c r="E43" s="60" t="s">
        <v>85</v>
      </c>
      <c r="F43" s="96">
        <f t="shared" si="0"/>
        <v>1.3188101401846335E-2</v>
      </c>
      <c r="G43" s="97">
        <v>540</v>
      </c>
      <c r="H43" s="14">
        <v>5400</v>
      </c>
      <c r="I43" s="14">
        <v>1</v>
      </c>
      <c r="J43" s="14">
        <f t="shared" si="1"/>
        <v>5.4</v>
      </c>
      <c r="K43" s="15">
        <v>10</v>
      </c>
      <c r="M43" s="255"/>
      <c r="N43" s="250"/>
      <c r="O43" s="250"/>
      <c r="P43" s="250"/>
      <c r="Q43" s="256"/>
      <c r="R43" s="256"/>
      <c r="S43" s="256"/>
      <c r="T43" s="257"/>
    </row>
    <row r="44" spans="1:20" ht="17.649999999999999" customHeight="1">
      <c r="A44" s="94" t="s">
        <v>92</v>
      </c>
      <c r="B44" s="94" t="s">
        <v>145</v>
      </c>
      <c r="C44" s="95" t="s">
        <v>83</v>
      </c>
      <c r="D44" s="282" t="s">
        <v>94</v>
      </c>
      <c r="E44" s="60" t="s">
        <v>85</v>
      </c>
      <c r="F44" s="96">
        <f t="shared" si="0"/>
        <v>2.9062667904068773E-3</v>
      </c>
      <c r="G44" s="97">
        <v>119</v>
      </c>
      <c r="H44" s="14">
        <v>1190</v>
      </c>
      <c r="I44" s="14">
        <v>1</v>
      </c>
      <c r="J44" s="14">
        <f t="shared" si="1"/>
        <v>0.59499999999999997</v>
      </c>
      <c r="K44" s="15">
        <v>5</v>
      </c>
      <c r="M44" s="255"/>
      <c r="N44" s="250"/>
      <c r="O44" s="250"/>
      <c r="P44" s="250"/>
      <c r="Q44" s="256"/>
      <c r="R44" s="256"/>
      <c r="S44" s="256"/>
      <c r="T44" s="257"/>
    </row>
    <row r="45" spans="1:20" ht="17.649999999999999" customHeight="1">
      <c r="A45" s="94" t="s">
        <v>100</v>
      </c>
      <c r="B45" s="94" t="s">
        <v>146</v>
      </c>
      <c r="C45" s="95" t="s">
        <v>83</v>
      </c>
      <c r="D45" s="282" t="s">
        <v>84</v>
      </c>
      <c r="E45" s="60" t="s">
        <v>85</v>
      </c>
      <c r="F45" s="96">
        <f t="shared" si="0"/>
        <v>2.0514824402872076E-3</v>
      </c>
      <c r="G45" s="97">
        <v>84</v>
      </c>
      <c r="H45" s="14">
        <v>840</v>
      </c>
      <c r="I45" s="14">
        <v>1</v>
      </c>
      <c r="J45" s="14">
        <f t="shared" si="1"/>
        <v>0.42</v>
      </c>
      <c r="K45" s="15">
        <v>5</v>
      </c>
      <c r="M45" s="255"/>
      <c r="N45" s="250"/>
      <c r="O45" s="250"/>
      <c r="P45" s="250"/>
      <c r="Q45" s="256"/>
      <c r="R45" s="256"/>
      <c r="S45" s="256"/>
      <c r="T45" s="257"/>
    </row>
    <row r="46" spans="1:20" ht="17.649999999999999" customHeight="1">
      <c r="A46" s="94" t="s">
        <v>86</v>
      </c>
      <c r="B46" s="94" t="s">
        <v>147</v>
      </c>
      <c r="C46" s="95" t="s">
        <v>83</v>
      </c>
      <c r="D46" s="282" t="s">
        <v>84</v>
      </c>
      <c r="E46" s="60" t="s">
        <v>85</v>
      </c>
      <c r="F46" s="96">
        <f t="shared" si="0"/>
        <v>3.0772236604308112E-3</v>
      </c>
      <c r="G46" s="97">
        <v>126</v>
      </c>
      <c r="H46" s="14">
        <v>1260</v>
      </c>
      <c r="I46" s="14">
        <v>1</v>
      </c>
      <c r="J46" s="14">
        <f t="shared" si="1"/>
        <v>1.26</v>
      </c>
      <c r="K46" s="15">
        <v>10</v>
      </c>
      <c r="M46" s="255"/>
      <c r="N46" s="250"/>
      <c r="O46" s="250"/>
      <c r="P46" s="250"/>
      <c r="Q46" s="256"/>
      <c r="R46" s="256"/>
      <c r="S46" s="256"/>
      <c r="T46" s="257"/>
    </row>
    <row r="47" spans="1:20" ht="17.649999999999999" customHeight="1">
      <c r="A47" s="94" t="s">
        <v>86</v>
      </c>
      <c r="B47" s="94" t="s">
        <v>148</v>
      </c>
      <c r="C47" s="95" t="s">
        <v>83</v>
      </c>
      <c r="D47" s="282" t="s">
        <v>84</v>
      </c>
      <c r="E47" s="60" t="s">
        <v>85</v>
      </c>
      <c r="F47" s="96">
        <f t="shared" si="0"/>
        <v>1.3676549601914717E-3</v>
      </c>
      <c r="G47" s="97">
        <v>56</v>
      </c>
      <c r="H47" s="14">
        <v>560</v>
      </c>
      <c r="I47" s="14">
        <v>1</v>
      </c>
      <c r="J47" s="14">
        <f t="shared" si="1"/>
        <v>0.56000000000000005</v>
      </c>
      <c r="K47" s="15">
        <v>10</v>
      </c>
      <c r="M47" s="255"/>
      <c r="N47" s="250"/>
      <c r="O47" s="250"/>
      <c r="P47" s="250"/>
      <c r="Q47" s="256"/>
      <c r="R47" s="256"/>
      <c r="S47" s="256"/>
      <c r="T47" s="257"/>
    </row>
    <row r="48" spans="1:20" ht="17.649999999999999" customHeight="1">
      <c r="A48" s="94" t="s">
        <v>86</v>
      </c>
      <c r="B48" s="94" t="s">
        <v>149</v>
      </c>
      <c r="C48" s="95" t="s">
        <v>83</v>
      </c>
      <c r="D48" s="282" t="s">
        <v>84</v>
      </c>
      <c r="E48" s="60" t="s">
        <v>85</v>
      </c>
      <c r="F48" s="96">
        <f t="shared" si="0"/>
        <v>4.3960338006154443E-3</v>
      </c>
      <c r="G48" s="97">
        <v>180</v>
      </c>
      <c r="H48" s="14">
        <v>1800</v>
      </c>
      <c r="I48" s="14">
        <v>1</v>
      </c>
      <c r="J48" s="14">
        <f t="shared" si="1"/>
        <v>1.8</v>
      </c>
      <c r="K48" s="15">
        <v>10</v>
      </c>
      <c r="M48" s="255"/>
      <c r="N48" s="250"/>
      <c r="O48" s="250"/>
      <c r="P48" s="250"/>
      <c r="Q48" s="256"/>
      <c r="R48" s="256"/>
      <c r="S48" s="256"/>
      <c r="T48" s="257"/>
    </row>
    <row r="49" spans="1:20" ht="17.649999999999999" customHeight="1">
      <c r="A49" s="94" t="s">
        <v>133</v>
      </c>
      <c r="B49" s="94" t="s">
        <v>150</v>
      </c>
      <c r="C49" s="95" t="s">
        <v>83</v>
      </c>
      <c r="D49" s="282" t="s">
        <v>84</v>
      </c>
      <c r="E49" s="60" t="s">
        <v>85</v>
      </c>
      <c r="F49" s="96">
        <f t="shared" si="0"/>
        <v>7.3267230010257414E-3</v>
      </c>
      <c r="G49" s="97">
        <v>300</v>
      </c>
      <c r="H49" s="14">
        <v>3000</v>
      </c>
      <c r="I49" s="14">
        <v>1</v>
      </c>
      <c r="J49" s="14">
        <f t="shared" si="1"/>
        <v>3</v>
      </c>
      <c r="K49" s="15">
        <v>10</v>
      </c>
      <c r="M49" s="255"/>
      <c r="N49" s="250"/>
      <c r="O49" s="250"/>
      <c r="P49" s="250"/>
      <c r="Q49" s="256"/>
      <c r="R49" s="256"/>
      <c r="S49" s="256"/>
      <c r="T49" s="257"/>
    </row>
    <row r="50" spans="1:20" ht="17.649999999999999" customHeight="1">
      <c r="A50" s="94" t="s">
        <v>100</v>
      </c>
      <c r="B50" s="94" t="s">
        <v>151</v>
      </c>
      <c r="C50" s="95" t="s">
        <v>83</v>
      </c>
      <c r="D50" s="282" t="s">
        <v>84</v>
      </c>
      <c r="E50" s="60" t="s">
        <v>85</v>
      </c>
      <c r="F50" s="96">
        <f t="shared" si="0"/>
        <v>1.5044204562106188E-2</v>
      </c>
      <c r="G50" s="97">
        <v>616</v>
      </c>
      <c r="H50" s="14">
        <v>6160</v>
      </c>
      <c r="I50" s="14">
        <v>1</v>
      </c>
      <c r="J50" s="14">
        <f t="shared" si="1"/>
        <v>3.08</v>
      </c>
      <c r="K50" s="15">
        <v>5</v>
      </c>
      <c r="M50" s="255"/>
      <c r="N50" s="250"/>
      <c r="O50" s="250"/>
      <c r="P50" s="250"/>
      <c r="Q50" s="256"/>
      <c r="R50" s="256"/>
      <c r="S50" s="256"/>
      <c r="T50" s="257"/>
    </row>
    <row r="51" spans="1:20" ht="17.649999999999999" customHeight="1">
      <c r="A51" s="94" t="s">
        <v>122</v>
      </c>
      <c r="B51" s="94" t="s">
        <v>152</v>
      </c>
      <c r="C51" s="95" t="s">
        <v>83</v>
      </c>
      <c r="D51" s="282" t="s">
        <v>84</v>
      </c>
      <c r="E51" s="60" t="s">
        <v>85</v>
      </c>
      <c r="F51" s="96">
        <f t="shared" si="0"/>
        <v>9.6712743613539785E-3</v>
      </c>
      <c r="G51" s="97">
        <v>396</v>
      </c>
      <c r="H51" s="14">
        <v>3960</v>
      </c>
      <c r="I51" s="14">
        <v>1</v>
      </c>
      <c r="J51" s="14">
        <f t="shared" si="1"/>
        <v>0.79200000000000004</v>
      </c>
      <c r="K51" s="15">
        <v>2</v>
      </c>
      <c r="M51" s="255"/>
      <c r="N51" s="250"/>
      <c r="O51" s="250"/>
      <c r="P51" s="250"/>
      <c r="Q51" s="256"/>
      <c r="R51" s="256"/>
      <c r="S51" s="256"/>
      <c r="T51" s="257"/>
    </row>
    <row r="52" spans="1:20" ht="17.649999999999999" customHeight="1">
      <c r="A52" s="94" t="s">
        <v>122</v>
      </c>
      <c r="B52" s="94" t="s">
        <v>153</v>
      </c>
      <c r="C52" s="95" t="s">
        <v>83</v>
      </c>
      <c r="D52" s="282" t="s">
        <v>84</v>
      </c>
      <c r="E52" s="60" t="s">
        <v>85</v>
      </c>
      <c r="F52" s="96">
        <f t="shared" si="0"/>
        <v>2.2468617203145608E-2</v>
      </c>
      <c r="G52" s="97">
        <v>920</v>
      </c>
      <c r="H52" s="14">
        <v>9200</v>
      </c>
      <c r="I52" s="14">
        <v>1</v>
      </c>
      <c r="J52" s="14">
        <f t="shared" si="1"/>
        <v>1.84</v>
      </c>
      <c r="K52" s="15">
        <v>2</v>
      </c>
      <c r="M52" s="255"/>
      <c r="N52" s="250"/>
      <c r="O52" s="250"/>
      <c r="P52" s="250"/>
      <c r="Q52" s="256"/>
      <c r="R52" s="256"/>
      <c r="S52" s="256"/>
      <c r="T52" s="257"/>
    </row>
    <row r="53" spans="1:20" ht="17.649999999999999" customHeight="1">
      <c r="A53" s="94" t="s">
        <v>100</v>
      </c>
      <c r="B53" s="94" t="s">
        <v>154</v>
      </c>
      <c r="C53" s="95" t="s">
        <v>83</v>
      </c>
      <c r="D53" s="282" t="s">
        <v>84</v>
      </c>
      <c r="E53" s="60" t="s">
        <v>85</v>
      </c>
      <c r="F53" s="96">
        <f t="shared" si="0"/>
        <v>4.7867923606701506E-3</v>
      </c>
      <c r="G53" s="97">
        <v>196</v>
      </c>
      <c r="H53" s="14">
        <v>1960</v>
      </c>
      <c r="I53" s="14">
        <v>1</v>
      </c>
      <c r="J53" s="14">
        <f t="shared" si="1"/>
        <v>0.98</v>
      </c>
      <c r="K53" s="15">
        <v>5</v>
      </c>
      <c r="M53" s="255"/>
      <c r="N53" s="250"/>
      <c r="O53" s="250"/>
      <c r="P53" s="250"/>
      <c r="Q53" s="256"/>
      <c r="R53" s="256"/>
      <c r="S53" s="256"/>
      <c r="T53" s="257"/>
    </row>
    <row r="54" spans="1:20" ht="17.649999999999999" customHeight="1">
      <c r="A54" s="94" t="s">
        <v>100</v>
      </c>
      <c r="B54" s="94" t="s">
        <v>155</v>
      </c>
      <c r="C54" s="95" t="s">
        <v>83</v>
      </c>
      <c r="D54" s="282" t="s">
        <v>84</v>
      </c>
      <c r="E54" s="60" t="s">
        <v>85</v>
      </c>
      <c r="F54" s="96">
        <f t="shared" si="0"/>
        <v>6.2521369608752988E-3</v>
      </c>
      <c r="G54" s="97">
        <v>256</v>
      </c>
      <c r="H54" s="14">
        <v>2560</v>
      </c>
      <c r="I54" s="14">
        <v>1</v>
      </c>
      <c r="J54" s="14">
        <f t="shared" si="1"/>
        <v>1.28</v>
      </c>
      <c r="K54" s="15">
        <v>5</v>
      </c>
      <c r="M54" s="255"/>
      <c r="N54" s="250"/>
      <c r="O54" s="250"/>
      <c r="P54" s="250"/>
      <c r="Q54" s="258"/>
      <c r="R54" s="256"/>
      <c r="S54" s="256"/>
      <c r="T54" s="257"/>
    </row>
    <row r="55" spans="1:20" ht="17.649999999999999" customHeight="1">
      <c r="A55" s="94" t="s">
        <v>122</v>
      </c>
      <c r="B55" s="94" t="s">
        <v>156</v>
      </c>
      <c r="C55" s="95" t="s">
        <v>83</v>
      </c>
      <c r="D55" s="282" t="s">
        <v>84</v>
      </c>
      <c r="E55" s="60" t="s">
        <v>85</v>
      </c>
      <c r="F55" s="96">
        <f t="shared" si="0"/>
        <v>1.0257412201436038E-3</v>
      </c>
      <c r="G55" s="97">
        <v>42</v>
      </c>
      <c r="H55" s="14">
        <v>420</v>
      </c>
      <c r="I55" s="14">
        <v>1</v>
      </c>
      <c r="J55" s="14">
        <f t="shared" si="1"/>
        <v>8.4000000000000005E-2</v>
      </c>
      <c r="K55" s="15">
        <v>2</v>
      </c>
      <c r="M55" s="255"/>
      <c r="N55" s="250"/>
      <c r="O55" s="250"/>
      <c r="P55" s="250"/>
      <c r="Q55" s="256"/>
      <c r="R55" s="256"/>
      <c r="S55" s="256"/>
      <c r="T55" s="257"/>
    </row>
    <row r="56" spans="1:20" ht="17.649999999999999" customHeight="1">
      <c r="A56" s="94" t="s">
        <v>122</v>
      </c>
      <c r="B56" s="94" t="s">
        <v>157</v>
      </c>
      <c r="C56" s="95" t="s">
        <v>83</v>
      </c>
      <c r="D56" s="282" t="s">
        <v>84</v>
      </c>
      <c r="E56" s="60" t="s">
        <v>85</v>
      </c>
      <c r="F56" s="96">
        <f t="shared" si="0"/>
        <v>8.7920676012308886E-3</v>
      </c>
      <c r="G56" s="97">
        <v>360</v>
      </c>
      <c r="H56" s="14">
        <v>3600</v>
      </c>
      <c r="I56" s="14">
        <v>1</v>
      </c>
      <c r="J56" s="14">
        <f t="shared" si="1"/>
        <v>0.72</v>
      </c>
      <c r="K56" s="15">
        <v>2</v>
      </c>
      <c r="M56" s="255"/>
      <c r="N56" s="250"/>
      <c r="O56" s="250"/>
      <c r="P56" s="250"/>
      <c r="Q56" s="256"/>
      <c r="R56" s="256"/>
      <c r="S56" s="256"/>
      <c r="T56" s="257"/>
    </row>
    <row r="57" spans="1:20" ht="17.649999999999999" customHeight="1">
      <c r="A57" s="94" t="s">
        <v>100</v>
      </c>
      <c r="B57" s="94" t="s">
        <v>158</v>
      </c>
      <c r="C57" s="95" t="s">
        <v>83</v>
      </c>
      <c r="D57" s="282" t="s">
        <v>84</v>
      </c>
      <c r="E57" s="60" t="s">
        <v>85</v>
      </c>
      <c r="F57" s="96">
        <f t="shared" si="0"/>
        <v>1.7584135202461779E-3</v>
      </c>
      <c r="G57" s="97">
        <v>72</v>
      </c>
      <c r="H57" s="14">
        <v>720</v>
      </c>
      <c r="I57" s="14">
        <v>1</v>
      </c>
      <c r="J57" s="14">
        <f t="shared" si="1"/>
        <v>0.36</v>
      </c>
      <c r="K57" s="15">
        <v>5</v>
      </c>
      <c r="M57" s="255"/>
      <c r="N57" s="250"/>
      <c r="O57" s="250"/>
      <c r="P57" s="250"/>
      <c r="Q57" s="256"/>
      <c r="R57" s="256"/>
      <c r="S57" s="256"/>
      <c r="T57" s="257"/>
    </row>
    <row r="58" spans="1:20" ht="17.649999999999999" customHeight="1">
      <c r="A58" s="98" t="s">
        <v>159</v>
      </c>
      <c r="B58" s="94" t="s">
        <v>160</v>
      </c>
      <c r="C58" s="95" t="s">
        <v>161</v>
      </c>
      <c r="D58" s="282" t="s">
        <v>94</v>
      </c>
      <c r="E58" s="60" t="s">
        <v>85</v>
      </c>
      <c r="F58" s="96">
        <f t="shared" si="0"/>
        <v>8.2059297611488304E-3</v>
      </c>
      <c r="G58" s="97">
        <v>336</v>
      </c>
      <c r="H58" s="14">
        <v>3360</v>
      </c>
      <c r="I58" s="14">
        <v>1</v>
      </c>
      <c r="J58" s="14">
        <f t="shared" si="1"/>
        <v>11.087999999999999</v>
      </c>
      <c r="K58" s="15">
        <v>33</v>
      </c>
      <c r="M58" s="255"/>
      <c r="N58" s="250"/>
      <c r="O58" s="250"/>
      <c r="P58" s="250"/>
      <c r="Q58" s="256"/>
      <c r="R58" s="256"/>
      <c r="S58" s="256"/>
      <c r="T58" s="257"/>
    </row>
    <row r="59" spans="1:20" ht="17.649999999999999" customHeight="1">
      <c r="A59" s="98" t="s">
        <v>106</v>
      </c>
      <c r="B59" s="94" t="s">
        <v>162</v>
      </c>
      <c r="C59" s="95" t="s">
        <v>161</v>
      </c>
      <c r="D59" s="282" t="s">
        <v>84</v>
      </c>
      <c r="E59" s="60" t="s">
        <v>85</v>
      </c>
      <c r="F59" s="96">
        <f t="shared" si="0"/>
        <v>1.5630342402188247E-3</v>
      </c>
      <c r="G59" s="97">
        <v>64</v>
      </c>
      <c r="H59" s="14">
        <v>640</v>
      </c>
      <c r="I59" s="14">
        <v>1</v>
      </c>
      <c r="J59" s="14">
        <f t="shared" si="1"/>
        <v>0.32</v>
      </c>
      <c r="K59" s="15">
        <v>5</v>
      </c>
      <c r="M59" s="255"/>
      <c r="N59" s="250"/>
      <c r="O59" s="250"/>
      <c r="P59" s="250"/>
      <c r="Q59" s="256"/>
      <c r="R59" s="256"/>
      <c r="S59" s="256"/>
      <c r="T59" s="257"/>
    </row>
    <row r="60" spans="1:20" ht="17.649999999999999" customHeight="1">
      <c r="A60" s="94" t="s">
        <v>92</v>
      </c>
      <c r="B60" s="94" t="s">
        <v>163</v>
      </c>
      <c r="C60" s="95" t="s">
        <v>161</v>
      </c>
      <c r="D60" s="282" t="s">
        <v>94</v>
      </c>
      <c r="E60" s="60" t="s">
        <v>85</v>
      </c>
      <c r="F60" s="96">
        <f t="shared" si="0"/>
        <v>1.7095687002393397E-3</v>
      </c>
      <c r="G60" s="97">
        <v>70</v>
      </c>
      <c r="H60" s="14">
        <v>700</v>
      </c>
      <c r="I60" s="14">
        <v>1</v>
      </c>
      <c r="J60" s="14">
        <f t="shared" si="1"/>
        <v>0.35</v>
      </c>
      <c r="K60" s="15">
        <v>5</v>
      </c>
      <c r="M60" s="255"/>
      <c r="N60" s="250"/>
      <c r="O60" s="250"/>
      <c r="P60" s="250"/>
      <c r="Q60" s="256"/>
      <c r="R60" s="256"/>
      <c r="S60" s="256"/>
      <c r="T60" s="257"/>
    </row>
    <row r="61" spans="1:20" ht="17.649999999999999" customHeight="1">
      <c r="A61" s="94" t="s">
        <v>81</v>
      </c>
      <c r="B61" s="94" t="s">
        <v>164</v>
      </c>
      <c r="C61" s="95" t="s">
        <v>161</v>
      </c>
      <c r="D61" s="282" t="s">
        <v>84</v>
      </c>
      <c r="E61" s="60" t="s">
        <v>85</v>
      </c>
      <c r="F61" s="96">
        <f t="shared" si="0"/>
        <v>8.7920676012308886E-3</v>
      </c>
      <c r="G61" s="97">
        <v>360</v>
      </c>
      <c r="H61" s="14">
        <v>3600</v>
      </c>
      <c r="I61" s="14">
        <v>1</v>
      </c>
      <c r="J61" s="14">
        <f t="shared" si="1"/>
        <v>3.6</v>
      </c>
      <c r="K61" s="15">
        <v>10</v>
      </c>
      <c r="M61" s="255"/>
      <c r="N61" s="250"/>
      <c r="O61" s="250"/>
      <c r="P61" s="250"/>
      <c r="Q61" s="256"/>
      <c r="R61" s="256"/>
      <c r="S61" s="256"/>
      <c r="T61" s="257"/>
    </row>
    <row r="62" spans="1:20" ht="17.649999999999999" customHeight="1">
      <c r="A62" s="94" t="s">
        <v>81</v>
      </c>
      <c r="B62" s="94" t="s">
        <v>165</v>
      </c>
      <c r="C62" s="95" t="s">
        <v>161</v>
      </c>
      <c r="D62" s="282" t="s">
        <v>84</v>
      </c>
      <c r="E62" s="60" t="s">
        <v>85</v>
      </c>
      <c r="F62" s="96">
        <f t="shared" si="0"/>
        <v>1.3188101401846335E-2</v>
      </c>
      <c r="G62" s="97">
        <v>540</v>
      </c>
      <c r="H62" s="14">
        <v>5400</v>
      </c>
      <c r="I62" s="14">
        <v>1</v>
      </c>
      <c r="J62" s="14">
        <f t="shared" si="1"/>
        <v>5.4</v>
      </c>
      <c r="K62" s="15">
        <v>10</v>
      </c>
      <c r="M62" s="255"/>
      <c r="N62" s="250"/>
      <c r="O62" s="250"/>
      <c r="P62" s="250"/>
      <c r="Q62" s="256"/>
      <c r="R62" s="256"/>
      <c r="S62" s="256"/>
      <c r="T62" s="257"/>
    </row>
    <row r="63" spans="1:20" ht="17.649999999999999" customHeight="1">
      <c r="A63" s="94" t="s">
        <v>81</v>
      </c>
      <c r="B63" s="94" t="s">
        <v>166</v>
      </c>
      <c r="C63" s="95" t="s">
        <v>161</v>
      </c>
      <c r="D63" s="282" t="s">
        <v>84</v>
      </c>
      <c r="E63" s="60" t="s">
        <v>85</v>
      </c>
      <c r="F63" s="96">
        <f t="shared" si="0"/>
        <v>1.7584135202461777E-2</v>
      </c>
      <c r="G63" s="97">
        <v>720</v>
      </c>
      <c r="H63" s="14">
        <v>7200</v>
      </c>
      <c r="I63" s="14">
        <v>1</v>
      </c>
      <c r="J63" s="14">
        <f t="shared" si="1"/>
        <v>7.2</v>
      </c>
      <c r="K63" s="15">
        <v>10</v>
      </c>
      <c r="M63" s="255"/>
      <c r="N63" s="250"/>
      <c r="O63" s="250"/>
      <c r="P63" s="250"/>
      <c r="Q63" s="256"/>
      <c r="R63" s="256"/>
      <c r="S63" s="256"/>
      <c r="T63" s="257"/>
    </row>
    <row r="64" spans="1:20" ht="17.649999999999999" customHeight="1">
      <c r="A64" s="94" t="s">
        <v>81</v>
      </c>
      <c r="B64" s="94" t="s">
        <v>167</v>
      </c>
      <c r="C64" s="95" t="s">
        <v>161</v>
      </c>
      <c r="D64" s="282" t="s">
        <v>84</v>
      </c>
      <c r="E64" s="60" t="s">
        <v>85</v>
      </c>
      <c r="F64" s="96">
        <f t="shared" si="0"/>
        <v>2.0514824402872076E-3</v>
      </c>
      <c r="G64" s="97">
        <v>84</v>
      </c>
      <c r="H64" s="14">
        <v>840</v>
      </c>
      <c r="I64" s="14">
        <v>1</v>
      </c>
      <c r="J64" s="14">
        <f t="shared" si="1"/>
        <v>0.84</v>
      </c>
      <c r="K64" s="15">
        <v>10</v>
      </c>
      <c r="M64" s="255"/>
      <c r="N64" s="250"/>
      <c r="O64" s="250"/>
      <c r="P64" s="250"/>
      <c r="Q64" s="256"/>
      <c r="R64" s="256"/>
      <c r="S64" s="256"/>
      <c r="T64" s="257"/>
    </row>
    <row r="65" spans="1:20" ht="17.649999999999999" customHeight="1">
      <c r="A65" s="94" t="s">
        <v>81</v>
      </c>
      <c r="B65" s="94" t="s">
        <v>168</v>
      </c>
      <c r="C65" s="95" t="s">
        <v>161</v>
      </c>
      <c r="D65" s="282" t="s">
        <v>84</v>
      </c>
      <c r="E65" s="60" t="s">
        <v>85</v>
      </c>
      <c r="F65" s="96">
        <f t="shared" si="0"/>
        <v>8.5478435011966981E-3</v>
      </c>
      <c r="G65" s="97">
        <v>350</v>
      </c>
      <c r="H65" s="14">
        <v>3500</v>
      </c>
      <c r="I65" s="14">
        <v>1</v>
      </c>
      <c r="J65" s="14">
        <f t="shared" si="1"/>
        <v>3.5</v>
      </c>
      <c r="K65" s="15">
        <v>10</v>
      </c>
      <c r="M65" s="255"/>
      <c r="N65" s="250"/>
      <c r="O65" s="250"/>
      <c r="P65" s="250"/>
      <c r="Q65" s="256"/>
      <c r="R65" s="256"/>
      <c r="S65" s="256"/>
      <c r="T65" s="257"/>
    </row>
    <row r="66" spans="1:20" ht="17.649999999999999" customHeight="1">
      <c r="A66" s="94" t="s">
        <v>81</v>
      </c>
      <c r="B66" s="94" t="s">
        <v>169</v>
      </c>
      <c r="C66" s="95" t="s">
        <v>161</v>
      </c>
      <c r="D66" s="282" t="s">
        <v>84</v>
      </c>
      <c r="E66" s="60" t="s">
        <v>85</v>
      </c>
      <c r="F66" s="96">
        <f t="shared" si="0"/>
        <v>5.4950422507693058E-3</v>
      </c>
      <c r="G66" s="97">
        <v>225</v>
      </c>
      <c r="H66" s="14">
        <v>2250</v>
      </c>
      <c r="I66" s="14">
        <v>1</v>
      </c>
      <c r="J66" s="14">
        <f t="shared" si="1"/>
        <v>2.25</v>
      </c>
      <c r="K66" s="15">
        <v>10</v>
      </c>
      <c r="M66" s="255"/>
      <c r="N66" s="250"/>
      <c r="O66" s="250"/>
      <c r="P66" s="250"/>
      <c r="Q66" s="256"/>
      <c r="R66" s="256"/>
      <c r="S66" s="256"/>
      <c r="T66" s="257"/>
    </row>
    <row r="67" spans="1:20" ht="17.649999999999999" customHeight="1">
      <c r="A67" s="94" t="s">
        <v>81</v>
      </c>
      <c r="B67" s="94" t="s">
        <v>170</v>
      </c>
      <c r="C67" s="95" t="s">
        <v>161</v>
      </c>
      <c r="D67" s="282" t="s">
        <v>84</v>
      </c>
      <c r="E67" s="60" t="s">
        <v>85</v>
      </c>
      <c r="F67" s="96">
        <f t="shared" si="0"/>
        <v>1.9342548722707957E-2</v>
      </c>
      <c r="G67" s="97">
        <v>792</v>
      </c>
      <c r="H67" s="14">
        <v>7920</v>
      </c>
      <c r="I67" s="14">
        <v>1</v>
      </c>
      <c r="J67" s="14">
        <f t="shared" si="1"/>
        <v>7.92</v>
      </c>
      <c r="K67" s="15">
        <v>10</v>
      </c>
      <c r="M67" s="255"/>
      <c r="N67" s="250"/>
      <c r="O67" s="250"/>
      <c r="P67" s="250"/>
      <c r="Q67" s="256"/>
      <c r="R67" s="256"/>
      <c r="S67" s="256"/>
      <c r="T67" s="257"/>
    </row>
    <row r="68" spans="1:20" ht="17.649999999999999" customHeight="1">
      <c r="A68" s="94" t="s">
        <v>81</v>
      </c>
      <c r="B68" s="94" t="s">
        <v>171</v>
      </c>
      <c r="C68" s="95" t="s">
        <v>161</v>
      </c>
      <c r="D68" s="282" t="s">
        <v>84</v>
      </c>
      <c r="E68" s="60" t="s">
        <v>85</v>
      </c>
      <c r="F68" s="96">
        <f t="shared" ref="F68:F120" si="2">G68/$G$121</f>
        <v>6.5940507009231673E-3</v>
      </c>
      <c r="G68" s="97">
        <v>270</v>
      </c>
      <c r="H68" s="14">
        <v>2700</v>
      </c>
      <c r="I68" s="14">
        <v>1</v>
      </c>
      <c r="J68" s="14">
        <f t="shared" ref="J68:J120" si="3">K68*G68/1000</f>
        <v>2.7</v>
      </c>
      <c r="K68" s="15">
        <v>10</v>
      </c>
      <c r="M68" s="255"/>
      <c r="N68" s="250"/>
      <c r="O68" s="250"/>
      <c r="P68" s="250"/>
      <c r="Q68" s="256"/>
      <c r="R68" s="256"/>
      <c r="S68" s="256"/>
      <c r="T68" s="257"/>
    </row>
    <row r="69" spans="1:20" ht="17.649999999999999" customHeight="1">
      <c r="A69" s="94" t="s">
        <v>81</v>
      </c>
      <c r="B69" s="94" t="s">
        <v>172</v>
      </c>
      <c r="C69" s="95" t="s">
        <v>161</v>
      </c>
      <c r="D69" s="282" t="s">
        <v>84</v>
      </c>
      <c r="E69" s="60" t="s">
        <v>85</v>
      </c>
      <c r="F69" s="96">
        <f t="shared" si="2"/>
        <v>9.6712743613539785E-3</v>
      </c>
      <c r="G69" s="97">
        <v>396</v>
      </c>
      <c r="H69" s="14">
        <v>3960</v>
      </c>
      <c r="I69" s="14">
        <v>1</v>
      </c>
      <c r="J69" s="14">
        <f t="shared" si="3"/>
        <v>3.96</v>
      </c>
      <c r="K69" s="15">
        <v>10</v>
      </c>
      <c r="M69" s="255"/>
      <c r="N69" s="250"/>
      <c r="O69" s="250"/>
      <c r="P69" s="250"/>
      <c r="Q69" s="256"/>
      <c r="R69" s="256"/>
      <c r="S69" s="256"/>
      <c r="T69" s="257"/>
    </row>
    <row r="70" spans="1:20" ht="17.649999999999999" customHeight="1">
      <c r="A70" s="94" t="s">
        <v>100</v>
      </c>
      <c r="B70" s="94" t="s">
        <v>173</v>
      </c>
      <c r="C70" s="95" t="s">
        <v>161</v>
      </c>
      <c r="D70" s="282" t="s">
        <v>84</v>
      </c>
      <c r="E70" s="60" t="s">
        <v>85</v>
      </c>
      <c r="F70" s="96">
        <f t="shared" si="2"/>
        <v>4.3960338006154443E-3</v>
      </c>
      <c r="G70" s="97">
        <v>180</v>
      </c>
      <c r="H70" s="14">
        <v>1800</v>
      </c>
      <c r="I70" s="14">
        <v>1</v>
      </c>
      <c r="J70" s="14">
        <f t="shared" si="3"/>
        <v>0.9</v>
      </c>
      <c r="K70" s="15">
        <v>5</v>
      </c>
      <c r="M70" s="255"/>
      <c r="N70" s="250"/>
      <c r="O70" s="250"/>
      <c r="P70" s="250"/>
      <c r="Q70" s="256"/>
      <c r="R70" s="256"/>
      <c r="S70" s="256"/>
      <c r="T70" s="257"/>
    </row>
    <row r="71" spans="1:20" ht="17.649999999999999" customHeight="1">
      <c r="A71" s="94" t="s">
        <v>100</v>
      </c>
      <c r="B71" s="94" t="s">
        <v>174</v>
      </c>
      <c r="C71" s="95" t="s">
        <v>161</v>
      </c>
      <c r="D71" s="282" t="s">
        <v>84</v>
      </c>
      <c r="E71" s="60" t="s">
        <v>85</v>
      </c>
      <c r="F71" s="96">
        <f t="shared" si="2"/>
        <v>4.3960338006154443E-3</v>
      </c>
      <c r="G71" s="97">
        <v>180</v>
      </c>
      <c r="H71" s="14">
        <v>1800</v>
      </c>
      <c r="I71" s="14">
        <v>1</v>
      </c>
      <c r="J71" s="14">
        <f t="shared" si="3"/>
        <v>0.9</v>
      </c>
      <c r="K71" s="15">
        <v>5</v>
      </c>
      <c r="M71" s="255"/>
      <c r="N71" s="250"/>
      <c r="O71" s="250"/>
      <c r="P71" s="250"/>
      <c r="Q71" s="256"/>
      <c r="R71" s="256"/>
      <c r="S71" s="256"/>
      <c r="T71" s="257"/>
    </row>
    <row r="72" spans="1:20" ht="17.649999999999999" customHeight="1">
      <c r="A72" s="94" t="s">
        <v>100</v>
      </c>
      <c r="B72" s="94" t="s">
        <v>175</v>
      </c>
      <c r="C72" s="95" t="s">
        <v>161</v>
      </c>
      <c r="D72" s="282" t="s">
        <v>84</v>
      </c>
      <c r="E72" s="60" t="s">
        <v>85</v>
      </c>
      <c r="F72" s="96">
        <f t="shared" si="2"/>
        <v>4.3960338006154443E-3</v>
      </c>
      <c r="G72" s="97">
        <v>180</v>
      </c>
      <c r="H72" s="14">
        <v>1800</v>
      </c>
      <c r="I72" s="14">
        <v>1</v>
      </c>
      <c r="J72" s="14">
        <f t="shared" si="3"/>
        <v>0.9</v>
      </c>
      <c r="K72" s="15">
        <v>5</v>
      </c>
      <c r="M72" s="255"/>
      <c r="N72" s="250"/>
      <c r="O72" s="250"/>
      <c r="P72" s="250"/>
      <c r="Q72" s="256"/>
      <c r="R72" s="256"/>
      <c r="S72" s="256"/>
      <c r="T72" s="257"/>
    </row>
    <row r="73" spans="1:20" ht="17.649999999999999" customHeight="1">
      <c r="A73" s="94" t="s">
        <v>100</v>
      </c>
      <c r="B73" s="94" t="s">
        <v>176</v>
      </c>
      <c r="C73" s="95" t="s">
        <v>161</v>
      </c>
      <c r="D73" s="282" t="s">
        <v>84</v>
      </c>
      <c r="E73" s="60" t="s">
        <v>85</v>
      </c>
      <c r="F73" s="96">
        <f t="shared" si="2"/>
        <v>4.8356371806769893E-3</v>
      </c>
      <c r="G73" s="97">
        <v>198</v>
      </c>
      <c r="H73" s="14">
        <v>1980</v>
      </c>
      <c r="I73" s="14">
        <v>1</v>
      </c>
      <c r="J73" s="14">
        <f t="shared" si="3"/>
        <v>0.99</v>
      </c>
      <c r="K73" s="15">
        <v>5</v>
      </c>
      <c r="M73" s="255"/>
      <c r="N73" s="250"/>
      <c r="O73" s="250"/>
      <c r="P73" s="250"/>
      <c r="Q73" s="256"/>
      <c r="R73" s="256"/>
      <c r="S73" s="256"/>
      <c r="T73" s="257"/>
    </row>
    <row r="74" spans="1:20" ht="17.649999999999999" customHeight="1">
      <c r="A74" s="94" t="s">
        <v>100</v>
      </c>
      <c r="B74" s="94" t="s">
        <v>177</v>
      </c>
      <c r="C74" s="95" t="s">
        <v>161</v>
      </c>
      <c r="D74" s="282" t="s">
        <v>84</v>
      </c>
      <c r="E74" s="60" t="s">
        <v>85</v>
      </c>
      <c r="F74" s="96">
        <f t="shared" si="2"/>
        <v>4.8356371806769893E-3</v>
      </c>
      <c r="G74" s="97">
        <v>198</v>
      </c>
      <c r="H74" s="14">
        <v>1980</v>
      </c>
      <c r="I74" s="14">
        <v>1</v>
      </c>
      <c r="J74" s="14">
        <f t="shared" si="3"/>
        <v>0.99</v>
      </c>
      <c r="K74" s="15">
        <v>5</v>
      </c>
      <c r="M74" s="255"/>
      <c r="N74" s="250"/>
      <c r="O74" s="250"/>
      <c r="P74" s="250"/>
      <c r="Q74" s="256"/>
      <c r="R74" s="256"/>
      <c r="S74" s="256"/>
      <c r="T74" s="257"/>
    </row>
    <row r="75" spans="1:20" ht="17.649999999999999" customHeight="1">
      <c r="A75" s="94" t="s">
        <v>100</v>
      </c>
      <c r="B75" s="94" t="s">
        <v>178</v>
      </c>
      <c r="C75" s="95" t="s">
        <v>161</v>
      </c>
      <c r="D75" s="282" t="s">
        <v>84</v>
      </c>
      <c r="E75" s="60" t="s">
        <v>85</v>
      </c>
      <c r="F75" s="96">
        <f t="shared" si="2"/>
        <v>4.8356371806769893E-3</v>
      </c>
      <c r="G75" s="97">
        <v>198</v>
      </c>
      <c r="H75" s="14">
        <v>1980</v>
      </c>
      <c r="I75" s="14">
        <v>1</v>
      </c>
      <c r="J75" s="14">
        <f t="shared" si="3"/>
        <v>0.99</v>
      </c>
      <c r="K75" s="15">
        <v>5</v>
      </c>
      <c r="M75" s="255"/>
      <c r="N75" s="250"/>
      <c r="O75" s="250"/>
      <c r="P75" s="250"/>
      <c r="Q75" s="256"/>
      <c r="R75" s="256"/>
      <c r="S75" s="256"/>
      <c r="T75" s="257"/>
    </row>
    <row r="76" spans="1:20" ht="17.649999999999999" customHeight="1">
      <c r="A76" s="94" t="s">
        <v>122</v>
      </c>
      <c r="B76" s="94" t="s">
        <v>179</v>
      </c>
      <c r="C76" s="95" t="s">
        <v>161</v>
      </c>
      <c r="D76" s="282" t="s">
        <v>84</v>
      </c>
      <c r="E76" s="60" t="s">
        <v>85</v>
      </c>
      <c r="F76" s="96">
        <f t="shared" si="2"/>
        <v>1.5386118302154056E-3</v>
      </c>
      <c r="G76" s="97">
        <v>63</v>
      </c>
      <c r="H76" s="14">
        <v>630</v>
      </c>
      <c r="I76" s="14">
        <v>1</v>
      </c>
      <c r="J76" s="14">
        <f t="shared" si="3"/>
        <v>0.126</v>
      </c>
      <c r="K76" s="15">
        <v>2</v>
      </c>
      <c r="M76" s="255"/>
      <c r="N76" s="250"/>
      <c r="O76" s="250"/>
      <c r="P76" s="250"/>
      <c r="Q76" s="256"/>
      <c r="R76" s="256"/>
      <c r="S76" s="256"/>
      <c r="T76" s="257"/>
    </row>
    <row r="77" spans="1:20" ht="17.649999999999999" customHeight="1">
      <c r="A77" s="94" t="s">
        <v>111</v>
      </c>
      <c r="B77" s="94" t="s">
        <v>180</v>
      </c>
      <c r="C77" s="95" t="s">
        <v>161</v>
      </c>
      <c r="D77" s="282" t="s">
        <v>84</v>
      </c>
      <c r="E77" s="60" t="s">
        <v>85</v>
      </c>
      <c r="F77" s="96">
        <f t="shared" si="2"/>
        <v>1.9537928002735308E-3</v>
      </c>
      <c r="G77" s="97">
        <v>80</v>
      </c>
      <c r="H77" s="14">
        <v>800</v>
      </c>
      <c r="I77" s="14">
        <v>1</v>
      </c>
      <c r="J77" s="14">
        <f t="shared" si="3"/>
        <v>2.64</v>
      </c>
      <c r="K77" s="15">
        <v>33</v>
      </c>
      <c r="M77" s="255"/>
      <c r="N77" s="250"/>
      <c r="O77" s="250"/>
      <c r="P77" s="250"/>
      <c r="Q77" s="256"/>
      <c r="R77" s="256"/>
      <c r="S77" s="256"/>
      <c r="T77" s="257"/>
    </row>
    <row r="78" spans="1:20" ht="17.649999999999999" customHeight="1">
      <c r="A78" s="94" t="s">
        <v>124</v>
      </c>
      <c r="B78" s="94" t="s">
        <v>181</v>
      </c>
      <c r="C78" s="95" t="s">
        <v>161</v>
      </c>
      <c r="D78" s="282" t="s">
        <v>84</v>
      </c>
      <c r="E78" s="60" t="s">
        <v>85</v>
      </c>
      <c r="F78" s="96">
        <f t="shared" si="2"/>
        <v>3.6633615005128707E-3</v>
      </c>
      <c r="G78" s="97">
        <v>150</v>
      </c>
      <c r="H78" s="14">
        <v>1500</v>
      </c>
      <c r="I78" s="14">
        <v>1</v>
      </c>
      <c r="J78" s="14">
        <f t="shared" si="3"/>
        <v>1.5</v>
      </c>
      <c r="K78" s="15">
        <v>10</v>
      </c>
      <c r="M78" s="255"/>
      <c r="N78" s="250"/>
      <c r="O78" s="250"/>
      <c r="P78" s="250"/>
      <c r="Q78" s="256"/>
      <c r="R78" s="256"/>
      <c r="S78" s="256"/>
      <c r="T78" s="257"/>
    </row>
    <row r="79" spans="1:20" ht="17.649999999999999" customHeight="1">
      <c r="A79" s="94" t="s">
        <v>124</v>
      </c>
      <c r="B79" s="94" t="s">
        <v>182</v>
      </c>
      <c r="C79" s="95" t="s">
        <v>161</v>
      </c>
      <c r="D79" s="282" t="s">
        <v>84</v>
      </c>
      <c r="E79" s="60" t="s">
        <v>85</v>
      </c>
      <c r="F79" s="96">
        <f t="shared" si="2"/>
        <v>4.3960338006154443E-3</v>
      </c>
      <c r="G79" s="97">
        <v>180</v>
      </c>
      <c r="H79" s="14">
        <v>1800</v>
      </c>
      <c r="I79" s="14">
        <v>1</v>
      </c>
      <c r="J79" s="14">
        <f t="shared" si="3"/>
        <v>1.8</v>
      </c>
      <c r="K79" s="15">
        <v>10</v>
      </c>
      <c r="M79" s="255"/>
      <c r="N79" s="250"/>
      <c r="O79" s="250"/>
      <c r="P79" s="250"/>
      <c r="Q79" s="256"/>
      <c r="R79" s="256"/>
      <c r="S79" s="256"/>
      <c r="T79" s="257"/>
    </row>
    <row r="80" spans="1:20" ht="17.649999999999999" customHeight="1" thickBot="1">
      <c r="A80" s="94" t="s">
        <v>127</v>
      </c>
      <c r="B80" s="94" t="s">
        <v>183</v>
      </c>
      <c r="C80" s="95" t="s">
        <v>161</v>
      </c>
      <c r="D80" s="282" t="s">
        <v>94</v>
      </c>
      <c r="E80" s="60" t="s">
        <v>85</v>
      </c>
      <c r="F80" s="96">
        <f t="shared" si="2"/>
        <v>1.3676549601914717E-2</v>
      </c>
      <c r="G80" s="97">
        <v>560</v>
      </c>
      <c r="H80" s="14">
        <v>5600</v>
      </c>
      <c r="I80" s="14">
        <v>1</v>
      </c>
      <c r="J80" s="14">
        <f t="shared" si="3"/>
        <v>2.8</v>
      </c>
      <c r="K80" s="15">
        <v>5</v>
      </c>
      <c r="M80" s="259"/>
      <c r="N80" s="260"/>
      <c r="O80" s="260"/>
      <c r="P80" s="260"/>
      <c r="Q80" s="261"/>
      <c r="R80" s="261"/>
      <c r="S80" s="261"/>
      <c r="T80" s="262"/>
    </row>
    <row r="81" spans="1:16" ht="17.649999999999999" customHeight="1">
      <c r="A81" s="94" t="s">
        <v>100</v>
      </c>
      <c r="B81" s="94" t="s">
        <v>184</v>
      </c>
      <c r="C81" s="95" t="s">
        <v>161</v>
      </c>
      <c r="D81" s="282" t="s">
        <v>84</v>
      </c>
      <c r="E81" s="60" t="s">
        <v>85</v>
      </c>
      <c r="F81" s="96">
        <f t="shared" si="2"/>
        <v>1.0843550041518097E-2</v>
      </c>
      <c r="G81" s="97">
        <v>444</v>
      </c>
      <c r="H81" s="14">
        <v>4440</v>
      </c>
      <c r="I81" s="14">
        <v>1</v>
      </c>
      <c r="J81" s="14">
        <f t="shared" si="3"/>
        <v>2.2200000000000002</v>
      </c>
      <c r="K81" s="15">
        <v>5</v>
      </c>
      <c r="M81" s="34"/>
      <c r="N81" s="34"/>
      <c r="O81" s="34"/>
      <c r="P81" s="34"/>
    </row>
    <row r="82" spans="1:16" ht="17.649999999999999" customHeight="1">
      <c r="A82" s="94" t="s">
        <v>141</v>
      </c>
      <c r="B82" s="94" t="s">
        <v>185</v>
      </c>
      <c r="C82" s="95" t="s">
        <v>161</v>
      </c>
      <c r="D82" s="282" t="s">
        <v>94</v>
      </c>
      <c r="E82" s="60" t="s">
        <v>85</v>
      </c>
      <c r="F82" s="96">
        <f t="shared" si="2"/>
        <v>2.403165144336443E-2</v>
      </c>
      <c r="G82" s="97">
        <v>984</v>
      </c>
      <c r="H82" s="14">
        <v>9840</v>
      </c>
      <c r="I82" s="14">
        <v>1</v>
      </c>
      <c r="J82" s="14">
        <f t="shared" si="3"/>
        <v>4.92</v>
      </c>
      <c r="K82" s="15">
        <v>5</v>
      </c>
      <c r="M82" s="34"/>
      <c r="N82" s="34"/>
      <c r="O82" s="34"/>
      <c r="P82" s="34"/>
    </row>
    <row r="83" spans="1:16" ht="17.649999999999999" customHeight="1">
      <c r="A83" s="94" t="s">
        <v>100</v>
      </c>
      <c r="B83" s="94" t="s">
        <v>186</v>
      </c>
      <c r="C83" s="95" t="s">
        <v>161</v>
      </c>
      <c r="D83" s="282" t="s">
        <v>84</v>
      </c>
      <c r="E83" s="60" t="s">
        <v>85</v>
      </c>
      <c r="F83" s="96">
        <f t="shared" si="2"/>
        <v>1.3774239241928393E-2</v>
      </c>
      <c r="G83" s="97">
        <v>564</v>
      </c>
      <c r="H83" s="14">
        <v>5640</v>
      </c>
      <c r="I83" s="14">
        <v>1</v>
      </c>
      <c r="J83" s="14">
        <f t="shared" si="3"/>
        <v>2.82</v>
      </c>
      <c r="K83" s="15">
        <v>5</v>
      </c>
      <c r="M83" s="34"/>
      <c r="N83" s="34"/>
      <c r="O83" s="34"/>
      <c r="P83" s="34"/>
    </row>
    <row r="84" spans="1:16" ht="17.649999999999999" customHeight="1">
      <c r="A84" s="98" t="s">
        <v>106</v>
      </c>
      <c r="B84" s="94" t="s">
        <v>187</v>
      </c>
      <c r="C84" s="95" t="s">
        <v>161</v>
      </c>
      <c r="D84" s="282" t="s">
        <v>84</v>
      </c>
      <c r="E84" s="60" t="s">
        <v>85</v>
      </c>
      <c r="F84" s="96">
        <f t="shared" si="2"/>
        <v>3.0772236604308112E-3</v>
      </c>
      <c r="G84" s="97">
        <v>126</v>
      </c>
      <c r="H84" s="14">
        <v>1260</v>
      </c>
      <c r="I84" s="14">
        <v>1</v>
      </c>
      <c r="J84" s="14">
        <f t="shared" si="3"/>
        <v>0.63</v>
      </c>
      <c r="K84" s="15">
        <v>5</v>
      </c>
      <c r="M84" s="34"/>
      <c r="N84" s="34"/>
      <c r="O84" s="34"/>
      <c r="P84" s="34"/>
    </row>
    <row r="85" spans="1:16" ht="17.649999999999999" customHeight="1">
      <c r="A85" s="94" t="s">
        <v>127</v>
      </c>
      <c r="B85" s="94" t="s">
        <v>188</v>
      </c>
      <c r="C85" s="95" t="s">
        <v>161</v>
      </c>
      <c r="D85" s="282" t="s">
        <v>94</v>
      </c>
      <c r="E85" s="60" t="s">
        <v>85</v>
      </c>
      <c r="F85" s="96">
        <f t="shared" si="2"/>
        <v>7.9128608411078005E-3</v>
      </c>
      <c r="G85" s="97">
        <v>324</v>
      </c>
      <c r="H85" s="14">
        <v>3240</v>
      </c>
      <c r="I85" s="14">
        <v>1</v>
      </c>
      <c r="J85" s="14">
        <f t="shared" si="3"/>
        <v>1.62</v>
      </c>
      <c r="K85" s="15">
        <v>5</v>
      </c>
      <c r="M85" s="34"/>
      <c r="N85" s="34"/>
      <c r="O85" s="34"/>
      <c r="P85" s="34"/>
    </row>
    <row r="86" spans="1:16" ht="17.649999999999999" customHeight="1">
      <c r="A86" s="94" t="s">
        <v>127</v>
      </c>
      <c r="B86" s="94" t="s">
        <v>189</v>
      </c>
      <c r="C86" s="95" t="s">
        <v>161</v>
      </c>
      <c r="D86" s="282" t="s">
        <v>94</v>
      </c>
      <c r="E86" s="60" t="s">
        <v>85</v>
      </c>
      <c r="F86" s="96">
        <f t="shared" si="2"/>
        <v>8.3524642211693454E-3</v>
      </c>
      <c r="G86" s="97">
        <v>342</v>
      </c>
      <c r="H86" s="14">
        <v>3420</v>
      </c>
      <c r="I86" s="14">
        <v>1</v>
      </c>
      <c r="J86" s="14">
        <f t="shared" si="3"/>
        <v>1.71</v>
      </c>
      <c r="K86" s="15">
        <v>5</v>
      </c>
      <c r="M86" s="34"/>
      <c r="N86" s="34"/>
      <c r="O86" s="34"/>
      <c r="P86" s="34"/>
    </row>
    <row r="87" spans="1:16" ht="17.649999999999999" customHeight="1">
      <c r="A87" s="94" t="s">
        <v>122</v>
      </c>
      <c r="B87" s="94" t="s">
        <v>190</v>
      </c>
      <c r="C87" s="95" t="s">
        <v>161</v>
      </c>
      <c r="D87" s="282" t="s">
        <v>84</v>
      </c>
      <c r="E87" s="60" t="s">
        <v>85</v>
      </c>
      <c r="F87" s="96">
        <f t="shared" si="2"/>
        <v>1.3676549601914717E-3</v>
      </c>
      <c r="G87" s="97">
        <v>56</v>
      </c>
      <c r="H87" s="14">
        <v>560</v>
      </c>
      <c r="I87" s="14">
        <v>1</v>
      </c>
      <c r="J87" s="14">
        <f t="shared" si="3"/>
        <v>0.112</v>
      </c>
      <c r="K87" s="15">
        <v>2</v>
      </c>
      <c r="M87" s="34"/>
      <c r="N87" s="34"/>
      <c r="O87" s="34"/>
      <c r="P87" s="34"/>
    </row>
    <row r="88" spans="1:16" ht="17.649999999999999" customHeight="1">
      <c r="A88" s="94" t="s">
        <v>122</v>
      </c>
      <c r="B88" s="94" t="s">
        <v>191</v>
      </c>
      <c r="C88" s="95" t="s">
        <v>161</v>
      </c>
      <c r="D88" s="282" t="s">
        <v>84</v>
      </c>
      <c r="E88" s="60" t="s">
        <v>85</v>
      </c>
      <c r="F88" s="96">
        <f t="shared" si="2"/>
        <v>2.9306892004102966E-3</v>
      </c>
      <c r="G88" s="97">
        <v>120</v>
      </c>
      <c r="H88" s="14">
        <v>1200</v>
      </c>
      <c r="I88" s="14">
        <v>1</v>
      </c>
      <c r="J88" s="14">
        <f t="shared" si="3"/>
        <v>0.24</v>
      </c>
      <c r="K88" s="15">
        <v>2</v>
      </c>
      <c r="M88" s="34"/>
      <c r="N88" s="34"/>
      <c r="O88" s="34"/>
      <c r="P88" s="34"/>
    </row>
    <row r="89" spans="1:16" ht="17.649999999999999" customHeight="1">
      <c r="A89" s="94" t="s">
        <v>122</v>
      </c>
      <c r="B89" s="94" t="s">
        <v>192</v>
      </c>
      <c r="C89" s="95" t="s">
        <v>161</v>
      </c>
      <c r="D89" s="282" t="s">
        <v>84</v>
      </c>
      <c r="E89" s="60" t="s">
        <v>85</v>
      </c>
      <c r="F89" s="96">
        <f t="shared" si="2"/>
        <v>3.5168270404923557E-3</v>
      </c>
      <c r="G89" s="97">
        <v>144</v>
      </c>
      <c r="H89" s="14">
        <v>1440</v>
      </c>
      <c r="I89" s="14">
        <v>1</v>
      </c>
      <c r="J89" s="14">
        <f t="shared" si="3"/>
        <v>0.28799999999999998</v>
      </c>
      <c r="K89" s="15">
        <v>2</v>
      </c>
      <c r="M89" s="34"/>
      <c r="N89" s="34"/>
      <c r="O89" s="34"/>
      <c r="P89" s="34"/>
    </row>
    <row r="90" spans="1:16" ht="17.649999999999999" customHeight="1">
      <c r="A90" s="94" t="s">
        <v>122</v>
      </c>
      <c r="B90" s="94" t="s">
        <v>193</v>
      </c>
      <c r="C90" s="95" t="s">
        <v>161</v>
      </c>
      <c r="D90" s="282" t="s">
        <v>84</v>
      </c>
      <c r="E90" s="60" t="s">
        <v>85</v>
      </c>
      <c r="F90" s="96">
        <f t="shared" si="2"/>
        <v>3.0772236604308112E-3</v>
      </c>
      <c r="G90" s="97">
        <v>126</v>
      </c>
      <c r="H90" s="14">
        <v>1260</v>
      </c>
      <c r="I90" s="14">
        <v>1</v>
      </c>
      <c r="J90" s="14">
        <f t="shared" si="3"/>
        <v>0.252</v>
      </c>
      <c r="K90" s="15">
        <v>2</v>
      </c>
      <c r="M90" s="34"/>
      <c r="N90" s="34"/>
      <c r="O90" s="34"/>
      <c r="P90" s="34"/>
    </row>
    <row r="91" spans="1:16" ht="17.649999999999999" customHeight="1">
      <c r="A91" s="94" t="s">
        <v>127</v>
      </c>
      <c r="B91" s="94" t="s">
        <v>194</v>
      </c>
      <c r="C91" s="95" t="s">
        <v>161</v>
      </c>
      <c r="D91" s="282" t="s">
        <v>94</v>
      </c>
      <c r="E91" s="60" t="s">
        <v>85</v>
      </c>
      <c r="F91" s="96">
        <f t="shared" si="2"/>
        <v>4.1273872905778344E-2</v>
      </c>
      <c r="G91" s="97">
        <v>1690</v>
      </c>
      <c r="H91" s="14">
        <v>16900</v>
      </c>
      <c r="I91" s="14">
        <v>1</v>
      </c>
      <c r="J91" s="14">
        <f t="shared" si="3"/>
        <v>8.4499999999999993</v>
      </c>
      <c r="K91" s="15">
        <v>5</v>
      </c>
      <c r="M91" s="34"/>
      <c r="N91" s="34"/>
      <c r="O91" s="34"/>
      <c r="P91" s="34"/>
    </row>
    <row r="92" spans="1:16" ht="17.649999999999999" customHeight="1">
      <c r="A92" s="94" t="s">
        <v>100</v>
      </c>
      <c r="B92" s="94" t="s">
        <v>195</v>
      </c>
      <c r="C92" s="95" t="s">
        <v>161</v>
      </c>
      <c r="D92" s="282" t="s">
        <v>84</v>
      </c>
      <c r="E92" s="60" t="s">
        <v>85</v>
      </c>
      <c r="F92" s="96">
        <f t="shared" si="2"/>
        <v>2.0368289942851562E-2</v>
      </c>
      <c r="G92" s="97">
        <v>834</v>
      </c>
      <c r="H92" s="14">
        <v>8340</v>
      </c>
      <c r="I92" s="14">
        <v>1</v>
      </c>
      <c r="J92" s="14">
        <f t="shared" si="3"/>
        <v>4.17</v>
      </c>
      <c r="K92" s="15">
        <v>5</v>
      </c>
      <c r="M92" s="34"/>
      <c r="N92" s="34"/>
      <c r="O92" s="34"/>
      <c r="P92" s="34"/>
    </row>
    <row r="93" spans="1:16" ht="17.649999999999999" customHeight="1">
      <c r="A93" s="98" t="s">
        <v>106</v>
      </c>
      <c r="B93" s="94" t="s">
        <v>196</v>
      </c>
      <c r="C93" s="95" t="s">
        <v>161</v>
      </c>
      <c r="D93" s="282" t="s">
        <v>84</v>
      </c>
      <c r="E93" s="60" t="s">
        <v>85</v>
      </c>
      <c r="F93" s="96">
        <f t="shared" si="2"/>
        <v>1.3188101401846333E-3</v>
      </c>
      <c r="G93" s="97">
        <v>54</v>
      </c>
      <c r="H93" s="14">
        <v>540</v>
      </c>
      <c r="I93" s="14">
        <v>1</v>
      </c>
      <c r="J93" s="14">
        <f t="shared" si="3"/>
        <v>0.27</v>
      </c>
      <c r="K93" s="15">
        <v>5</v>
      </c>
      <c r="M93" s="34"/>
      <c r="N93" s="34"/>
      <c r="O93" s="34"/>
      <c r="P93" s="34"/>
    </row>
    <row r="94" spans="1:16" ht="17.649999999999999" customHeight="1">
      <c r="A94" s="94" t="s">
        <v>114</v>
      </c>
      <c r="B94" s="94" t="s">
        <v>197</v>
      </c>
      <c r="C94" s="95" t="s">
        <v>161</v>
      </c>
      <c r="D94" s="282" t="s">
        <v>84</v>
      </c>
      <c r="E94" s="60" t="s">
        <v>85</v>
      </c>
      <c r="F94" s="96">
        <f t="shared" si="2"/>
        <v>2.1980169003077223E-2</v>
      </c>
      <c r="G94" s="97">
        <v>900</v>
      </c>
      <c r="H94" s="14">
        <v>9000</v>
      </c>
      <c r="I94" s="14">
        <v>1</v>
      </c>
      <c r="J94" s="14">
        <f t="shared" si="3"/>
        <v>9</v>
      </c>
      <c r="K94" s="15">
        <v>10</v>
      </c>
      <c r="M94" s="34"/>
      <c r="N94" s="34"/>
      <c r="O94" s="34"/>
      <c r="P94" s="34"/>
    </row>
    <row r="95" spans="1:16" ht="17.649999999999999" customHeight="1">
      <c r="A95" s="94" t="s">
        <v>92</v>
      </c>
      <c r="B95" s="94" t="s">
        <v>198</v>
      </c>
      <c r="C95" s="95" t="s">
        <v>199</v>
      </c>
      <c r="D95" s="282" t="s">
        <v>94</v>
      </c>
      <c r="E95" s="60" t="s">
        <v>85</v>
      </c>
      <c r="F95" s="96">
        <f t="shared" si="2"/>
        <v>1.0257412201436038E-3</v>
      </c>
      <c r="G95" s="97">
        <v>42</v>
      </c>
      <c r="H95" s="14">
        <v>420</v>
      </c>
      <c r="I95" s="14">
        <v>1</v>
      </c>
      <c r="J95" s="14">
        <f t="shared" si="3"/>
        <v>0.21</v>
      </c>
      <c r="K95" s="15">
        <v>5</v>
      </c>
      <c r="M95" s="34"/>
      <c r="N95" s="34"/>
      <c r="O95" s="34"/>
      <c r="P95" s="34"/>
    </row>
    <row r="96" spans="1:16" ht="17.649999999999999" customHeight="1">
      <c r="A96" s="94" t="s">
        <v>100</v>
      </c>
      <c r="B96" s="94" t="s">
        <v>200</v>
      </c>
      <c r="C96" s="95" t="s">
        <v>199</v>
      </c>
      <c r="D96" s="282" t="s">
        <v>84</v>
      </c>
      <c r="E96" s="60" t="s">
        <v>85</v>
      </c>
      <c r="F96" s="96">
        <f t="shared" si="2"/>
        <v>9.0362917012650808E-3</v>
      </c>
      <c r="G96" s="97">
        <v>370</v>
      </c>
      <c r="H96" s="14">
        <v>3700</v>
      </c>
      <c r="I96" s="14">
        <v>1</v>
      </c>
      <c r="J96" s="14">
        <f t="shared" si="3"/>
        <v>1.85</v>
      </c>
      <c r="K96" s="15">
        <v>5</v>
      </c>
      <c r="M96" s="34"/>
      <c r="N96" s="34"/>
      <c r="O96" s="34"/>
      <c r="P96" s="34"/>
    </row>
    <row r="97" spans="1:16" ht="17.649999999999999" customHeight="1">
      <c r="A97" s="94" t="s">
        <v>92</v>
      </c>
      <c r="B97" s="94" t="s">
        <v>201</v>
      </c>
      <c r="C97" s="95" t="s">
        <v>199</v>
      </c>
      <c r="D97" s="282" t="s">
        <v>94</v>
      </c>
      <c r="E97" s="60" t="s">
        <v>85</v>
      </c>
      <c r="F97" s="96">
        <f t="shared" si="2"/>
        <v>2.6376202803692667E-3</v>
      </c>
      <c r="G97" s="97">
        <v>108</v>
      </c>
      <c r="H97" s="14">
        <v>1080</v>
      </c>
      <c r="I97" s="14">
        <v>1</v>
      </c>
      <c r="J97" s="14">
        <f t="shared" si="3"/>
        <v>0.54</v>
      </c>
      <c r="K97" s="15">
        <v>5</v>
      </c>
      <c r="M97" s="34"/>
      <c r="N97" s="34"/>
      <c r="O97" s="34"/>
      <c r="P97" s="34"/>
    </row>
    <row r="98" spans="1:16" ht="17.649999999999999" customHeight="1">
      <c r="A98" s="94" t="s">
        <v>122</v>
      </c>
      <c r="B98" s="94" t="s">
        <v>202</v>
      </c>
      <c r="C98" s="95" t="s">
        <v>199</v>
      </c>
      <c r="D98" s="282" t="s">
        <v>84</v>
      </c>
      <c r="E98" s="60" t="s">
        <v>85</v>
      </c>
      <c r="F98" s="96">
        <f t="shared" si="2"/>
        <v>1.5386118302154056E-3</v>
      </c>
      <c r="G98" s="97">
        <v>63</v>
      </c>
      <c r="H98" s="14">
        <v>630</v>
      </c>
      <c r="I98" s="14">
        <v>1</v>
      </c>
      <c r="J98" s="14">
        <f t="shared" si="3"/>
        <v>0.126</v>
      </c>
      <c r="K98" s="15">
        <v>2</v>
      </c>
      <c r="M98" s="34"/>
      <c r="N98" s="34"/>
      <c r="O98" s="34"/>
      <c r="P98" s="34"/>
    </row>
    <row r="99" spans="1:16" ht="17.649999999999999" customHeight="1">
      <c r="A99" s="94" t="s">
        <v>108</v>
      </c>
      <c r="B99" s="94" t="s">
        <v>203</v>
      </c>
      <c r="C99" s="95" t="s">
        <v>199</v>
      </c>
      <c r="D99" s="282" t="s">
        <v>84</v>
      </c>
      <c r="E99" s="60" t="s">
        <v>85</v>
      </c>
      <c r="F99" s="96">
        <f t="shared" si="2"/>
        <v>2.9306892004102966E-3</v>
      </c>
      <c r="G99" s="97">
        <v>120</v>
      </c>
      <c r="H99" s="14">
        <v>1200</v>
      </c>
      <c r="I99" s="14">
        <v>1</v>
      </c>
      <c r="J99" s="14">
        <f t="shared" si="3"/>
        <v>2.4</v>
      </c>
      <c r="K99" s="15">
        <v>20</v>
      </c>
      <c r="M99" s="34"/>
      <c r="N99" s="34"/>
      <c r="O99" s="34"/>
      <c r="P99" s="34"/>
    </row>
    <row r="100" spans="1:16" ht="17.649999999999999" customHeight="1">
      <c r="A100" s="94" t="s">
        <v>111</v>
      </c>
      <c r="B100" s="94" t="s">
        <v>204</v>
      </c>
      <c r="C100" s="95" t="s">
        <v>199</v>
      </c>
      <c r="D100" s="282" t="s">
        <v>84</v>
      </c>
      <c r="E100" s="60" t="s">
        <v>85</v>
      </c>
      <c r="F100" s="96">
        <f t="shared" si="2"/>
        <v>1.8536609192595126E-2</v>
      </c>
      <c r="G100" s="97">
        <v>759</v>
      </c>
      <c r="H100" s="14">
        <v>7590</v>
      </c>
      <c r="I100" s="14">
        <v>1</v>
      </c>
      <c r="J100" s="14">
        <f t="shared" si="3"/>
        <v>25.047000000000001</v>
      </c>
      <c r="K100" s="15">
        <v>33</v>
      </c>
      <c r="M100" s="34"/>
      <c r="N100" s="34"/>
      <c r="O100" s="34"/>
      <c r="P100" s="34"/>
    </row>
    <row r="101" spans="1:16" ht="17.649999999999999" customHeight="1">
      <c r="A101" s="98" t="s">
        <v>106</v>
      </c>
      <c r="B101" s="94" t="s">
        <v>205</v>
      </c>
      <c r="C101" s="95" t="s">
        <v>199</v>
      </c>
      <c r="D101" s="282" t="s">
        <v>84</v>
      </c>
      <c r="E101" s="60" t="s">
        <v>85</v>
      </c>
      <c r="F101" s="96">
        <f t="shared" si="2"/>
        <v>4.6891027206564743E-3</v>
      </c>
      <c r="G101" s="97">
        <v>192</v>
      </c>
      <c r="H101" s="14">
        <v>1920</v>
      </c>
      <c r="I101" s="14">
        <v>1</v>
      </c>
      <c r="J101" s="14">
        <f t="shared" si="3"/>
        <v>0.96</v>
      </c>
      <c r="K101" s="15">
        <v>5</v>
      </c>
      <c r="M101" s="34"/>
      <c r="N101" s="34"/>
      <c r="O101" s="34"/>
      <c r="P101" s="34"/>
    </row>
    <row r="102" spans="1:16" ht="17.649999999999999" customHeight="1">
      <c r="A102" s="98" t="s">
        <v>96</v>
      </c>
      <c r="B102" s="94" t="s">
        <v>206</v>
      </c>
      <c r="C102" s="95" t="s">
        <v>199</v>
      </c>
      <c r="D102" s="282" t="s">
        <v>84</v>
      </c>
      <c r="E102" s="60" t="s">
        <v>85</v>
      </c>
      <c r="F102" s="96">
        <f t="shared" si="2"/>
        <v>8.5478435011966981E-3</v>
      </c>
      <c r="G102" s="97">
        <v>350</v>
      </c>
      <c r="H102" s="14">
        <v>3500</v>
      </c>
      <c r="I102" s="14">
        <v>1</v>
      </c>
      <c r="J102" s="14">
        <f t="shared" si="3"/>
        <v>1.05</v>
      </c>
      <c r="K102" s="15">
        <v>3</v>
      </c>
      <c r="M102" s="34"/>
      <c r="N102" s="34"/>
      <c r="O102" s="34"/>
      <c r="P102" s="34"/>
    </row>
    <row r="103" spans="1:16" ht="17.649999999999999" customHeight="1">
      <c r="A103" s="94" t="s">
        <v>100</v>
      </c>
      <c r="B103" s="94" t="s">
        <v>207</v>
      </c>
      <c r="C103" s="95" t="s">
        <v>199</v>
      </c>
      <c r="D103" s="282" t="s">
        <v>84</v>
      </c>
      <c r="E103" s="60" t="s">
        <v>85</v>
      </c>
      <c r="F103" s="96">
        <f t="shared" si="2"/>
        <v>7.3267230010257414E-3</v>
      </c>
      <c r="G103" s="97">
        <v>300</v>
      </c>
      <c r="H103" s="14">
        <v>3000</v>
      </c>
      <c r="I103" s="14">
        <v>1</v>
      </c>
      <c r="J103" s="14">
        <f t="shared" si="3"/>
        <v>1.5</v>
      </c>
      <c r="K103" s="15">
        <v>5</v>
      </c>
      <c r="M103" s="34"/>
      <c r="N103" s="34"/>
      <c r="O103" s="34"/>
      <c r="P103" s="34"/>
    </row>
    <row r="104" spans="1:16" ht="17.649999999999999" customHeight="1">
      <c r="A104" s="94" t="s">
        <v>127</v>
      </c>
      <c r="B104" s="94" t="s">
        <v>208</v>
      </c>
      <c r="C104" s="95" t="s">
        <v>199</v>
      </c>
      <c r="D104" s="282" t="s">
        <v>94</v>
      </c>
      <c r="E104" s="60" t="s">
        <v>85</v>
      </c>
      <c r="F104" s="96">
        <f t="shared" si="2"/>
        <v>7.4146436770380506E-2</v>
      </c>
      <c r="G104" s="97">
        <v>3036</v>
      </c>
      <c r="H104" s="14">
        <v>30360</v>
      </c>
      <c r="I104" s="14">
        <v>1</v>
      </c>
      <c r="J104" s="14">
        <f t="shared" si="3"/>
        <v>15.18</v>
      </c>
      <c r="K104" s="15">
        <v>5</v>
      </c>
      <c r="M104" s="34"/>
      <c r="N104" s="34"/>
      <c r="O104" s="34"/>
      <c r="P104" s="34"/>
    </row>
    <row r="105" spans="1:16" ht="17.649999999999999" customHeight="1">
      <c r="A105" s="94" t="s">
        <v>100</v>
      </c>
      <c r="B105" s="94" t="s">
        <v>209</v>
      </c>
      <c r="C105" s="95" t="s">
        <v>199</v>
      </c>
      <c r="D105" s="282" t="s">
        <v>84</v>
      </c>
      <c r="E105" s="60" t="s">
        <v>85</v>
      </c>
      <c r="F105" s="96">
        <f t="shared" si="2"/>
        <v>2.0368289942851562E-2</v>
      </c>
      <c r="G105" s="97">
        <v>834</v>
      </c>
      <c r="H105" s="14">
        <v>8340</v>
      </c>
      <c r="I105" s="14">
        <v>1</v>
      </c>
      <c r="J105" s="14">
        <f t="shared" si="3"/>
        <v>4.17</v>
      </c>
      <c r="K105" s="15">
        <v>5</v>
      </c>
      <c r="M105" s="34"/>
      <c r="N105" s="34"/>
      <c r="O105" s="34"/>
      <c r="P105" s="34"/>
    </row>
    <row r="106" spans="1:16" ht="17.649999999999999" customHeight="1">
      <c r="A106" s="98" t="s">
        <v>106</v>
      </c>
      <c r="B106" s="94" t="s">
        <v>210</v>
      </c>
      <c r="C106" s="95" t="s">
        <v>199</v>
      </c>
      <c r="D106" s="282" t="s">
        <v>84</v>
      </c>
      <c r="E106" s="60" t="s">
        <v>85</v>
      </c>
      <c r="F106" s="96">
        <f t="shared" si="2"/>
        <v>1.3188101401846333E-3</v>
      </c>
      <c r="G106" s="97">
        <v>54</v>
      </c>
      <c r="H106" s="14">
        <v>540</v>
      </c>
      <c r="I106" s="14">
        <v>1</v>
      </c>
      <c r="J106" s="14">
        <f t="shared" si="3"/>
        <v>0.27</v>
      </c>
      <c r="K106" s="15">
        <v>5</v>
      </c>
      <c r="M106" s="34"/>
      <c r="N106" s="34"/>
      <c r="O106" s="34"/>
      <c r="P106" s="34"/>
    </row>
    <row r="107" spans="1:16" ht="17.649999999999999" customHeight="1">
      <c r="A107" s="94" t="s">
        <v>211</v>
      </c>
      <c r="B107" s="94" t="s">
        <v>212</v>
      </c>
      <c r="C107" s="95" t="s">
        <v>199</v>
      </c>
      <c r="D107" s="282" t="s">
        <v>84</v>
      </c>
      <c r="E107" s="60" t="s">
        <v>85</v>
      </c>
      <c r="F107" s="96">
        <f t="shared" si="2"/>
        <v>3.1749133004444881E-2</v>
      </c>
      <c r="G107" s="97">
        <v>1300</v>
      </c>
      <c r="H107" s="14">
        <v>13000</v>
      </c>
      <c r="I107" s="14">
        <v>1</v>
      </c>
      <c r="J107" s="14">
        <f t="shared" si="3"/>
        <v>13</v>
      </c>
      <c r="K107" s="15">
        <v>10</v>
      </c>
      <c r="M107" s="34"/>
      <c r="N107" s="34"/>
      <c r="O107" s="34"/>
      <c r="P107" s="34"/>
    </row>
    <row r="108" spans="1:16" ht="17.649999999999999" customHeight="1">
      <c r="A108" s="94" t="s">
        <v>211</v>
      </c>
      <c r="B108" s="94" t="s">
        <v>213</v>
      </c>
      <c r="C108" s="95" t="s">
        <v>199</v>
      </c>
      <c r="D108" s="282" t="s">
        <v>84</v>
      </c>
      <c r="E108" s="60" t="s">
        <v>85</v>
      </c>
      <c r="F108" s="96">
        <f t="shared" si="2"/>
        <v>1.445806672202413E-2</v>
      </c>
      <c r="G108" s="97">
        <v>592</v>
      </c>
      <c r="H108" s="14">
        <v>5920</v>
      </c>
      <c r="I108" s="14">
        <v>1</v>
      </c>
      <c r="J108" s="14">
        <f t="shared" si="3"/>
        <v>5.92</v>
      </c>
      <c r="K108" s="15">
        <v>10</v>
      </c>
      <c r="M108" s="34"/>
      <c r="N108" s="34"/>
      <c r="O108" s="34"/>
      <c r="P108" s="34"/>
    </row>
    <row r="109" spans="1:16" ht="17.649999999999999" customHeight="1">
      <c r="A109" s="98" t="s">
        <v>106</v>
      </c>
      <c r="B109" s="94" t="s">
        <v>214</v>
      </c>
      <c r="C109" s="95" t="s">
        <v>199</v>
      </c>
      <c r="D109" s="282" t="s">
        <v>84</v>
      </c>
      <c r="E109" s="60" t="s">
        <v>85</v>
      </c>
      <c r="F109" s="96">
        <f t="shared" si="2"/>
        <v>2.0514824402872076E-3</v>
      </c>
      <c r="G109" s="97">
        <v>84</v>
      </c>
      <c r="H109" s="14">
        <v>840</v>
      </c>
      <c r="I109" s="14">
        <v>1</v>
      </c>
      <c r="J109" s="14">
        <f t="shared" si="3"/>
        <v>0.42</v>
      </c>
      <c r="K109" s="15">
        <v>5</v>
      </c>
      <c r="M109" s="34"/>
      <c r="N109" s="34"/>
      <c r="O109" s="34"/>
      <c r="P109" s="34"/>
    </row>
    <row r="110" spans="1:16" ht="17.649999999999999" customHeight="1">
      <c r="A110" s="94" t="s">
        <v>122</v>
      </c>
      <c r="B110" s="94" t="s">
        <v>215</v>
      </c>
      <c r="C110" s="95" t="s">
        <v>199</v>
      </c>
      <c r="D110" s="282" t="s">
        <v>84</v>
      </c>
      <c r="E110" s="60" t="s">
        <v>85</v>
      </c>
      <c r="F110" s="96">
        <f t="shared" si="2"/>
        <v>2.6376202803692667E-3</v>
      </c>
      <c r="G110" s="97">
        <v>108</v>
      </c>
      <c r="H110" s="14">
        <v>1080</v>
      </c>
      <c r="I110" s="14">
        <v>1</v>
      </c>
      <c r="J110" s="14">
        <f t="shared" si="3"/>
        <v>0.216</v>
      </c>
      <c r="K110" s="15">
        <v>2</v>
      </c>
      <c r="M110" s="34"/>
      <c r="N110" s="34"/>
      <c r="O110" s="34"/>
      <c r="P110" s="34"/>
    </row>
    <row r="111" spans="1:16" ht="17.649999999999999" customHeight="1">
      <c r="A111" s="94" t="s">
        <v>122</v>
      </c>
      <c r="B111" s="94" t="s">
        <v>216</v>
      </c>
      <c r="C111" s="95" t="s">
        <v>199</v>
      </c>
      <c r="D111" s="282" t="s">
        <v>84</v>
      </c>
      <c r="E111" s="60" t="s">
        <v>85</v>
      </c>
      <c r="F111" s="96">
        <f t="shared" si="2"/>
        <v>2.0514824402872076E-3</v>
      </c>
      <c r="G111" s="97">
        <v>84</v>
      </c>
      <c r="H111" s="14">
        <v>840</v>
      </c>
      <c r="I111" s="14">
        <v>1</v>
      </c>
      <c r="J111" s="14">
        <f t="shared" si="3"/>
        <v>0.16800000000000001</v>
      </c>
      <c r="K111" s="15">
        <v>2</v>
      </c>
      <c r="M111" s="34"/>
      <c r="N111" s="34"/>
      <c r="O111" s="34"/>
      <c r="P111" s="34"/>
    </row>
    <row r="112" spans="1:16" ht="17.649999999999999" customHeight="1">
      <c r="A112" s="94" t="s">
        <v>81</v>
      </c>
      <c r="B112" s="94" t="s">
        <v>217</v>
      </c>
      <c r="C112" s="95" t="s">
        <v>199</v>
      </c>
      <c r="D112" s="282" t="s">
        <v>84</v>
      </c>
      <c r="E112" s="60" t="s">
        <v>85</v>
      </c>
      <c r="F112" s="96">
        <f t="shared" si="2"/>
        <v>1.1625067161627509E-2</v>
      </c>
      <c r="G112" s="97">
        <v>476</v>
      </c>
      <c r="H112" s="14">
        <v>4760</v>
      </c>
      <c r="I112" s="14">
        <v>1</v>
      </c>
      <c r="J112" s="14">
        <f t="shared" si="3"/>
        <v>4.76</v>
      </c>
      <c r="K112" s="15">
        <v>10</v>
      </c>
      <c r="M112" s="34"/>
      <c r="N112" s="34"/>
      <c r="O112" s="34"/>
      <c r="P112" s="34"/>
    </row>
    <row r="113" spans="1:16" ht="17.649999999999999" customHeight="1">
      <c r="A113" s="94" t="s">
        <v>122</v>
      </c>
      <c r="B113" s="94" t="s">
        <v>218</v>
      </c>
      <c r="C113" s="95" t="s">
        <v>199</v>
      </c>
      <c r="D113" s="282" t="s">
        <v>84</v>
      </c>
      <c r="E113" s="60" t="s">
        <v>85</v>
      </c>
      <c r="F113" s="96">
        <f t="shared" si="2"/>
        <v>5.5390025887754601E-2</v>
      </c>
      <c r="G113" s="97">
        <v>2268</v>
      </c>
      <c r="H113" s="14">
        <v>22680</v>
      </c>
      <c r="I113" s="14">
        <v>1</v>
      </c>
      <c r="J113" s="14">
        <f t="shared" si="3"/>
        <v>4.5359999999999996</v>
      </c>
      <c r="K113" s="15">
        <v>2</v>
      </c>
      <c r="M113" s="34"/>
      <c r="N113" s="34"/>
      <c r="O113" s="34"/>
      <c r="P113" s="34"/>
    </row>
    <row r="114" spans="1:16" ht="17.649999999999999" customHeight="1">
      <c r="A114" s="94" t="s">
        <v>122</v>
      </c>
      <c r="B114" s="94" t="s">
        <v>219</v>
      </c>
      <c r="C114" s="95" t="s">
        <v>199</v>
      </c>
      <c r="D114" s="282" t="s">
        <v>84</v>
      </c>
      <c r="E114" s="60" t="s">
        <v>85</v>
      </c>
      <c r="F114" s="96">
        <f t="shared" si="2"/>
        <v>2.8134616323938846E-2</v>
      </c>
      <c r="G114" s="97">
        <v>1152</v>
      </c>
      <c r="H114" s="14">
        <v>11520</v>
      </c>
      <c r="I114" s="14">
        <v>1</v>
      </c>
      <c r="J114" s="14">
        <f t="shared" si="3"/>
        <v>2.3039999999999998</v>
      </c>
      <c r="K114" s="15">
        <v>2</v>
      </c>
      <c r="M114" s="34"/>
      <c r="N114" s="34"/>
      <c r="O114" s="34"/>
      <c r="P114" s="34"/>
    </row>
    <row r="115" spans="1:16" ht="17.649999999999999" customHeight="1">
      <c r="A115" s="94" t="s">
        <v>122</v>
      </c>
      <c r="B115" s="94" t="s">
        <v>220</v>
      </c>
      <c r="C115" s="95" t="s">
        <v>199</v>
      </c>
      <c r="D115" s="282" t="s">
        <v>84</v>
      </c>
      <c r="E115" s="60" t="s">
        <v>85</v>
      </c>
      <c r="F115" s="96">
        <f t="shared" si="2"/>
        <v>5.2752405607385333E-3</v>
      </c>
      <c r="G115" s="97">
        <v>216</v>
      </c>
      <c r="H115" s="14">
        <v>2160</v>
      </c>
      <c r="I115" s="14">
        <v>1</v>
      </c>
      <c r="J115" s="14">
        <f t="shared" si="3"/>
        <v>0.432</v>
      </c>
      <c r="K115" s="15">
        <v>2</v>
      </c>
      <c r="M115" s="34"/>
      <c r="N115" s="34"/>
      <c r="O115" s="34"/>
      <c r="P115" s="34"/>
    </row>
    <row r="116" spans="1:16" ht="17.649999999999999" customHeight="1">
      <c r="A116" s="94" t="s">
        <v>127</v>
      </c>
      <c r="B116" s="94" t="s">
        <v>221</v>
      </c>
      <c r="C116" s="95" t="s">
        <v>199</v>
      </c>
      <c r="D116" s="282" t="s">
        <v>94</v>
      </c>
      <c r="E116" s="60" t="s">
        <v>85</v>
      </c>
      <c r="F116" s="96">
        <f t="shared" si="2"/>
        <v>1.4018463341962585E-2</v>
      </c>
      <c r="G116" s="97">
        <v>574</v>
      </c>
      <c r="H116" s="14">
        <v>5740</v>
      </c>
      <c r="I116" s="14">
        <v>1</v>
      </c>
      <c r="J116" s="14">
        <f t="shared" si="3"/>
        <v>2.87</v>
      </c>
      <c r="K116" s="15">
        <v>5</v>
      </c>
      <c r="M116" s="34"/>
      <c r="N116" s="34"/>
      <c r="O116" s="34"/>
      <c r="P116" s="34"/>
    </row>
    <row r="117" spans="1:16" ht="17.649999999999999" customHeight="1">
      <c r="A117" s="94" t="s">
        <v>222</v>
      </c>
      <c r="B117" s="94" t="s">
        <v>223</v>
      </c>
      <c r="C117" s="95" t="s">
        <v>199</v>
      </c>
      <c r="D117" s="282" t="s">
        <v>84</v>
      </c>
      <c r="E117" s="60" t="s">
        <v>85</v>
      </c>
      <c r="F117" s="96">
        <f t="shared" si="2"/>
        <v>4.1029648805744152E-3</v>
      </c>
      <c r="G117" s="97">
        <v>168</v>
      </c>
      <c r="H117" s="14">
        <v>5040</v>
      </c>
      <c r="I117" s="14">
        <v>1</v>
      </c>
      <c r="J117" s="14">
        <f t="shared" si="3"/>
        <v>0.84</v>
      </c>
      <c r="K117" s="15">
        <v>5</v>
      </c>
      <c r="M117" s="34"/>
      <c r="N117" s="34"/>
      <c r="O117" s="34"/>
      <c r="P117" s="34"/>
    </row>
    <row r="118" spans="1:16" ht="17.649999999999999" customHeight="1">
      <c r="A118" s="696" t="s">
        <v>224</v>
      </c>
      <c r="B118" s="94" t="s">
        <v>225</v>
      </c>
      <c r="C118" s="95" t="s">
        <v>199</v>
      </c>
      <c r="D118" s="282" t="s">
        <v>84</v>
      </c>
      <c r="E118" s="60" t="s">
        <v>85</v>
      </c>
      <c r="F118" s="96">
        <f t="shared" si="2"/>
        <v>3.4191374004786793E-3</v>
      </c>
      <c r="G118" s="97">
        <v>140</v>
      </c>
      <c r="H118" s="14">
        <v>4200</v>
      </c>
      <c r="I118" s="14">
        <v>1</v>
      </c>
      <c r="J118" s="14">
        <f t="shared" si="3"/>
        <v>0</v>
      </c>
      <c r="K118" s="15">
        <v>0</v>
      </c>
      <c r="M118" s="34"/>
      <c r="N118" s="34"/>
      <c r="O118" s="34"/>
      <c r="P118" s="34"/>
    </row>
    <row r="119" spans="1:16" ht="17.649999999999999" customHeight="1">
      <c r="A119" s="94" t="s">
        <v>222</v>
      </c>
      <c r="B119" s="94" t="s">
        <v>226</v>
      </c>
      <c r="C119" s="95" t="s">
        <v>199</v>
      </c>
      <c r="D119" s="282" t="s">
        <v>84</v>
      </c>
      <c r="E119" s="60" t="s">
        <v>85</v>
      </c>
      <c r="F119" s="96">
        <f t="shared" si="2"/>
        <v>4.6891027206564743E-3</v>
      </c>
      <c r="G119" s="97">
        <v>192</v>
      </c>
      <c r="H119" s="14">
        <v>5760</v>
      </c>
      <c r="I119" s="14">
        <v>1</v>
      </c>
      <c r="J119" s="14">
        <f t="shared" si="3"/>
        <v>0.96</v>
      </c>
      <c r="K119" s="15">
        <v>5</v>
      </c>
      <c r="M119" s="34"/>
      <c r="N119" s="34"/>
      <c r="O119" s="34"/>
      <c r="P119" s="34"/>
    </row>
    <row r="120" spans="1:16" ht="16.5" customHeight="1">
      <c r="A120" s="94" t="s">
        <v>222</v>
      </c>
      <c r="B120" s="94" t="s">
        <v>227</v>
      </c>
      <c r="C120" s="95" t="s">
        <v>199</v>
      </c>
      <c r="D120" s="282" t="s">
        <v>84</v>
      </c>
      <c r="E120" s="60" t="s">
        <v>85</v>
      </c>
      <c r="F120" s="96">
        <f t="shared" si="2"/>
        <v>2.3445513603282371E-3</v>
      </c>
      <c r="G120" s="97">
        <v>96</v>
      </c>
      <c r="H120" s="14">
        <v>2880</v>
      </c>
      <c r="I120" s="14">
        <v>1</v>
      </c>
      <c r="J120" s="14">
        <f t="shared" si="3"/>
        <v>0.48</v>
      </c>
      <c r="K120" s="15">
        <v>5</v>
      </c>
      <c r="M120" s="34"/>
      <c r="N120" s="34"/>
      <c r="O120" s="34"/>
      <c r="P120" s="34"/>
    </row>
    <row r="121" spans="1:16" ht="39.6" customHeight="1">
      <c r="A121" s="60" t="s">
        <v>228</v>
      </c>
      <c r="B121" s="60" t="s">
        <v>229</v>
      </c>
      <c r="C121" s="60" t="s">
        <v>230</v>
      </c>
      <c r="D121" s="60"/>
      <c r="E121" s="100" t="s">
        <v>231</v>
      </c>
      <c r="F121" s="95"/>
      <c r="G121" s="16">
        <f>SUM(G3:G120)</f>
        <v>40946</v>
      </c>
      <c r="H121" s="14"/>
      <c r="I121" s="14">
        <f>SUM(I3:I120)</f>
        <v>118</v>
      </c>
      <c r="J121" s="14">
        <f>SUM(J3:J120)</f>
        <v>329.1930000000001</v>
      </c>
      <c r="K121" s="15"/>
      <c r="M121" s="34"/>
      <c r="N121" s="34"/>
      <c r="O121" s="34"/>
      <c r="P121" s="34"/>
    </row>
    <row r="122" spans="1:16">
      <c r="G122" s="10"/>
      <c r="H122" s="10"/>
      <c r="I122" s="10"/>
      <c r="J122" s="10"/>
      <c r="K122" s="463"/>
    </row>
    <row r="123" spans="1:16">
      <c r="A123" s="34"/>
      <c r="B123" s="34"/>
      <c r="C123" s="34"/>
      <c r="D123" s="34"/>
      <c r="E123" s="34"/>
      <c r="F123" s="34"/>
      <c r="G123" s="26"/>
      <c r="I123" s="10"/>
      <c r="J123" s="10"/>
      <c r="K123" s="10"/>
    </row>
    <row r="124" spans="1:16" ht="14.65" customHeight="1">
      <c r="A124" s="101"/>
      <c r="B124" s="101"/>
      <c r="C124" s="101"/>
      <c r="D124" s="101"/>
      <c r="E124" s="101"/>
      <c r="G124" s="10"/>
      <c r="H124" s="10"/>
      <c r="I124" s="10"/>
      <c r="J124" s="10"/>
      <c r="K124" s="10"/>
    </row>
    <row r="125" spans="1:16">
      <c r="A125" s="102"/>
      <c r="B125" s="102"/>
      <c r="C125" s="102"/>
      <c r="D125" s="102"/>
      <c r="E125" s="103"/>
      <c r="G125" s="10"/>
      <c r="H125" s="10"/>
      <c r="I125" s="10"/>
      <c r="J125" s="10"/>
      <c r="K125" s="10"/>
    </row>
    <row r="126" spans="1:16">
      <c r="A126" s="10"/>
      <c r="B126" s="10"/>
      <c r="C126" s="10"/>
      <c r="D126" s="10"/>
      <c r="E126" s="437"/>
      <c r="G126" s="10"/>
      <c r="H126" s="10"/>
      <c r="I126" s="10"/>
      <c r="J126" s="10"/>
      <c r="K126" s="10"/>
    </row>
    <row r="127" spans="1:16">
      <c r="A127" s="10"/>
      <c r="B127" s="10"/>
      <c r="C127" s="10"/>
      <c r="D127" s="10"/>
      <c r="E127" s="437"/>
      <c r="G127" s="10"/>
      <c r="H127" s="10"/>
      <c r="I127" s="10"/>
      <c r="J127" s="10"/>
      <c r="K127" s="10"/>
    </row>
    <row r="128" spans="1:16">
      <c r="G128" s="10"/>
      <c r="H128" s="10"/>
      <c r="I128" s="10"/>
      <c r="J128" s="10"/>
      <c r="K128" s="10"/>
    </row>
    <row r="129" spans="1:11">
      <c r="G129" s="10"/>
      <c r="H129" s="10"/>
      <c r="I129" s="10"/>
      <c r="J129" s="10"/>
      <c r="K129" s="10"/>
    </row>
    <row r="130" spans="1:11">
      <c r="G130" s="10"/>
      <c r="H130" s="10"/>
      <c r="I130" s="10"/>
      <c r="J130" s="10"/>
      <c r="K130" s="10"/>
    </row>
    <row r="131" spans="1:11">
      <c r="G131" s="10"/>
      <c r="H131" s="10"/>
      <c r="I131" s="10"/>
      <c r="J131" s="10"/>
      <c r="K131" s="10"/>
    </row>
    <row r="132" spans="1:11">
      <c r="G132" s="10"/>
      <c r="H132" s="10"/>
      <c r="I132" s="10"/>
      <c r="J132" s="10"/>
      <c r="K132" s="10"/>
    </row>
    <row r="133" spans="1:11" s="89" customFormat="1" hidden="1">
      <c r="A133" s="89" t="s">
        <v>232</v>
      </c>
      <c r="G133" s="104"/>
      <c r="H133" s="48"/>
    </row>
    <row r="134" spans="1:11">
      <c r="A134" s="99"/>
      <c r="B134" s="99"/>
      <c r="C134" s="99"/>
      <c r="D134" s="99"/>
      <c r="E134" s="99"/>
      <c r="F134" s="99"/>
    </row>
  </sheetData>
  <autoFilter ref="A2:K121" xr:uid="{2E9DC9C1-ABE9-4C74-8C0A-F769CBEC5074}"/>
  <mergeCells count="1">
    <mergeCell ref="A1:K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0A18112-0869-46BE-BB05-F2630BB50A23}">
          <x14:formula1>
            <xm:f>Data!$A$2:$A$200</xm:f>
          </x14:formula1>
          <xm:sqref>A3:A120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A35"/>
  <sheetViews>
    <sheetView zoomScale="80" zoomScaleNormal="80" workbookViewId="0">
      <selection sqref="A1:X1"/>
    </sheetView>
  </sheetViews>
  <sheetFormatPr defaultColWidth="9.28515625" defaultRowHeight="14.25"/>
  <cols>
    <col min="1" max="1" width="15.42578125" style="51" customWidth="1"/>
    <col min="2" max="2" width="13.5703125" style="53" customWidth="1"/>
    <col min="3" max="3" width="18.5703125" style="51" customWidth="1"/>
    <col min="4" max="4" width="35.7109375" style="51" customWidth="1"/>
    <col min="5" max="5" width="16" style="51" customWidth="1"/>
    <col min="6" max="6" width="10.7109375" style="51" customWidth="1"/>
    <col min="7" max="7" width="20.5703125" style="54" customWidth="1"/>
    <col min="8" max="8" width="50.85546875" style="51" customWidth="1"/>
    <col min="9" max="9" width="6.85546875" style="51" customWidth="1"/>
    <col min="10" max="12" width="7" style="51" customWidth="1"/>
    <col min="13" max="13" width="7.85546875" style="51" customWidth="1"/>
    <col min="14" max="14" width="8.7109375" style="51" customWidth="1"/>
    <col min="15" max="15" width="7" style="51" customWidth="1"/>
    <col min="16" max="16" width="7.140625" style="51" customWidth="1"/>
    <col min="17" max="17" width="7.5703125" style="51" customWidth="1"/>
    <col min="18" max="21" width="7" style="51" customWidth="1"/>
    <col min="22" max="22" width="7.7109375" style="51" customWidth="1"/>
    <col min="23" max="24" width="7" style="51" customWidth="1"/>
    <col min="25" max="25" width="9.28515625" style="51"/>
    <col min="26" max="29" width="7.7109375" style="51" customWidth="1"/>
    <col min="30" max="30" width="9.7109375" style="51" customWidth="1"/>
    <col min="31" max="31" width="7.5703125" style="51" customWidth="1"/>
    <col min="32" max="32" width="11.42578125" style="51" customWidth="1"/>
    <col min="33" max="41" width="7.7109375" style="51" customWidth="1"/>
    <col min="42" max="45" width="10.42578125" style="51" customWidth="1"/>
    <col min="46" max="46" width="9.85546875" style="51" customWidth="1"/>
    <col min="47" max="47" width="10.42578125" style="51" customWidth="1"/>
    <col min="48" max="48" width="21.7109375" style="51" customWidth="1"/>
    <col min="49" max="49" width="10.42578125" style="51" customWidth="1"/>
    <col min="50" max="52" width="7.42578125" style="51" customWidth="1"/>
    <col min="53" max="53" width="7.7109375" style="51" customWidth="1"/>
    <col min="54" max="54" width="7.42578125" style="51" customWidth="1"/>
    <col min="55" max="55" width="13.7109375" style="51" customWidth="1"/>
    <col min="56" max="59" width="7.42578125" style="51" customWidth="1"/>
    <col min="60" max="61" width="9.7109375" style="51" bestFit="1" customWidth="1"/>
    <col min="62" max="16384" width="9.28515625" style="51"/>
  </cols>
  <sheetData>
    <row r="1" spans="1:24" ht="31.9" customHeight="1">
      <c r="A1" s="492" t="str">
        <f>"Envelope - "&amp;Prototype!A2</f>
        <v>Envelope - Outpatient</v>
      </c>
      <c r="B1" s="492"/>
      <c r="C1" s="492"/>
      <c r="D1" s="492"/>
      <c r="E1" s="492"/>
      <c r="F1" s="492"/>
      <c r="G1" s="492"/>
      <c r="H1" s="492"/>
      <c r="I1" s="492"/>
      <c r="J1" s="492"/>
      <c r="K1" s="492"/>
      <c r="L1" s="492"/>
      <c r="M1" s="492"/>
      <c r="N1" s="492"/>
      <c r="O1" s="492"/>
      <c r="P1" s="492"/>
      <c r="Q1" s="492"/>
      <c r="R1" s="492"/>
      <c r="S1" s="492"/>
      <c r="T1" s="492"/>
      <c r="U1" s="492"/>
      <c r="V1" s="492"/>
      <c r="W1" s="492"/>
      <c r="X1" s="492"/>
    </row>
    <row r="2" spans="1:24" ht="23.45" customHeight="1">
      <c r="A2" s="459" t="s">
        <v>233</v>
      </c>
      <c r="B2" s="459" t="s">
        <v>5</v>
      </c>
      <c r="C2" s="459" t="s">
        <v>234</v>
      </c>
      <c r="D2" s="459" t="s">
        <v>235</v>
      </c>
      <c r="E2" s="459" t="s">
        <v>236</v>
      </c>
      <c r="F2" s="459" t="s">
        <v>237</v>
      </c>
      <c r="G2" s="461" t="s">
        <v>238</v>
      </c>
      <c r="H2" s="459" t="s">
        <v>239</v>
      </c>
      <c r="I2" s="459" t="s">
        <v>240</v>
      </c>
      <c r="J2" s="459" t="s">
        <v>241</v>
      </c>
      <c r="K2" s="459" t="s">
        <v>242</v>
      </c>
      <c r="L2" s="459" t="s">
        <v>243</v>
      </c>
      <c r="M2" s="459" t="s">
        <v>244</v>
      </c>
      <c r="N2" s="459" t="s">
        <v>245</v>
      </c>
      <c r="O2" s="459" t="s">
        <v>246</v>
      </c>
      <c r="P2" s="459" t="s">
        <v>247</v>
      </c>
      <c r="Q2" s="459" t="s">
        <v>248</v>
      </c>
      <c r="R2" s="459" t="s">
        <v>249</v>
      </c>
      <c r="S2" s="459" t="s">
        <v>250</v>
      </c>
      <c r="T2" s="459" t="s">
        <v>251</v>
      </c>
      <c r="U2" s="459" t="s">
        <v>252</v>
      </c>
      <c r="V2" s="459" t="s">
        <v>253</v>
      </c>
      <c r="W2" s="459" t="s">
        <v>254</v>
      </c>
      <c r="X2" s="459" t="s">
        <v>255</v>
      </c>
    </row>
    <row r="3" spans="1:24" ht="25.15" customHeight="1">
      <c r="A3" s="494" t="s">
        <v>256</v>
      </c>
      <c r="B3" s="493" t="str">
        <f>Prototype!A2</f>
        <v>Outpatient</v>
      </c>
      <c r="C3" s="495" t="s">
        <v>257</v>
      </c>
      <c r="D3" s="495" t="s">
        <v>258</v>
      </c>
      <c r="E3" s="494" t="s">
        <v>259</v>
      </c>
      <c r="F3" s="442" t="s">
        <v>260</v>
      </c>
      <c r="G3" s="442" t="s">
        <v>261</v>
      </c>
      <c r="H3" s="198" t="s">
        <v>262</v>
      </c>
      <c r="I3" s="198">
        <v>0.35199999999999998</v>
      </c>
      <c r="J3" s="198">
        <v>0.35199999999999998</v>
      </c>
      <c r="K3" s="198">
        <v>0.35199999999999998</v>
      </c>
      <c r="L3" s="198">
        <v>0.35199999999999998</v>
      </c>
      <c r="M3" s="198">
        <v>0.35199999999999998</v>
      </c>
      <c r="N3" s="198">
        <v>0.35199999999999998</v>
      </c>
      <c r="O3" s="198">
        <v>0.35199999999999998</v>
      </c>
      <c r="P3" s="198">
        <v>0.35199999999999998</v>
      </c>
      <c r="Q3" s="198">
        <v>0.35199999999999998</v>
      </c>
      <c r="R3" s="198">
        <v>0.35199999999999998</v>
      </c>
      <c r="S3" s="198">
        <v>0.35199999999999998</v>
      </c>
      <c r="T3" s="198">
        <v>0.35199999999999998</v>
      </c>
      <c r="U3" s="198">
        <v>0.35199999999999998</v>
      </c>
      <c r="V3" s="198">
        <v>0.35199999999999998</v>
      </c>
      <c r="W3" s="198">
        <v>0.35199999999999998</v>
      </c>
      <c r="X3" s="198">
        <v>0.35199999999999998</v>
      </c>
    </row>
    <row r="4" spans="1:24" ht="25.15" customHeight="1">
      <c r="A4" s="494"/>
      <c r="B4" s="493"/>
      <c r="C4" s="495"/>
      <c r="D4" s="495"/>
      <c r="E4" s="494"/>
      <c r="F4" s="199" t="s">
        <v>263</v>
      </c>
      <c r="G4" s="199">
        <v>1986</v>
      </c>
      <c r="H4" s="200" t="s">
        <v>264</v>
      </c>
      <c r="I4" s="201">
        <v>0.21299999999999999</v>
      </c>
      <c r="J4" s="201">
        <v>0.22700000000000001</v>
      </c>
      <c r="K4" s="201">
        <v>0.22700000000000001</v>
      </c>
      <c r="L4" s="201">
        <v>0.217</v>
      </c>
      <c r="M4" s="201">
        <v>0.25600000000000001</v>
      </c>
      <c r="N4" s="201">
        <v>0.25600000000000001</v>
      </c>
      <c r="O4" s="201">
        <v>0.25600000000000001</v>
      </c>
      <c r="P4" s="201">
        <v>0.25600000000000001</v>
      </c>
      <c r="Q4" s="201">
        <v>0.25600000000000001</v>
      </c>
      <c r="R4" s="201">
        <v>0.25600000000000001</v>
      </c>
      <c r="S4" s="201">
        <v>0.23799999999999999</v>
      </c>
      <c r="T4" s="201">
        <v>0.23799999999999999</v>
      </c>
      <c r="U4" s="201">
        <v>0.23799999999999999</v>
      </c>
      <c r="V4" s="201">
        <v>0.20799999999999999</v>
      </c>
      <c r="W4" s="201">
        <v>0.20799999999999999</v>
      </c>
      <c r="X4" s="201">
        <v>0.21299999999999999</v>
      </c>
    </row>
    <row r="5" spans="1:24" ht="25.15" customHeight="1">
      <c r="A5" s="494"/>
      <c r="B5" s="493"/>
      <c r="C5" s="495"/>
      <c r="D5" s="495"/>
      <c r="E5" s="494"/>
      <c r="F5" s="202" t="s">
        <v>265</v>
      </c>
      <c r="G5" s="202">
        <v>2001</v>
      </c>
      <c r="H5" s="202" t="s">
        <v>266</v>
      </c>
      <c r="I5" s="202">
        <v>0.182</v>
      </c>
      <c r="J5" s="202">
        <v>0.182</v>
      </c>
      <c r="K5" s="202">
        <v>0.189</v>
      </c>
      <c r="L5" s="202">
        <v>0.189</v>
      </c>
      <c r="M5" s="202">
        <v>0.189</v>
      </c>
      <c r="N5" s="202">
        <v>0.189</v>
      </c>
      <c r="O5" s="202">
        <v>0.189</v>
      </c>
      <c r="P5" s="202">
        <v>0.189</v>
      </c>
      <c r="Q5" s="202">
        <v>0.189</v>
      </c>
      <c r="R5" s="202">
        <v>0.182</v>
      </c>
      <c r="S5" s="202">
        <v>0.182</v>
      </c>
      <c r="T5" s="202">
        <v>0.182</v>
      </c>
      <c r="U5" s="202">
        <v>0.182</v>
      </c>
      <c r="V5" s="202">
        <v>0.182</v>
      </c>
      <c r="W5" s="203">
        <v>0.182</v>
      </c>
      <c r="X5" s="203">
        <v>0.182</v>
      </c>
    </row>
    <row r="6" spans="1:24" ht="25.15" customHeight="1">
      <c r="A6" s="494"/>
      <c r="B6" s="493"/>
      <c r="C6" s="495"/>
      <c r="D6" s="495"/>
      <c r="E6" s="494"/>
      <c r="F6" s="204" t="s">
        <v>267</v>
      </c>
      <c r="G6" s="204">
        <v>2013</v>
      </c>
      <c r="H6" s="204" t="s">
        <v>268</v>
      </c>
      <c r="I6" s="204">
        <v>9.8000000000000004E-2</v>
      </c>
      <c r="J6" s="204">
        <v>6.2E-2</v>
      </c>
      <c r="K6" s="204">
        <v>8.2000000000000003E-2</v>
      </c>
      <c r="L6" s="204">
        <v>6.2E-2</v>
      </c>
      <c r="M6" s="204">
        <v>6.2E-2</v>
      </c>
      <c r="N6" s="204">
        <v>9.8000000000000004E-2</v>
      </c>
      <c r="O6" s="204">
        <v>9.8000000000000004E-2</v>
      </c>
      <c r="P6" s="204">
        <v>6.2E-2</v>
      </c>
      <c r="Q6" s="204">
        <v>6.2E-2</v>
      </c>
      <c r="R6" s="204">
        <v>6.2E-2</v>
      </c>
      <c r="S6" s="204">
        <v>6.2E-2</v>
      </c>
      <c r="T6" s="204">
        <v>6.2E-2</v>
      </c>
      <c r="U6" s="204">
        <v>6.2E-2</v>
      </c>
      <c r="V6" s="204">
        <v>6.2E-2</v>
      </c>
      <c r="W6" s="205">
        <v>6.2E-2</v>
      </c>
      <c r="X6" s="205">
        <v>6.2E-2</v>
      </c>
    </row>
    <row r="7" spans="1:24" ht="25.15" customHeight="1">
      <c r="A7" s="494"/>
      <c r="B7" s="493"/>
      <c r="C7" s="495"/>
      <c r="D7" s="495"/>
      <c r="E7" s="494"/>
      <c r="F7" s="206" t="s">
        <v>269</v>
      </c>
      <c r="G7" s="207">
        <v>2025</v>
      </c>
      <c r="H7" s="207" t="s">
        <v>268</v>
      </c>
      <c r="I7" s="207">
        <v>0.06</v>
      </c>
      <c r="J7" s="207">
        <v>5.5E-2</v>
      </c>
      <c r="K7" s="207">
        <v>7.0999999999999994E-2</v>
      </c>
      <c r="L7" s="207">
        <v>5.5E-2</v>
      </c>
      <c r="M7" s="207">
        <v>5.5E-2</v>
      </c>
      <c r="N7" s="207">
        <v>0.06</v>
      </c>
      <c r="O7" s="207">
        <v>0.06</v>
      </c>
      <c r="P7" s="207">
        <v>5.5E-2</v>
      </c>
      <c r="Q7" s="207">
        <v>5.5E-2</v>
      </c>
      <c r="R7" s="207">
        <v>5.5E-2</v>
      </c>
      <c r="S7" s="207">
        <v>5.5E-2</v>
      </c>
      <c r="T7" s="207">
        <v>5.5E-2</v>
      </c>
      <c r="U7" s="207">
        <v>5.5E-2</v>
      </c>
      <c r="V7" s="207">
        <v>5.5E-2</v>
      </c>
      <c r="W7" s="208">
        <v>5.5E-2</v>
      </c>
      <c r="X7" s="208">
        <v>5.5E-2</v>
      </c>
    </row>
    <row r="8" spans="1:24" ht="23.45" customHeight="1">
      <c r="A8" s="494" t="s">
        <v>270</v>
      </c>
      <c r="B8" s="493" t="str">
        <f t="shared" ref="B8" si="0">$B$3</f>
        <v>Outpatient</v>
      </c>
      <c r="C8" s="495" t="s">
        <v>271</v>
      </c>
      <c r="D8" s="504" t="s">
        <v>272</v>
      </c>
      <c r="E8" s="494" t="s">
        <v>259</v>
      </c>
      <c r="F8" s="442" t="s">
        <v>260</v>
      </c>
      <c r="G8" s="442" t="s">
        <v>261</v>
      </c>
      <c r="H8" s="493" t="s">
        <v>273</v>
      </c>
      <c r="I8" s="442">
        <v>5.7000000000000002E-2</v>
      </c>
      <c r="J8" s="442">
        <v>5.7000000000000002E-2</v>
      </c>
      <c r="K8" s="442">
        <v>5.7000000000000002E-2</v>
      </c>
      <c r="L8" s="442">
        <v>5.7000000000000002E-2</v>
      </c>
      <c r="M8" s="442">
        <v>5.7000000000000002E-2</v>
      </c>
      <c r="N8" s="442">
        <v>7.8E-2</v>
      </c>
      <c r="O8" s="442">
        <v>7.8E-2</v>
      </c>
      <c r="P8" s="442">
        <v>7.8E-2</v>
      </c>
      <c r="Q8" s="442">
        <v>7.8E-2</v>
      </c>
      <c r="R8" s="442">
        <v>7.8E-2</v>
      </c>
      <c r="S8" s="442">
        <v>5.7000000000000002E-2</v>
      </c>
      <c r="T8" s="442">
        <v>5.7000000000000002E-2</v>
      </c>
      <c r="U8" s="442">
        <v>5.7000000000000002E-2</v>
      </c>
      <c r="V8" s="442">
        <v>5.7000000000000002E-2</v>
      </c>
      <c r="W8" s="442">
        <v>5.7000000000000002E-2</v>
      </c>
      <c r="X8" s="442">
        <v>5.7000000000000002E-2</v>
      </c>
    </row>
    <row r="9" spans="1:24" ht="23.45" customHeight="1">
      <c r="A9" s="494"/>
      <c r="B9" s="493"/>
      <c r="C9" s="495"/>
      <c r="D9" s="504"/>
      <c r="E9" s="494"/>
      <c r="F9" s="209" t="s">
        <v>263</v>
      </c>
      <c r="G9" s="209">
        <v>1992</v>
      </c>
      <c r="H9" s="493"/>
      <c r="I9" s="199">
        <v>5.7000000000000002E-2</v>
      </c>
      <c r="J9" s="199">
        <v>5.7000000000000002E-2</v>
      </c>
      <c r="K9" s="199">
        <v>5.7000000000000002E-2</v>
      </c>
      <c r="L9" s="199">
        <v>5.7000000000000002E-2</v>
      </c>
      <c r="M9" s="199">
        <v>5.7000000000000002E-2</v>
      </c>
      <c r="N9" s="199">
        <v>7.8E-2</v>
      </c>
      <c r="O9" s="199">
        <v>7.8E-2</v>
      </c>
      <c r="P9" s="199">
        <v>7.8E-2</v>
      </c>
      <c r="Q9" s="199">
        <v>7.8E-2</v>
      </c>
      <c r="R9" s="199">
        <v>7.8E-2</v>
      </c>
      <c r="S9" s="199">
        <v>5.7000000000000002E-2</v>
      </c>
      <c r="T9" s="199">
        <v>5.7000000000000002E-2</v>
      </c>
      <c r="U9" s="199">
        <v>5.7000000000000002E-2</v>
      </c>
      <c r="V9" s="199">
        <v>5.7000000000000002E-2</v>
      </c>
      <c r="W9" s="199">
        <v>5.7000000000000002E-2</v>
      </c>
      <c r="X9" s="199">
        <v>5.7000000000000002E-2</v>
      </c>
    </row>
    <row r="10" spans="1:24" ht="23.45" customHeight="1">
      <c r="A10" s="494"/>
      <c r="B10" s="493"/>
      <c r="C10" s="495"/>
      <c r="D10" s="504"/>
      <c r="E10" s="494"/>
      <c r="F10" s="202" t="s">
        <v>265</v>
      </c>
      <c r="G10" s="202">
        <v>2001</v>
      </c>
      <c r="H10" s="202" t="s">
        <v>266</v>
      </c>
      <c r="I10" s="202">
        <v>5.7000000000000002E-2</v>
      </c>
      <c r="J10" s="202">
        <v>5.7000000000000002E-2</v>
      </c>
      <c r="K10" s="202">
        <v>5.7000000000000002E-2</v>
      </c>
      <c r="L10" s="202">
        <v>5.7000000000000002E-2</v>
      </c>
      <c r="M10" s="202">
        <v>5.7000000000000002E-2</v>
      </c>
      <c r="N10" s="202">
        <v>7.8E-2</v>
      </c>
      <c r="O10" s="202">
        <v>7.8E-2</v>
      </c>
      <c r="P10" s="202">
        <v>7.8E-2</v>
      </c>
      <c r="Q10" s="202">
        <v>7.8E-2</v>
      </c>
      <c r="R10" s="202">
        <v>5.7000000000000002E-2</v>
      </c>
      <c r="S10" s="202">
        <v>5.7000000000000002E-2</v>
      </c>
      <c r="T10" s="202">
        <v>5.7000000000000002E-2</v>
      </c>
      <c r="U10" s="202">
        <v>5.7000000000000002E-2</v>
      </c>
      <c r="V10" s="202">
        <v>5.7000000000000002E-2</v>
      </c>
      <c r="W10" s="202">
        <v>5.7000000000000002E-2</v>
      </c>
      <c r="X10" s="202">
        <v>5.7000000000000002E-2</v>
      </c>
    </row>
    <row r="11" spans="1:24" ht="23.45" customHeight="1">
      <c r="A11" s="494"/>
      <c r="B11" s="493"/>
      <c r="C11" s="495"/>
      <c r="D11" s="504"/>
      <c r="E11" s="494"/>
      <c r="F11" s="204" t="s">
        <v>267</v>
      </c>
      <c r="G11" s="204">
        <v>2013</v>
      </c>
      <c r="H11" s="204" t="s">
        <v>268</v>
      </c>
      <c r="I11" s="204">
        <v>4.9000000000000002E-2</v>
      </c>
      <c r="J11" s="204">
        <v>3.9E-2</v>
      </c>
      <c r="K11" s="204">
        <v>3.9E-2</v>
      </c>
      <c r="L11" s="204">
        <v>3.9E-2</v>
      </c>
      <c r="M11" s="204">
        <v>4.9000000000000002E-2</v>
      </c>
      <c r="N11" s="204">
        <v>7.4999999999999997E-2</v>
      </c>
      <c r="O11" s="204">
        <v>6.7000000000000004E-2</v>
      </c>
      <c r="P11" s="204">
        <v>6.7000000000000004E-2</v>
      </c>
      <c r="Q11" s="204">
        <v>3.9E-2</v>
      </c>
      <c r="R11" s="204">
        <v>3.9E-2</v>
      </c>
      <c r="S11" s="204">
        <v>3.9E-2</v>
      </c>
      <c r="T11" s="204">
        <v>3.9E-2</v>
      </c>
      <c r="U11" s="204">
        <v>3.9E-2</v>
      </c>
      <c r="V11" s="204">
        <v>3.9E-2</v>
      </c>
      <c r="W11" s="204">
        <v>3.9E-2</v>
      </c>
      <c r="X11" s="204">
        <v>3.9E-2</v>
      </c>
    </row>
    <row r="12" spans="1:24" ht="23.45" customHeight="1">
      <c r="A12" s="494"/>
      <c r="B12" s="493"/>
      <c r="C12" s="495"/>
      <c r="D12" s="504"/>
      <c r="E12" s="494"/>
      <c r="F12" s="206" t="s">
        <v>269</v>
      </c>
      <c r="G12" s="207">
        <v>2025</v>
      </c>
      <c r="H12" s="207" t="s">
        <v>268</v>
      </c>
      <c r="I12" s="207">
        <v>3.7999999999999999E-2</v>
      </c>
      <c r="J12" s="207">
        <v>3.7999999999999999E-2</v>
      </c>
      <c r="K12" s="207">
        <v>3.7999999999999999E-2</v>
      </c>
      <c r="L12" s="207">
        <v>3.7999999999999999E-2</v>
      </c>
      <c r="M12" s="207">
        <v>3.7999999999999999E-2</v>
      </c>
      <c r="N12" s="207">
        <v>3.7999999999999999E-2</v>
      </c>
      <c r="O12" s="207">
        <v>3.7999999999999999E-2</v>
      </c>
      <c r="P12" s="207">
        <v>3.7999999999999999E-2</v>
      </c>
      <c r="Q12" s="207">
        <v>3.7999999999999999E-2</v>
      </c>
      <c r="R12" s="207">
        <v>3.7999999999999999E-2</v>
      </c>
      <c r="S12" s="207">
        <v>3.7999999999999999E-2</v>
      </c>
      <c r="T12" s="207">
        <v>3.7999999999999999E-2</v>
      </c>
      <c r="U12" s="207">
        <v>3.7999999999999999E-2</v>
      </c>
      <c r="V12" s="207">
        <v>3.7999999999999999E-2</v>
      </c>
      <c r="W12" s="207">
        <v>3.7999999999999999E-2</v>
      </c>
      <c r="X12" s="207">
        <v>3.7999999999999999E-2</v>
      </c>
    </row>
    <row r="13" spans="1:24" ht="24.6" customHeight="1">
      <c r="A13" s="494" t="s">
        <v>274</v>
      </c>
      <c r="B13" s="493" t="str">
        <f t="shared" ref="B13" si="1">$B$3</f>
        <v>Outpatient</v>
      </c>
      <c r="C13" s="493" t="s">
        <v>275</v>
      </c>
      <c r="D13" s="493" t="s">
        <v>276</v>
      </c>
      <c r="E13" s="494" t="s">
        <v>259</v>
      </c>
      <c r="F13" s="442" t="s">
        <v>260</v>
      </c>
      <c r="G13" s="442" t="s">
        <v>261</v>
      </c>
      <c r="H13" s="493" t="s">
        <v>277</v>
      </c>
      <c r="I13" s="177">
        <f>0.88*1.12+0.12*0.36</f>
        <v>1.0288000000000002</v>
      </c>
      <c r="J13" s="177">
        <f t="shared" ref="J13:X14" si="2">0.88*1.12+0.12*0.36</f>
        <v>1.0288000000000002</v>
      </c>
      <c r="K13" s="177">
        <f t="shared" si="2"/>
        <v>1.0288000000000002</v>
      </c>
      <c r="L13" s="177">
        <f t="shared" si="2"/>
        <v>1.0288000000000002</v>
      </c>
      <c r="M13" s="177">
        <f t="shared" si="2"/>
        <v>1.0288000000000002</v>
      </c>
      <c r="N13" s="177">
        <f t="shared" si="2"/>
        <v>1.0288000000000002</v>
      </c>
      <c r="O13" s="177">
        <f t="shared" si="2"/>
        <v>1.0288000000000002</v>
      </c>
      <c r="P13" s="177">
        <f t="shared" si="2"/>
        <v>1.0288000000000002</v>
      </c>
      <c r="Q13" s="177">
        <f t="shared" si="2"/>
        <v>1.0288000000000002</v>
      </c>
      <c r="R13" s="177">
        <f t="shared" si="2"/>
        <v>1.0288000000000002</v>
      </c>
      <c r="S13" s="177">
        <f t="shared" si="2"/>
        <v>1.0288000000000002</v>
      </c>
      <c r="T13" s="177">
        <f t="shared" si="2"/>
        <v>1.0288000000000002</v>
      </c>
      <c r="U13" s="177">
        <f t="shared" si="2"/>
        <v>1.0288000000000002</v>
      </c>
      <c r="V13" s="177">
        <f t="shared" si="2"/>
        <v>1.0288000000000002</v>
      </c>
      <c r="W13" s="177">
        <f t="shared" si="2"/>
        <v>1.0288000000000002</v>
      </c>
      <c r="X13" s="177">
        <f t="shared" si="2"/>
        <v>1.0288000000000002</v>
      </c>
    </row>
    <row r="14" spans="1:24" ht="24.6" customHeight="1">
      <c r="A14" s="494"/>
      <c r="B14" s="493"/>
      <c r="C14" s="493"/>
      <c r="D14" s="493"/>
      <c r="E14" s="494"/>
      <c r="F14" s="209" t="s">
        <v>263</v>
      </c>
      <c r="G14" s="209" t="s">
        <v>261</v>
      </c>
      <c r="H14" s="493"/>
      <c r="I14" s="210">
        <f>0.88*1.12+0.12*0.36</f>
        <v>1.0288000000000002</v>
      </c>
      <c r="J14" s="210">
        <f t="shared" si="2"/>
        <v>1.0288000000000002</v>
      </c>
      <c r="K14" s="210">
        <f t="shared" si="2"/>
        <v>1.0288000000000002</v>
      </c>
      <c r="L14" s="210">
        <f t="shared" si="2"/>
        <v>1.0288000000000002</v>
      </c>
      <c r="M14" s="210">
        <f t="shared" si="2"/>
        <v>1.0288000000000002</v>
      </c>
      <c r="N14" s="210">
        <f t="shared" si="2"/>
        <v>1.0288000000000002</v>
      </c>
      <c r="O14" s="210">
        <f t="shared" si="2"/>
        <v>1.0288000000000002</v>
      </c>
      <c r="P14" s="210">
        <f t="shared" si="2"/>
        <v>1.0288000000000002</v>
      </c>
      <c r="Q14" s="210">
        <f t="shared" si="2"/>
        <v>1.0288000000000002</v>
      </c>
      <c r="R14" s="210">
        <f t="shared" si="2"/>
        <v>1.0288000000000002</v>
      </c>
      <c r="S14" s="210">
        <f t="shared" si="2"/>
        <v>1.0288000000000002</v>
      </c>
      <c r="T14" s="210">
        <f t="shared" si="2"/>
        <v>1.0288000000000002</v>
      </c>
      <c r="U14" s="210">
        <f t="shared" si="2"/>
        <v>1.0288000000000002</v>
      </c>
      <c r="V14" s="210">
        <f t="shared" si="2"/>
        <v>1.0288000000000002</v>
      </c>
      <c r="W14" s="210">
        <f t="shared" si="2"/>
        <v>1.0288000000000002</v>
      </c>
      <c r="X14" s="210">
        <f t="shared" si="2"/>
        <v>1.0288000000000002</v>
      </c>
    </row>
    <row r="15" spans="1:24" ht="24.6" customHeight="1">
      <c r="A15" s="494"/>
      <c r="B15" s="493"/>
      <c r="C15" s="493"/>
      <c r="D15" s="494" t="s">
        <v>278</v>
      </c>
      <c r="E15" s="494"/>
      <c r="F15" s="202" t="s">
        <v>265</v>
      </c>
      <c r="G15" s="202">
        <v>2001</v>
      </c>
      <c r="H15" s="202" t="s">
        <v>266</v>
      </c>
      <c r="I15" s="202">
        <v>0.49</v>
      </c>
      <c r="J15" s="202">
        <v>0.49</v>
      </c>
      <c r="K15" s="202">
        <v>0.81</v>
      </c>
      <c r="L15" s="202">
        <v>0.81</v>
      </c>
      <c r="M15" s="202">
        <v>0.81</v>
      </c>
      <c r="N15" s="202">
        <v>0.81</v>
      </c>
      <c r="O15" s="202">
        <v>0.81</v>
      </c>
      <c r="P15" s="202">
        <v>0.81</v>
      </c>
      <c r="Q15" s="202">
        <v>0.81</v>
      </c>
      <c r="R15" s="202">
        <v>0.49</v>
      </c>
      <c r="S15" s="202">
        <v>0.49</v>
      </c>
      <c r="T15" s="202">
        <v>0.49</v>
      </c>
      <c r="U15" s="202">
        <v>0.49</v>
      </c>
      <c r="V15" s="202">
        <v>0.49</v>
      </c>
      <c r="W15" s="202">
        <v>0.49</v>
      </c>
      <c r="X15" s="202">
        <v>0.49</v>
      </c>
    </row>
    <row r="16" spans="1:24" ht="24.6" customHeight="1">
      <c r="A16" s="494"/>
      <c r="B16" s="493"/>
      <c r="C16" s="493"/>
      <c r="D16" s="494"/>
      <c r="E16" s="494"/>
      <c r="F16" s="204" t="s">
        <v>267</v>
      </c>
      <c r="G16" s="204">
        <v>2013</v>
      </c>
      <c r="H16" s="204" t="s">
        <v>268</v>
      </c>
      <c r="I16" s="204">
        <v>0.36</v>
      </c>
      <c r="J16" s="204">
        <v>0.36</v>
      </c>
      <c r="K16" s="204">
        <v>0.36</v>
      </c>
      <c r="L16" s="204">
        <v>0.36</v>
      </c>
      <c r="M16" s="204">
        <v>0.36</v>
      </c>
      <c r="N16" s="204">
        <v>0.36</v>
      </c>
      <c r="O16" s="204">
        <v>0.36</v>
      </c>
      <c r="P16" s="204">
        <v>0.36</v>
      </c>
      <c r="Q16" s="204">
        <v>0.36</v>
      </c>
      <c r="R16" s="204">
        <v>0.36</v>
      </c>
      <c r="S16" s="204">
        <v>0.36</v>
      </c>
      <c r="T16" s="204">
        <v>0.36</v>
      </c>
      <c r="U16" s="204">
        <v>0.36</v>
      </c>
      <c r="V16" s="204">
        <v>0.36</v>
      </c>
      <c r="W16" s="204">
        <v>0.36</v>
      </c>
      <c r="X16" s="204">
        <v>0.36</v>
      </c>
    </row>
    <row r="17" spans="1:53" ht="24.6" customHeight="1">
      <c r="A17" s="494"/>
      <c r="B17" s="493"/>
      <c r="C17" s="493"/>
      <c r="D17" s="494"/>
      <c r="E17" s="494"/>
      <c r="F17" s="206" t="s">
        <v>269</v>
      </c>
      <c r="G17" s="207">
        <v>2025</v>
      </c>
      <c r="H17" s="207" t="s">
        <v>268</v>
      </c>
      <c r="I17" s="207">
        <v>0.36</v>
      </c>
      <c r="J17" s="207">
        <v>0.36</v>
      </c>
      <c r="K17" s="207">
        <v>0.36</v>
      </c>
      <c r="L17" s="207">
        <v>0.36</v>
      </c>
      <c r="M17" s="207">
        <v>0.36</v>
      </c>
      <c r="N17" s="207">
        <v>0.36</v>
      </c>
      <c r="O17" s="207">
        <v>0.36</v>
      </c>
      <c r="P17" s="207">
        <v>0.36</v>
      </c>
      <c r="Q17" s="207">
        <v>0.34</v>
      </c>
      <c r="R17" s="207">
        <v>0.36</v>
      </c>
      <c r="S17" s="207">
        <v>0.34</v>
      </c>
      <c r="T17" s="207">
        <v>0.34</v>
      </c>
      <c r="U17" s="207">
        <v>0.34</v>
      </c>
      <c r="V17" s="207">
        <v>0.34</v>
      </c>
      <c r="W17" s="207">
        <v>0.34</v>
      </c>
      <c r="X17" s="207">
        <v>0.36</v>
      </c>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ht="24.6" customHeight="1">
      <c r="A18" s="494"/>
      <c r="B18" s="493" t="str">
        <f t="shared" ref="B18" si="3">$B$3</f>
        <v>Outpatient</v>
      </c>
      <c r="C18" s="493" t="s">
        <v>275</v>
      </c>
      <c r="D18" s="493" t="s">
        <v>276</v>
      </c>
      <c r="E18" s="494" t="s">
        <v>279</v>
      </c>
      <c r="F18" s="442" t="s">
        <v>260</v>
      </c>
      <c r="G18" s="442" t="s">
        <v>261</v>
      </c>
      <c r="H18" s="493" t="s">
        <v>280</v>
      </c>
      <c r="I18" s="177">
        <f>0.79*0.88+0.12*I21</f>
        <v>0.72520000000000007</v>
      </c>
      <c r="J18" s="177">
        <f t="shared" ref="J18:X18" si="4">0.79*0.88+0.12*J21</f>
        <v>0.72520000000000007</v>
      </c>
      <c r="K18" s="177">
        <f t="shared" si="4"/>
        <v>0.72520000000000007</v>
      </c>
      <c r="L18" s="177">
        <f t="shared" si="4"/>
        <v>0.72520000000000007</v>
      </c>
      <c r="M18" s="177">
        <f t="shared" si="4"/>
        <v>0.72520000000000007</v>
      </c>
      <c r="N18" s="177">
        <f t="shared" si="4"/>
        <v>0.72520000000000007</v>
      </c>
      <c r="O18" s="177">
        <f t="shared" si="4"/>
        <v>0.72520000000000007</v>
      </c>
      <c r="P18" s="177">
        <f t="shared" si="4"/>
        <v>0.72520000000000007</v>
      </c>
      <c r="Q18" s="177">
        <f t="shared" si="4"/>
        <v>0.72520000000000007</v>
      </c>
      <c r="R18" s="177">
        <f t="shared" si="4"/>
        <v>0.72520000000000007</v>
      </c>
      <c r="S18" s="177">
        <f t="shared" si="4"/>
        <v>0.72520000000000007</v>
      </c>
      <c r="T18" s="177">
        <f t="shared" si="4"/>
        <v>0.72520000000000007</v>
      </c>
      <c r="U18" s="177">
        <f t="shared" si="4"/>
        <v>0.72520000000000007</v>
      </c>
      <c r="V18" s="177">
        <f t="shared" si="4"/>
        <v>0.72520000000000007</v>
      </c>
      <c r="W18" s="177">
        <f t="shared" si="4"/>
        <v>0.72520000000000007</v>
      </c>
      <c r="X18" s="177">
        <f t="shared" si="4"/>
        <v>0.72520000000000007</v>
      </c>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ht="24.6" customHeight="1">
      <c r="A19" s="494"/>
      <c r="B19" s="493"/>
      <c r="C19" s="493"/>
      <c r="D19" s="493"/>
      <c r="E19" s="494"/>
      <c r="F19" s="209" t="s">
        <v>263</v>
      </c>
      <c r="G19" s="209" t="s">
        <v>261</v>
      </c>
      <c r="H19" s="493"/>
      <c r="I19" s="210">
        <f>0.79*0.88+0.12*I21</f>
        <v>0.72520000000000007</v>
      </c>
      <c r="J19" s="210">
        <f t="shared" ref="J19:X19" si="5">0.79*0.88+0.12*J21</f>
        <v>0.72520000000000007</v>
      </c>
      <c r="K19" s="210">
        <f t="shared" si="5"/>
        <v>0.72520000000000007</v>
      </c>
      <c r="L19" s="210">
        <f t="shared" si="5"/>
        <v>0.72520000000000007</v>
      </c>
      <c r="M19" s="210">
        <f t="shared" si="5"/>
        <v>0.72520000000000007</v>
      </c>
      <c r="N19" s="210">
        <f t="shared" si="5"/>
        <v>0.72520000000000007</v>
      </c>
      <c r="O19" s="210">
        <f t="shared" si="5"/>
        <v>0.72520000000000007</v>
      </c>
      <c r="P19" s="210">
        <f t="shared" si="5"/>
        <v>0.72520000000000007</v>
      </c>
      <c r="Q19" s="210">
        <f t="shared" si="5"/>
        <v>0.72520000000000007</v>
      </c>
      <c r="R19" s="210">
        <f t="shared" si="5"/>
        <v>0.72520000000000007</v>
      </c>
      <c r="S19" s="210">
        <f t="shared" si="5"/>
        <v>0.72520000000000007</v>
      </c>
      <c r="T19" s="210">
        <f t="shared" si="5"/>
        <v>0.72520000000000007</v>
      </c>
      <c r="U19" s="210">
        <f t="shared" si="5"/>
        <v>0.72520000000000007</v>
      </c>
      <c r="V19" s="210">
        <f t="shared" si="5"/>
        <v>0.72520000000000007</v>
      </c>
      <c r="W19" s="210">
        <f t="shared" si="5"/>
        <v>0.72520000000000007</v>
      </c>
      <c r="X19" s="210">
        <f t="shared" si="5"/>
        <v>0.72520000000000007</v>
      </c>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ht="24.6" customHeight="1">
      <c r="A20" s="494"/>
      <c r="B20" s="493"/>
      <c r="C20" s="493"/>
      <c r="D20" s="494" t="s">
        <v>278</v>
      </c>
      <c r="E20" s="494"/>
      <c r="F20" s="202" t="s">
        <v>265</v>
      </c>
      <c r="G20" s="202">
        <v>2001</v>
      </c>
      <c r="H20" s="211" t="s">
        <v>281</v>
      </c>
      <c r="I20" s="202">
        <v>0.43</v>
      </c>
      <c r="J20" s="202">
        <v>0.36</v>
      </c>
      <c r="K20" s="202">
        <v>0.55000000000000004</v>
      </c>
      <c r="L20" s="202">
        <v>0.55000000000000004</v>
      </c>
      <c r="M20" s="202">
        <v>0.55000000000000004</v>
      </c>
      <c r="N20" s="202">
        <v>0.61</v>
      </c>
      <c r="O20" s="202">
        <v>0.61</v>
      </c>
      <c r="P20" s="202">
        <v>0.61</v>
      </c>
      <c r="Q20" s="202">
        <v>0.61</v>
      </c>
      <c r="R20" s="202">
        <v>0.36</v>
      </c>
      <c r="S20" s="202">
        <v>0.36</v>
      </c>
      <c r="T20" s="202">
        <v>0.36</v>
      </c>
      <c r="U20" s="202">
        <v>0.36</v>
      </c>
      <c r="V20" s="202">
        <v>0.36</v>
      </c>
      <c r="W20" s="202">
        <v>0.36</v>
      </c>
      <c r="X20" s="202">
        <v>0.43</v>
      </c>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ht="24.6" customHeight="1">
      <c r="A21" s="494"/>
      <c r="B21" s="493"/>
      <c r="C21" s="493"/>
      <c r="D21" s="494"/>
      <c r="E21" s="494"/>
      <c r="F21" s="204" t="s">
        <v>267</v>
      </c>
      <c r="G21" s="204">
        <v>2013</v>
      </c>
      <c r="H21" s="204" t="s">
        <v>268</v>
      </c>
      <c r="I21" s="204">
        <v>0.25</v>
      </c>
      <c r="J21" s="204">
        <v>0.25</v>
      </c>
      <c r="K21" s="204">
        <v>0.25</v>
      </c>
      <c r="L21" s="204">
        <v>0.25</v>
      </c>
      <c r="M21" s="204">
        <v>0.25</v>
      </c>
      <c r="N21" s="204">
        <v>0.25</v>
      </c>
      <c r="O21" s="204">
        <v>0.25</v>
      </c>
      <c r="P21" s="204">
        <v>0.25</v>
      </c>
      <c r="Q21" s="204">
        <v>0.25</v>
      </c>
      <c r="R21" s="204">
        <v>0.25</v>
      </c>
      <c r="S21" s="204">
        <v>0.25</v>
      </c>
      <c r="T21" s="204">
        <v>0.25</v>
      </c>
      <c r="U21" s="204">
        <v>0.25</v>
      </c>
      <c r="V21" s="204">
        <v>0.25</v>
      </c>
      <c r="W21" s="204">
        <v>0.25</v>
      </c>
      <c r="X21" s="204">
        <v>0.25</v>
      </c>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ht="24.6" customHeight="1">
      <c r="A22" s="494"/>
      <c r="B22" s="493"/>
      <c r="C22" s="493"/>
      <c r="D22" s="494"/>
      <c r="E22" s="494"/>
      <c r="F22" s="206" t="s">
        <v>269</v>
      </c>
      <c r="G22" s="207">
        <v>2025</v>
      </c>
      <c r="H22" s="206" t="s">
        <v>268</v>
      </c>
      <c r="I22" s="207">
        <v>0.25</v>
      </c>
      <c r="J22" s="207">
        <v>0.25</v>
      </c>
      <c r="K22" s="207">
        <v>0.25</v>
      </c>
      <c r="L22" s="207">
        <v>0.25</v>
      </c>
      <c r="M22" s="207">
        <v>0.25</v>
      </c>
      <c r="N22" s="207">
        <v>0.25</v>
      </c>
      <c r="O22" s="207">
        <v>0.25</v>
      </c>
      <c r="P22" s="207">
        <v>0.25</v>
      </c>
      <c r="Q22" s="207">
        <v>0.22</v>
      </c>
      <c r="R22" s="207">
        <v>0.25</v>
      </c>
      <c r="S22" s="207">
        <v>0.22</v>
      </c>
      <c r="T22" s="207">
        <v>0.22</v>
      </c>
      <c r="U22" s="207">
        <v>0.22</v>
      </c>
      <c r="V22" s="207">
        <v>0.22</v>
      </c>
      <c r="W22" s="207">
        <v>0.22</v>
      </c>
      <c r="X22" s="207">
        <v>0.25</v>
      </c>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ht="15" customHeight="1">
      <c r="A23" s="6" t="s">
        <v>282</v>
      </c>
      <c r="B23" s="12"/>
      <c r="C23" s="6"/>
      <c r="D23" s="6"/>
      <c r="E23" s="6"/>
      <c r="F23" s="6"/>
      <c r="G23" s="446"/>
      <c r="H23" s="6"/>
      <c r="I23" s="6"/>
      <c r="J23" s="6"/>
      <c r="K23" s="6"/>
      <c r="L23" s="6"/>
      <c r="M23" s="6"/>
      <c r="N23" s="6"/>
      <c r="O23" s="6"/>
      <c r="P23" s="6"/>
      <c r="Q23" s="6"/>
      <c r="R23" s="6"/>
      <c r="S23" s="6"/>
      <c r="T23" s="6"/>
      <c r="U23" s="6"/>
      <c r="V23" s="6"/>
      <c r="W23" s="6"/>
      <c r="X23" s="6"/>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ht="25.9" customHeight="1">
      <c r="A24" s="6"/>
      <c r="B24" s="12"/>
      <c r="C24" s="6"/>
      <c r="D24" s="6"/>
      <c r="E24" s="106"/>
      <c r="F24" s="106"/>
      <c r="G24" s="106"/>
      <c r="H24" s="106"/>
      <c r="I24" s="106"/>
      <c r="J24" s="106"/>
      <c r="K24" s="106"/>
      <c r="L24" s="106"/>
      <c r="M24" s="107"/>
      <c r="N24" s="107"/>
      <c r="O24" s="107"/>
      <c r="P24" s="107"/>
      <c r="Q24" s="107"/>
      <c r="R24" s="107"/>
      <c r="S24" s="107"/>
      <c r="T24" s="107"/>
      <c r="U24" s="107"/>
      <c r="V24" s="107"/>
      <c r="W24" s="107"/>
      <c r="X24" s="107"/>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ht="26.45" customHeight="1">
      <c r="A25" s="4"/>
      <c r="B25" s="4"/>
      <c r="C25" s="4"/>
      <c r="D25" s="4"/>
      <c r="E25" s="501" t="s">
        <v>283</v>
      </c>
      <c r="F25" s="502"/>
      <c r="G25" s="502"/>
      <c r="H25" s="502"/>
      <c r="I25" s="502"/>
      <c r="J25" s="502"/>
      <c r="K25" s="502"/>
      <c r="L25" s="502"/>
      <c r="M25" s="502"/>
      <c r="N25" s="502"/>
      <c r="O25" s="502"/>
      <c r="P25" s="502"/>
      <c r="Q25" s="502"/>
      <c r="R25" s="502"/>
      <c r="S25" s="502"/>
      <c r="T25" s="502"/>
      <c r="U25" s="502"/>
      <c r="V25" s="502"/>
      <c r="W25" s="502"/>
      <c r="X25" s="503"/>
      <c r="Y25" s="64"/>
      <c r="Z25" s="6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row>
    <row r="26" spans="1:53" ht="47.45" customHeight="1">
      <c r="A26" s="4"/>
      <c r="B26" s="4"/>
      <c r="C26" s="4"/>
      <c r="D26" s="4"/>
      <c r="E26" s="445"/>
      <c r="F26" s="469" t="s">
        <v>237</v>
      </c>
      <c r="G26" s="445" t="s">
        <v>284</v>
      </c>
      <c r="H26" s="445" t="s">
        <v>239</v>
      </c>
      <c r="I26" s="497" t="s">
        <v>285</v>
      </c>
      <c r="J26" s="497"/>
      <c r="K26" s="497"/>
      <c r="L26" s="497"/>
      <c r="M26" s="497"/>
      <c r="N26" s="497"/>
      <c r="O26" s="497"/>
      <c r="P26" s="497"/>
      <c r="Q26" s="497"/>
      <c r="R26" s="497"/>
      <c r="S26" s="497"/>
      <c r="T26" s="497"/>
      <c r="U26" s="497"/>
      <c r="V26" s="497"/>
      <c r="W26" s="497"/>
      <c r="X26" s="497"/>
      <c r="Y26" s="64"/>
      <c r="Z26" s="6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row>
    <row r="27" spans="1:53" ht="25.15" customHeight="1">
      <c r="A27" s="4"/>
      <c r="B27" s="4"/>
      <c r="C27" s="4"/>
      <c r="D27" s="4"/>
      <c r="E27" s="498" t="s">
        <v>286</v>
      </c>
      <c r="F27" s="454" t="s">
        <v>260</v>
      </c>
      <c r="G27" s="453">
        <v>1.1000000000000001</v>
      </c>
      <c r="H27" s="105" t="s">
        <v>287</v>
      </c>
      <c r="I27" s="499">
        <v>0.34100000000000003</v>
      </c>
      <c r="J27" s="499"/>
      <c r="K27" s="499"/>
      <c r="L27" s="499"/>
      <c r="M27" s="499"/>
      <c r="N27" s="499"/>
      <c r="O27" s="499"/>
      <c r="P27" s="499"/>
      <c r="Q27" s="499"/>
      <c r="R27" s="499"/>
      <c r="S27" s="499"/>
      <c r="T27" s="499"/>
      <c r="U27" s="499"/>
      <c r="V27" s="499"/>
      <c r="W27" s="499"/>
      <c r="X27" s="499"/>
      <c r="Y27" s="64"/>
      <c r="Z27" s="64"/>
      <c r="AA27" s="52"/>
      <c r="AB27" s="4"/>
      <c r="AC27" s="4"/>
      <c r="AD27" s="496"/>
      <c r="AE27" s="496"/>
      <c r="AF27" s="496"/>
      <c r="AG27" s="496"/>
      <c r="AH27" s="496"/>
      <c r="AI27" s="496"/>
      <c r="AJ27" s="496"/>
      <c r="AK27" s="496"/>
      <c r="AL27" s="496"/>
      <c r="AM27" s="496"/>
      <c r="AN27" s="496"/>
      <c r="AO27" s="496"/>
      <c r="AP27" s="496"/>
      <c r="AQ27" s="496"/>
      <c r="AR27" s="496"/>
      <c r="AS27" s="496"/>
      <c r="AT27" s="496"/>
      <c r="AU27" s="496"/>
      <c r="AV27" s="496"/>
      <c r="AW27" s="496"/>
      <c r="AX27" s="496"/>
      <c r="AY27" s="496"/>
      <c r="AZ27" s="496"/>
      <c r="BA27" s="4"/>
    </row>
    <row r="28" spans="1:53" ht="25.15" customHeight="1">
      <c r="A28" s="4"/>
      <c r="B28" s="4"/>
      <c r="C28" s="4"/>
      <c r="D28" s="4"/>
      <c r="E28" s="498"/>
      <c r="F28" s="454" t="s">
        <v>263</v>
      </c>
      <c r="G28" s="453">
        <v>1.1000000000000001</v>
      </c>
      <c r="H28" s="105" t="s">
        <v>287</v>
      </c>
      <c r="I28" s="499">
        <v>0.34100000000000003</v>
      </c>
      <c r="J28" s="499"/>
      <c r="K28" s="499"/>
      <c r="L28" s="499"/>
      <c r="M28" s="499"/>
      <c r="N28" s="499"/>
      <c r="O28" s="499"/>
      <c r="P28" s="499"/>
      <c r="Q28" s="499"/>
      <c r="R28" s="499"/>
      <c r="S28" s="499"/>
      <c r="T28" s="499"/>
      <c r="U28" s="499"/>
      <c r="V28" s="499"/>
      <c r="W28" s="499"/>
      <c r="X28" s="499"/>
      <c r="Y28" s="64"/>
      <c r="Z28" s="6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row>
    <row r="29" spans="1:53" ht="25.15" customHeight="1">
      <c r="A29" s="4"/>
      <c r="B29" s="4"/>
      <c r="C29" s="4"/>
      <c r="D29" s="4"/>
      <c r="E29" s="498"/>
      <c r="F29" s="454" t="s">
        <v>265</v>
      </c>
      <c r="G29" s="453">
        <v>1.1000000000000001</v>
      </c>
      <c r="H29" s="105" t="s">
        <v>287</v>
      </c>
      <c r="I29" s="500">
        <v>0.34100000000000003</v>
      </c>
      <c r="J29" s="500"/>
      <c r="K29" s="500"/>
      <c r="L29" s="500"/>
      <c r="M29" s="500"/>
      <c r="N29" s="500"/>
      <c r="O29" s="500"/>
      <c r="P29" s="500"/>
      <c r="Q29" s="500"/>
      <c r="R29" s="500"/>
      <c r="S29" s="500"/>
      <c r="T29" s="500"/>
      <c r="U29" s="500"/>
      <c r="V29" s="500"/>
      <c r="W29" s="500"/>
      <c r="X29" s="500"/>
      <c r="Y29" s="64"/>
      <c r="Z29" s="6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row>
    <row r="30" spans="1:53" ht="43.9" customHeight="1">
      <c r="A30" s="4"/>
      <c r="B30" s="4"/>
      <c r="C30" s="4"/>
      <c r="D30" s="4"/>
      <c r="E30" s="498"/>
      <c r="F30" s="454" t="s">
        <v>267</v>
      </c>
      <c r="G30" s="453">
        <v>1</v>
      </c>
      <c r="H30" s="453" t="s">
        <v>288</v>
      </c>
      <c r="I30" s="499">
        <v>0.31209999999999999</v>
      </c>
      <c r="J30" s="499"/>
      <c r="K30" s="499"/>
      <c r="L30" s="499"/>
      <c r="M30" s="499"/>
      <c r="N30" s="499"/>
      <c r="O30" s="499"/>
      <c r="P30" s="499"/>
      <c r="Q30" s="499"/>
      <c r="R30" s="499"/>
      <c r="S30" s="499"/>
      <c r="T30" s="499"/>
      <c r="U30" s="499"/>
      <c r="V30" s="499"/>
      <c r="W30" s="499"/>
      <c r="X30" s="499"/>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row>
    <row r="31" spans="1:53" ht="40.9" customHeight="1">
      <c r="A31" s="4"/>
      <c r="B31" s="4"/>
      <c r="C31" s="4"/>
      <c r="D31" s="4"/>
      <c r="E31" s="498"/>
      <c r="F31" s="454" t="s">
        <v>269</v>
      </c>
      <c r="G31" s="453">
        <v>0.6</v>
      </c>
      <c r="H31" s="453" t="s">
        <v>289</v>
      </c>
      <c r="I31" s="499">
        <v>0.186</v>
      </c>
      <c r="J31" s="499"/>
      <c r="K31" s="499"/>
      <c r="L31" s="499"/>
      <c r="M31" s="499"/>
      <c r="N31" s="499"/>
      <c r="O31" s="499"/>
      <c r="P31" s="499"/>
      <c r="Q31" s="499"/>
      <c r="R31" s="499"/>
      <c r="S31" s="499"/>
      <c r="T31" s="499"/>
      <c r="U31" s="499"/>
      <c r="V31" s="499"/>
      <c r="W31" s="499"/>
      <c r="X31" s="499"/>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row>
    <row r="32" spans="1:53">
      <c r="A32" s="4"/>
      <c r="B32" s="4"/>
      <c r="C32" s="4"/>
      <c r="D32" s="4"/>
      <c r="E32" s="6" t="s">
        <v>290</v>
      </c>
      <c r="F32" s="4"/>
      <c r="G32" s="65"/>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row>
    <row r="33" spans="2:25" ht="15">
      <c r="B33" s="4"/>
      <c r="C33" s="4"/>
      <c r="D33" s="4"/>
      <c r="E33" s="6" t="s">
        <v>291</v>
      </c>
      <c r="F33" s="4"/>
      <c r="G33" s="2" t="s">
        <v>292</v>
      </c>
      <c r="H33" s="4"/>
      <c r="I33" s="4"/>
      <c r="J33" s="4"/>
      <c r="K33" s="4"/>
      <c r="L33" s="4"/>
      <c r="M33" s="4"/>
      <c r="N33" s="4"/>
      <c r="O33" s="4"/>
      <c r="P33" s="4"/>
      <c r="Q33" s="4"/>
      <c r="R33" s="4"/>
      <c r="S33" s="4"/>
      <c r="T33" s="4"/>
      <c r="U33" s="4"/>
      <c r="V33" s="4"/>
      <c r="W33" s="4"/>
      <c r="X33" s="4"/>
      <c r="Y33" s="4"/>
    </row>
    <row r="34" spans="2:25">
      <c r="B34" s="91"/>
      <c r="C34" s="4"/>
      <c r="D34" s="4"/>
      <c r="E34" s="4"/>
      <c r="F34" s="65"/>
      <c r="G34" s="4"/>
      <c r="H34" s="4"/>
      <c r="I34" s="4"/>
      <c r="J34" s="4"/>
      <c r="K34" s="4"/>
      <c r="L34" s="4"/>
      <c r="M34" s="4"/>
      <c r="N34" s="4"/>
      <c r="O34" s="4"/>
      <c r="P34" s="4"/>
      <c r="Q34" s="4"/>
      <c r="R34" s="4"/>
      <c r="S34" s="4"/>
      <c r="T34" s="4"/>
      <c r="U34" s="4"/>
      <c r="V34" s="4"/>
      <c r="W34" s="4"/>
      <c r="X34" s="4"/>
      <c r="Y34" s="4"/>
    </row>
    <row r="35" spans="2:25">
      <c r="B35" s="91"/>
      <c r="C35" s="4"/>
      <c r="D35" s="4"/>
      <c r="E35" s="4"/>
      <c r="F35" s="65"/>
      <c r="G35" s="4"/>
      <c r="H35" s="4"/>
      <c r="I35" s="4"/>
      <c r="J35" s="4"/>
      <c r="K35" s="4"/>
      <c r="L35" s="4"/>
      <c r="M35" s="4"/>
      <c r="N35" s="4"/>
      <c r="O35" s="4"/>
      <c r="P35" s="4"/>
      <c r="Q35" s="4"/>
      <c r="R35" s="4"/>
      <c r="S35" s="4"/>
      <c r="T35" s="4"/>
      <c r="U35" s="4"/>
      <c r="V35" s="4"/>
      <c r="W35" s="4"/>
      <c r="X35" s="4"/>
      <c r="Y35" s="4"/>
    </row>
  </sheetData>
  <mergeCells count="38">
    <mergeCell ref="D20:D22"/>
    <mergeCell ref="E25:X25"/>
    <mergeCell ref="E3:E7"/>
    <mergeCell ref="C13:C17"/>
    <mergeCell ref="B8:B12"/>
    <mergeCell ref="E8:E12"/>
    <mergeCell ref="E13:E17"/>
    <mergeCell ref="D8:D12"/>
    <mergeCell ref="D15:D17"/>
    <mergeCell ref="D13:D14"/>
    <mergeCell ref="I26:X26"/>
    <mergeCell ref="E27:E31"/>
    <mergeCell ref="I27:X27"/>
    <mergeCell ref="I28:X28"/>
    <mergeCell ref="I30:X30"/>
    <mergeCell ref="I31:X31"/>
    <mergeCell ref="I29:X29"/>
    <mergeCell ref="AS27:AV27"/>
    <mergeCell ref="AW27:AZ27"/>
    <mergeCell ref="AI27:AM27"/>
    <mergeCell ref="AD27:AH27"/>
    <mergeCell ref="AN27:AR27"/>
    <mergeCell ref="A1:X1"/>
    <mergeCell ref="D18:D19"/>
    <mergeCell ref="C18:C22"/>
    <mergeCell ref="E18:E22"/>
    <mergeCell ref="A13:A22"/>
    <mergeCell ref="B18:B22"/>
    <mergeCell ref="B13:B17"/>
    <mergeCell ref="D3:D7"/>
    <mergeCell ref="B3:B7"/>
    <mergeCell ref="A3:A7"/>
    <mergeCell ref="C3:C7"/>
    <mergeCell ref="C8:C12"/>
    <mergeCell ref="H8:H9"/>
    <mergeCell ref="H13:H14"/>
    <mergeCell ref="H18:H19"/>
    <mergeCell ref="A8:A12"/>
  </mergeCells>
  <phoneticPr fontId="5" type="noConversion"/>
  <hyperlinks>
    <hyperlink ref="G33"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27" r:id="rId2" xr:uid="{41AD9FFF-609E-4AE3-98F2-52C38EDBAB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S39"/>
  <sheetViews>
    <sheetView zoomScale="80" zoomScaleNormal="80" workbookViewId="0">
      <selection sqref="A1:S1"/>
    </sheetView>
  </sheetViews>
  <sheetFormatPr defaultRowHeight="15"/>
  <cols>
    <col min="1" max="1" width="40.7109375" customWidth="1"/>
    <col min="18" max="18" width="22.28515625" customWidth="1"/>
    <col min="19" max="19" width="73.5703125" customWidth="1"/>
  </cols>
  <sheetData>
    <row r="1" spans="1:19" ht="27" customHeight="1">
      <c r="A1" s="505" t="str">
        <f>"Thermostat - "&amp;Prototype!A2</f>
        <v>Thermostat - Outpatient</v>
      </c>
      <c r="B1" s="505"/>
      <c r="C1" s="505"/>
      <c r="D1" s="505"/>
      <c r="E1" s="505"/>
      <c r="F1" s="505"/>
      <c r="G1" s="505"/>
      <c r="H1" s="505"/>
      <c r="I1" s="505"/>
      <c r="J1" s="505"/>
      <c r="K1" s="505"/>
      <c r="L1" s="505"/>
      <c r="M1" s="505"/>
      <c r="N1" s="505"/>
      <c r="O1" s="505"/>
      <c r="P1" s="505"/>
      <c r="Q1" s="505"/>
      <c r="R1" s="505"/>
      <c r="S1" s="505"/>
    </row>
    <row r="2" spans="1:19" ht="27.6" customHeight="1" thickBot="1">
      <c r="A2" s="273" t="s">
        <v>293</v>
      </c>
      <c r="B2" s="460" t="s">
        <v>240</v>
      </c>
      <c r="C2" s="460" t="s">
        <v>241</v>
      </c>
      <c r="D2" s="460" t="s">
        <v>242</v>
      </c>
      <c r="E2" s="460" t="s">
        <v>243</v>
      </c>
      <c r="F2" s="460" t="s">
        <v>244</v>
      </c>
      <c r="G2" s="460" t="s">
        <v>245</v>
      </c>
      <c r="H2" s="460" t="s">
        <v>246</v>
      </c>
      <c r="I2" s="460" t="s">
        <v>247</v>
      </c>
      <c r="J2" s="460" t="s">
        <v>248</v>
      </c>
      <c r="K2" s="460" t="s">
        <v>249</v>
      </c>
      <c r="L2" s="460" t="s">
        <v>250</v>
      </c>
      <c r="M2" s="460" t="s">
        <v>251</v>
      </c>
      <c r="N2" s="460" t="s">
        <v>252</v>
      </c>
      <c r="O2" s="460" t="s">
        <v>253</v>
      </c>
      <c r="P2" s="460" t="s">
        <v>254</v>
      </c>
      <c r="Q2" s="460" t="s">
        <v>255</v>
      </c>
      <c r="R2" s="413" t="s">
        <v>35</v>
      </c>
      <c r="S2" s="413" t="s">
        <v>239</v>
      </c>
    </row>
    <row r="3" spans="1:19" ht="22.9" customHeight="1">
      <c r="A3" s="410" t="s">
        <v>294</v>
      </c>
      <c r="B3" s="233">
        <v>70</v>
      </c>
      <c r="C3" s="233">
        <v>70</v>
      </c>
      <c r="D3" s="233">
        <v>70</v>
      </c>
      <c r="E3" s="233">
        <v>70</v>
      </c>
      <c r="F3" s="233">
        <v>70</v>
      </c>
      <c r="G3" s="233">
        <v>70</v>
      </c>
      <c r="H3" s="233">
        <v>70</v>
      </c>
      <c r="I3" s="233">
        <v>70</v>
      </c>
      <c r="J3" s="233">
        <v>70</v>
      </c>
      <c r="K3" s="233">
        <v>70</v>
      </c>
      <c r="L3" s="233">
        <v>70</v>
      </c>
      <c r="M3" s="233">
        <v>70</v>
      </c>
      <c r="N3" s="233">
        <v>70</v>
      </c>
      <c r="O3" s="233">
        <v>70</v>
      </c>
      <c r="P3" s="233">
        <v>70</v>
      </c>
      <c r="Q3" s="233">
        <v>70</v>
      </c>
      <c r="R3" s="509" t="s">
        <v>295</v>
      </c>
      <c r="S3" s="506" t="s">
        <v>296</v>
      </c>
    </row>
    <row r="4" spans="1:19" ht="26.45" customHeight="1">
      <c r="A4" s="411" t="s">
        <v>297</v>
      </c>
      <c r="B4" s="442">
        <v>70</v>
      </c>
      <c r="C4" s="442">
        <v>70</v>
      </c>
      <c r="D4" s="442">
        <v>70</v>
      </c>
      <c r="E4" s="442">
        <v>70</v>
      </c>
      <c r="F4" s="442">
        <v>70</v>
      </c>
      <c r="G4" s="442">
        <v>70</v>
      </c>
      <c r="H4" s="442">
        <v>70</v>
      </c>
      <c r="I4" s="442">
        <v>70</v>
      </c>
      <c r="J4" s="442">
        <v>70</v>
      </c>
      <c r="K4" s="442">
        <v>70</v>
      </c>
      <c r="L4" s="442">
        <v>70</v>
      </c>
      <c r="M4" s="442">
        <v>70</v>
      </c>
      <c r="N4" s="442">
        <v>70</v>
      </c>
      <c r="O4" s="442">
        <v>70</v>
      </c>
      <c r="P4" s="442">
        <v>70</v>
      </c>
      <c r="Q4" s="442">
        <v>70</v>
      </c>
      <c r="R4" s="493"/>
      <c r="S4" s="507"/>
    </row>
    <row r="5" spans="1:19" ht="26.45" customHeight="1">
      <c r="A5" s="411" t="s">
        <v>298</v>
      </c>
      <c r="B5" s="442">
        <v>75</v>
      </c>
      <c r="C5" s="442">
        <v>75</v>
      </c>
      <c r="D5" s="442">
        <v>75</v>
      </c>
      <c r="E5" s="442">
        <v>75</v>
      </c>
      <c r="F5" s="442">
        <v>75</v>
      </c>
      <c r="G5" s="442">
        <v>75</v>
      </c>
      <c r="H5" s="442">
        <v>75</v>
      </c>
      <c r="I5" s="442">
        <v>75</v>
      </c>
      <c r="J5" s="442">
        <v>75</v>
      </c>
      <c r="K5" s="442">
        <v>75</v>
      </c>
      <c r="L5" s="442">
        <v>75</v>
      </c>
      <c r="M5" s="442">
        <v>75</v>
      </c>
      <c r="N5" s="442">
        <v>75</v>
      </c>
      <c r="O5" s="442">
        <v>75</v>
      </c>
      <c r="P5" s="442">
        <v>75</v>
      </c>
      <c r="Q5" s="442">
        <v>75</v>
      </c>
      <c r="R5" s="493"/>
      <c r="S5" s="507"/>
    </row>
    <row r="6" spans="1:19" ht="23.45" customHeight="1" thickBot="1">
      <c r="A6" s="412" t="s">
        <v>299</v>
      </c>
      <c r="B6" s="231">
        <v>75</v>
      </c>
      <c r="C6" s="231">
        <v>75</v>
      </c>
      <c r="D6" s="231">
        <v>75</v>
      </c>
      <c r="E6" s="231">
        <v>75</v>
      </c>
      <c r="F6" s="231">
        <v>75</v>
      </c>
      <c r="G6" s="231">
        <v>75</v>
      </c>
      <c r="H6" s="231">
        <v>75</v>
      </c>
      <c r="I6" s="231">
        <v>75</v>
      </c>
      <c r="J6" s="231">
        <v>75</v>
      </c>
      <c r="K6" s="231">
        <v>75</v>
      </c>
      <c r="L6" s="231">
        <v>75</v>
      </c>
      <c r="M6" s="231">
        <v>75</v>
      </c>
      <c r="N6" s="231">
        <v>75</v>
      </c>
      <c r="O6" s="231">
        <v>75</v>
      </c>
      <c r="P6" s="231">
        <v>75</v>
      </c>
      <c r="Q6" s="231">
        <v>75</v>
      </c>
      <c r="R6" s="510"/>
      <c r="S6" s="508"/>
    </row>
    <row r="7" spans="1:19" ht="24.6" customHeight="1">
      <c r="A7" s="410" t="s">
        <v>300</v>
      </c>
      <c r="B7" s="248">
        <v>66</v>
      </c>
      <c r="C7" s="248">
        <v>66</v>
      </c>
      <c r="D7" s="248">
        <v>66</v>
      </c>
      <c r="E7" s="248">
        <v>66</v>
      </c>
      <c r="F7" s="248">
        <v>66</v>
      </c>
      <c r="G7" s="248">
        <v>66</v>
      </c>
      <c r="H7" s="248">
        <v>66</v>
      </c>
      <c r="I7" s="248">
        <v>66</v>
      </c>
      <c r="J7" s="248">
        <v>66</v>
      </c>
      <c r="K7" s="248">
        <v>66</v>
      </c>
      <c r="L7" s="248">
        <v>66</v>
      </c>
      <c r="M7" s="248">
        <v>66</v>
      </c>
      <c r="N7" s="248">
        <v>66</v>
      </c>
      <c r="O7" s="248">
        <v>66</v>
      </c>
      <c r="P7" s="248">
        <v>66</v>
      </c>
      <c r="Q7" s="248">
        <v>66</v>
      </c>
      <c r="R7" s="693" t="s">
        <v>301</v>
      </c>
      <c r="S7" s="515"/>
    </row>
    <row r="8" spans="1:19" ht="24.6" customHeight="1">
      <c r="A8" s="411" t="s">
        <v>302</v>
      </c>
      <c r="B8" s="248">
        <v>60</v>
      </c>
      <c r="C8" s="248">
        <v>60</v>
      </c>
      <c r="D8" s="248">
        <v>60</v>
      </c>
      <c r="E8" s="248">
        <v>60</v>
      </c>
      <c r="F8" s="248">
        <v>60</v>
      </c>
      <c r="G8" s="248">
        <v>60</v>
      </c>
      <c r="H8" s="248">
        <v>60</v>
      </c>
      <c r="I8" s="248">
        <v>60</v>
      </c>
      <c r="J8" s="248">
        <v>60</v>
      </c>
      <c r="K8" s="248">
        <v>60</v>
      </c>
      <c r="L8" s="248">
        <v>60</v>
      </c>
      <c r="M8" s="248">
        <v>60</v>
      </c>
      <c r="N8" s="248">
        <v>60</v>
      </c>
      <c r="O8" s="248">
        <v>60</v>
      </c>
      <c r="P8" s="248">
        <v>60</v>
      </c>
      <c r="Q8" s="248">
        <v>60</v>
      </c>
      <c r="R8" s="694"/>
      <c r="S8" s="516"/>
    </row>
    <row r="9" spans="1:19" ht="24.6" customHeight="1">
      <c r="A9" s="411" t="s">
        <v>303</v>
      </c>
      <c r="B9" s="248">
        <v>79</v>
      </c>
      <c r="C9" s="248">
        <v>79</v>
      </c>
      <c r="D9" s="248">
        <v>79</v>
      </c>
      <c r="E9" s="248">
        <v>79</v>
      </c>
      <c r="F9" s="248">
        <v>79</v>
      </c>
      <c r="G9" s="248">
        <v>79</v>
      </c>
      <c r="H9" s="248">
        <v>79</v>
      </c>
      <c r="I9" s="248">
        <v>79</v>
      </c>
      <c r="J9" s="248">
        <v>79</v>
      </c>
      <c r="K9" s="248">
        <v>79</v>
      </c>
      <c r="L9" s="248">
        <v>79</v>
      </c>
      <c r="M9" s="248">
        <v>79</v>
      </c>
      <c r="N9" s="248">
        <v>79</v>
      </c>
      <c r="O9" s="248">
        <v>79</v>
      </c>
      <c r="P9" s="248">
        <v>79</v>
      </c>
      <c r="Q9" s="248">
        <v>79</v>
      </c>
      <c r="R9" s="694"/>
      <c r="S9" s="516"/>
    </row>
    <row r="10" spans="1:19" ht="24.6" customHeight="1" thickBot="1">
      <c r="A10" s="412" t="s">
        <v>304</v>
      </c>
      <c r="B10" s="248">
        <v>86</v>
      </c>
      <c r="C10" s="248">
        <v>86</v>
      </c>
      <c r="D10" s="248">
        <v>86</v>
      </c>
      <c r="E10" s="248">
        <v>86</v>
      </c>
      <c r="F10" s="248">
        <v>86</v>
      </c>
      <c r="G10" s="248">
        <v>86</v>
      </c>
      <c r="H10" s="248">
        <v>86</v>
      </c>
      <c r="I10" s="248">
        <v>86</v>
      </c>
      <c r="J10" s="248">
        <v>86</v>
      </c>
      <c r="K10" s="248">
        <v>86</v>
      </c>
      <c r="L10" s="248">
        <v>86</v>
      </c>
      <c r="M10" s="248">
        <v>86</v>
      </c>
      <c r="N10" s="248">
        <v>86</v>
      </c>
      <c r="O10" s="248">
        <v>86</v>
      </c>
      <c r="P10" s="248">
        <v>86</v>
      </c>
      <c r="Q10" s="248">
        <v>86</v>
      </c>
      <c r="R10" s="695"/>
      <c r="S10" s="517"/>
    </row>
    <row r="11" spans="1:19">
      <c r="A11" s="75"/>
      <c r="B11" s="75"/>
      <c r="C11" s="75"/>
    </row>
    <row r="12" spans="1:19">
      <c r="A12" s="75"/>
      <c r="B12" s="75"/>
      <c r="C12" s="75"/>
    </row>
    <row r="13" spans="1:19">
      <c r="A13" s="75"/>
      <c r="B13" s="75"/>
      <c r="C13" s="75"/>
    </row>
    <row r="14" spans="1:19" hidden="1"/>
    <row r="15" spans="1:19" s="48" customFormat="1" ht="12.75" hidden="1">
      <c r="A15" s="512"/>
      <c r="B15" s="512"/>
      <c r="C15" s="512"/>
      <c r="D15" s="512"/>
      <c r="E15" s="512"/>
    </row>
    <row r="16" spans="1:19" hidden="1">
      <c r="B16" s="513"/>
      <c r="C16" s="513"/>
      <c r="D16" s="513"/>
      <c r="E16" s="513"/>
      <c r="F16" s="513"/>
      <c r="G16" s="513"/>
    </row>
    <row r="17" spans="1:9" hidden="1"/>
    <row r="18" spans="1:9" hidden="1">
      <c r="A18" s="514"/>
    </row>
    <row r="19" spans="1:9" hidden="1">
      <c r="A19" s="514"/>
    </row>
    <row r="20" spans="1:9" hidden="1">
      <c r="A20" s="514"/>
      <c r="B20" s="73"/>
      <c r="E20" s="73"/>
    </row>
    <row r="21" spans="1:9" hidden="1">
      <c r="A21" s="514"/>
    </row>
    <row r="22" spans="1:9" hidden="1"/>
    <row r="23" spans="1:9" hidden="1"/>
    <row r="24" spans="1:9" ht="42" hidden="1" customHeight="1">
      <c r="A24" s="511"/>
      <c r="B24" s="511"/>
      <c r="C24" s="511"/>
      <c r="D24" s="511"/>
      <c r="E24" s="511"/>
      <c r="F24" s="511"/>
      <c r="G24" s="511"/>
      <c r="H24" s="511"/>
      <c r="I24" s="511"/>
    </row>
    <row r="25" spans="1:9" hidden="1"/>
    <row r="26" spans="1:9" hidden="1"/>
    <row r="27" spans="1:9" hidden="1"/>
    <row r="28" spans="1:9" hidden="1"/>
    <row r="29" spans="1:9" hidden="1"/>
    <row r="30" spans="1:9" hidden="1"/>
    <row r="31" spans="1:9" hidden="1"/>
    <row r="32" spans="1:9" hidden="1"/>
    <row r="33" hidden="1"/>
    <row r="34" hidden="1"/>
    <row r="35" hidden="1"/>
    <row r="36" hidden="1"/>
    <row r="37" hidden="1"/>
    <row r="38" hidden="1"/>
    <row r="39" hidden="1"/>
  </sheetData>
  <mergeCells count="10">
    <mergeCell ref="A1:S1"/>
    <mergeCell ref="S3:S6"/>
    <mergeCell ref="R3:R6"/>
    <mergeCell ref="A24:I24"/>
    <mergeCell ref="A15:E15"/>
    <mergeCell ref="B16:D16"/>
    <mergeCell ref="E16:G16"/>
    <mergeCell ref="A18:A21"/>
    <mergeCell ref="R7:R10"/>
    <mergeCell ref="S7:S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L72"/>
  <sheetViews>
    <sheetView zoomScale="80" zoomScaleNormal="80" zoomScaleSheetLayoutView="40" workbookViewId="0">
      <selection sqref="A1:G1"/>
    </sheetView>
  </sheetViews>
  <sheetFormatPr defaultColWidth="8.7109375" defaultRowHeight="12.75"/>
  <cols>
    <col min="1" max="1" width="26" style="6" customWidth="1"/>
    <col min="2" max="2" width="32.42578125" style="6" customWidth="1"/>
    <col min="3" max="3" width="39.85546875" style="6" customWidth="1"/>
    <col min="4" max="4" width="29.42578125" style="6" customWidth="1"/>
    <col min="5" max="5" width="32" style="6" customWidth="1"/>
    <col min="6" max="6" width="44.85546875" style="6" customWidth="1"/>
    <col min="7" max="7" width="27.28515625" style="6" customWidth="1"/>
    <col min="8" max="8" width="26" style="6" customWidth="1"/>
    <col min="9" max="9" width="22.42578125" style="6" customWidth="1"/>
    <col min="10" max="11" width="12.7109375" style="6" customWidth="1"/>
    <col min="12" max="19" width="15.28515625" style="6" customWidth="1"/>
    <col min="20" max="20" width="14.7109375" style="6" customWidth="1"/>
    <col min="21" max="21" width="13.5703125" style="6" customWidth="1"/>
    <col min="22" max="22" width="15.7109375" style="6" customWidth="1"/>
    <col min="23" max="29" width="11" style="6" customWidth="1"/>
    <col min="30" max="38" width="6.5703125" style="6" customWidth="1"/>
    <col min="39" max="39" width="8.7109375" style="6" customWidth="1"/>
    <col min="40" max="16384" width="8.7109375" style="6"/>
  </cols>
  <sheetData>
    <row r="1" spans="1:9" ht="27" customHeight="1">
      <c r="A1" s="525" t="str">
        <f>"HVAC System - "&amp;Prototype!A2</f>
        <v>HVAC System - Outpatient</v>
      </c>
      <c r="B1" s="525"/>
      <c r="C1" s="525"/>
      <c r="D1" s="525"/>
      <c r="E1" s="525"/>
      <c r="F1" s="525"/>
      <c r="G1" s="525"/>
    </row>
    <row r="2" spans="1:9" ht="27.6" customHeight="1">
      <c r="A2" s="469" t="s">
        <v>237</v>
      </c>
      <c r="B2" s="139" t="s">
        <v>305</v>
      </c>
      <c r="C2" s="471" t="s">
        <v>306</v>
      </c>
      <c r="D2" s="471" t="s">
        <v>307</v>
      </c>
      <c r="E2" s="471" t="s">
        <v>308</v>
      </c>
      <c r="F2" s="471" t="s">
        <v>35</v>
      </c>
      <c r="G2" s="471" t="s">
        <v>239</v>
      </c>
    </row>
    <row r="3" spans="1:9" ht="43.15" customHeight="1">
      <c r="A3" s="453" t="s">
        <v>309</v>
      </c>
      <c r="B3" s="453" t="s">
        <v>310</v>
      </c>
      <c r="C3" s="74" t="s">
        <v>311</v>
      </c>
      <c r="D3" s="451" t="s">
        <v>312</v>
      </c>
      <c r="E3" s="453" t="s">
        <v>313</v>
      </c>
      <c r="F3" s="453" t="s">
        <v>314</v>
      </c>
      <c r="G3" s="453" t="s">
        <v>315</v>
      </c>
      <c r="H3" s="440"/>
      <c r="I3" s="440"/>
    </row>
    <row r="4" spans="1:9" ht="46.15" customHeight="1">
      <c r="A4" s="454" t="s">
        <v>316</v>
      </c>
      <c r="B4" s="453" t="s">
        <v>310</v>
      </c>
      <c r="C4" s="74" t="s">
        <v>311</v>
      </c>
      <c r="D4" s="451" t="s">
        <v>312</v>
      </c>
      <c r="E4" s="453" t="s">
        <v>317</v>
      </c>
      <c r="F4" s="453" t="s">
        <v>318</v>
      </c>
      <c r="G4" s="453" t="s">
        <v>319</v>
      </c>
      <c r="H4" s="59"/>
      <c r="I4" s="59"/>
    </row>
    <row r="5" spans="1:9" ht="22.9" customHeight="1">
      <c r="A5" s="437"/>
      <c r="B5" s="437"/>
      <c r="C5" s="8"/>
      <c r="D5" s="8"/>
      <c r="E5" s="8"/>
      <c r="F5" s="59"/>
      <c r="G5" s="59"/>
      <c r="H5" s="59"/>
      <c r="I5" s="59"/>
    </row>
    <row r="6" spans="1:9" ht="25.9" customHeight="1">
      <c r="A6" s="8"/>
      <c r="B6" s="8"/>
      <c r="C6" s="8"/>
      <c r="D6" s="8"/>
      <c r="E6" s="8"/>
    </row>
    <row r="7" spans="1:9" ht="25.15" customHeight="1" thickBot="1">
      <c r="A7" s="8"/>
      <c r="B7" s="8"/>
      <c r="C7" s="8"/>
      <c r="D7" s="8"/>
      <c r="E7" s="8"/>
    </row>
    <row r="8" spans="1:9" ht="25.9" customHeight="1">
      <c r="A8" s="526" t="s">
        <v>320</v>
      </c>
      <c r="B8" s="527"/>
      <c r="C8" s="527"/>
      <c r="D8" s="527"/>
      <c r="E8" s="527"/>
      <c r="F8" s="527"/>
      <c r="G8" s="528"/>
      <c r="H8" s="67"/>
    </row>
    <row r="9" spans="1:9" ht="34.15" customHeight="1">
      <c r="A9" s="124" t="s">
        <v>237</v>
      </c>
      <c r="B9" s="469" t="s">
        <v>321</v>
      </c>
      <c r="C9" s="445" t="s">
        <v>322</v>
      </c>
      <c r="D9" s="445" t="s">
        <v>323</v>
      </c>
      <c r="E9" s="471" t="s">
        <v>324</v>
      </c>
      <c r="F9" s="471" t="s">
        <v>35</v>
      </c>
      <c r="G9" s="469" t="s">
        <v>239</v>
      </c>
    </row>
    <row r="10" spans="1:9" ht="22.15" customHeight="1">
      <c r="A10" s="454" t="s">
        <v>260</v>
      </c>
      <c r="B10" s="522">
        <v>2008</v>
      </c>
      <c r="C10" s="529" t="s">
        <v>325</v>
      </c>
      <c r="D10" s="529" t="s">
        <v>326</v>
      </c>
      <c r="E10" s="522" t="s">
        <v>52</v>
      </c>
      <c r="F10" s="523" t="s">
        <v>327</v>
      </c>
      <c r="G10" s="524"/>
    </row>
    <row r="11" spans="1:9" ht="20.45" customHeight="1">
      <c r="A11" s="454" t="s">
        <v>263</v>
      </c>
      <c r="B11" s="522"/>
      <c r="C11" s="522"/>
      <c r="D11" s="522"/>
      <c r="E11" s="522"/>
      <c r="F11" s="523"/>
      <c r="G11" s="524"/>
    </row>
    <row r="12" spans="1:9" ht="21" customHeight="1">
      <c r="A12" s="454" t="s">
        <v>265</v>
      </c>
      <c r="B12" s="522"/>
      <c r="C12" s="522"/>
      <c r="D12" s="522"/>
      <c r="E12" s="522"/>
      <c r="F12" s="523"/>
      <c r="G12" s="524"/>
    </row>
    <row r="13" spans="1:9" ht="57.6" customHeight="1">
      <c r="A13" s="454" t="s">
        <v>267</v>
      </c>
      <c r="B13" s="248">
        <v>2013</v>
      </c>
      <c r="C13" s="453" t="s">
        <v>328</v>
      </c>
      <c r="D13" s="453" t="s">
        <v>329</v>
      </c>
      <c r="E13" s="454" t="s">
        <v>52</v>
      </c>
      <c r="F13" s="451" t="s">
        <v>330</v>
      </c>
      <c r="G13" s="452"/>
    </row>
    <row r="14" spans="1:9" ht="52.15" customHeight="1">
      <c r="A14" s="454" t="s">
        <v>316</v>
      </c>
      <c r="B14" s="248">
        <v>2025</v>
      </c>
      <c r="C14" s="453" t="s">
        <v>328</v>
      </c>
      <c r="D14" s="453" t="s">
        <v>329</v>
      </c>
      <c r="E14" s="453" t="s">
        <v>331</v>
      </c>
      <c r="F14" s="451" t="s">
        <v>332</v>
      </c>
      <c r="G14" s="452"/>
    </row>
    <row r="15" spans="1:9">
      <c r="B15" s="9"/>
      <c r="C15" s="9"/>
      <c r="D15" s="33"/>
      <c r="E15" s="9"/>
    </row>
    <row r="16" spans="1:9">
      <c r="A16" s="34"/>
      <c r="B16" s="9"/>
      <c r="C16" s="9" t="s">
        <v>333</v>
      </c>
      <c r="D16" s="9" t="s">
        <v>334</v>
      </c>
      <c r="E16" s="9"/>
    </row>
    <row r="17" spans="1:9">
      <c r="A17" s="34"/>
      <c r="B17" s="9"/>
      <c r="C17" s="9"/>
      <c r="D17" s="9"/>
      <c r="E17" s="9"/>
    </row>
    <row r="18" spans="1:9">
      <c r="A18" s="34"/>
      <c r="B18" s="9"/>
      <c r="C18" s="9"/>
      <c r="D18" s="9"/>
      <c r="E18" s="9"/>
    </row>
    <row r="19" spans="1:9" ht="26.45" customHeight="1">
      <c r="A19" s="520" t="s">
        <v>335</v>
      </c>
      <c r="B19" s="520"/>
      <c r="C19" s="520"/>
      <c r="D19" s="520"/>
      <c r="E19" s="520"/>
      <c r="F19" s="520"/>
      <c r="G19" s="520"/>
      <c r="H19" s="520"/>
      <c r="I19" s="520"/>
    </row>
    <row r="20" spans="1:9" ht="46.15" customHeight="1">
      <c r="A20" s="124" t="s">
        <v>237</v>
      </c>
      <c r="B20" s="124" t="s">
        <v>336</v>
      </c>
      <c r="C20" s="124" t="s">
        <v>337</v>
      </c>
      <c r="D20" s="123" t="s">
        <v>338</v>
      </c>
      <c r="E20" s="123" t="s">
        <v>339</v>
      </c>
      <c r="F20" s="249" t="s">
        <v>340</v>
      </c>
      <c r="G20" s="249" t="s">
        <v>341</v>
      </c>
      <c r="H20" s="124" t="s">
        <v>342</v>
      </c>
      <c r="I20" s="124" t="s">
        <v>239</v>
      </c>
    </row>
    <row r="21" spans="1:9" ht="28.9" customHeight="1">
      <c r="A21" s="142" t="s">
        <v>309</v>
      </c>
      <c r="B21" s="142" t="s">
        <v>343</v>
      </c>
      <c r="C21" s="142" t="s">
        <v>344</v>
      </c>
      <c r="D21" s="143">
        <v>4.09</v>
      </c>
      <c r="E21" s="143">
        <v>0.65</v>
      </c>
      <c r="F21" s="143">
        <v>0.9</v>
      </c>
      <c r="G21" s="144"/>
      <c r="H21" s="146" t="s">
        <v>345</v>
      </c>
      <c r="I21" s="144"/>
    </row>
    <row r="22" spans="1:9" ht="21" customHeight="1">
      <c r="A22" s="264" t="s">
        <v>346</v>
      </c>
      <c r="B22" s="265"/>
      <c r="C22" s="265"/>
      <c r="D22" s="265"/>
      <c r="E22" s="265"/>
      <c r="F22" s="265"/>
      <c r="G22" s="265"/>
      <c r="H22" s="265"/>
      <c r="I22" s="266"/>
    </row>
    <row r="23" spans="1:9" ht="21" customHeight="1">
      <c r="A23" s="267" t="s">
        <v>347</v>
      </c>
      <c r="B23" s="268"/>
      <c r="C23" s="268"/>
      <c r="D23" s="268"/>
      <c r="E23" s="268"/>
      <c r="F23" s="268"/>
      <c r="G23" s="268"/>
      <c r="H23" s="268"/>
      <c r="I23" s="269"/>
    </row>
    <row r="24" spans="1:9" ht="28.9" customHeight="1">
      <c r="A24" s="518" t="s">
        <v>316</v>
      </c>
      <c r="B24" s="518" t="s">
        <v>348</v>
      </c>
      <c r="C24" s="455" t="s">
        <v>344</v>
      </c>
      <c r="D24" s="153">
        <f>G24*E24*F24/746*6356</f>
        <v>3.8877249329758712</v>
      </c>
      <c r="E24" s="518">
        <v>0.65</v>
      </c>
      <c r="F24" s="521">
        <v>0.9</v>
      </c>
      <c r="G24" s="145">
        <v>0.78</v>
      </c>
      <c r="H24" s="518" t="s">
        <v>349</v>
      </c>
      <c r="I24" s="263"/>
    </row>
    <row r="25" spans="1:9" ht="36" customHeight="1">
      <c r="A25" s="519"/>
      <c r="B25" s="519"/>
      <c r="C25" s="452" t="s">
        <v>350</v>
      </c>
      <c r="D25" s="76">
        <f>G25*E24*F24/746*6356</f>
        <v>5.0939165147453078</v>
      </c>
      <c r="E25" s="519"/>
      <c r="F25" s="522"/>
      <c r="G25" s="452">
        <v>1.022</v>
      </c>
      <c r="H25" s="519"/>
      <c r="I25" s="66"/>
    </row>
    <row r="26" spans="1:9" ht="33" customHeight="1">
      <c r="A26" s="519"/>
      <c r="B26" s="519"/>
      <c r="C26" s="452" t="s">
        <v>351</v>
      </c>
      <c r="D26" s="76">
        <f>G26*E24*F24/746*6356</f>
        <v>4.8048292761394107</v>
      </c>
      <c r="E26" s="519"/>
      <c r="F26" s="522"/>
      <c r="G26" s="452">
        <v>0.96399999999999997</v>
      </c>
      <c r="H26" s="519"/>
      <c r="I26" s="66"/>
    </row>
    <row r="27" spans="1:9" ht="24" customHeight="1">
      <c r="A27" s="141"/>
      <c r="B27" s="141"/>
      <c r="C27" s="140"/>
      <c r="D27" s="140"/>
      <c r="E27" s="126"/>
      <c r="F27" s="141" t="s">
        <v>352</v>
      </c>
      <c r="G27" s="140"/>
      <c r="H27" s="126"/>
    </row>
    <row r="28" spans="1:9" ht="35.450000000000003" customHeight="1">
      <c r="A28" s="11"/>
      <c r="B28" s="126"/>
      <c r="D28" s="30"/>
    </row>
    <row r="29" spans="1:9" ht="13.9" customHeight="1">
      <c r="A29" s="6" t="s">
        <v>353</v>
      </c>
    </row>
    <row r="30" spans="1:9" ht="13.9" customHeight="1">
      <c r="A30" s="9" t="s">
        <v>354</v>
      </c>
    </row>
    <row r="31" spans="1:9" ht="13.9" customHeight="1">
      <c r="A31" s="9" t="s">
        <v>355</v>
      </c>
      <c r="B31" s="11"/>
      <c r="E31" s="30"/>
    </row>
    <row r="32" spans="1:9" ht="13.9" customHeight="1">
      <c r="D32" s="30"/>
    </row>
    <row r="33" spans="1:38" ht="13.9" customHeight="1">
      <c r="D33" s="30"/>
    </row>
    <row r="34" spans="1:38" ht="13.9" customHeight="1">
      <c r="D34" s="30"/>
    </row>
    <row r="35" spans="1:38" ht="13.9" customHeight="1">
      <c r="D35" s="30"/>
    </row>
    <row r="36" spans="1:38" ht="18" customHeight="1">
      <c r="D36" s="30"/>
    </row>
    <row r="37" spans="1:38" ht="13.9" customHeight="1">
      <c r="D37" s="30"/>
    </row>
    <row r="38" spans="1:38" s="19" customFormat="1" hidden="1">
      <c r="A38" s="19" t="s">
        <v>232</v>
      </c>
    </row>
    <row r="39" spans="1:38" hidden="1">
      <c r="U39" s="29"/>
      <c r="V39" s="45"/>
      <c r="W39" s="46"/>
      <c r="X39" s="46"/>
      <c r="Y39" s="46"/>
      <c r="Z39" s="46"/>
      <c r="AA39" s="46"/>
      <c r="AB39" s="46"/>
      <c r="AC39" s="46"/>
      <c r="AD39" s="46"/>
      <c r="AE39" s="46"/>
      <c r="AF39" s="46"/>
      <c r="AG39" s="46"/>
      <c r="AH39" s="46"/>
      <c r="AI39" s="46"/>
      <c r="AJ39" s="46"/>
      <c r="AK39" s="46"/>
      <c r="AL39" s="46"/>
    </row>
    <row r="40" spans="1:38" hidden="1">
      <c r="U40" s="29"/>
      <c r="V40" s="45"/>
      <c r="W40" s="46"/>
      <c r="X40" s="46"/>
      <c r="Y40" s="46"/>
      <c r="Z40" s="46"/>
      <c r="AA40" s="46"/>
      <c r="AB40" s="46"/>
      <c r="AC40" s="46"/>
      <c r="AD40" s="46"/>
      <c r="AE40" s="46"/>
      <c r="AF40" s="46"/>
      <c r="AG40" s="46"/>
      <c r="AH40" s="46"/>
      <c r="AI40" s="46"/>
      <c r="AJ40" s="46"/>
      <c r="AK40" s="46"/>
      <c r="AL40" s="46"/>
    </row>
    <row r="41" spans="1:38" hidden="1">
      <c r="U41" s="29"/>
      <c r="V41" s="45"/>
      <c r="W41" s="46"/>
      <c r="X41" s="46"/>
      <c r="Y41" s="46"/>
      <c r="Z41" s="46"/>
      <c r="AA41" s="46"/>
      <c r="AB41" s="46"/>
      <c r="AC41" s="46"/>
      <c r="AD41" s="46"/>
      <c r="AE41" s="46"/>
      <c r="AF41" s="46"/>
      <c r="AG41" s="46"/>
      <c r="AH41" s="46"/>
      <c r="AI41" s="46"/>
      <c r="AJ41" s="46"/>
      <c r="AK41" s="46"/>
      <c r="AL41" s="46"/>
    </row>
    <row r="42" spans="1:38" ht="15.75" hidden="1">
      <c r="A42" s="534" t="s">
        <v>356</v>
      </c>
      <c r="B42" s="535" t="s">
        <v>306</v>
      </c>
      <c r="C42" s="535"/>
      <c r="D42" s="535"/>
      <c r="E42" s="535"/>
      <c r="F42" s="536" t="s">
        <v>307</v>
      </c>
      <c r="G42" s="536"/>
      <c r="H42" s="77" t="s">
        <v>308</v>
      </c>
      <c r="I42" s="537" t="s">
        <v>357</v>
      </c>
      <c r="J42" s="537"/>
      <c r="U42" s="29"/>
      <c r="V42" s="45"/>
      <c r="W42" s="46"/>
      <c r="X42" s="46"/>
      <c r="Y42" s="46"/>
      <c r="Z42" s="46"/>
      <c r="AA42" s="46"/>
      <c r="AB42" s="46"/>
      <c r="AC42" s="46"/>
      <c r="AD42" s="46"/>
      <c r="AE42" s="46"/>
      <c r="AF42" s="46"/>
      <c r="AG42" s="46"/>
      <c r="AH42" s="46"/>
      <c r="AI42" s="46"/>
      <c r="AJ42" s="46"/>
      <c r="AK42" s="46"/>
      <c r="AL42" s="46"/>
    </row>
    <row r="43" spans="1:38" ht="15" hidden="1">
      <c r="A43" s="534"/>
      <c r="B43" s="538" t="s">
        <v>358</v>
      </c>
      <c r="C43" s="448" t="s">
        <v>359</v>
      </c>
      <c r="D43" s="538" t="s">
        <v>360</v>
      </c>
      <c r="E43" s="538"/>
      <c r="F43" s="539" t="s">
        <v>361</v>
      </c>
      <c r="G43" s="449" t="s">
        <v>362</v>
      </c>
      <c r="H43" s="78" t="s">
        <v>363</v>
      </c>
      <c r="I43" s="540" t="s">
        <v>360</v>
      </c>
      <c r="J43" s="540"/>
      <c r="U43" s="29"/>
      <c r="V43" s="45"/>
      <c r="W43" s="46"/>
      <c r="X43" s="46"/>
      <c r="Y43" s="46"/>
      <c r="Z43" s="46"/>
      <c r="AA43" s="46"/>
      <c r="AB43" s="46"/>
      <c r="AC43" s="46"/>
      <c r="AD43" s="46"/>
      <c r="AE43" s="46"/>
      <c r="AF43" s="46"/>
      <c r="AG43" s="46"/>
      <c r="AH43" s="46"/>
      <c r="AI43" s="46"/>
      <c r="AJ43" s="46"/>
      <c r="AK43" s="46"/>
      <c r="AL43" s="46"/>
    </row>
    <row r="44" spans="1:38" ht="32.450000000000003" hidden="1" customHeight="1">
      <c r="A44" s="534"/>
      <c r="B44" s="538"/>
      <c r="C44" s="79" t="s">
        <v>364</v>
      </c>
      <c r="D44" s="80" t="s">
        <v>365</v>
      </c>
      <c r="E44" s="80" t="s">
        <v>366</v>
      </c>
      <c r="F44" s="539"/>
      <c r="G44" s="81" t="s">
        <v>364</v>
      </c>
      <c r="H44" s="82" t="s">
        <v>367</v>
      </c>
      <c r="I44" s="450" t="s">
        <v>365</v>
      </c>
      <c r="J44" s="450" t="s">
        <v>366</v>
      </c>
      <c r="U44" s="29"/>
      <c r="W44" s="28"/>
      <c r="X44" s="28"/>
      <c r="Y44" s="28"/>
      <c r="Z44" s="28"/>
      <c r="AA44" s="28"/>
      <c r="AB44" s="28"/>
      <c r="AC44" s="28"/>
      <c r="AD44" s="28"/>
      <c r="AE44" s="28"/>
      <c r="AF44" s="28"/>
      <c r="AG44" s="28"/>
      <c r="AH44" s="28"/>
      <c r="AI44" s="28"/>
      <c r="AJ44" s="28"/>
      <c r="AK44" s="28"/>
      <c r="AL44" s="28"/>
    </row>
    <row r="45" spans="1:38" ht="15" hidden="1">
      <c r="A45" s="531" t="s">
        <v>368</v>
      </c>
      <c r="B45" s="532">
        <v>0.99</v>
      </c>
      <c r="C45" s="83" t="s">
        <v>369</v>
      </c>
      <c r="D45" s="533">
        <v>0.17</v>
      </c>
      <c r="E45" s="530">
        <v>0.81</v>
      </c>
      <c r="F45" s="530">
        <v>0.98</v>
      </c>
      <c r="G45" s="84" t="s">
        <v>369</v>
      </c>
      <c r="H45" s="84" t="s">
        <v>369</v>
      </c>
      <c r="I45" s="530">
        <v>0.1</v>
      </c>
      <c r="J45" s="530">
        <v>0.85</v>
      </c>
      <c r="U45" s="31"/>
      <c r="W45" s="29"/>
      <c r="X45" s="29"/>
      <c r="Y45" s="29"/>
      <c r="Z45" s="29"/>
      <c r="AA45" s="29"/>
      <c r="AB45" s="29"/>
      <c r="AC45" s="29"/>
      <c r="AD45" s="29"/>
      <c r="AE45" s="29"/>
      <c r="AF45" s="29"/>
      <c r="AG45" s="29"/>
      <c r="AH45" s="29"/>
      <c r="AI45" s="29"/>
      <c r="AJ45" s="29"/>
      <c r="AK45" s="29"/>
      <c r="AL45" s="29"/>
    </row>
    <row r="46" spans="1:38" ht="30" hidden="1">
      <c r="A46" s="531"/>
      <c r="B46" s="532"/>
      <c r="C46" s="84" t="s">
        <v>370</v>
      </c>
      <c r="D46" s="533"/>
      <c r="E46" s="530"/>
      <c r="F46" s="530"/>
      <c r="G46" s="84" t="s">
        <v>371</v>
      </c>
      <c r="H46" s="84" t="s">
        <v>372</v>
      </c>
      <c r="I46" s="530"/>
      <c r="J46" s="530"/>
      <c r="U46" s="29"/>
    </row>
    <row r="47" spans="1:38" ht="30" hidden="1">
      <c r="A47" s="531"/>
      <c r="B47" s="532"/>
      <c r="C47" s="84" t="s">
        <v>373</v>
      </c>
      <c r="D47" s="533"/>
      <c r="E47" s="530"/>
      <c r="F47" s="530"/>
      <c r="G47" s="84" t="s">
        <v>374</v>
      </c>
      <c r="H47" s="84" t="s">
        <v>375</v>
      </c>
      <c r="I47" s="530"/>
      <c r="J47" s="530"/>
    </row>
    <row r="48" spans="1:38" ht="15" hidden="1">
      <c r="A48" s="531"/>
      <c r="B48" s="532"/>
      <c r="C48" s="83" t="s">
        <v>376</v>
      </c>
      <c r="D48" s="533"/>
      <c r="E48" s="530"/>
      <c r="F48" s="530"/>
      <c r="G48" s="84" t="s">
        <v>376</v>
      </c>
      <c r="H48" s="84" t="s">
        <v>376</v>
      </c>
      <c r="I48" s="530"/>
      <c r="J48" s="530"/>
    </row>
    <row r="49" spans="1:38" ht="15" hidden="1">
      <c r="A49" s="531"/>
      <c r="B49" s="532"/>
      <c r="C49" s="84" t="s">
        <v>377</v>
      </c>
      <c r="D49" s="533"/>
      <c r="E49" s="530"/>
      <c r="F49" s="530"/>
      <c r="G49" s="84" t="s">
        <v>378</v>
      </c>
      <c r="H49" s="84" t="s">
        <v>379</v>
      </c>
      <c r="I49" s="530"/>
      <c r="J49" s="530"/>
      <c r="U49" s="27"/>
      <c r="V49" s="27"/>
      <c r="W49" s="44"/>
      <c r="X49" s="44"/>
      <c r="Y49" s="44"/>
      <c r="Z49" s="44"/>
      <c r="AA49" s="44"/>
      <c r="AB49" s="44"/>
      <c r="AC49" s="44"/>
      <c r="AD49" s="44"/>
      <c r="AE49" s="44"/>
      <c r="AF49" s="44"/>
      <c r="AG49" s="44"/>
      <c r="AH49" s="44"/>
      <c r="AI49" s="44"/>
      <c r="AJ49" s="44"/>
      <c r="AK49" s="44"/>
      <c r="AL49" s="44"/>
    </row>
    <row r="50" spans="1:38" ht="30" hidden="1">
      <c r="A50" s="531"/>
      <c r="B50" s="532"/>
      <c r="C50" s="84" t="s">
        <v>380</v>
      </c>
      <c r="D50" s="533"/>
      <c r="E50" s="530"/>
      <c r="F50" s="530"/>
      <c r="G50" s="84" t="s">
        <v>381</v>
      </c>
      <c r="H50" s="84" t="s">
        <v>382</v>
      </c>
      <c r="I50" s="530"/>
      <c r="J50" s="530"/>
      <c r="V50" s="32"/>
    </row>
    <row r="51" spans="1:38" hidden="1">
      <c r="U51" s="29"/>
      <c r="V51" s="32"/>
    </row>
    <row r="52" spans="1:38">
      <c r="U52" s="29"/>
      <c r="V52" s="32"/>
    </row>
    <row r="53" spans="1:38">
      <c r="U53" s="29"/>
      <c r="V53" s="32"/>
    </row>
    <row r="54" spans="1:38">
      <c r="U54" s="29"/>
      <c r="V54" s="32"/>
    </row>
    <row r="55" spans="1:38">
      <c r="U55" s="29"/>
      <c r="V55" s="32"/>
    </row>
    <row r="56" spans="1:38">
      <c r="U56" s="29"/>
      <c r="V56" s="32"/>
    </row>
    <row r="57" spans="1:38">
      <c r="U57" s="29"/>
      <c r="V57" s="32"/>
    </row>
    <row r="58" spans="1:38">
      <c r="U58" s="29"/>
      <c r="V58" s="32"/>
    </row>
    <row r="59" spans="1:38">
      <c r="U59" s="29"/>
      <c r="V59" s="32"/>
    </row>
    <row r="60" spans="1:38">
      <c r="U60" s="29"/>
      <c r="V60" s="32"/>
    </row>
    <row r="61" spans="1:38">
      <c r="U61" s="29"/>
      <c r="V61" s="32"/>
    </row>
    <row r="62" spans="1:38">
      <c r="U62" s="29"/>
      <c r="V62" s="32"/>
    </row>
    <row r="63" spans="1:38">
      <c r="U63" s="29"/>
      <c r="V63" s="32"/>
    </row>
    <row r="64" spans="1:38">
      <c r="U64" s="29"/>
      <c r="V64" s="32"/>
    </row>
    <row r="65" spans="21:38">
      <c r="U65" s="29"/>
      <c r="V65" s="32"/>
    </row>
    <row r="66" spans="21:38">
      <c r="U66" s="29"/>
      <c r="V66" s="32"/>
    </row>
    <row r="67" spans="21:38">
      <c r="U67" s="29"/>
      <c r="V67" s="32"/>
    </row>
    <row r="68" spans="21:38">
      <c r="U68" s="29"/>
      <c r="V68" s="32"/>
    </row>
    <row r="69" spans="21:38">
      <c r="U69" s="29"/>
      <c r="V69" s="32"/>
    </row>
    <row r="70" spans="21:38">
      <c r="U70" s="29"/>
      <c r="V70" s="32"/>
    </row>
    <row r="71" spans="21:38">
      <c r="U71" s="29"/>
      <c r="W71" s="28"/>
      <c r="X71" s="28"/>
      <c r="Y71" s="28"/>
      <c r="Z71" s="28"/>
      <c r="AA71" s="28"/>
      <c r="AB71" s="28"/>
      <c r="AC71" s="28"/>
      <c r="AD71" s="28"/>
      <c r="AE71" s="28"/>
      <c r="AF71" s="28"/>
      <c r="AG71" s="28"/>
      <c r="AH71" s="28"/>
      <c r="AI71" s="28"/>
      <c r="AJ71" s="28"/>
      <c r="AK71" s="28"/>
      <c r="AL71" s="28"/>
    </row>
    <row r="72" spans="21:38">
      <c r="U72" s="31"/>
      <c r="W72" s="29"/>
      <c r="X72" s="29"/>
      <c r="Y72" s="29"/>
      <c r="Z72" s="29"/>
      <c r="AA72" s="29"/>
      <c r="AB72" s="29"/>
      <c r="AC72" s="29"/>
      <c r="AD72" s="29"/>
      <c r="AE72" s="29"/>
      <c r="AF72" s="29"/>
      <c r="AG72" s="29"/>
      <c r="AH72" s="29"/>
      <c r="AI72" s="29"/>
      <c r="AJ72" s="29"/>
      <c r="AK72" s="29"/>
      <c r="AL72" s="29"/>
    </row>
  </sheetData>
  <mergeCells count="29">
    <mergeCell ref="A42:A44"/>
    <mergeCell ref="B42:E42"/>
    <mergeCell ref="F42:G42"/>
    <mergeCell ref="I42:J42"/>
    <mergeCell ref="B43:B44"/>
    <mergeCell ref="D43:E43"/>
    <mergeCell ref="F43:F44"/>
    <mergeCell ref="I43:J43"/>
    <mergeCell ref="I45:I50"/>
    <mergeCell ref="J45:J50"/>
    <mergeCell ref="A45:A50"/>
    <mergeCell ref="B45:B50"/>
    <mergeCell ref="D45:D50"/>
    <mergeCell ref="E45:E50"/>
    <mergeCell ref="F45:F50"/>
    <mergeCell ref="F10:F12"/>
    <mergeCell ref="G10:G12"/>
    <mergeCell ref="A1:G1"/>
    <mergeCell ref="A8:G8"/>
    <mergeCell ref="C10:C12"/>
    <mergeCell ref="D10:D12"/>
    <mergeCell ref="E10:E12"/>
    <mergeCell ref="B10:B12"/>
    <mergeCell ref="B24:B26"/>
    <mergeCell ref="A24:A26"/>
    <mergeCell ref="A19:I19"/>
    <mergeCell ref="E24:E26"/>
    <mergeCell ref="F24:F26"/>
    <mergeCell ref="H24:H26"/>
  </mergeCells>
  <phoneticPr fontId="5"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AA207"/>
  <sheetViews>
    <sheetView zoomScale="80" zoomScaleNormal="80" workbookViewId="0">
      <selection sqref="A1:N1"/>
    </sheetView>
  </sheetViews>
  <sheetFormatPr defaultColWidth="9.28515625" defaultRowHeight="14.25"/>
  <cols>
    <col min="1" max="1" width="51" style="51" bestFit="1" customWidth="1"/>
    <col min="2" max="2" width="22.140625" style="51" customWidth="1"/>
    <col min="3" max="3" width="18.7109375" style="51" customWidth="1"/>
    <col min="4" max="4" width="12.5703125" style="51" customWidth="1"/>
    <col min="5" max="5" width="23.7109375" style="51" customWidth="1"/>
    <col min="6" max="6" width="24.28515625" style="51" customWidth="1"/>
    <col min="7" max="7" width="29.42578125" style="51" bestFit="1" customWidth="1"/>
    <col min="8" max="8" width="28.5703125" style="51" customWidth="1"/>
    <col min="9" max="9" width="44.140625" style="51" customWidth="1"/>
    <col min="10" max="10" width="16.85546875" style="51" customWidth="1"/>
    <col min="11" max="11" width="14.42578125" style="51" customWidth="1"/>
    <col min="12" max="12" width="15.5703125" style="51" customWidth="1"/>
    <col min="13" max="13" width="16.140625" style="51" customWidth="1"/>
    <col min="14" max="14" width="58.140625" style="51" customWidth="1"/>
    <col min="15" max="15" width="78.5703125" style="51" customWidth="1"/>
    <col min="16" max="18" width="9.28515625" style="51"/>
    <col min="19" max="19" width="49.28515625" style="51" customWidth="1"/>
    <col min="20" max="20" width="15.7109375" style="51" customWidth="1"/>
    <col min="21" max="21" width="20.28515625" style="51" customWidth="1"/>
    <col min="22" max="22" width="18.85546875" style="51" customWidth="1"/>
    <col min="23" max="23" width="20.28515625" style="51" customWidth="1"/>
    <col min="24" max="24" width="25.28515625" style="51" customWidth="1"/>
    <col min="25" max="26" width="30.140625" style="51" customWidth="1"/>
    <col min="27" max="27" width="14.42578125" style="51" customWidth="1"/>
    <col min="28" max="28" width="12.28515625" style="51" customWidth="1"/>
    <col min="29" max="29" width="13.7109375" style="51" customWidth="1"/>
    <col min="30" max="30" width="11.7109375" style="51" customWidth="1"/>
    <col min="31" max="31" width="13.7109375" style="51" customWidth="1"/>
    <col min="32" max="32" width="12.28515625" style="51" customWidth="1"/>
    <col min="33" max="33" width="13.7109375" style="51" customWidth="1"/>
    <col min="34" max="34" width="12.28515625" style="51" customWidth="1"/>
    <col min="35" max="35" width="13.7109375" style="51" customWidth="1"/>
    <col min="36" max="36" width="11.7109375" style="51" customWidth="1"/>
    <col min="37" max="38" width="10.7109375" style="51" customWidth="1"/>
    <col min="39" max="39" width="9.28515625" style="51"/>
    <col min="40" max="44" width="11.28515625" style="51" customWidth="1"/>
    <col min="45" max="16384" width="9.28515625" style="51"/>
  </cols>
  <sheetData>
    <row r="1" spans="1:17" ht="24.6" customHeight="1">
      <c r="A1" s="541" t="str">
        <f>"Outdoor Airflow Rate - "&amp;Prototype!A2</f>
        <v>Outdoor Airflow Rate - Outpatient</v>
      </c>
      <c r="B1" s="542"/>
      <c r="C1" s="542"/>
      <c r="D1" s="542"/>
      <c r="E1" s="542"/>
      <c r="F1" s="542"/>
      <c r="G1" s="542"/>
      <c r="H1" s="542"/>
      <c r="I1" s="542"/>
      <c r="J1" s="542"/>
      <c r="K1" s="542"/>
      <c r="L1" s="542"/>
      <c r="M1" s="542"/>
      <c r="N1" s="543"/>
      <c r="O1" s="106"/>
      <c r="P1" s="4"/>
      <c r="Q1" s="4"/>
    </row>
    <row r="2" spans="1:17" ht="61.9" customHeight="1">
      <c r="A2" s="180" t="s">
        <v>70</v>
      </c>
      <c r="B2" s="181" t="s">
        <v>384</v>
      </c>
      <c r="C2" s="182" t="s">
        <v>79</v>
      </c>
      <c r="D2" s="157" t="s">
        <v>385</v>
      </c>
      <c r="E2" s="178" t="s">
        <v>386</v>
      </c>
      <c r="F2" s="178" t="s">
        <v>387</v>
      </c>
      <c r="G2" s="178" t="s">
        <v>388</v>
      </c>
      <c r="H2" s="178" t="s">
        <v>389</v>
      </c>
      <c r="I2" s="461" t="s">
        <v>390</v>
      </c>
      <c r="J2" s="461" t="s">
        <v>391</v>
      </c>
      <c r="K2" s="461" t="s">
        <v>392</v>
      </c>
      <c r="L2" s="461" t="s">
        <v>393</v>
      </c>
      <c r="M2" s="158" t="s">
        <v>394</v>
      </c>
      <c r="N2" s="158" t="s">
        <v>239</v>
      </c>
      <c r="O2" s="4"/>
      <c r="P2" s="4"/>
      <c r="Q2" s="4"/>
    </row>
    <row r="3" spans="1:17" s="6" customFormat="1" ht="25.9" customHeight="1">
      <c r="A3" s="179" t="str">
        <f>Zones!A3</f>
        <v>Healthcare Facility and Hospitals (Exam/Treatment Room)</v>
      </c>
      <c r="B3" s="179" t="str">
        <f>Zones!B3</f>
        <v>Floor 1 Anesthesia</v>
      </c>
      <c r="C3" s="183">
        <f>Zones!J3</f>
        <v>1.08</v>
      </c>
      <c r="D3" s="183">
        <f>Zones!G3</f>
        <v>108</v>
      </c>
      <c r="E3" s="447">
        <v>15</v>
      </c>
      <c r="F3" s="447" t="str">
        <f t="shared" ref="F3:F34" si="0">VLOOKUP(A3,A$183:E$205,5,FALSE)</f>
        <v>n/a</v>
      </c>
      <c r="G3" s="447">
        <v>1.37</v>
      </c>
      <c r="H3" s="447"/>
      <c r="I3" s="184">
        <f t="shared" ref="I3:I34" si="1">VLOOKUP(A3,A$183:H$205,8,FALSE)</f>
        <v>0.33333333333333331</v>
      </c>
      <c r="J3" s="185">
        <f t="shared" ref="J3:J34" si="2">E3*C3</f>
        <v>16.200000000000003</v>
      </c>
      <c r="K3" s="186">
        <f t="shared" ref="K3:K34" si="3">IF(F3="n/a",D3*I3,F3*D3)</f>
        <v>36</v>
      </c>
      <c r="L3" s="186">
        <f t="shared" ref="L3:L16" si="4">G3*D3</f>
        <v>147.96</v>
      </c>
      <c r="M3" s="187">
        <f>MAX(J3:L3)</f>
        <v>147.96</v>
      </c>
      <c r="N3" s="239" t="s">
        <v>395</v>
      </c>
    </row>
    <row r="4" spans="1:17" s="6" customFormat="1" ht="19.899999999999999" customHeight="1">
      <c r="A4" s="179" t="str">
        <f>Zones!A4</f>
        <v>Healthcare Facility and Hospitals (Medical Supply Room)</v>
      </c>
      <c r="B4" s="179" t="str">
        <f>Zones!B4</f>
        <v>Floor 1 Bio Haz</v>
      </c>
      <c r="C4" s="183">
        <f>Zones!J4</f>
        <v>0.56000000000000005</v>
      </c>
      <c r="D4" s="183">
        <f>Zones!G4</f>
        <v>56</v>
      </c>
      <c r="E4" s="447">
        <v>15</v>
      </c>
      <c r="F4" s="447" t="str">
        <f t="shared" si="0"/>
        <v>n/a</v>
      </c>
      <c r="G4" s="183"/>
      <c r="H4" s="183"/>
      <c r="I4" s="184">
        <f t="shared" si="1"/>
        <v>0.33333333333333331</v>
      </c>
      <c r="J4" s="185">
        <f t="shared" si="2"/>
        <v>8.4</v>
      </c>
      <c r="K4" s="186">
        <f t="shared" si="3"/>
        <v>18.666666666666664</v>
      </c>
      <c r="L4" s="186">
        <f t="shared" si="4"/>
        <v>0</v>
      </c>
      <c r="M4" s="187">
        <f t="shared" ref="M4:M67" si="5">MAX(J4:L4)</f>
        <v>18.666666666666664</v>
      </c>
      <c r="N4" s="176"/>
    </row>
    <row r="5" spans="1:17" s="6" customFormat="1" ht="16.899999999999999" customHeight="1">
      <c r="A5" s="179" t="str">
        <f>Zones!A5</f>
        <v>Dining Area (Cafeteria/Fast Food)</v>
      </c>
      <c r="B5" s="179" t="str">
        <f>Zones!B5</f>
        <v>Floor 1 Café</v>
      </c>
      <c r="C5" s="183">
        <f>Zones!J5</f>
        <v>13.86</v>
      </c>
      <c r="D5" s="183">
        <f>Zones!G5</f>
        <v>420</v>
      </c>
      <c r="E5" s="447">
        <v>15</v>
      </c>
      <c r="F5" s="447">
        <f t="shared" si="0"/>
        <v>0.15</v>
      </c>
      <c r="G5" s="183"/>
      <c r="H5" s="183"/>
      <c r="I5" s="184">
        <f t="shared" si="1"/>
        <v>0</v>
      </c>
      <c r="J5" s="185">
        <f t="shared" si="2"/>
        <v>207.89999999999998</v>
      </c>
      <c r="K5" s="186">
        <f t="shared" si="3"/>
        <v>63</v>
      </c>
      <c r="L5" s="186">
        <f t="shared" si="4"/>
        <v>0</v>
      </c>
      <c r="M5" s="187">
        <f t="shared" si="5"/>
        <v>207.89999999999998</v>
      </c>
      <c r="N5" s="176"/>
    </row>
    <row r="6" spans="1:17" s="6" customFormat="1" ht="16.899999999999999" customHeight="1">
      <c r="A6" s="179" t="str">
        <f>Zones!A6</f>
        <v>Healthcare Facility and Hospitals (Medical Supply Room)</v>
      </c>
      <c r="B6" s="179" t="str">
        <f>Zones!B6</f>
        <v>Floor 1 Clean</v>
      </c>
      <c r="C6" s="183">
        <f>Zones!J6</f>
        <v>1.26</v>
      </c>
      <c r="D6" s="183">
        <f>Zones!G6</f>
        <v>126</v>
      </c>
      <c r="E6" s="447">
        <v>15</v>
      </c>
      <c r="F6" s="447" t="str">
        <f t="shared" si="0"/>
        <v>n/a</v>
      </c>
      <c r="G6" s="183"/>
      <c r="H6" s="183"/>
      <c r="I6" s="184">
        <f t="shared" si="1"/>
        <v>0.33333333333333331</v>
      </c>
      <c r="J6" s="185">
        <f t="shared" si="2"/>
        <v>18.899999999999999</v>
      </c>
      <c r="K6" s="186">
        <f t="shared" si="3"/>
        <v>42</v>
      </c>
      <c r="L6" s="186">
        <f t="shared" si="4"/>
        <v>0</v>
      </c>
      <c r="M6" s="187">
        <f t="shared" si="5"/>
        <v>42</v>
      </c>
      <c r="N6" s="176"/>
    </row>
    <row r="7" spans="1:17" s="6" customFormat="1" ht="16.899999999999999" customHeight="1">
      <c r="A7" s="179" t="str">
        <f>Zones!A7</f>
        <v>Healthcare Facility and Hospitals (Medical Supply Room)</v>
      </c>
      <c r="B7" s="179" t="str">
        <f>Zones!B7</f>
        <v>Floor 1 Clean Work</v>
      </c>
      <c r="C7" s="183">
        <f>Zones!J7</f>
        <v>1.65</v>
      </c>
      <c r="D7" s="183">
        <f>Zones!G7</f>
        <v>165</v>
      </c>
      <c r="E7" s="447">
        <v>15</v>
      </c>
      <c r="F7" s="447" t="str">
        <f t="shared" si="0"/>
        <v>n/a</v>
      </c>
      <c r="G7" s="183"/>
      <c r="H7" s="183"/>
      <c r="I7" s="184">
        <f t="shared" si="1"/>
        <v>0.33333333333333331</v>
      </c>
      <c r="J7" s="185">
        <f t="shared" si="2"/>
        <v>24.75</v>
      </c>
      <c r="K7" s="186">
        <f t="shared" si="3"/>
        <v>55</v>
      </c>
      <c r="L7" s="186">
        <f t="shared" si="4"/>
        <v>0</v>
      </c>
      <c r="M7" s="187">
        <f t="shared" si="5"/>
        <v>55</v>
      </c>
      <c r="N7" s="176"/>
    </row>
    <row r="8" spans="1:17" s="6" customFormat="1" ht="16.899999999999999" customHeight="1">
      <c r="A8" s="179" t="str">
        <f>Zones!A8</f>
        <v>Office Area (&lt;250 square feet)</v>
      </c>
      <c r="B8" s="179" t="str">
        <f>Zones!B8</f>
        <v>Floor 1 Dictation</v>
      </c>
      <c r="C8" s="183">
        <f>Zones!J8</f>
        <v>0.63</v>
      </c>
      <c r="D8" s="183">
        <f>Zones!G8</f>
        <v>126</v>
      </c>
      <c r="E8" s="447">
        <v>15</v>
      </c>
      <c r="F8" s="447">
        <f t="shared" si="0"/>
        <v>0.15</v>
      </c>
      <c r="G8" s="183"/>
      <c r="H8" s="183"/>
      <c r="I8" s="184">
        <f t="shared" si="1"/>
        <v>0</v>
      </c>
      <c r="J8" s="185">
        <f t="shared" si="2"/>
        <v>9.4499999999999993</v>
      </c>
      <c r="K8" s="186">
        <f t="shared" si="3"/>
        <v>18.899999999999999</v>
      </c>
      <c r="L8" s="186">
        <f t="shared" si="4"/>
        <v>0</v>
      </c>
      <c r="M8" s="187">
        <f t="shared" si="5"/>
        <v>18.899999999999999</v>
      </c>
      <c r="N8" s="176"/>
    </row>
    <row r="9" spans="1:17" s="6" customFormat="1" ht="16.899999999999999" customHeight="1">
      <c r="A9" s="179" t="str">
        <f>Zones!A9</f>
        <v>Office Area (&lt;250 square feet)</v>
      </c>
      <c r="B9" s="179" t="str">
        <f>Zones!B9</f>
        <v>Floor 1 Dressing Room</v>
      </c>
      <c r="C9" s="183">
        <f>Zones!J9</f>
        <v>0.22500000000000001</v>
      </c>
      <c r="D9" s="183">
        <f>Zones!G9</f>
        <v>45</v>
      </c>
      <c r="E9" s="447">
        <v>15</v>
      </c>
      <c r="F9" s="447">
        <f t="shared" si="0"/>
        <v>0.15</v>
      </c>
      <c r="G9" s="183"/>
      <c r="H9" s="183"/>
      <c r="I9" s="184">
        <f t="shared" si="1"/>
        <v>0</v>
      </c>
      <c r="J9" s="185">
        <f t="shared" si="2"/>
        <v>3.375</v>
      </c>
      <c r="K9" s="186">
        <f t="shared" si="3"/>
        <v>6.75</v>
      </c>
      <c r="L9" s="186">
        <f t="shared" si="4"/>
        <v>0</v>
      </c>
      <c r="M9" s="187">
        <f t="shared" si="5"/>
        <v>6.75</v>
      </c>
      <c r="N9" s="176"/>
    </row>
    <row r="10" spans="1:17" s="6" customFormat="1" ht="16.899999999999999" customHeight="1">
      <c r="A10" s="179" t="str">
        <f>Zones!A10</f>
        <v>Electrical, Mechanical, Telephone Rooms</v>
      </c>
      <c r="B10" s="179" t="str">
        <f>Zones!B10</f>
        <v>Floor 1 Electrical Room</v>
      </c>
      <c r="C10" s="183">
        <f>Zones!J10</f>
        <v>0.29399999999999998</v>
      </c>
      <c r="D10" s="183">
        <f>Zones!G10</f>
        <v>98</v>
      </c>
      <c r="E10" s="447">
        <v>15</v>
      </c>
      <c r="F10" s="447">
        <f t="shared" si="0"/>
        <v>0.15</v>
      </c>
      <c r="G10" s="183"/>
      <c r="H10" s="183"/>
      <c r="I10" s="184">
        <f t="shared" si="1"/>
        <v>0</v>
      </c>
      <c r="J10" s="185">
        <f t="shared" si="2"/>
        <v>4.41</v>
      </c>
      <c r="K10" s="186">
        <f t="shared" si="3"/>
        <v>14.7</v>
      </c>
      <c r="L10" s="186">
        <f t="shared" si="4"/>
        <v>0</v>
      </c>
      <c r="M10" s="187">
        <f t="shared" si="5"/>
        <v>14.7</v>
      </c>
      <c r="N10" s="176"/>
    </row>
    <row r="11" spans="1:17" s="6" customFormat="1" ht="16.899999999999999" customHeight="1">
      <c r="A11" s="179" t="str">
        <f>Zones!A11</f>
        <v>Electrical, Mechanical, Telephone Rooms</v>
      </c>
      <c r="B11" s="179" t="str">
        <f>Zones!B11</f>
        <v>Floor 1 Elevator Pump Room</v>
      </c>
      <c r="C11" s="183">
        <f>Zones!J11</f>
        <v>0.27300000000000002</v>
      </c>
      <c r="D11" s="183">
        <f>Zones!G11</f>
        <v>91</v>
      </c>
      <c r="E11" s="447">
        <v>15</v>
      </c>
      <c r="F11" s="447">
        <f t="shared" si="0"/>
        <v>0.15</v>
      </c>
      <c r="G11" s="183"/>
      <c r="H11" s="183"/>
      <c r="I11" s="184">
        <f t="shared" si="1"/>
        <v>0</v>
      </c>
      <c r="J11" s="185">
        <f t="shared" si="2"/>
        <v>4.0950000000000006</v>
      </c>
      <c r="K11" s="186">
        <f t="shared" si="3"/>
        <v>13.65</v>
      </c>
      <c r="L11" s="186">
        <f t="shared" si="4"/>
        <v>0</v>
      </c>
      <c r="M11" s="187">
        <f t="shared" si="5"/>
        <v>13.65</v>
      </c>
      <c r="N11" s="176"/>
    </row>
    <row r="12" spans="1:17" s="6" customFormat="1" ht="16.899999999999999" customHeight="1">
      <c r="A12" s="179" t="str">
        <f>Zones!A12</f>
        <v>Office Area (&lt;250 square feet)</v>
      </c>
      <c r="B12" s="179" t="str">
        <f>Zones!B12</f>
        <v>Floor 1 Humid</v>
      </c>
      <c r="C12" s="183">
        <f>Zones!J12</f>
        <v>0.27</v>
      </c>
      <c r="D12" s="183">
        <f>Zones!G12</f>
        <v>54</v>
      </c>
      <c r="E12" s="447">
        <v>15</v>
      </c>
      <c r="F12" s="447">
        <f t="shared" si="0"/>
        <v>0.15</v>
      </c>
      <c r="G12" s="183"/>
      <c r="H12" s="183"/>
      <c r="I12" s="184">
        <f t="shared" si="1"/>
        <v>0</v>
      </c>
      <c r="J12" s="185">
        <f t="shared" si="2"/>
        <v>4.0500000000000007</v>
      </c>
      <c r="K12" s="186">
        <f t="shared" si="3"/>
        <v>8.1</v>
      </c>
      <c r="L12" s="186">
        <f t="shared" si="4"/>
        <v>0</v>
      </c>
      <c r="M12" s="187">
        <f t="shared" si="5"/>
        <v>8.1</v>
      </c>
      <c r="N12" s="176"/>
    </row>
    <row r="13" spans="1:17" s="6" customFormat="1" ht="16.899999999999999" customHeight="1">
      <c r="A13" s="179" t="str">
        <f>Zones!A13</f>
        <v>Corridor Area</v>
      </c>
      <c r="B13" s="179" t="str">
        <f>Zones!B13</f>
        <v>Floor 1 IT Hall</v>
      </c>
      <c r="C13" s="183">
        <f>Zones!J13</f>
        <v>0.7</v>
      </c>
      <c r="D13" s="183">
        <f>Zones!G13</f>
        <v>140</v>
      </c>
      <c r="E13" s="447">
        <v>15</v>
      </c>
      <c r="F13" s="447">
        <f t="shared" si="0"/>
        <v>0.15</v>
      </c>
      <c r="G13" s="183"/>
      <c r="H13" s="183"/>
      <c r="I13" s="184">
        <f t="shared" si="1"/>
        <v>0</v>
      </c>
      <c r="J13" s="185">
        <f t="shared" si="2"/>
        <v>10.5</v>
      </c>
      <c r="K13" s="186">
        <f t="shared" si="3"/>
        <v>21</v>
      </c>
      <c r="L13" s="186">
        <f t="shared" si="4"/>
        <v>0</v>
      </c>
      <c r="M13" s="187">
        <f t="shared" si="5"/>
        <v>21</v>
      </c>
      <c r="N13" s="176"/>
    </row>
    <row r="14" spans="1:17" s="6" customFormat="1" ht="16.899999999999999" customHeight="1">
      <c r="A14" s="179" t="str">
        <f>Zones!A14</f>
        <v>Office Area (&lt;250 square feet)</v>
      </c>
      <c r="B14" s="179" t="str">
        <f>Zones!B14</f>
        <v>Floor 1 IT Room</v>
      </c>
      <c r="C14" s="183">
        <f>Zones!J14</f>
        <v>0.56000000000000005</v>
      </c>
      <c r="D14" s="183">
        <f>Zones!G14</f>
        <v>112</v>
      </c>
      <c r="E14" s="447">
        <v>15</v>
      </c>
      <c r="F14" s="447">
        <f t="shared" si="0"/>
        <v>0.15</v>
      </c>
      <c r="G14" s="183"/>
      <c r="H14" s="183"/>
      <c r="I14" s="184">
        <f t="shared" si="1"/>
        <v>0</v>
      </c>
      <c r="J14" s="185">
        <f t="shared" si="2"/>
        <v>8.4</v>
      </c>
      <c r="K14" s="186">
        <f t="shared" si="3"/>
        <v>16.8</v>
      </c>
      <c r="L14" s="186">
        <f t="shared" si="4"/>
        <v>0</v>
      </c>
      <c r="M14" s="187">
        <f t="shared" si="5"/>
        <v>16.8</v>
      </c>
      <c r="N14" s="176"/>
    </row>
    <row r="15" spans="1:17" s="6" customFormat="1" ht="16.899999999999999" customHeight="1">
      <c r="A15" s="179" t="str">
        <f>Zones!A15</f>
        <v>Lobby, Main Entry</v>
      </c>
      <c r="B15" s="179" t="str">
        <f>Zones!B15</f>
        <v>Floor 1 Lobby</v>
      </c>
      <c r="C15" s="183">
        <f>Zones!J15</f>
        <v>20.526</v>
      </c>
      <c r="D15" s="183">
        <f>Zones!G15</f>
        <v>622</v>
      </c>
      <c r="E15" s="447">
        <v>15</v>
      </c>
      <c r="F15" s="447">
        <f t="shared" si="0"/>
        <v>0.15</v>
      </c>
      <c r="G15" s="183"/>
      <c r="H15" s="183"/>
      <c r="I15" s="184">
        <f t="shared" si="1"/>
        <v>0</v>
      </c>
      <c r="J15" s="185">
        <f t="shared" si="2"/>
        <v>307.89</v>
      </c>
      <c r="K15" s="186">
        <f t="shared" si="3"/>
        <v>93.3</v>
      </c>
      <c r="L15" s="186">
        <f t="shared" si="4"/>
        <v>0</v>
      </c>
      <c r="M15" s="187">
        <f t="shared" si="5"/>
        <v>307.89</v>
      </c>
      <c r="N15" s="176"/>
    </row>
    <row r="16" spans="1:17" s="6" customFormat="1" ht="16.149999999999999" customHeight="1">
      <c r="A16" s="179" t="str">
        <f>Zones!A16</f>
        <v>Corridor Area</v>
      </c>
      <c r="B16" s="179" t="str">
        <f>Zones!B16</f>
        <v>Floor 1 Lobby Hall</v>
      </c>
      <c r="C16" s="183">
        <f>Zones!J16</f>
        <v>1.2</v>
      </c>
      <c r="D16" s="183">
        <f>Zones!G16</f>
        <v>240</v>
      </c>
      <c r="E16" s="447">
        <v>15</v>
      </c>
      <c r="F16" s="447">
        <f t="shared" si="0"/>
        <v>0.15</v>
      </c>
      <c r="G16" s="183"/>
      <c r="H16" s="183"/>
      <c r="I16" s="184">
        <f t="shared" si="1"/>
        <v>0</v>
      </c>
      <c r="J16" s="185">
        <f t="shared" si="2"/>
        <v>18</v>
      </c>
      <c r="K16" s="186">
        <f t="shared" si="3"/>
        <v>36</v>
      </c>
      <c r="L16" s="186">
        <f t="shared" si="4"/>
        <v>0</v>
      </c>
      <c r="M16" s="187">
        <f t="shared" si="5"/>
        <v>36</v>
      </c>
      <c r="N16" s="176"/>
    </row>
    <row r="17" spans="1:22" s="6" customFormat="1" ht="49.5" customHeight="1">
      <c r="A17" s="179" t="str">
        <f>Zones!A17</f>
        <v>Restrooms</v>
      </c>
      <c r="B17" s="179" t="str">
        <f>Zones!B17</f>
        <v>Floor 1 Lobby Toilet</v>
      </c>
      <c r="C17" s="183">
        <f>Zones!J17</f>
        <v>0.27</v>
      </c>
      <c r="D17" s="183">
        <f>Zones!G17</f>
        <v>54</v>
      </c>
      <c r="E17" s="447">
        <v>15</v>
      </c>
      <c r="F17" s="447">
        <v>0</v>
      </c>
      <c r="G17" s="161"/>
      <c r="H17" s="183">
        <v>50</v>
      </c>
      <c r="I17" s="184">
        <f t="shared" si="1"/>
        <v>0</v>
      </c>
      <c r="J17" s="185">
        <f t="shared" si="2"/>
        <v>4.0500000000000007</v>
      </c>
      <c r="K17" s="186">
        <f t="shared" si="3"/>
        <v>0</v>
      </c>
      <c r="L17" s="186">
        <v>50</v>
      </c>
      <c r="M17" s="187">
        <v>0</v>
      </c>
      <c r="N17" s="281" t="s">
        <v>396</v>
      </c>
    </row>
    <row r="18" spans="1:22" s="6" customFormat="1" ht="16.899999999999999" customHeight="1">
      <c r="A18" s="179" t="str">
        <f>Zones!A18</f>
        <v>Locker Room</v>
      </c>
      <c r="B18" s="179" t="str">
        <f>Zones!B18</f>
        <v>Floor 1 Locker Room</v>
      </c>
      <c r="C18" s="183">
        <f>Zones!J18</f>
        <v>13.2</v>
      </c>
      <c r="D18" s="183">
        <f>Zones!G18</f>
        <v>660</v>
      </c>
      <c r="E18" s="447">
        <v>15</v>
      </c>
      <c r="F18" s="447">
        <f t="shared" si="0"/>
        <v>0.15</v>
      </c>
      <c r="G18" s="188">
        <v>0.25</v>
      </c>
      <c r="H18" s="188"/>
      <c r="I18" s="184">
        <f t="shared" si="1"/>
        <v>0</v>
      </c>
      <c r="J18" s="185">
        <f t="shared" si="2"/>
        <v>198</v>
      </c>
      <c r="K18" s="186">
        <f t="shared" si="3"/>
        <v>99</v>
      </c>
      <c r="L18" s="186">
        <f>G18*D18</f>
        <v>165</v>
      </c>
      <c r="M18" s="187">
        <f t="shared" si="5"/>
        <v>198</v>
      </c>
      <c r="N18" s="176"/>
    </row>
    <row r="19" spans="1:22" s="6" customFormat="1" ht="16.899999999999999" customHeight="1">
      <c r="A19" s="179" t="str">
        <f>Zones!A19</f>
        <v>Corridor Area</v>
      </c>
      <c r="B19" s="179" t="str">
        <f>Zones!B19</f>
        <v>Floor 1 Locker Room Hall</v>
      </c>
      <c r="C19" s="183">
        <f>Zones!J19</f>
        <v>2.48</v>
      </c>
      <c r="D19" s="183">
        <f>Zones!G19</f>
        <v>496</v>
      </c>
      <c r="E19" s="447">
        <v>15</v>
      </c>
      <c r="F19" s="447">
        <f t="shared" si="0"/>
        <v>0.15</v>
      </c>
      <c r="G19" s="183"/>
      <c r="H19" s="183"/>
      <c r="I19" s="184">
        <f t="shared" si="1"/>
        <v>0</v>
      </c>
      <c r="J19" s="185">
        <f t="shared" si="2"/>
        <v>37.200000000000003</v>
      </c>
      <c r="K19" s="186">
        <f t="shared" si="3"/>
        <v>74.399999999999991</v>
      </c>
      <c r="L19" s="186">
        <f t="shared" ref="L19:L23" si="6">H19*D19</f>
        <v>0</v>
      </c>
      <c r="M19" s="187">
        <f t="shared" si="5"/>
        <v>74.399999999999991</v>
      </c>
      <c r="N19" s="176"/>
    </row>
    <row r="20" spans="1:22" s="6" customFormat="1" ht="12.75">
      <c r="A20" s="179" t="str">
        <f>Zones!A20</f>
        <v>Lounge, Breakroom, or Waiting Area</v>
      </c>
      <c r="B20" s="179" t="str">
        <f>Zones!B20</f>
        <v>Floor 1 Lounge</v>
      </c>
      <c r="C20" s="183">
        <f>Zones!J20</f>
        <v>11.88</v>
      </c>
      <c r="D20" s="183">
        <f>Zones!G20</f>
        <v>360</v>
      </c>
      <c r="E20" s="447">
        <v>15</v>
      </c>
      <c r="F20" s="447">
        <f t="shared" si="0"/>
        <v>0.15</v>
      </c>
      <c r="G20" s="183"/>
      <c r="H20" s="183"/>
      <c r="I20" s="184">
        <f t="shared" si="1"/>
        <v>0</v>
      </c>
      <c r="J20" s="185">
        <f t="shared" si="2"/>
        <v>178.20000000000002</v>
      </c>
      <c r="K20" s="186">
        <f t="shared" si="3"/>
        <v>54</v>
      </c>
      <c r="L20" s="186">
        <f t="shared" si="6"/>
        <v>0</v>
      </c>
      <c r="M20" s="187">
        <f t="shared" si="5"/>
        <v>178.20000000000002</v>
      </c>
      <c r="N20" s="176"/>
    </row>
    <row r="21" spans="1:22" s="6" customFormat="1" ht="12.75">
      <c r="A21" s="179" t="str">
        <f>Zones!A21</f>
        <v>Healthcare Facility and Hospitals (Medical Supply Room)</v>
      </c>
      <c r="B21" s="179" t="str">
        <f>Zones!B21</f>
        <v>Floor 1 Med Gas</v>
      </c>
      <c r="C21" s="183">
        <f>Zones!J21</f>
        <v>0.56000000000000005</v>
      </c>
      <c r="D21" s="183">
        <f>Zones!G21</f>
        <v>56</v>
      </c>
      <c r="E21" s="447">
        <v>15</v>
      </c>
      <c r="F21" s="447" t="str">
        <f t="shared" si="0"/>
        <v>n/a</v>
      </c>
      <c r="G21" s="183"/>
      <c r="H21" s="183"/>
      <c r="I21" s="184">
        <f t="shared" si="1"/>
        <v>0.33333333333333331</v>
      </c>
      <c r="J21" s="185">
        <f t="shared" si="2"/>
        <v>8.4</v>
      </c>
      <c r="K21" s="186">
        <f t="shared" si="3"/>
        <v>18.666666666666664</v>
      </c>
      <c r="L21" s="186">
        <f t="shared" si="6"/>
        <v>0</v>
      </c>
      <c r="M21" s="187">
        <f t="shared" si="5"/>
        <v>18.666666666666664</v>
      </c>
      <c r="N21" s="176"/>
    </row>
    <row r="22" spans="1:22" s="6" customFormat="1" ht="25.5">
      <c r="A22" s="179" t="str">
        <f>Zones!A22</f>
        <v>Healthcare Facility and Hospitals (Imaging Room)</v>
      </c>
      <c r="B22" s="179" t="str">
        <f>Zones!B22</f>
        <v>Floor 1 MRI Control Room</v>
      </c>
      <c r="C22" s="183">
        <f>Zones!J22</f>
        <v>1.68</v>
      </c>
      <c r="D22" s="183">
        <f>Zones!G22</f>
        <v>168</v>
      </c>
      <c r="E22" s="447">
        <v>15</v>
      </c>
      <c r="F22" s="447" t="str">
        <f t="shared" si="0"/>
        <v>n/a</v>
      </c>
      <c r="G22" s="188">
        <v>2.02</v>
      </c>
      <c r="H22" s="188"/>
      <c r="I22" s="184">
        <f t="shared" si="1"/>
        <v>0.33333333333333331</v>
      </c>
      <c r="J22" s="185">
        <f t="shared" si="2"/>
        <v>25.2</v>
      </c>
      <c r="K22" s="186">
        <f t="shared" si="3"/>
        <v>56</v>
      </c>
      <c r="L22" s="186">
        <f>G22*D22</f>
        <v>339.36</v>
      </c>
      <c r="M22" s="187">
        <f t="shared" si="5"/>
        <v>339.36</v>
      </c>
      <c r="N22" s="176" t="s">
        <v>397</v>
      </c>
    </row>
    <row r="23" spans="1:22" s="6" customFormat="1" ht="12.75">
      <c r="A23" s="179" t="str">
        <f>Zones!A23</f>
        <v>Corridor Area</v>
      </c>
      <c r="B23" s="179" t="str">
        <f>Zones!B23</f>
        <v>Floor 1 MRI Hall</v>
      </c>
      <c r="C23" s="183">
        <f>Zones!J23</f>
        <v>0.73499999999999999</v>
      </c>
      <c r="D23" s="183">
        <f>Zones!G23</f>
        <v>147</v>
      </c>
      <c r="E23" s="447">
        <v>15</v>
      </c>
      <c r="F23" s="447">
        <f t="shared" si="0"/>
        <v>0.15</v>
      </c>
      <c r="G23" s="188"/>
      <c r="H23" s="188"/>
      <c r="I23" s="184">
        <f t="shared" si="1"/>
        <v>0</v>
      </c>
      <c r="J23" s="185">
        <f t="shared" si="2"/>
        <v>11.025</v>
      </c>
      <c r="K23" s="186">
        <f t="shared" si="3"/>
        <v>22.05</v>
      </c>
      <c r="L23" s="186">
        <f t="shared" si="6"/>
        <v>0</v>
      </c>
      <c r="M23" s="187">
        <f t="shared" si="5"/>
        <v>22.05</v>
      </c>
      <c r="N23" s="176"/>
    </row>
    <row r="24" spans="1:22" s="6" customFormat="1" ht="12.75">
      <c r="A24" s="179" t="str">
        <f>Zones!A24</f>
        <v>Healthcare Facility and Hospitals (Imaging Room)</v>
      </c>
      <c r="B24" s="179" t="str">
        <f>Zones!B24</f>
        <v>Floor 1 MRI Room</v>
      </c>
      <c r="C24" s="183">
        <f>Zones!J24</f>
        <v>4.4000000000000004</v>
      </c>
      <c r="D24" s="183">
        <f>Zones!G24</f>
        <v>440</v>
      </c>
      <c r="E24" s="447">
        <v>15</v>
      </c>
      <c r="F24" s="447" t="str">
        <f t="shared" si="0"/>
        <v>n/a</v>
      </c>
      <c r="G24" s="188">
        <v>2.02</v>
      </c>
      <c r="H24" s="188"/>
      <c r="I24" s="184">
        <f t="shared" si="1"/>
        <v>0.33333333333333331</v>
      </c>
      <c r="J24" s="185">
        <f t="shared" si="2"/>
        <v>66</v>
      </c>
      <c r="K24" s="186">
        <f t="shared" si="3"/>
        <v>146.66666666666666</v>
      </c>
      <c r="L24" s="186">
        <f>G24*D24</f>
        <v>888.8</v>
      </c>
      <c r="M24" s="187">
        <f t="shared" si="5"/>
        <v>888.8</v>
      </c>
      <c r="N24" s="176" t="s">
        <v>397</v>
      </c>
    </row>
    <row r="25" spans="1:22" s="6" customFormat="1" ht="12.75">
      <c r="A25" s="179" t="str">
        <f>Zones!A25</f>
        <v>Restrooms</v>
      </c>
      <c r="B25" s="179" t="str">
        <f>Zones!B25</f>
        <v>Floor 1 MRI Toilet</v>
      </c>
      <c r="C25" s="183">
        <f>Zones!J25</f>
        <v>0.27</v>
      </c>
      <c r="D25" s="183">
        <f>Zones!G25</f>
        <v>54</v>
      </c>
      <c r="E25" s="447">
        <v>15</v>
      </c>
      <c r="F25" s="447">
        <v>0</v>
      </c>
      <c r="G25" s="161"/>
      <c r="H25" s="183">
        <v>50</v>
      </c>
      <c r="I25" s="184">
        <f t="shared" si="1"/>
        <v>0</v>
      </c>
      <c r="J25" s="185">
        <f t="shared" si="2"/>
        <v>4.0500000000000007</v>
      </c>
      <c r="K25" s="186">
        <f t="shared" si="3"/>
        <v>0</v>
      </c>
      <c r="L25" s="186">
        <f>H25</f>
        <v>50</v>
      </c>
      <c r="M25" s="187">
        <f>MAX(J25:L25)</f>
        <v>50</v>
      </c>
      <c r="N25" s="176" t="s">
        <v>398</v>
      </c>
    </row>
    <row r="26" spans="1:22" s="6" customFormat="1" ht="12.75">
      <c r="A26" s="179" t="str">
        <f>Zones!A26</f>
        <v>Kitchen/Food Preparation Area</v>
      </c>
      <c r="B26" s="179" t="str">
        <f>Zones!B26</f>
        <v>Floor 1 Nourishment</v>
      </c>
      <c r="C26" s="183">
        <f>Zones!J26</f>
        <v>0.54600000000000004</v>
      </c>
      <c r="D26" s="183">
        <f>Zones!G26</f>
        <v>182</v>
      </c>
      <c r="E26" s="447">
        <v>15</v>
      </c>
      <c r="F26" s="447">
        <f t="shared" si="0"/>
        <v>0.15</v>
      </c>
      <c r="G26" s="188">
        <v>0.3</v>
      </c>
      <c r="H26" s="188"/>
      <c r="I26" s="184">
        <f t="shared" si="1"/>
        <v>0</v>
      </c>
      <c r="J26" s="185">
        <f t="shared" si="2"/>
        <v>8.1900000000000013</v>
      </c>
      <c r="K26" s="186">
        <f t="shared" si="3"/>
        <v>27.3</v>
      </c>
      <c r="L26" s="186">
        <f>G26*D26</f>
        <v>54.6</v>
      </c>
      <c r="M26" s="187">
        <f>MAX(J26:L26)</f>
        <v>54.6</v>
      </c>
      <c r="N26" s="176"/>
      <c r="R26" s="93"/>
      <c r="S26" s="8"/>
      <c r="T26" s="8"/>
      <c r="U26" s="17"/>
      <c r="V26" s="437"/>
    </row>
    <row r="27" spans="1:22" s="6" customFormat="1" ht="12.75">
      <c r="A27" s="179" t="str">
        <f>Zones!A27</f>
        <v>Corridor Area</v>
      </c>
      <c r="B27" s="179" t="str">
        <f>Zones!B27</f>
        <v>Floor 1 Nurse Hall</v>
      </c>
      <c r="C27" s="183">
        <f>Zones!J27</f>
        <v>2.48</v>
      </c>
      <c r="D27" s="183">
        <f>Zones!G27</f>
        <v>496</v>
      </c>
      <c r="E27" s="447">
        <v>15</v>
      </c>
      <c r="F27" s="447">
        <f t="shared" si="0"/>
        <v>0.15</v>
      </c>
      <c r="G27" s="161"/>
      <c r="H27" s="188"/>
      <c r="I27" s="184">
        <f t="shared" si="1"/>
        <v>0</v>
      </c>
      <c r="J27" s="185">
        <f t="shared" si="2"/>
        <v>37.200000000000003</v>
      </c>
      <c r="K27" s="186">
        <f t="shared" si="3"/>
        <v>74.399999999999991</v>
      </c>
      <c r="L27" s="186">
        <f>H27*D27</f>
        <v>0</v>
      </c>
      <c r="M27" s="187">
        <f t="shared" si="5"/>
        <v>74.399999999999991</v>
      </c>
      <c r="N27" s="176"/>
    </row>
    <row r="28" spans="1:22" s="6" customFormat="1" ht="12.75">
      <c r="A28" s="179" t="str">
        <f>Zones!A28</f>
        <v>Storage (General)</v>
      </c>
      <c r="B28" s="179" t="str">
        <f>Zones!B28</f>
        <v>Floor 1 Nurse Janitor</v>
      </c>
      <c r="C28" s="183">
        <f>Zones!J28</f>
        <v>0.108</v>
      </c>
      <c r="D28" s="183">
        <f>Zones!G28</f>
        <v>54</v>
      </c>
      <c r="E28" s="447">
        <v>15</v>
      </c>
      <c r="F28" s="447">
        <f t="shared" si="0"/>
        <v>0.15</v>
      </c>
      <c r="G28" s="161"/>
      <c r="H28" s="188"/>
      <c r="I28" s="184">
        <f t="shared" si="1"/>
        <v>0</v>
      </c>
      <c r="J28" s="185">
        <f t="shared" si="2"/>
        <v>1.6199999999999999</v>
      </c>
      <c r="K28" s="186">
        <f t="shared" si="3"/>
        <v>8.1</v>
      </c>
      <c r="L28" s="186">
        <f>H28*D28</f>
        <v>0</v>
      </c>
      <c r="M28" s="187">
        <f t="shared" si="5"/>
        <v>8.1</v>
      </c>
      <c r="N28" s="176"/>
    </row>
    <row r="29" spans="1:22" s="6" customFormat="1" ht="12.75">
      <c r="A29" s="179" t="str">
        <f>Zones!A29</f>
        <v>Healthcare Facility and Hospitals (Nurse's Station)</v>
      </c>
      <c r="B29" s="179" t="str">
        <f>Zones!B29</f>
        <v>Floor 1 Nurse Station</v>
      </c>
      <c r="C29" s="183">
        <f>Zones!J29</f>
        <v>2.61</v>
      </c>
      <c r="D29" s="183">
        <f>Zones!G29</f>
        <v>261</v>
      </c>
      <c r="E29" s="447">
        <v>15</v>
      </c>
      <c r="F29" s="447" t="str">
        <f t="shared" si="0"/>
        <v>n/a</v>
      </c>
      <c r="G29" s="161"/>
      <c r="H29" s="183"/>
      <c r="I29" s="184">
        <f t="shared" si="1"/>
        <v>0.33333333333333331</v>
      </c>
      <c r="J29" s="185">
        <f t="shared" si="2"/>
        <v>39.15</v>
      </c>
      <c r="K29" s="186">
        <f t="shared" si="3"/>
        <v>87</v>
      </c>
      <c r="L29" s="186">
        <f>H29*D29</f>
        <v>0</v>
      </c>
      <c r="M29" s="187">
        <f t="shared" si="5"/>
        <v>87</v>
      </c>
      <c r="N29" s="176"/>
    </row>
    <row r="30" spans="1:22" s="6" customFormat="1" ht="12.75">
      <c r="A30" s="179" t="str">
        <f>Zones!A30</f>
        <v>Restrooms</v>
      </c>
      <c r="B30" s="179" t="str">
        <f>Zones!B30</f>
        <v>Floor 1 Nurse Toilet</v>
      </c>
      <c r="C30" s="183">
        <f>Zones!J30</f>
        <v>0.27</v>
      </c>
      <c r="D30" s="183">
        <f>Zones!G30</f>
        <v>54</v>
      </c>
      <c r="E30" s="447">
        <v>15</v>
      </c>
      <c r="F30" s="447">
        <v>0</v>
      </c>
      <c r="G30" s="161"/>
      <c r="H30" s="183">
        <v>50</v>
      </c>
      <c r="I30" s="184">
        <f t="shared" si="1"/>
        <v>0</v>
      </c>
      <c r="J30" s="185">
        <f t="shared" si="2"/>
        <v>4.0500000000000007</v>
      </c>
      <c r="K30" s="186">
        <f t="shared" si="3"/>
        <v>0</v>
      </c>
      <c r="L30" s="186">
        <f>H30</f>
        <v>50</v>
      </c>
      <c r="M30" s="187">
        <f t="shared" si="5"/>
        <v>50</v>
      </c>
      <c r="N30" s="176" t="s">
        <v>398</v>
      </c>
    </row>
    <row r="31" spans="1:22" s="6" customFormat="1" ht="12.75">
      <c r="A31" s="179" t="str">
        <f>Zones!A31</f>
        <v>Office Area (&gt;250 square feet)</v>
      </c>
      <c r="B31" s="179" t="str">
        <f>Zones!B31</f>
        <v>Floor 1 Office</v>
      </c>
      <c r="C31" s="183">
        <f>Zones!J31</f>
        <v>2.415</v>
      </c>
      <c r="D31" s="183">
        <f>Zones!G31</f>
        <v>483</v>
      </c>
      <c r="E31" s="447">
        <v>15</v>
      </c>
      <c r="F31" s="447">
        <f t="shared" si="0"/>
        <v>0.15</v>
      </c>
      <c r="G31" s="161"/>
      <c r="H31" s="183"/>
      <c r="I31" s="184">
        <f t="shared" si="1"/>
        <v>0</v>
      </c>
      <c r="J31" s="185">
        <f t="shared" si="2"/>
        <v>36.225000000000001</v>
      </c>
      <c r="K31" s="186">
        <f t="shared" si="3"/>
        <v>72.45</v>
      </c>
      <c r="L31" s="186">
        <f t="shared" ref="L31:L38" si="7">H31*D31</f>
        <v>0</v>
      </c>
      <c r="M31" s="187">
        <f t="shared" si="5"/>
        <v>72.45</v>
      </c>
      <c r="N31" s="176"/>
    </row>
    <row r="32" spans="1:22" s="6" customFormat="1" ht="25.5">
      <c r="A32" s="179" t="str">
        <f>Zones!A32</f>
        <v>Healthcare Facility and Hospitals (Operating Room)</v>
      </c>
      <c r="B32" s="179" t="str">
        <f>Zones!B32</f>
        <v>Floor 1 Operating Room 1</v>
      </c>
      <c r="C32" s="183">
        <f>Zones!J32</f>
        <v>4.5999999999999996</v>
      </c>
      <c r="D32" s="183">
        <f>Zones!G32</f>
        <v>460</v>
      </c>
      <c r="E32" s="447">
        <v>15</v>
      </c>
      <c r="F32" s="447" t="str">
        <f t="shared" si="0"/>
        <v>n/a</v>
      </c>
      <c r="G32" s="161"/>
      <c r="H32" s="183"/>
      <c r="I32" s="184">
        <f t="shared" si="1"/>
        <v>0.33333333333333331</v>
      </c>
      <c r="J32" s="185">
        <f t="shared" si="2"/>
        <v>69</v>
      </c>
      <c r="K32" s="186">
        <f t="shared" si="3"/>
        <v>153.33333333333331</v>
      </c>
      <c r="L32" s="186">
        <f t="shared" si="7"/>
        <v>0</v>
      </c>
      <c r="M32" s="187">
        <f t="shared" si="5"/>
        <v>153.33333333333331</v>
      </c>
      <c r="N32" s="176"/>
    </row>
    <row r="33" spans="1:26" s="6" customFormat="1" ht="25.5">
      <c r="A33" s="179" t="str">
        <f>Zones!A33</f>
        <v>Healthcare Facility and Hospitals (Operating Room)</v>
      </c>
      <c r="B33" s="179" t="str">
        <f>Zones!B33</f>
        <v>Floor 1 Operating Room 2</v>
      </c>
      <c r="C33" s="183">
        <f>Zones!J33</f>
        <v>4.8</v>
      </c>
      <c r="D33" s="183">
        <f>Zones!G33</f>
        <v>480</v>
      </c>
      <c r="E33" s="447">
        <v>15</v>
      </c>
      <c r="F33" s="447" t="str">
        <f t="shared" si="0"/>
        <v>n/a</v>
      </c>
      <c r="G33" s="161"/>
      <c r="H33" s="183"/>
      <c r="I33" s="184">
        <f t="shared" si="1"/>
        <v>0.33333333333333331</v>
      </c>
      <c r="J33" s="185">
        <f t="shared" si="2"/>
        <v>72</v>
      </c>
      <c r="K33" s="186">
        <f t="shared" si="3"/>
        <v>160</v>
      </c>
      <c r="L33" s="186">
        <f t="shared" si="7"/>
        <v>0</v>
      </c>
      <c r="M33" s="187">
        <f t="shared" si="5"/>
        <v>160</v>
      </c>
      <c r="N33" s="176"/>
    </row>
    <row r="34" spans="1:26" s="6" customFormat="1" ht="25.5">
      <c r="A34" s="179" t="str">
        <f>Zones!A34</f>
        <v>Healthcare Facility and Hospitals (Operating Room)</v>
      </c>
      <c r="B34" s="179" t="str">
        <f>Zones!B34</f>
        <v>Floor 1 Operating Room 3</v>
      </c>
      <c r="C34" s="183">
        <f>Zones!J34</f>
        <v>4.76</v>
      </c>
      <c r="D34" s="183">
        <f>Zones!G34</f>
        <v>476</v>
      </c>
      <c r="E34" s="447">
        <v>15</v>
      </c>
      <c r="F34" s="447" t="str">
        <f t="shared" si="0"/>
        <v>n/a</v>
      </c>
      <c r="G34" s="161"/>
      <c r="H34" s="183"/>
      <c r="I34" s="184">
        <f t="shared" si="1"/>
        <v>0.33333333333333331</v>
      </c>
      <c r="J34" s="185">
        <f t="shared" si="2"/>
        <v>71.399999999999991</v>
      </c>
      <c r="K34" s="186">
        <f t="shared" si="3"/>
        <v>158.66666666666666</v>
      </c>
      <c r="L34" s="186">
        <f t="shared" si="7"/>
        <v>0</v>
      </c>
      <c r="M34" s="187">
        <f t="shared" si="5"/>
        <v>158.66666666666666</v>
      </c>
      <c r="N34" s="176"/>
      <c r="V34" s="240"/>
    </row>
    <row r="35" spans="1:26" s="6" customFormat="1" ht="12.75">
      <c r="A35" s="179" t="str">
        <f>Zones!A35</f>
        <v>Healthcare Facility and Hospitals (Recovery Room)</v>
      </c>
      <c r="B35" s="179" t="str">
        <f>Zones!B35</f>
        <v>Floor 1 PACU</v>
      </c>
      <c r="C35" s="183">
        <f>Zones!J35</f>
        <v>1.08</v>
      </c>
      <c r="D35" s="183">
        <f>Zones!G35</f>
        <v>108</v>
      </c>
      <c r="E35" s="447">
        <v>15</v>
      </c>
      <c r="F35" s="447" t="str">
        <f t="shared" ref="F35:F66" si="8">VLOOKUP(A35,A$183:E$205,5,FALSE)</f>
        <v>n/a</v>
      </c>
      <c r="G35" s="161"/>
      <c r="H35" s="183"/>
      <c r="I35" s="184">
        <f t="shared" ref="I35:I66" si="9">VLOOKUP(A35,A$183:H$205,8,FALSE)</f>
        <v>0.33333333333333331</v>
      </c>
      <c r="J35" s="185">
        <f t="shared" ref="J35:J66" si="10">E35*C35</f>
        <v>16.200000000000003</v>
      </c>
      <c r="K35" s="186">
        <f t="shared" ref="K35:K66" si="11">IF(F35="n/a",D35*I35,F35*D35)</f>
        <v>36</v>
      </c>
      <c r="L35" s="186">
        <f t="shared" si="7"/>
        <v>0</v>
      </c>
      <c r="M35" s="187">
        <f t="shared" si="5"/>
        <v>36</v>
      </c>
      <c r="N35" s="176"/>
      <c r="R35" s="7"/>
      <c r="S35" s="7"/>
      <c r="T35" s="7"/>
      <c r="U35" s="7"/>
      <c r="V35" s="241"/>
      <c r="W35" s="242"/>
      <c r="X35" s="242"/>
      <c r="Y35" s="242"/>
      <c r="Z35" s="243"/>
    </row>
    <row r="36" spans="1:26" s="7" customFormat="1" ht="12.75">
      <c r="A36" s="179" t="str">
        <f>Zones!A36</f>
        <v>Corridor Area</v>
      </c>
      <c r="B36" s="179" t="str">
        <f>Zones!B36</f>
        <v>Floor 1 Pre-Op Hall</v>
      </c>
      <c r="C36" s="183">
        <f>Zones!J36</f>
        <v>2.64</v>
      </c>
      <c r="D36" s="183">
        <f>Zones!G36</f>
        <v>528</v>
      </c>
      <c r="E36" s="447">
        <v>15</v>
      </c>
      <c r="F36" s="447">
        <f t="shared" si="8"/>
        <v>0.15</v>
      </c>
      <c r="G36" s="270"/>
      <c r="H36" s="183"/>
      <c r="I36" s="184">
        <f t="shared" si="9"/>
        <v>0</v>
      </c>
      <c r="J36" s="185">
        <f t="shared" si="10"/>
        <v>39.6</v>
      </c>
      <c r="K36" s="186">
        <f t="shared" si="11"/>
        <v>79.2</v>
      </c>
      <c r="L36" s="186">
        <f t="shared" si="7"/>
        <v>0</v>
      </c>
      <c r="M36" s="187">
        <f t="shared" si="5"/>
        <v>79.2</v>
      </c>
      <c r="N36" s="244"/>
      <c r="R36" s="6"/>
      <c r="S36" s="6"/>
      <c r="T36" s="6"/>
      <c r="U36" s="6"/>
      <c r="V36" s="6"/>
      <c r="W36" s="6"/>
      <c r="X36" s="6"/>
      <c r="Y36" s="6"/>
      <c r="Z36" s="6"/>
    </row>
    <row r="37" spans="1:26" s="6" customFormat="1" ht="12.75">
      <c r="A37" s="179" t="str">
        <f>Zones!A37</f>
        <v>Healthcare Facility and Hospitals (Patient Room)</v>
      </c>
      <c r="B37" s="179" t="str">
        <f>Zones!B37</f>
        <v>Floor 1 Pre-Op Room 1</v>
      </c>
      <c r="C37" s="183">
        <f>Zones!J37</f>
        <v>1.89</v>
      </c>
      <c r="D37" s="183">
        <f>Zones!G37</f>
        <v>189</v>
      </c>
      <c r="E37" s="447">
        <v>15</v>
      </c>
      <c r="F37" s="447" t="str">
        <f t="shared" si="8"/>
        <v>n/a</v>
      </c>
      <c r="G37" s="161"/>
      <c r="H37" s="183"/>
      <c r="I37" s="184">
        <f t="shared" si="9"/>
        <v>0.33333333333333331</v>
      </c>
      <c r="J37" s="185">
        <f t="shared" si="10"/>
        <v>28.349999999999998</v>
      </c>
      <c r="K37" s="186">
        <f t="shared" si="11"/>
        <v>63</v>
      </c>
      <c r="L37" s="186">
        <f t="shared" si="7"/>
        <v>0</v>
      </c>
      <c r="M37" s="187">
        <f t="shared" si="5"/>
        <v>63</v>
      </c>
      <c r="N37" s="176"/>
    </row>
    <row r="38" spans="1:26" s="6" customFormat="1" ht="12.75">
      <c r="A38" s="179" t="str">
        <f>Zones!A38</f>
        <v>Healthcare Facility and Hospitals (Patient Room)</v>
      </c>
      <c r="B38" s="179" t="str">
        <f>Zones!B38</f>
        <v>Floor 1 Pre-Op Room 2</v>
      </c>
      <c r="C38" s="183">
        <f>Zones!J38</f>
        <v>3.38</v>
      </c>
      <c r="D38" s="183">
        <f>Zones!G38</f>
        <v>338</v>
      </c>
      <c r="E38" s="447">
        <v>15</v>
      </c>
      <c r="F38" s="447" t="str">
        <f t="shared" si="8"/>
        <v>n/a</v>
      </c>
      <c r="G38" s="161"/>
      <c r="H38" s="183"/>
      <c r="I38" s="184">
        <f t="shared" si="9"/>
        <v>0.33333333333333331</v>
      </c>
      <c r="J38" s="185">
        <f t="shared" si="10"/>
        <v>50.699999999999996</v>
      </c>
      <c r="K38" s="186">
        <f t="shared" si="11"/>
        <v>112.66666666666666</v>
      </c>
      <c r="L38" s="186">
        <f t="shared" si="7"/>
        <v>0</v>
      </c>
      <c r="M38" s="187">
        <f t="shared" si="5"/>
        <v>112.66666666666666</v>
      </c>
      <c r="N38" s="176"/>
    </row>
    <row r="39" spans="1:26" s="6" customFormat="1" ht="12.75">
      <c r="A39" s="179" t="str">
        <f>Zones!A39</f>
        <v>Restrooms</v>
      </c>
      <c r="B39" s="179" t="str">
        <f>Zones!B39</f>
        <v>Floor 1 Pre-Op Toilet</v>
      </c>
      <c r="C39" s="183">
        <f>Zones!J39</f>
        <v>0.27</v>
      </c>
      <c r="D39" s="183">
        <f>Zones!G39</f>
        <v>54</v>
      </c>
      <c r="E39" s="447">
        <v>15</v>
      </c>
      <c r="F39" s="447">
        <v>0</v>
      </c>
      <c r="G39" s="161"/>
      <c r="H39" s="183">
        <v>50</v>
      </c>
      <c r="I39" s="184">
        <f t="shared" si="9"/>
        <v>0</v>
      </c>
      <c r="J39" s="185">
        <f t="shared" si="10"/>
        <v>4.0500000000000007</v>
      </c>
      <c r="K39" s="186">
        <f t="shared" si="11"/>
        <v>0</v>
      </c>
      <c r="L39" s="186">
        <f>H39</f>
        <v>50</v>
      </c>
      <c r="M39" s="187">
        <f t="shared" si="5"/>
        <v>50</v>
      </c>
      <c r="N39" s="176" t="s">
        <v>398</v>
      </c>
    </row>
    <row r="40" spans="1:26" s="6" customFormat="1" ht="12.75">
      <c r="A40" s="179" t="str">
        <f>Zones!A40</f>
        <v>Healthcare Facility and Hospitals (Exam/Treatment Room)</v>
      </c>
      <c r="B40" s="179" t="str">
        <f>Zones!B40</f>
        <v>Floor 1 Procedure Room</v>
      </c>
      <c r="C40" s="183">
        <f>Zones!J40</f>
        <v>2.85</v>
      </c>
      <c r="D40" s="183">
        <f>Zones!G40</f>
        <v>285</v>
      </c>
      <c r="E40" s="447">
        <v>15</v>
      </c>
      <c r="F40" s="447" t="str">
        <f t="shared" si="8"/>
        <v>n/a</v>
      </c>
      <c r="G40" s="161"/>
      <c r="H40" s="183"/>
      <c r="I40" s="184">
        <f t="shared" si="9"/>
        <v>0.33333333333333331</v>
      </c>
      <c r="J40" s="185">
        <f t="shared" si="10"/>
        <v>42.75</v>
      </c>
      <c r="K40" s="186">
        <f t="shared" si="11"/>
        <v>95</v>
      </c>
      <c r="L40" s="186">
        <f t="shared" ref="L40:L58" si="12">H40*D40</f>
        <v>0</v>
      </c>
      <c r="M40" s="187">
        <f t="shared" si="5"/>
        <v>95</v>
      </c>
      <c r="N40" s="176"/>
    </row>
    <row r="41" spans="1:26" s="6" customFormat="1" ht="12.75">
      <c r="A41" s="179" t="str">
        <f>Zones!A41</f>
        <v>Reception area</v>
      </c>
      <c r="B41" s="179" t="str">
        <f>Zones!B41</f>
        <v>Floor 1 Reception</v>
      </c>
      <c r="C41" s="183">
        <f>Zones!J41</f>
        <v>2.5449999999999999</v>
      </c>
      <c r="D41" s="183">
        <f>Zones!G41</f>
        <v>509</v>
      </c>
      <c r="E41" s="447">
        <v>15</v>
      </c>
      <c r="F41" s="447">
        <f t="shared" si="8"/>
        <v>0.15</v>
      </c>
      <c r="G41" s="161"/>
      <c r="H41" s="183"/>
      <c r="I41" s="184">
        <f t="shared" si="9"/>
        <v>0</v>
      </c>
      <c r="J41" s="185">
        <f t="shared" si="10"/>
        <v>38.174999999999997</v>
      </c>
      <c r="K41" s="186">
        <f t="shared" si="11"/>
        <v>76.349999999999994</v>
      </c>
      <c r="L41" s="186">
        <f t="shared" si="12"/>
        <v>0</v>
      </c>
      <c r="M41" s="187">
        <f t="shared" si="5"/>
        <v>76.349999999999994</v>
      </c>
      <c r="N41" s="176"/>
    </row>
    <row r="42" spans="1:26" s="6" customFormat="1" ht="12.75">
      <c r="A42" s="179" t="str">
        <f>Zones!A42</f>
        <v>Corridor Area</v>
      </c>
      <c r="B42" s="179" t="str">
        <f>Zones!B42</f>
        <v>Floor 1 Reception Hall</v>
      </c>
      <c r="C42" s="183">
        <f>Zones!J42</f>
        <v>0.64</v>
      </c>
      <c r="D42" s="183">
        <f>Zones!G42</f>
        <v>128</v>
      </c>
      <c r="E42" s="447">
        <v>15</v>
      </c>
      <c r="F42" s="447">
        <f t="shared" si="8"/>
        <v>0.15</v>
      </c>
      <c r="G42" s="161"/>
      <c r="H42" s="183"/>
      <c r="I42" s="184">
        <f t="shared" si="9"/>
        <v>0</v>
      </c>
      <c r="J42" s="185">
        <f t="shared" si="10"/>
        <v>9.6</v>
      </c>
      <c r="K42" s="186">
        <f t="shared" si="11"/>
        <v>19.2</v>
      </c>
      <c r="L42" s="186">
        <f t="shared" si="12"/>
        <v>0</v>
      </c>
      <c r="M42" s="187">
        <f t="shared" si="5"/>
        <v>19.2</v>
      </c>
      <c r="N42" s="176"/>
    </row>
    <row r="43" spans="1:26" s="6" customFormat="1" ht="12.75">
      <c r="A43" s="179" t="str">
        <f>Zones!A43</f>
        <v>Healthcare Facility and Hospitals (Recovery Room)</v>
      </c>
      <c r="B43" s="179" t="str">
        <f>Zones!B43</f>
        <v>Floor 1 Recovery Room</v>
      </c>
      <c r="C43" s="183">
        <f>Zones!J43</f>
        <v>5.4</v>
      </c>
      <c r="D43" s="183">
        <f>Zones!G43</f>
        <v>540</v>
      </c>
      <c r="E43" s="447">
        <v>15</v>
      </c>
      <c r="F43" s="447" t="str">
        <f t="shared" si="8"/>
        <v>n/a</v>
      </c>
      <c r="G43" s="161"/>
      <c r="H43" s="183"/>
      <c r="I43" s="184">
        <f t="shared" si="9"/>
        <v>0.33333333333333331</v>
      </c>
      <c r="J43" s="185">
        <f t="shared" si="10"/>
        <v>81</v>
      </c>
      <c r="K43" s="186">
        <f t="shared" si="11"/>
        <v>180</v>
      </c>
      <c r="L43" s="186">
        <f t="shared" si="12"/>
        <v>0</v>
      </c>
      <c r="M43" s="187">
        <f t="shared" si="5"/>
        <v>180</v>
      </c>
      <c r="N43" s="176"/>
    </row>
    <row r="44" spans="1:26" s="6" customFormat="1" ht="12.75">
      <c r="A44" s="179" t="str">
        <f>Zones!A44</f>
        <v>Office Area (&lt;250 square feet)</v>
      </c>
      <c r="B44" s="179" t="str">
        <f>Zones!B44</f>
        <v>Floor 1 Scheduling</v>
      </c>
      <c r="C44" s="183">
        <f>Zones!J44</f>
        <v>0.59499999999999997</v>
      </c>
      <c r="D44" s="183">
        <f>Zones!G44</f>
        <v>119</v>
      </c>
      <c r="E44" s="447">
        <v>15</v>
      </c>
      <c r="F44" s="447">
        <f t="shared" si="8"/>
        <v>0.15</v>
      </c>
      <c r="G44" s="161"/>
      <c r="H44" s="183"/>
      <c r="I44" s="184">
        <f t="shared" si="9"/>
        <v>0</v>
      </c>
      <c r="J44" s="185">
        <f t="shared" si="10"/>
        <v>8.9249999999999989</v>
      </c>
      <c r="K44" s="186">
        <f t="shared" si="11"/>
        <v>17.849999999999998</v>
      </c>
      <c r="L44" s="186">
        <f t="shared" si="12"/>
        <v>0</v>
      </c>
      <c r="M44" s="187">
        <f t="shared" si="5"/>
        <v>17.849999999999998</v>
      </c>
      <c r="N44" s="176"/>
    </row>
    <row r="45" spans="1:26" s="6" customFormat="1" ht="12.75">
      <c r="A45" s="179" t="str">
        <f>Zones!A45</f>
        <v>Corridor Area</v>
      </c>
      <c r="B45" s="179" t="str">
        <f>Zones!B45</f>
        <v>Floor 1 Scrub</v>
      </c>
      <c r="C45" s="183">
        <f>Zones!J45</f>
        <v>0.42</v>
      </c>
      <c r="D45" s="183">
        <f>Zones!G45</f>
        <v>84</v>
      </c>
      <c r="E45" s="447">
        <v>15</v>
      </c>
      <c r="F45" s="447">
        <f t="shared" si="8"/>
        <v>0.15</v>
      </c>
      <c r="G45" s="161"/>
      <c r="H45" s="183"/>
      <c r="I45" s="184">
        <f t="shared" si="9"/>
        <v>0</v>
      </c>
      <c r="J45" s="185">
        <f t="shared" si="10"/>
        <v>6.3</v>
      </c>
      <c r="K45" s="186">
        <f t="shared" si="11"/>
        <v>12.6</v>
      </c>
      <c r="L45" s="186">
        <f t="shared" si="12"/>
        <v>0</v>
      </c>
      <c r="M45" s="187">
        <f t="shared" si="5"/>
        <v>12.6</v>
      </c>
      <c r="N45" s="176"/>
    </row>
    <row r="46" spans="1:26" s="6" customFormat="1" ht="12.75">
      <c r="A46" s="179" t="str">
        <f>Zones!A46</f>
        <v>Healthcare Facility and Hospitals (Medical Supply Room)</v>
      </c>
      <c r="B46" s="179" t="str">
        <f>Zones!B46</f>
        <v>Floor 1 Soil</v>
      </c>
      <c r="C46" s="183">
        <f>Zones!J46</f>
        <v>1.26</v>
      </c>
      <c r="D46" s="183">
        <f>Zones!G46</f>
        <v>126</v>
      </c>
      <c r="E46" s="447">
        <v>15</v>
      </c>
      <c r="F46" s="447" t="str">
        <f t="shared" si="8"/>
        <v>n/a</v>
      </c>
      <c r="G46" s="188">
        <v>1.68</v>
      </c>
      <c r="H46" s="188"/>
      <c r="I46" s="184">
        <f t="shared" si="9"/>
        <v>0.33333333333333331</v>
      </c>
      <c r="J46" s="185">
        <f t="shared" si="10"/>
        <v>18.899999999999999</v>
      </c>
      <c r="K46" s="186">
        <f t="shared" si="11"/>
        <v>42</v>
      </c>
      <c r="L46" s="186">
        <f>G46*D46</f>
        <v>211.67999999999998</v>
      </c>
      <c r="M46" s="187">
        <f t="shared" si="5"/>
        <v>211.67999999999998</v>
      </c>
      <c r="N46" s="176" t="s">
        <v>397</v>
      </c>
    </row>
    <row r="47" spans="1:26" s="6" customFormat="1" ht="12.75">
      <c r="A47" s="179" t="str">
        <f>Zones!A47</f>
        <v>Healthcare Facility and Hospitals (Medical Supply Room)</v>
      </c>
      <c r="B47" s="179" t="str">
        <f>Zones!B47</f>
        <v>Floor 1 Soil Hold</v>
      </c>
      <c r="C47" s="183">
        <f>Zones!J47</f>
        <v>0.56000000000000005</v>
      </c>
      <c r="D47" s="183">
        <f>Zones!G47</f>
        <v>56</v>
      </c>
      <c r="E47" s="447">
        <v>15</v>
      </c>
      <c r="F47" s="447" t="str">
        <f t="shared" si="8"/>
        <v>n/a</v>
      </c>
      <c r="G47" s="188">
        <v>1.51</v>
      </c>
      <c r="H47" s="188"/>
      <c r="I47" s="184">
        <f t="shared" si="9"/>
        <v>0.33333333333333331</v>
      </c>
      <c r="J47" s="185">
        <f t="shared" si="10"/>
        <v>8.4</v>
      </c>
      <c r="K47" s="186">
        <f t="shared" si="11"/>
        <v>18.666666666666664</v>
      </c>
      <c r="L47" s="186">
        <f t="shared" ref="L47:L48" si="13">G47*D47</f>
        <v>84.56</v>
      </c>
      <c r="M47" s="187">
        <f t="shared" si="5"/>
        <v>84.56</v>
      </c>
      <c r="N47" s="176" t="s">
        <v>397</v>
      </c>
    </row>
    <row r="48" spans="1:26" s="6" customFormat="1" ht="12.75">
      <c r="A48" s="179" t="str">
        <f>Zones!A48</f>
        <v>Healthcare Facility and Hospitals (Medical Supply Room)</v>
      </c>
      <c r="B48" s="179" t="str">
        <f>Zones!B48</f>
        <v>Floor 1 Soil Work</v>
      </c>
      <c r="C48" s="183">
        <f>Zones!J48</f>
        <v>1.8</v>
      </c>
      <c r="D48" s="183">
        <f>Zones!G48</f>
        <v>180</v>
      </c>
      <c r="E48" s="447">
        <v>15</v>
      </c>
      <c r="F48" s="447" t="str">
        <f t="shared" si="8"/>
        <v>n/a</v>
      </c>
      <c r="G48" s="188">
        <v>1.65</v>
      </c>
      <c r="H48" s="188"/>
      <c r="I48" s="184">
        <f t="shared" si="9"/>
        <v>0.33333333333333331</v>
      </c>
      <c r="J48" s="185">
        <f t="shared" si="10"/>
        <v>27</v>
      </c>
      <c r="K48" s="186">
        <f t="shared" si="11"/>
        <v>60</v>
      </c>
      <c r="L48" s="186">
        <f t="shared" si="13"/>
        <v>297</v>
      </c>
      <c r="M48" s="187">
        <f t="shared" si="5"/>
        <v>297</v>
      </c>
      <c r="N48" s="176" t="s">
        <v>397</v>
      </c>
    </row>
    <row r="49" spans="1:14" s="6" customFormat="1" ht="12.75">
      <c r="A49" s="179" t="str">
        <f>Zones!A49</f>
        <v>Healthcare Facility and Hospitals (Recovery Room)</v>
      </c>
      <c r="B49" s="179" t="str">
        <f>Zones!B49</f>
        <v>Floor 1 Step Down</v>
      </c>
      <c r="C49" s="183">
        <f>Zones!J49</f>
        <v>3</v>
      </c>
      <c r="D49" s="183">
        <f>Zones!G49</f>
        <v>300</v>
      </c>
      <c r="E49" s="447">
        <v>15</v>
      </c>
      <c r="F49" s="447" t="str">
        <f t="shared" si="8"/>
        <v>n/a</v>
      </c>
      <c r="G49" s="161"/>
      <c r="H49" s="183"/>
      <c r="I49" s="184">
        <f t="shared" si="9"/>
        <v>0.33333333333333331</v>
      </c>
      <c r="J49" s="185">
        <f t="shared" si="10"/>
        <v>45</v>
      </c>
      <c r="K49" s="186">
        <f t="shared" si="11"/>
        <v>100</v>
      </c>
      <c r="L49" s="186">
        <f>H49*D49</f>
        <v>0</v>
      </c>
      <c r="M49" s="187">
        <f t="shared" si="5"/>
        <v>100</v>
      </c>
      <c r="N49" s="176"/>
    </row>
    <row r="50" spans="1:14" s="6" customFormat="1" ht="12.75">
      <c r="A50" s="179" t="str">
        <f>Zones!A50</f>
        <v>Corridor Area</v>
      </c>
      <c r="B50" s="179" t="str">
        <f>Zones!B50</f>
        <v>Floor 1 Sterile Hall</v>
      </c>
      <c r="C50" s="183">
        <f>Zones!J50</f>
        <v>3.08</v>
      </c>
      <c r="D50" s="183">
        <f>Zones!G50</f>
        <v>616</v>
      </c>
      <c r="E50" s="447">
        <v>15</v>
      </c>
      <c r="F50" s="447">
        <f t="shared" si="8"/>
        <v>0.15</v>
      </c>
      <c r="G50" s="161"/>
      <c r="H50" s="183"/>
      <c r="I50" s="184">
        <f t="shared" si="9"/>
        <v>0</v>
      </c>
      <c r="J50" s="185">
        <f t="shared" si="10"/>
        <v>46.2</v>
      </c>
      <c r="K50" s="186">
        <f t="shared" si="11"/>
        <v>92.399999999999991</v>
      </c>
      <c r="L50" s="186">
        <f t="shared" si="12"/>
        <v>0</v>
      </c>
      <c r="M50" s="187">
        <f t="shared" si="5"/>
        <v>92.399999999999991</v>
      </c>
      <c r="N50" s="176"/>
    </row>
    <row r="51" spans="1:14" s="6" customFormat="1" ht="12.75">
      <c r="A51" s="179" t="str">
        <f>Zones!A51</f>
        <v>Storage (General)</v>
      </c>
      <c r="B51" s="179" t="str">
        <f>Zones!B51</f>
        <v>Floor 1 Sterile Storage</v>
      </c>
      <c r="C51" s="183">
        <f>Zones!J51</f>
        <v>0.79200000000000004</v>
      </c>
      <c r="D51" s="183">
        <f>Zones!G51</f>
        <v>396</v>
      </c>
      <c r="E51" s="447">
        <v>15</v>
      </c>
      <c r="F51" s="447">
        <f t="shared" si="8"/>
        <v>0.15</v>
      </c>
      <c r="G51" s="161"/>
      <c r="H51" s="183"/>
      <c r="I51" s="184">
        <f t="shared" si="9"/>
        <v>0</v>
      </c>
      <c r="J51" s="185">
        <f t="shared" si="10"/>
        <v>11.88</v>
      </c>
      <c r="K51" s="186">
        <f t="shared" si="11"/>
        <v>59.4</v>
      </c>
      <c r="L51" s="186">
        <f t="shared" si="12"/>
        <v>0</v>
      </c>
      <c r="M51" s="187">
        <f t="shared" si="5"/>
        <v>59.4</v>
      </c>
      <c r="N51" s="176"/>
    </row>
    <row r="52" spans="1:14" s="6" customFormat="1" ht="12.75">
      <c r="A52" s="179" t="str">
        <f>Zones!A52</f>
        <v>Storage (General)</v>
      </c>
      <c r="B52" s="179" t="str">
        <f>Zones!B52</f>
        <v>Floor 1 Storage</v>
      </c>
      <c r="C52" s="183">
        <f>Zones!J52</f>
        <v>1.84</v>
      </c>
      <c r="D52" s="183">
        <f>Zones!G52</f>
        <v>920</v>
      </c>
      <c r="E52" s="447">
        <v>15</v>
      </c>
      <c r="F52" s="447">
        <f t="shared" si="8"/>
        <v>0.15</v>
      </c>
      <c r="G52" s="161"/>
      <c r="H52" s="183"/>
      <c r="I52" s="184">
        <f t="shared" si="9"/>
        <v>0</v>
      </c>
      <c r="J52" s="185">
        <f t="shared" si="10"/>
        <v>27.6</v>
      </c>
      <c r="K52" s="186">
        <f t="shared" si="11"/>
        <v>138</v>
      </c>
      <c r="L52" s="186">
        <f t="shared" si="12"/>
        <v>0</v>
      </c>
      <c r="M52" s="187">
        <f t="shared" si="5"/>
        <v>138</v>
      </c>
      <c r="N52" s="176"/>
    </row>
    <row r="53" spans="1:14" s="6" customFormat="1" ht="12.75">
      <c r="A53" s="179" t="str">
        <f>Zones!A53</f>
        <v>Corridor Area</v>
      </c>
      <c r="B53" s="179" t="str">
        <f>Zones!B53</f>
        <v>Floor 1 Sub-Sterile</v>
      </c>
      <c r="C53" s="183">
        <f>Zones!J53</f>
        <v>0.98</v>
      </c>
      <c r="D53" s="183">
        <f>Zones!G53</f>
        <v>196</v>
      </c>
      <c r="E53" s="447">
        <v>15</v>
      </c>
      <c r="F53" s="447">
        <f t="shared" si="8"/>
        <v>0.15</v>
      </c>
      <c r="G53" s="161"/>
      <c r="H53" s="183"/>
      <c r="I53" s="184">
        <f t="shared" si="9"/>
        <v>0</v>
      </c>
      <c r="J53" s="185">
        <f t="shared" si="10"/>
        <v>14.7</v>
      </c>
      <c r="K53" s="186">
        <f t="shared" si="11"/>
        <v>29.4</v>
      </c>
      <c r="L53" s="186">
        <f t="shared" si="12"/>
        <v>0</v>
      </c>
      <c r="M53" s="187">
        <f t="shared" si="5"/>
        <v>29.4</v>
      </c>
      <c r="N53" s="176"/>
    </row>
    <row r="54" spans="1:14" s="6" customFormat="1" ht="12.75">
      <c r="A54" s="179" t="str">
        <f>Zones!A54</f>
        <v>Corridor Area</v>
      </c>
      <c r="B54" s="179" t="str">
        <f>Zones!B54</f>
        <v>Floor 1 Utility Hall</v>
      </c>
      <c r="C54" s="183">
        <f>Zones!J54</f>
        <v>1.28</v>
      </c>
      <c r="D54" s="183">
        <f>Zones!G54</f>
        <v>256</v>
      </c>
      <c r="E54" s="447">
        <v>15</v>
      </c>
      <c r="F54" s="447">
        <f t="shared" si="8"/>
        <v>0.15</v>
      </c>
      <c r="G54" s="161"/>
      <c r="H54" s="183"/>
      <c r="I54" s="184">
        <f t="shared" si="9"/>
        <v>0</v>
      </c>
      <c r="J54" s="185">
        <f t="shared" si="10"/>
        <v>19.2</v>
      </c>
      <c r="K54" s="186">
        <f t="shared" si="11"/>
        <v>38.4</v>
      </c>
      <c r="L54" s="186">
        <f t="shared" si="12"/>
        <v>0</v>
      </c>
      <c r="M54" s="187">
        <f t="shared" si="5"/>
        <v>38.4</v>
      </c>
      <c r="N54" s="176"/>
    </row>
    <row r="55" spans="1:14" s="6" customFormat="1" ht="12.75">
      <c r="A55" s="179" t="str">
        <f>Zones!A55</f>
        <v>Storage (General)</v>
      </c>
      <c r="B55" s="179" t="str">
        <f>Zones!B55</f>
        <v>Floor 1 Utility Janitor</v>
      </c>
      <c r="C55" s="183">
        <f>Zones!J55</f>
        <v>8.4000000000000005E-2</v>
      </c>
      <c r="D55" s="183">
        <f>Zones!G55</f>
        <v>42</v>
      </c>
      <c r="E55" s="447">
        <v>15</v>
      </c>
      <c r="F55" s="447">
        <f t="shared" si="8"/>
        <v>0.15</v>
      </c>
      <c r="G55" s="161"/>
      <c r="H55" s="183"/>
      <c r="I55" s="184">
        <f t="shared" si="9"/>
        <v>0</v>
      </c>
      <c r="J55" s="185">
        <f t="shared" si="10"/>
        <v>1.26</v>
      </c>
      <c r="K55" s="186">
        <f t="shared" si="11"/>
        <v>6.3</v>
      </c>
      <c r="L55" s="186">
        <f t="shared" si="12"/>
        <v>0</v>
      </c>
      <c r="M55" s="187">
        <f t="shared" si="5"/>
        <v>6.3</v>
      </c>
      <c r="N55" s="176"/>
    </row>
    <row r="56" spans="1:14" s="6" customFormat="1" ht="12.75">
      <c r="A56" s="179" t="str">
        <f>Zones!A56</f>
        <v>Storage (General)</v>
      </c>
      <c r="B56" s="179" t="str">
        <f>Zones!B56</f>
        <v>Floor 1 Utility Room</v>
      </c>
      <c r="C56" s="183">
        <f>Zones!J56</f>
        <v>0.72</v>
      </c>
      <c r="D56" s="183">
        <f>Zones!G56</f>
        <v>360</v>
      </c>
      <c r="E56" s="447">
        <v>15</v>
      </c>
      <c r="F56" s="447">
        <f t="shared" si="8"/>
        <v>0.15</v>
      </c>
      <c r="G56" s="161"/>
      <c r="H56" s="189"/>
      <c r="I56" s="184">
        <f t="shared" si="9"/>
        <v>0</v>
      </c>
      <c r="J56" s="185">
        <f t="shared" si="10"/>
        <v>10.799999999999999</v>
      </c>
      <c r="K56" s="186">
        <f t="shared" si="11"/>
        <v>54</v>
      </c>
      <c r="L56" s="186">
        <f t="shared" si="12"/>
        <v>0</v>
      </c>
      <c r="M56" s="187">
        <f t="shared" si="5"/>
        <v>54</v>
      </c>
      <c r="N56" s="176"/>
    </row>
    <row r="57" spans="1:14" s="6" customFormat="1" ht="12.75">
      <c r="A57" s="179" t="str">
        <f>Zones!A57</f>
        <v>Corridor Area</v>
      </c>
      <c r="B57" s="179" t="str">
        <f>Zones!B57</f>
        <v>Floor 1 Vestibule</v>
      </c>
      <c r="C57" s="183">
        <f>Zones!J57</f>
        <v>0.36</v>
      </c>
      <c r="D57" s="183">
        <f>Zones!G57</f>
        <v>72</v>
      </c>
      <c r="E57" s="447">
        <v>15</v>
      </c>
      <c r="F57" s="447">
        <f t="shared" si="8"/>
        <v>0.15</v>
      </c>
      <c r="G57" s="161"/>
      <c r="H57" s="183"/>
      <c r="I57" s="184">
        <f t="shared" si="9"/>
        <v>0</v>
      </c>
      <c r="J57" s="185">
        <f t="shared" si="10"/>
        <v>5.3999999999999995</v>
      </c>
      <c r="K57" s="186">
        <f t="shared" si="11"/>
        <v>10.799999999999999</v>
      </c>
      <c r="L57" s="186">
        <f t="shared" si="12"/>
        <v>0</v>
      </c>
      <c r="M57" s="187">
        <f t="shared" si="5"/>
        <v>10.799999999999999</v>
      </c>
      <c r="N57" s="176"/>
    </row>
    <row r="58" spans="1:14" s="6" customFormat="1" ht="12.75">
      <c r="A58" s="179" t="str">
        <f>Zones!A58</f>
        <v>Convention, Conference, Multipurpose and Meeting Area</v>
      </c>
      <c r="B58" s="179" t="str">
        <f>Zones!B58</f>
        <v>Floor 2 Conference</v>
      </c>
      <c r="C58" s="183">
        <f>Zones!J58</f>
        <v>11.087999999999999</v>
      </c>
      <c r="D58" s="183">
        <f>Zones!G58</f>
        <v>336</v>
      </c>
      <c r="E58" s="447">
        <v>15</v>
      </c>
      <c r="F58" s="447">
        <f t="shared" si="8"/>
        <v>0.15</v>
      </c>
      <c r="G58" s="161"/>
      <c r="H58" s="183"/>
      <c r="I58" s="184">
        <f t="shared" si="9"/>
        <v>0</v>
      </c>
      <c r="J58" s="185">
        <f t="shared" si="10"/>
        <v>166.32</v>
      </c>
      <c r="K58" s="186">
        <f t="shared" si="11"/>
        <v>50.4</v>
      </c>
      <c r="L58" s="186">
        <f t="shared" si="12"/>
        <v>0</v>
      </c>
      <c r="M58" s="187">
        <f t="shared" si="5"/>
        <v>166.32</v>
      </c>
      <c r="N58" s="176"/>
    </row>
    <row r="59" spans="1:14" s="6" customFormat="1" ht="12.75">
      <c r="A59" s="179" t="str">
        <f>Zones!A59</f>
        <v>Restrooms</v>
      </c>
      <c r="B59" s="179" t="str">
        <f>Zones!B59</f>
        <v>Floor 2 Conference Toilet</v>
      </c>
      <c r="C59" s="183">
        <f>Zones!J59</f>
        <v>0.32</v>
      </c>
      <c r="D59" s="183">
        <f>Zones!G59</f>
        <v>64</v>
      </c>
      <c r="E59" s="447">
        <v>15</v>
      </c>
      <c r="F59" s="447">
        <v>0</v>
      </c>
      <c r="G59" s="161"/>
      <c r="H59" s="183">
        <v>50</v>
      </c>
      <c r="I59" s="184">
        <f t="shared" si="9"/>
        <v>0</v>
      </c>
      <c r="J59" s="185">
        <f t="shared" si="10"/>
        <v>4.8</v>
      </c>
      <c r="K59" s="186">
        <f t="shared" si="11"/>
        <v>0</v>
      </c>
      <c r="L59" s="186">
        <f>50</f>
        <v>50</v>
      </c>
      <c r="M59" s="187">
        <f t="shared" si="5"/>
        <v>50</v>
      </c>
      <c r="N59" s="176" t="s">
        <v>398</v>
      </c>
    </row>
    <row r="60" spans="1:14" s="6" customFormat="1" ht="12.75">
      <c r="A60" s="179" t="str">
        <f>Zones!A60</f>
        <v>Office Area (&lt;250 square feet)</v>
      </c>
      <c r="B60" s="179" t="str">
        <f>Zones!B60</f>
        <v>Floor 2 Dictation</v>
      </c>
      <c r="C60" s="183">
        <f>Zones!J60</f>
        <v>0.35</v>
      </c>
      <c r="D60" s="183">
        <f>Zones!G60</f>
        <v>70</v>
      </c>
      <c r="E60" s="447">
        <v>15</v>
      </c>
      <c r="F60" s="447">
        <f t="shared" si="8"/>
        <v>0.15</v>
      </c>
      <c r="G60" s="161"/>
      <c r="H60" s="161"/>
      <c r="I60" s="184">
        <f t="shared" si="9"/>
        <v>0</v>
      </c>
      <c r="J60" s="185">
        <f t="shared" si="10"/>
        <v>5.25</v>
      </c>
      <c r="K60" s="186">
        <f t="shared" si="11"/>
        <v>10.5</v>
      </c>
      <c r="L60" s="186">
        <f t="shared" ref="L60:L83" si="14">H60*D60</f>
        <v>0</v>
      </c>
      <c r="M60" s="187">
        <f>MAX(J60:L60)</f>
        <v>10.5</v>
      </c>
      <c r="N60" s="176"/>
    </row>
    <row r="61" spans="1:14" s="6" customFormat="1" ht="12.75">
      <c r="A61" s="179" t="str">
        <f>Zones!A61</f>
        <v>Healthcare Facility and Hospitals (Exam/Treatment Room)</v>
      </c>
      <c r="B61" s="179" t="str">
        <f>Zones!B61</f>
        <v>Floor 2 Exam 1</v>
      </c>
      <c r="C61" s="183">
        <f>Zones!J61</f>
        <v>3.6</v>
      </c>
      <c r="D61" s="183">
        <f>Zones!G61</f>
        <v>360</v>
      </c>
      <c r="E61" s="447">
        <v>15</v>
      </c>
      <c r="F61" s="447" t="str">
        <f t="shared" si="8"/>
        <v>n/a</v>
      </c>
      <c r="G61" s="161"/>
      <c r="H61" s="161"/>
      <c r="I61" s="184">
        <f t="shared" si="9"/>
        <v>0.33333333333333331</v>
      </c>
      <c r="J61" s="185">
        <f t="shared" si="10"/>
        <v>54</v>
      </c>
      <c r="K61" s="186">
        <f t="shared" si="11"/>
        <v>120</v>
      </c>
      <c r="L61" s="186">
        <f t="shared" si="14"/>
        <v>0</v>
      </c>
      <c r="M61" s="187">
        <f t="shared" si="5"/>
        <v>120</v>
      </c>
      <c r="N61" s="176"/>
    </row>
    <row r="62" spans="1:14" s="6" customFormat="1" ht="12.75">
      <c r="A62" s="179" t="str">
        <f>Zones!A62</f>
        <v>Healthcare Facility and Hospitals (Exam/Treatment Room)</v>
      </c>
      <c r="B62" s="179" t="str">
        <f>Zones!B62</f>
        <v>Floor 2 Exam 2</v>
      </c>
      <c r="C62" s="183">
        <f>Zones!J62</f>
        <v>5.4</v>
      </c>
      <c r="D62" s="183">
        <f>Zones!G62</f>
        <v>540</v>
      </c>
      <c r="E62" s="447">
        <v>15</v>
      </c>
      <c r="F62" s="447" t="str">
        <f t="shared" si="8"/>
        <v>n/a</v>
      </c>
      <c r="G62" s="161"/>
      <c r="H62" s="161"/>
      <c r="I62" s="184">
        <f t="shared" si="9"/>
        <v>0.33333333333333331</v>
      </c>
      <c r="J62" s="185">
        <f t="shared" si="10"/>
        <v>81</v>
      </c>
      <c r="K62" s="186">
        <f t="shared" si="11"/>
        <v>180</v>
      </c>
      <c r="L62" s="186">
        <f t="shared" si="14"/>
        <v>0</v>
      </c>
      <c r="M62" s="187">
        <f t="shared" si="5"/>
        <v>180</v>
      </c>
      <c r="N62" s="176"/>
    </row>
    <row r="63" spans="1:14" s="6" customFormat="1" ht="12.75">
      <c r="A63" s="179" t="str">
        <f>Zones!A63</f>
        <v>Healthcare Facility and Hospitals (Exam/Treatment Room)</v>
      </c>
      <c r="B63" s="179" t="str">
        <f>Zones!B63</f>
        <v>Floor 2 Exam 3</v>
      </c>
      <c r="C63" s="183">
        <f>Zones!J63</f>
        <v>7.2</v>
      </c>
      <c r="D63" s="183">
        <f>Zones!G63</f>
        <v>720</v>
      </c>
      <c r="E63" s="447">
        <v>15</v>
      </c>
      <c r="F63" s="447" t="str">
        <f t="shared" si="8"/>
        <v>n/a</v>
      </c>
      <c r="G63" s="161"/>
      <c r="H63" s="161"/>
      <c r="I63" s="184">
        <f t="shared" si="9"/>
        <v>0.33333333333333331</v>
      </c>
      <c r="J63" s="185">
        <f t="shared" si="10"/>
        <v>108</v>
      </c>
      <c r="K63" s="186">
        <f t="shared" si="11"/>
        <v>240</v>
      </c>
      <c r="L63" s="186">
        <f t="shared" si="14"/>
        <v>0</v>
      </c>
      <c r="M63" s="187">
        <f t="shared" si="5"/>
        <v>240</v>
      </c>
      <c r="N63" s="176"/>
    </row>
    <row r="64" spans="1:14" s="6" customFormat="1" ht="12.75">
      <c r="A64" s="179" t="str">
        <f>Zones!A64</f>
        <v>Healthcare Facility and Hospitals (Exam/Treatment Room)</v>
      </c>
      <c r="B64" s="179" t="str">
        <f>Zones!B64</f>
        <v>Floor 2 Exam 4</v>
      </c>
      <c r="C64" s="183">
        <f>Zones!J64</f>
        <v>0.84</v>
      </c>
      <c r="D64" s="183">
        <f>Zones!G64</f>
        <v>84</v>
      </c>
      <c r="E64" s="447">
        <v>15</v>
      </c>
      <c r="F64" s="447" t="str">
        <f t="shared" si="8"/>
        <v>n/a</v>
      </c>
      <c r="G64" s="161"/>
      <c r="H64" s="161"/>
      <c r="I64" s="184">
        <f t="shared" si="9"/>
        <v>0.33333333333333331</v>
      </c>
      <c r="J64" s="185">
        <f t="shared" si="10"/>
        <v>12.6</v>
      </c>
      <c r="K64" s="186">
        <f t="shared" si="11"/>
        <v>28</v>
      </c>
      <c r="L64" s="186">
        <f t="shared" si="14"/>
        <v>0</v>
      </c>
      <c r="M64" s="187">
        <f t="shared" si="5"/>
        <v>28</v>
      </c>
      <c r="N64" s="176"/>
    </row>
    <row r="65" spans="1:14" s="6" customFormat="1" ht="12.75">
      <c r="A65" s="179" t="str">
        <f>Zones!A65</f>
        <v>Healthcare Facility and Hospitals (Exam/Treatment Room)</v>
      </c>
      <c r="B65" s="179" t="str">
        <f>Zones!B65</f>
        <v>Floor 2 Exam 5</v>
      </c>
      <c r="C65" s="183">
        <f>Zones!J65</f>
        <v>3.5</v>
      </c>
      <c r="D65" s="183">
        <f>Zones!G65</f>
        <v>350</v>
      </c>
      <c r="E65" s="447">
        <v>15</v>
      </c>
      <c r="F65" s="447" t="str">
        <f t="shared" si="8"/>
        <v>n/a</v>
      </c>
      <c r="G65" s="161"/>
      <c r="H65" s="161"/>
      <c r="I65" s="184">
        <f t="shared" si="9"/>
        <v>0.33333333333333331</v>
      </c>
      <c r="J65" s="185">
        <f t="shared" si="10"/>
        <v>52.5</v>
      </c>
      <c r="K65" s="186">
        <f t="shared" si="11"/>
        <v>116.66666666666666</v>
      </c>
      <c r="L65" s="186">
        <f t="shared" si="14"/>
        <v>0</v>
      </c>
      <c r="M65" s="187">
        <f t="shared" si="5"/>
        <v>116.66666666666666</v>
      </c>
      <c r="N65" s="176"/>
    </row>
    <row r="66" spans="1:14" s="6" customFormat="1" ht="12.75">
      <c r="A66" s="179" t="str">
        <f>Zones!A66</f>
        <v>Healthcare Facility and Hospitals (Exam/Treatment Room)</v>
      </c>
      <c r="B66" s="179" t="str">
        <f>Zones!B66</f>
        <v>Floor 2 Exam 6</v>
      </c>
      <c r="C66" s="183">
        <f>Zones!J66</f>
        <v>2.25</v>
      </c>
      <c r="D66" s="183">
        <f>Zones!G66</f>
        <v>225</v>
      </c>
      <c r="E66" s="447">
        <v>15</v>
      </c>
      <c r="F66" s="447" t="str">
        <f t="shared" si="8"/>
        <v>n/a</v>
      </c>
      <c r="G66" s="161"/>
      <c r="H66" s="161"/>
      <c r="I66" s="184">
        <f t="shared" si="9"/>
        <v>0.33333333333333331</v>
      </c>
      <c r="J66" s="185">
        <f t="shared" si="10"/>
        <v>33.75</v>
      </c>
      <c r="K66" s="186">
        <f t="shared" si="11"/>
        <v>75</v>
      </c>
      <c r="L66" s="186">
        <f t="shared" si="14"/>
        <v>0</v>
      </c>
      <c r="M66" s="187">
        <f t="shared" si="5"/>
        <v>75</v>
      </c>
      <c r="N66" s="176"/>
    </row>
    <row r="67" spans="1:14" s="6" customFormat="1" ht="12.75">
      <c r="A67" s="179" t="str">
        <f>Zones!A67</f>
        <v>Healthcare Facility and Hospitals (Exam/Treatment Room)</v>
      </c>
      <c r="B67" s="179" t="str">
        <f>Zones!B67</f>
        <v>Floor 2 Exam 7</v>
      </c>
      <c r="C67" s="183">
        <f>Zones!J67</f>
        <v>7.92</v>
      </c>
      <c r="D67" s="183">
        <f>Zones!G67</f>
        <v>792</v>
      </c>
      <c r="E67" s="447">
        <v>15</v>
      </c>
      <c r="F67" s="447" t="str">
        <f t="shared" ref="F67:F98" si="15">VLOOKUP(A67,A$183:E$205,5,FALSE)</f>
        <v>n/a</v>
      </c>
      <c r="G67" s="161"/>
      <c r="H67" s="161"/>
      <c r="I67" s="184">
        <f t="shared" ref="I67:I98" si="16">VLOOKUP(A67,A$183:H$205,8,FALSE)</f>
        <v>0.33333333333333331</v>
      </c>
      <c r="J67" s="185">
        <f t="shared" ref="J67:J98" si="17">E67*C67</f>
        <v>118.8</v>
      </c>
      <c r="K67" s="186">
        <f t="shared" ref="K67:K98" si="18">IF(F67="n/a",D67*I67,F67*D67)</f>
        <v>264</v>
      </c>
      <c r="L67" s="186">
        <f t="shared" si="14"/>
        <v>0</v>
      </c>
      <c r="M67" s="187">
        <f t="shared" si="5"/>
        <v>264</v>
      </c>
      <c r="N67" s="176"/>
    </row>
    <row r="68" spans="1:14" s="6" customFormat="1" ht="12.75">
      <c r="A68" s="179" t="str">
        <f>Zones!A68</f>
        <v>Healthcare Facility and Hospitals (Exam/Treatment Room)</v>
      </c>
      <c r="B68" s="179" t="str">
        <f>Zones!B68</f>
        <v>Floor 2 Exam 8</v>
      </c>
      <c r="C68" s="183">
        <f>Zones!J68</f>
        <v>2.7</v>
      </c>
      <c r="D68" s="183">
        <f>Zones!G68</f>
        <v>270</v>
      </c>
      <c r="E68" s="447">
        <v>15</v>
      </c>
      <c r="F68" s="447" t="str">
        <f t="shared" si="15"/>
        <v>n/a</v>
      </c>
      <c r="G68" s="161"/>
      <c r="H68" s="161"/>
      <c r="I68" s="184">
        <f t="shared" si="16"/>
        <v>0.33333333333333331</v>
      </c>
      <c r="J68" s="185">
        <f t="shared" si="17"/>
        <v>40.5</v>
      </c>
      <c r="K68" s="186">
        <f t="shared" si="18"/>
        <v>90</v>
      </c>
      <c r="L68" s="186">
        <f t="shared" si="14"/>
        <v>0</v>
      </c>
      <c r="M68" s="187">
        <f t="shared" ref="M68:M117" si="19">MAX(J68:L68)</f>
        <v>90</v>
      </c>
      <c r="N68" s="176"/>
    </row>
    <row r="69" spans="1:14" s="6" customFormat="1" ht="12.75">
      <c r="A69" s="179" t="str">
        <f>Zones!A69</f>
        <v>Healthcare Facility and Hospitals (Exam/Treatment Room)</v>
      </c>
      <c r="B69" s="179" t="str">
        <f>Zones!B69</f>
        <v>Floor 2 Exam 9</v>
      </c>
      <c r="C69" s="183">
        <f>Zones!J69</f>
        <v>3.96</v>
      </c>
      <c r="D69" s="183">
        <f>Zones!G69</f>
        <v>396</v>
      </c>
      <c r="E69" s="447">
        <v>15</v>
      </c>
      <c r="F69" s="447" t="str">
        <f t="shared" si="15"/>
        <v>n/a</v>
      </c>
      <c r="G69" s="161"/>
      <c r="H69" s="161"/>
      <c r="I69" s="184">
        <f t="shared" si="16"/>
        <v>0.33333333333333331</v>
      </c>
      <c r="J69" s="185">
        <f t="shared" si="17"/>
        <v>59.4</v>
      </c>
      <c r="K69" s="186">
        <f t="shared" si="18"/>
        <v>132</v>
      </c>
      <c r="L69" s="186">
        <f t="shared" si="14"/>
        <v>0</v>
      </c>
      <c r="M69" s="187">
        <f t="shared" si="19"/>
        <v>132</v>
      </c>
      <c r="N69" s="176"/>
    </row>
    <row r="70" spans="1:14" s="6" customFormat="1" ht="12.75">
      <c r="A70" s="179" t="str">
        <f>Zones!A70</f>
        <v>Corridor Area</v>
      </c>
      <c r="B70" s="179" t="str">
        <f>Zones!B70</f>
        <v>Floor 2 Exam Hall 1</v>
      </c>
      <c r="C70" s="183">
        <f>Zones!J70</f>
        <v>0.9</v>
      </c>
      <c r="D70" s="183">
        <f>Zones!G70</f>
        <v>180</v>
      </c>
      <c r="E70" s="447">
        <v>15</v>
      </c>
      <c r="F70" s="447">
        <f t="shared" si="15"/>
        <v>0.15</v>
      </c>
      <c r="G70" s="161"/>
      <c r="H70" s="161"/>
      <c r="I70" s="184">
        <f t="shared" si="16"/>
        <v>0</v>
      </c>
      <c r="J70" s="185">
        <f t="shared" si="17"/>
        <v>13.5</v>
      </c>
      <c r="K70" s="186">
        <f t="shared" si="18"/>
        <v>27</v>
      </c>
      <c r="L70" s="186">
        <f t="shared" si="14"/>
        <v>0</v>
      </c>
      <c r="M70" s="187">
        <f t="shared" si="19"/>
        <v>27</v>
      </c>
      <c r="N70" s="176"/>
    </row>
    <row r="71" spans="1:14" s="6" customFormat="1" ht="12.75">
      <c r="A71" s="179" t="str">
        <f>Zones!A71</f>
        <v>Corridor Area</v>
      </c>
      <c r="B71" s="179" t="str">
        <f>Zones!B71</f>
        <v>Floor 2 Exam Hall 2</v>
      </c>
      <c r="C71" s="183">
        <f>Zones!J71</f>
        <v>0.9</v>
      </c>
      <c r="D71" s="183">
        <f>Zones!G71</f>
        <v>180</v>
      </c>
      <c r="E71" s="447">
        <v>15</v>
      </c>
      <c r="F71" s="447">
        <f t="shared" si="15"/>
        <v>0.15</v>
      </c>
      <c r="G71" s="161"/>
      <c r="H71" s="161"/>
      <c r="I71" s="184">
        <f t="shared" si="16"/>
        <v>0</v>
      </c>
      <c r="J71" s="185">
        <f t="shared" si="17"/>
        <v>13.5</v>
      </c>
      <c r="K71" s="186">
        <f t="shared" si="18"/>
        <v>27</v>
      </c>
      <c r="L71" s="186">
        <f t="shared" si="14"/>
        <v>0</v>
      </c>
      <c r="M71" s="187">
        <f t="shared" si="19"/>
        <v>27</v>
      </c>
      <c r="N71" s="176"/>
    </row>
    <row r="72" spans="1:14" s="6" customFormat="1" ht="12.75">
      <c r="A72" s="179" t="str">
        <f>Zones!A72</f>
        <v>Corridor Area</v>
      </c>
      <c r="B72" s="179" t="str">
        <f>Zones!B72</f>
        <v>Floor 2 Exam Hall 3</v>
      </c>
      <c r="C72" s="183">
        <f>Zones!J72</f>
        <v>0.9</v>
      </c>
      <c r="D72" s="183">
        <f>Zones!G72</f>
        <v>180</v>
      </c>
      <c r="E72" s="447">
        <v>15</v>
      </c>
      <c r="F72" s="447">
        <f t="shared" si="15"/>
        <v>0.15</v>
      </c>
      <c r="G72" s="161"/>
      <c r="H72" s="161"/>
      <c r="I72" s="184">
        <f t="shared" si="16"/>
        <v>0</v>
      </c>
      <c r="J72" s="185">
        <f t="shared" si="17"/>
        <v>13.5</v>
      </c>
      <c r="K72" s="186">
        <f t="shared" si="18"/>
        <v>27</v>
      </c>
      <c r="L72" s="186">
        <f t="shared" si="14"/>
        <v>0</v>
      </c>
      <c r="M72" s="187">
        <f t="shared" si="19"/>
        <v>27</v>
      </c>
      <c r="N72" s="176"/>
    </row>
    <row r="73" spans="1:14" s="6" customFormat="1" ht="12.75">
      <c r="A73" s="179" t="str">
        <f>Zones!A73</f>
        <v>Corridor Area</v>
      </c>
      <c r="B73" s="179" t="str">
        <f>Zones!B73</f>
        <v>Floor 2 Exam Hall 4</v>
      </c>
      <c r="C73" s="183">
        <f>Zones!J73</f>
        <v>0.99</v>
      </c>
      <c r="D73" s="183">
        <f>Zones!G73</f>
        <v>198</v>
      </c>
      <c r="E73" s="447">
        <v>15</v>
      </c>
      <c r="F73" s="447">
        <f t="shared" si="15"/>
        <v>0.15</v>
      </c>
      <c r="G73" s="161"/>
      <c r="H73" s="161"/>
      <c r="I73" s="184">
        <f t="shared" si="16"/>
        <v>0</v>
      </c>
      <c r="J73" s="185">
        <f t="shared" si="17"/>
        <v>14.85</v>
      </c>
      <c r="K73" s="186">
        <f t="shared" si="18"/>
        <v>29.7</v>
      </c>
      <c r="L73" s="186">
        <f t="shared" si="14"/>
        <v>0</v>
      </c>
      <c r="M73" s="187">
        <f t="shared" si="19"/>
        <v>29.7</v>
      </c>
      <c r="N73" s="176"/>
    </row>
    <row r="74" spans="1:14" s="6" customFormat="1" ht="12.75">
      <c r="A74" s="179" t="str">
        <f>Zones!A74</f>
        <v>Corridor Area</v>
      </c>
      <c r="B74" s="179" t="str">
        <f>Zones!B74</f>
        <v>Floor 2 Exam Hall 5</v>
      </c>
      <c r="C74" s="183">
        <f>Zones!J74</f>
        <v>0.99</v>
      </c>
      <c r="D74" s="183">
        <f>Zones!G74</f>
        <v>198</v>
      </c>
      <c r="E74" s="447">
        <v>15</v>
      </c>
      <c r="F74" s="447">
        <f t="shared" si="15"/>
        <v>0.15</v>
      </c>
      <c r="G74" s="161"/>
      <c r="H74" s="161"/>
      <c r="I74" s="184">
        <f t="shared" si="16"/>
        <v>0</v>
      </c>
      <c r="J74" s="185">
        <f t="shared" si="17"/>
        <v>14.85</v>
      </c>
      <c r="K74" s="186">
        <f t="shared" si="18"/>
        <v>29.7</v>
      </c>
      <c r="L74" s="186">
        <f t="shared" si="14"/>
        <v>0</v>
      </c>
      <c r="M74" s="187">
        <f t="shared" si="19"/>
        <v>29.7</v>
      </c>
      <c r="N74" s="176"/>
    </row>
    <row r="75" spans="1:14" s="6" customFormat="1" ht="12.75">
      <c r="A75" s="179" t="str">
        <f>Zones!A75</f>
        <v>Corridor Area</v>
      </c>
      <c r="B75" s="179" t="str">
        <f>Zones!B75</f>
        <v>Floor 2 Exam Hall 6</v>
      </c>
      <c r="C75" s="183">
        <f>Zones!J75</f>
        <v>0.99</v>
      </c>
      <c r="D75" s="183">
        <f>Zones!G75</f>
        <v>198</v>
      </c>
      <c r="E75" s="447">
        <v>15</v>
      </c>
      <c r="F75" s="447">
        <f t="shared" si="15"/>
        <v>0.15</v>
      </c>
      <c r="G75" s="161"/>
      <c r="H75" s="161"/>
      <c r="I75" s="184">
        <f t="shared" si="16"/>
        <v>0</v>
      </c>
      <c r="J75" s="185">
        <f t="shared" si="17"/>
        <v>14.85</v>
      </c>
      <c r="K75" s="186">
        <f t="shared" si="18"/>
        <v>29.7</v>
      </c>
      <c r="L75" s="186">
        <f t="shared" si="14"/>
        <v>0</v>
      </c>
      <c r="M75" s="187">
        <f t="shared" si="19"/>
        <v>29.7</v>
      </c>
      <c r="N75" s="176"/>
    </row>
    <row r="76" spans="1:14" s="6" customFormat="1" ht="12.75">
      <c r="A76" s="179" t="str">
        <f>Zones!A76</f>
        <v>Storage (General)</v>
      </c>
      <c r="B76" s="179" t="str">
        <f>Zones!B76</f>
        <v>Floor 2 Janitor</v>
      </c>
      <c r="C76" s="183">
        <f>Zones!J76</f>
        <v>0.126</v>
      </c>
      <c r="D76" s="183">
        <f>Zones!G76</f>
        <v>63</v>
      </c>
      <c r="E76" s="447">
        <v>15</v>
      </c>
      <c r="F76" s="447">
        <f t="shared" si="15"/>
        <v>0.15</v>
      </c>
      <c r="G76" s="161"/>
      <c r="H76" s="161"/>
      <c r="I76" s="184">
        <f t="shared" si="16"/>
        <v>0</v>
      </c>
      <c r="J76" s="185">
        <f t="shared" si="17"/>
        <v>1.8900000000000001</v>
      </c>
      <c r="K76" s="186">
        <f t="shared" si="18"/>
        <v>9.4499999999999993</v>
      </c>
      <c r="L76" s="186">
        <f t="shared" si="14"/>
        <v>0</v>
      </c>
      <c r="M76" s="187">
        <f t="shared" si="19"/>
        <v>9.4499999999999993</v>
      </c>
      <c r="N76" s="176"/>
    </row>
    <row r="77" spans="1:14" s="6" customFormat="1" ht="12.75">
      <c r="A77" s="179" t="str">
        <f>Zones!A77</f>
        <v>Lounge, Breakroom, or Waiting Area</v>
      </c>
      <c r="B77" s="179" t="str">
        <f>Zones!B77</f>
        <v>Floor 2 Lounge</v>
      </c>
      <c r="C77" s="183">
        <f>Zones!J77</f>
        <v>2.64</v>
      </c>
      <c r="D77" s="183">
        <f>Zones!G77</f>
        <v>80</v>
      </c>
      <c r="E77" s="447">
        <v>15</v>
      </c>
      <c r="F77" s="447">
        <f t="shared" si="15"/>
        <v>0.15</v>
      </c>
      <c r="G77" s="161"/>
      <c r="H77" s="161"/>
      <c r="I77" s="184">
        <f t="shared" si="16"/>
        <v>0</v>
      </c>
      <c r="J77" s="185">
        <f t="shared" si="17"/>
        <v>39.6</v>
      </c>
      <c r="K77" s="186">
        <f t="shared" si="18"/>
        <v>12</v>
      </c>
      <c r="L77" s="186">
        <f t="shared" si="14"/>
        <v>0</v>
      </c>
      <c r="M77" s="187">
        <f t="shared" si="19"/>
        <v>39.6</v>
      </c>
      <c r="N77" s="176"/>
    </row>
    <row r="78" spans="1:14" s="6" customFormat="1" ht="12.75">
      <c r="A78" s="179" t="str">
        <f>Zones!A78</f>
        <v>Healthcare Facility and Hospitals (Nurse's Station)</v>
      </c>
      <c r="B78" s="179" t="str">
        <f>Zones!B78</f>
        <v>Floor 2 Nurse Station 1</v>
      </c>
      <c r="C78" s="183">
        <f>Zones!J78</f>
        <v>1.5</v>
      </c>
      <c r="D78" s="183">
        <f>Zones!G78</f>
        <v>150</v>
      </c>
      <c r="E78" s="447">
        <v>15</v>
      </c>
      <c r="F78" s="447" t="str">
        <f t="shared" si="15"/>
        <v>n/a</v>
      </c>
      <c r="G78" s="161"/>
      <c r="H78" s="161"/>
      <c r="I78" s="184">
        <f t="shared" si="16"/>
        <v>0.33333333333333331</v>
      </c>
      <c r="J78" s="185">
        <f t="shared" si="17"/>
        <v>22.5</v>
      </c>
      <c r="K78" s="186">
        <f t="shared" si="18"/>
        <v>50</v>
      </c>
      <c r="L78" s="186">
        <f t="shared" si="14"/>
        <v>0</v>
      </c>
      <c r="M78" s="187">
        <f t="shared" si="19"/>
        <v>50</v>
      </c>
      <c r="N78" s="176"/>
    </row>
    <row r="79" spans="1:14" s="6" customFormat="1" ht="12.75">
      <c r="A79" s="179" t="str">
        <f>Zones!A79</f>
        <v>Healthcare Facility and Hospitals (Nurse's Station)</v>
      </c>
      <c r="B79" s="179" t="str">
        <f>Zones!B79</f>
        <v>Floor 2 Nurse Station 2</v>
      </c>
      <c r="C79" s="183">
        <f>Zones!J79</f>
        <v>1.8</v>
      </c>
      <c r="D79" s="183">
        <f>Zones!G79</f>
        <v>180</v>
      </c>
      <c r="E79" s="447">
        <v>15</v>
      </c>
      <c r="F79" s="447" t="str">
        <f t="shared" si="15"/>
        <v>n/a</v>
      </c>
      <c r="G79" s="161"/>
      <c r="H79" s="161"/>
      <c r="I79" s="184">
        <f t="shared" si="16"/>
        <v>0.33333333333333331</v>
      </c>
      <c r="J79" s="185">
        <f t="shared" si="17"/>
        <v>27</v>
      </c>
      <c r="K79" s="186">
        <f t="shared" si="18"/>
        <v>60</v>
      </c>
      <c r="L79" s="186">
        <f t="shared" si="14"/>
        <v>0</v>
      </c>
      <c r="M79" s="187">
        <f t="shared" si="19"/>
        <v>60</v>
      </c>
      <c r="N79" s="176"/>
    </row>
    <row r="80" spans="1:14" s="6" customFormat="1" ht="12.75">
      <c r="A80" s="179" t="str">
        <f>Zones!A80</f>
        <v>Office Area (&gt;250 square feet)</v>
      </c>
      <c r="B80" s="179" t="str">
        <f>Zones!B80</f>
        <v>Floor 2 Office</v>
      </c>
      <c r="C80" s="183">
        <f>Zones!J80</f>
        <v>2.8</v>
      </c>
      <c r="D80" s="183">
        <f>Zones!G80</f>
        <v>560</v>
      </c>
      <c r="E80" s="447">
        <v>15</v>
      </c>
      <c r="F80" s="447">
        <f t="shared" si="15"/>
        <v>0.15</v>
      </c>
      <c r="G80" s="161"/>
      <c r="H80" s="161"/>
      <c r="I80" s="184">
        <f t="shared" si="16"/>
        <v>0</v>
      </c>
      <c r="J80" s="185">
        <f t="shared" si="17"/>
        <v>42</v>
      </c>
      <c r="K80" s="186">
        <f t="shared" si="18"/>
        <v>84</v>
      </c>
      <c r="L80" s="186">
        <f t="shared" si="14"/>
        <v>0</v>
      </c>
      <c r="M80" s="187">
        <f t="shared" si="19"/>
        <v>84</v>
      </c>
      <c r="N80" s="176"/>
    </row>
    <row r="81" spans="1:14" s="6" customFormat="1" ht="12.75">
      <c r="A81" s="179" t="str">
        <f>Zones!A81</f>
        <v>Corridor Area</v>
      </c>
      <c r="B81" s="179" t="str">
        <f>Zones!B81</f>
        <v>Floor 2 Office Hall</v>
      </c>
      <c r="C81" s="183">
        <f>Zones!J81</f>
        <v>2.2200000000000002</v>
      </c>
      <c r="D81" s="183">
        <f>Zones!G81</f>
        <v>444</v>
      </c>
      <c r="E81" s="447">
        <v>15</v>
      </c>
      <c r="F81" s="447">
        <f t="shared" si="15"/>
        <v>0.15</v>
      </c>
      <c r="G81" s="161"/>
      <c r="H81" s="161"/>
      <c r="I81" s="184">
        <f t="shared" si="16"/>
        <v>0</v>
      </c>
      <c r="J81" s="185">
        <f t="shared" si="17"/>
        <v>33.300000000000004</v>
      </c>
      <c r="K81" s="186">
        <f t="shared" si="18"/>
        <v>66.599999999999994</v>
      </c>
      <c r="L81" s="186">
        <f t="shared" si="14"/>
        <v>0</v>
      </c>
      <c r="M81" s="187">
        <f t="shared" si="19"/>
        <v>66.599999999999994</v>
      </c>
      <c r="N81" s="176"/>
    </row>
    <row r="82" spans="1:14" s="6" customFormat="1" ht="12.75">
      <c r="A82" s="179" t="str">
        <f>Zones!A82</f>
        <v>Reception area</v>
      </c>
      <c r="B82" s="179" t="str">
        <f>Zones!B82</f>
        <v>Floor 2 Reception</v>
      </c>
      <c r="C82" s="183">
        <f>Zones!J82</f>
        <v>4.92</v>
      </c>
      <c r="D82" s="183">
        <f>Zones!G82</f>
        <v>984</v>
      </c>
      <c r="E82" s="447">
        <v>15</v>
      </c>
      <c r="F82" s="447">
        <f t="shared" si="15"/>
        <v>0.15</v>
      </c>
      <c r="G82" s="161"/>
      <c r="H82" s="161"/>
      <c r="I82" s="184">
        <f t="shared" si="16"/>
        <v>0</v>
      </c>
      <c r="J82" s="185">
        <f t="shared" si="17"/>
        <v>73.8</v>
      </c>
      <c r="K82" s="186">
        <f t="shared" si="18"/>
        <v>147.6</v>
      </c>
      <c r="L82" s="186">
        <f t="shared" si="14"/>
        <v>0</v>
      </c>
      <c r="M82" s="187">
        <f t="shared" si="19"/>
        <v>147.6</v>
      </c>
      <c r="N82" s="176"/>
    </row>
    <row r="83" spans="1:14" s="6" customFormat="1" ht="12.75">
      <c r="A83" s="179" t="str">
        <f>Zones!A83</f>
        <v>Corridor Area</v>
      </c>
      <c r="B83" s="179" t="str">
        <f>Zones!B83</f>
        <v>Floor 2 Reception Hall</v>
      </c>
      <c r="C83" s="183">
        <f>Zones!J83</f>
        <v>2.82</v>
      </c>
      <c r="D83" s="183">
        <f>Zones!G83</f>
        <v>564</v>
      </c>
      <c r="E83" s="447">
        <v>15</v>
      </c>
      <c r="F83" s="447">
        <f t="shared" si="15"/>
        <v>0.15</v>
      </c>
      <c r="G83" s="161"/>
      <c r="H83" s="161"/>
      <c r="I83" s="184">
        <f t="shared" si="16"/>
        <v>0</v>
      </c>
      <c r="J83" s="185">
        <f t="shared" si="17"/>
        <v>42.3</v>
      </c>
      <c r="K83" s="186">
        <f t="shared" si="18"/>
        <v>84.6</v>
      </c>
      <c r="L83" s="186">
        <f t="shared" si="14"/>
        <v>0</v>
      </c>
      <c r="M83" s="187">
        <f t="shared" si="19"/>
        <v>84.6</v>
      </c>
      <c r="N83" s="176"/>
    </row>
    <row r="84" spans="1:14" s="6" customFormat="1" ht="12.75">
      <c r="A84" s="179" t="str">
        <f>Zones!A84</f>
        <v>Restrooms</v>
      </c>
      <c r="B84" s="179" t="str">
        <f>Zones!B84</f>
        <v>Floor 2 Reception Toilet</v>
      </c>
      <c r="C84" s="183">
        <f>Zones!J84</f>
        <v>0.63</v>
      </c>
      <c r="D84" s="183">
        <f>Zones!G84</f>
        <v>126</v>
      </c>
      <c r="E84" s="447">
        <v>15</v>
      </c>
      <c r="F84" s="447">
        <v>0</v>
      </c>
      <c r="G84" s="161"/>
      <c r="H84" s="183">
        <f>3*50</f>
        <v>150</v>
      </c>
      <c r="I84" s="184">
        <f t="shared" si="16"/>
        <v>0</v>
      </c>
      <c r="J84" s="185">
        <f t="shared" si="17"/>
        <v>9.4499999999999993</v>
      </c>
      <c r="K84" s="186">
        <f t="shared" si="18"/>
        <v>0</v>
      </c>
      <c r="L84" s="186">
        <f>H84</f>
        <v>150</v>
      </c>
      <c r="M84" s="187">
        <f t="shared" si="19"/>
        <v>150</v>
      </c>
      <c r="N84" s="176" t="s">
        <v>398</v>
      </c>
    </row>
    <row r="85" spans="1:14" s="6" customFormat="1" ht="12.75">
      <c r="A85" s="179" t="str">
        <f>Zones!A85</f>
        <v>Office Area (&gt;250 square feet)</v>
      </c>
      <c r="B85" s="179" t="str">
        <f>Zones!B85</f>
        <v>Floor 2 Scheduling 1</v>
      </c>
      <c r="C85" s="183">
        <f>Zones!J85</f>
        <v>1.62</v>
      </c>
      <c r="D85" s="183">
        <f>Zones!G85</f>
        <v>324</v>
      </c>
      <c r="E85" s="447">
        <v>15</v>
      </c>
      <c r="F85" s="447">
        <f t="shared" si="15"/>
        <v>0.15</v>
      </c>
      <c r="G85" s="161"/>
      <c r="H85" s="161"/>
      <c r="I85" s="184">
        <f t="shared" si="16"/>
        <v>0</v>
      </c>
      <c r="J85" s="185">
        <f t="shared" si="17"/>
        <v>24.3</v>
      </c>
      <c r="K85" s="186">
        <f t="shared" si="18"/>
        <v>48.6</v>
      </c>
      <c r="L85" s="186">
        <f t="shared" ref="L85:L92" si="20">H85*D85</f>
        <v>0</v>
      </c>
      <c r="M85" s="187">
        <f t="shared" si="19"/>
        <v>48.6</v>
      </c>
      <c r="N85" s="176"/>
    </row>
    <row r="86" spans="1:14" s="6" customFormat="1" ht="12.75">
      <c r="A86" s="179" t="str">
        <f>Zones!A86</f>
        <v>Office Area (&gt;250 square feet)</v>
      </c>
      <c r="B86" s="179" t="str">
        <f>Zones!B86</f>
        <v>Floor 2 Scheduling 2</v>
      </c>
      <c r="C86" s="183">
        <f>Zones!J86</f>
        <v>1.71</v>
      </c>
      <c r="D86" s="183">
        <f>Zones!G86</f>
        <v>342</v>
      </c>
      <c r="E86" s="447">
        <v>15</v>
      </c>
      <c r="F86" s="447">
        <f t="shared" si="15"/>
        <v>0.15</v>
      </c>
      <c r="G86" s="161"/>
      <c r="H86" s="161"/>
      <c r="I86" s="184">
        <f t="shared" si="16"/>
        <v>0</v>
      </c>
      <c r="J86" s="185">
        <f t="shared" si="17"/>
        <v>25.65</v>
      </c>
      <c r="K86" s="186">
        <f t="shared" si="18"/>
        <v>51.3</v>
      </c>
      <c r="L86" s="186">
        <f t="shared" si="20"/>
        <v>0</v>
      </c>
      <c r="M86" s="187">
        <f t="shared" si="19"/>
        <v>51.3</v>
      </c>
      <c r="N86" s="176"/>
    </row>
    <row r="87" spans="1:14" s="6" customFormat="1" ht="12.75">
      <c r="A87" s="179" t="str">
        <f>Zones!A87</f>
        <v>Storage (General)</v>
      </c>
      <c r="B87" s="179" t="str">
        <f>Zones!B87</f>
        <v>Floor 2 Storage 1</v>
      </c>
      <c r="C87" s="183">
        <f>Zones!J87</f>
        <v>0.112</v>
      </c>
      <c r="D87" s="183">
        <f>Zones!G87</f>
        <v>56</v>
      </c>
      <c r="E87" s="447">
        <v>15</v>
      </c>
      <c r="F87" s="447">
        <f t="shared" si="15"/>
        <v>0.15</v>
      </c>
      <c r="G87" s="161"/>
      <c r="H87" s="161"/>
      <c r="I87" s="184">
        <f t="shared" si="16"/>
        <v>0</v>
      </c>
      <c r="J87" s="185">
        <f t="shared" si="17"/>
        <v>1.68</v>
      </c>
      <c r="K87" s="186">
        <f t="shared" si="18"/>
        <v>8.4</v>
      </c>
      <c r="L87" s="186">
        <f t="shared" si="20"/>
        <v>0</v>
      </c>
      <c r="M87" s="187">
        <f t="shared" si="19"/>
        <v>8.4</v>
      </c>
      <c r="N87" s="176"/>
    </row>
    <row r="88" spans="1:14" s="6" customFormat="1" ht="12.75">
      <c r="A88" s="179" t="str">
        <f>Zones!A88</f>
        <v>Storage (General)</v>
      </c>
      <c r="B88" s="179" t="str">
        <f>Zones!B88</f>
        <v>Floor 2 Storage 2</v>
      </c>
      <c r="C88" s="183">
        <f>Zones!J88</f>
        <v>0.24</v>
      </c>
      <c r="D88" s="183">
        <f>Zones!G88</f>
        <v>120</v>
      </c>
      <c r="E88" s="447">
        <v>15</v>
      </c>
      <c r="F88" s="447">
        <f t="shared" si="15"/>
        <v>0.15</v>
      </c>
      <c r="G88" s="161"/>
      <c r="H88" s="161"/>
      <c r="I88" s="184">
        <f t="shared" si="16"/>
        <v>0</v>
      </c>
      <c r="J88" s="185">
        <f t="shared" si="17"/>
        <v>3.5999999999999996</v>
      </c>
      <c r="K88" s="186">
        <f t="shared" si="18"/>
        <v>18</v>
      </c>
      <c r="L88" s="186">
        <f t="shared" si="20"/>
        <v>0</v>
      </c>
      <c r="M88" s="187">
        <f t="shared" si="19"/>
        <v>18</v>
      </c>
      <c r="N88" s="176"/>
    </row>
    <row r="89" spans="1:14" s="6" customFormat="1" ht="12.75">
      <c r="A89" s="179" t="str">
        <f>Zones!A89</f>
        <v>Storage (General)</v>
      </c>
      <c r="B89" s="179" t="str">
        <f>Zones!B89</f>
        <v>Floor 2 Storage 3</v>
      </c>
      <c r="C89" s="183">
        <f>Zones!J89</f>
        <v>0.28799999999999998</v>
      </c>
      <c r="D89" s="183">
        <f>Zones!G89</f>
        <v>144</v>
      </c>
      <c r="E89" s="447">
        <v>15</v>
      </c>
      <c r="F89" s="447">
        <f t="shared" si="15"/>
        <v>0.15</v>
      </c>
      <c r="G89" s="161"/>
      <c r="H89" s="161"/>
      <c r="I89" s="184">
        <f t="shared" si="16"/>
        <v>0</v>
      </c>
      <c r="J89" s="185">
        <f t="shared" si="17"/>
        <v>4.3199999999999994</v>
      </c>
      <c r="K89" s="186">
        <f t="shared" si="18"/>
        <v>21.599999999999998</v>
      </c>
      <c r="L89" s="186">
        <f t="shared" si="20"/>
        <v>0</v>
      </c>
      <c r="M89" s="187">
        <f t="shared" si="19"/>
        <v>21.599999999999998</v>
      </c>
      <c r="N89" s="176"/>
    </row>
    <row r="90" spans="1:14" s="6" customFormat="1" ht="12.75">
      <c r="A90" s="179" t="str">
        <f>Zones!A90</f>
        <v>Storage (General)</v>
      </c>
      <c r="B90" s="179" t="str">
        <f>Zones!B90</f>
        <v>Floor 2 Utility</v>
      </c>
      <c r="C90" s="183">
        <f>Zones!J90</f>
        <v>0.252</v>
      </c>
      <c r="D90" s="183">
        <f>Zones!G90</f>
        <v>126</v>
      </c>
      <c r="E90" s="447">
        <v>15</v>
      </c>
      <c r="F90" s="447">
        <f t="shared" si="15"/>
        <v>0.15</v>
      </c>
      <c r="G90" s="161"/>
      <c r="H90" s="161"/>
      <c r="I90" s="184">
        <f t="shared" si="16"/>
        <v>0</v>
      </c>
      <c r="J90" s="185">
        <f t="shared" si="17"/>
        <v>3.7800000000000002</v>
      </c>
      <c r="K90" s="186">
        <f t="shared" si="18"/>
        <v>18.899999999999999</v>
      </c>
      <c r="L90" s="186">
        <f t="shared" si="20"/>
        <v>0</v>
      </c>
      <c r="M90" s="187">
        <f t="shared" si="19"/>
        <v>18.899999999999999</v>
      </c>
      <c r="N90" s="176"/>
    </row>
    <row r="91" spans="1:14" s="6" customFormat="1" ht="12.75">
      <c r="A91" s="179" t="str">
        <f>Zones!A91</f>
        <v>Office Area (&gt;250 square feet)</v>
      </c>
      <c r="B91" s="179" t="str">
        <f>Zones!B91</f>
        <v>Floor 2 Work</v>
      </c>
      <c r="C91" s="183">
        <f>Zones!J91</f>
        <v>8.4499999999999993</v>
      </c>
      <c r="D91" s="183">
        <f>Zones!G91</f>
        <v>1690</v>
      </c>
      <c r="E91" s="447">
        <v>15</v>
      </c>
      <c r="F91" s="447">
        <f t="shared" si="15"/>
        <v>0.15</v>
      </c>
      <c r="G91" s="161"/>
      <c r="H91" s="161"/>
      <c r="I91" s="184">
        <f t="shared" si="16"/>
        <v>0</v>
      </c>
      <c r="J91" s="185">
        <f t="shared" si="17"/>
        <v>126.74999999999999</v>
      </c>
      <c r="K91" s="186">
        <f t="shared" si="18"/>
        <v>253.5</v>
      </c>
      <c r="L91" s="186">
        <f t="shared" si="20"/>
        <v>0</v>
      </c>
      <c r="M91" s="187">
        <f t="shared" si="19"/>
        <v>253.5</v>
      </c>
      <c r="N91" s="176"/>
    </row>
    <row r="92" spans="1:14" s="6" customFormat="1" ht="12.75">
      <c r="A92" s="179" t="str">
        <f>Zones!A92</f>
        <v>Corridor Area</v>
      </c>
      <c r="B92" s="179" t="str">
        <f>Zones!B92</f>
        <v>Floor 2 Work Hall</v>
      </c>
      <c r="C92" s="183">
        <f>Zones!J92</f>
        <v>4.17</v>
      </c>
      <c r="D92" s="183">
        <f>Zones!G92</f>
        <v>834</v>
      </c>
      <c r="E92" s="447">
        <v>15</v>
      </c>
      <c r="F92" s="447">
        <f t="shared" si="15"/>
        <v>0.15</v>
      </c>
      <c r="G92" s="161"/>
      <c r="H92" s="161"/>
      <c r="I92" s="184">
        <f t="shared" si="16"/>
        <v>0</v>
      </c>
      <c r="J92" s="185">
        <f t="shared" si="17"/>
        <v>62.55</v>
      </c>
      <c r="K92" s="186">
        <f t="shared" si="18"/>
        <v>125.1</v>
      </c>
      <c r="L92" s="186">
        <f t="shared" si="20"/>
        <v>0</v>
      </c>
      <c r="M92" s="187">
        <f t="shared" si="19"/>
        <v>125.1</v>
      </c>
      <c r="N92" s="176"/>
    </row>
    <row r="93" spans="1:14" s="6" customFormat="1" ht="12.75">
      <c r="A93" s="179" t="str">
        <f>Zones!A93</f>
        <v>Restrooms</v>
      </c>
      <c r="B93" s="179" t="str">
        <f>Zones!B93</f>
        <v>Floor 2 Work Toilet</v>
      </c>
      <c r="C93" s="183">
        <f>Zones!J93</f>
        <v>0.27</v>
      </c>
      <c r="D93" s="183">
        <f>Zones!G93</f>
        <v>54</v>
      </c>
      <c r="E93" s="447">
        <v>15</v>
      </c>
      <c r="F93" s="447">
        <v>0</v>
      </c>
      <c r="G93" s="161"/>
      <c r="H93" s="183">
        <v>50</v>
      </c>
      <c r="I93" s="184">
        <f t="shared" si="16"/>
        <v>0</v>
      </c>
      <c r="J93" s="185">
        <f t="shared" si="17"/>
        <v>4.0500000000000007</v>
      </c>
      <c r="K93" s="186">
        <f t="shared" si="18"/>
        <v>0</v>
      </c>
      <c r="L93" s="186">
        <f>H93</f>
        <v>50</v>
      </c>
      <c r="M93" s="187">
        <f t="shared" si="19"/>
        <v>50</v>
      </c>
      <c r="N93" s="176" t="s">
        <v>398</v>
      </c>
    </row>
    <row r="94" spans="1:14" s="6" customFormat="1" ht="12.75">
      <c r="A94" s="179" t="str">
        <f>Zones!A94</f>
        <v>Healthcare Facility and Hospitals (Imaging Room)</v>
      </c>
      <c r="B94" s="179" t="str">
        <f>Zones!B94</f>
        <v>Floor 2 X-Ray</v>
      </c>
      <c r="C94" s="183">
        <f>Zones!J94</f>
        <v>9</v>
      </c>
      <c r="D94" s="183">
        <f>Zones!G94</f>
        <v>900</v>
      </c>
      <c r="E94" s="447">
        <v>15</v>
      </c>
      <c r="F94" s="447" t="str">
        <f t="shared" si="15"/>
        <v>n/a</v>
      </c>
      <c r="G94" s="442">
        <v>2.02</v>
      </c>
      <c r="H94" s="442"/>
      <c r="I94" s="184">
        <f t="shared" si="16"/>
        <v>0.33333333333333331</v>
      </c>
      <c r="J94" s="185">
        <f t="shared" si="17"/>
        <v>135</v>
      </c>
      <c r="K94" s="186">
        <f t="shared" si="18"/>
        <v>300</v>
      </c>
      <c r="L94" s="186">
        <f>G94*D94</f>
        <v>1818</v>
      </c>
      <c r="M94" s="187">
        <f t="shared" si="19"/>
        <v>1818</v>
      </c>
      <c r="N94" s="176" t="s">
        <v>397</v>
      </c>
    </row>
    <row r="95" spans="1:14" s="6" customFormat="1" ht="12.75">
      <c r="A95" s="179" t="str">
        <f>Zones!A95</f>
        <v>Office Area (&lt;250 square feet)</v>
      </c>
      <c r="B95" s="179" t="str">
        <f>Zones!B95</f>
        <v>Floor 3 Dressing Room</v>
      </c>
      <c r="C95" s="183">
        <f>Zones!J95</f>
        <v>0.21</v>
      </c>
      <c r="D95" s="183">
        <f>Zones!G95</f>
        <v>42</v>
      </c>
      <c r="E95" s="447">
        <v>15</v>
      </c>
      <c r="F95" s="447">
        <f t="shared" si="15"/>
        <v>0.15</v>
      </c>
      <c r="G95" s="161"/>
      <c r="H95" s="161"/>
      <c r="I95" s="184">
        <f t="shared" si="16"/>
        <v>0</v>
      </c>
      <c r="J95" s="185">
        <f t="shared" si="17"/>
        <v>3.15</v>
      </c>
      <c r="K95" s="186">
        <f t="shared" si="18"/>
        <v>6.3</v>
      </c>
      <c r="L95" s="186">
        <f t="shared" ref="L95:L100" si="21">H95*D95</f>
        <v>0</v>
      </c>
      <c r="M95" s="187">
        <f t="shared" si="19"/>
        <v>6.3</v>
      </c>
      <c r="N95" s="176"/>
    </row>
    <row r="96" spans="1:14" s="6" customFormat="1" ht="12.75">
      <c r="A96" s="179" t="str">
        <f>Zones!A96</f>
        <v>Corridor Area</v>
      </c>
      <c r="B96" s="179" t="str">
        <f>Zones!B96</f>
        <v>Floor 3 Elevator Hall</v>
      </c>
      <c r="C96" s="183">
        <f>Zones!J96</f>
        <v>1.85</v>
      </c>
      <c r="D96" s="183">
        <f>Zones!G96</f>
        <v>370</v>
      </c>
      <c r="E96" s="447">
        <v>15</v>
      </c>
      <c r="F96" s="447">
        <f t="shared" si="15"/>
        <v>0.15</v>
      </c>
      <c r="G96" s="161"/>
      <c r="H96" s="161"/>
      <c r="I96" s="184">
        <f t="shared" si="16"/>
        <v>0</v>
      </c>
      <c r="J96" s="185">
        <f t="shared" si="17"/>
        <v>27.75</v>
      </c>
      <c r="K96" s="186">
        <f t="shared" si="18"/>
        <v>55.5</v>
      </c>
      <c r="L96" s="186">
        <f t="shared" si="21"/>
        <v>0</v>
      </c>
      <c r="M96" s="187">
        <f t="shared" si="19"/>
        <v>55.5</v>
      </c>
      <c r="N96" s="176"/>
    </row>
    <row r="97" spans="1:14" s="6" customFormat="1" ht="12.75">
      <c r="A97" s="179" t="str">
        <f>Zones!A97</f>
        <v>Office Area (&lt;250 square feet)</v>
      </c>
      <c r="B97" s="179" t="str">
        <f>Zones!B97</f>
        <v>Floor 3 Humid</v>
      </c>
      <c r="C97" s="183">
        <f>Zones!J97</f>
        <v>0.54</v>
      </c>
      <c r="D97" s="183">
        <f>Zones!G97</f>
        <v>108</v>
      </c>
      <c r="E97" s="447">
        <v>15</v>
      </c>
      <c r="F97" s="447">
        <f t="shared" si="15"/>
        <v>0.15</v>
      </c>
      <c r="G97" s="161"/>
      <c r="H97" s="161"/>
      <c r="I97" s="184">
        <f t="shared" si="16"/>
        <v>0</v>
      </c>
      <c r="J97" s="185">
        <f t="shared" si="17"/>
        <v>8.1000000000000014</v>
      </c>
      <c r="K97" s="186">
        <f t="shared" si="18"/>
        <v>16.2</v>
      </c>
      <c r="L97" s="186">
        <f t="shared" si="21"/>
        <v>0</v>
      </c>
      <c r="M97" s="187">
        <f t="shared" si="19"/>
        <v>16.2</v>
      </c>
      <c r="N97" s="176"/>
    </row>
    <row r="98" spans="1:14" s="6" customFormat="1" ht="12.75">
      <c r="A98" s="179" t="str">
        <f>Zones!A98</f>
        <v>Storage (General)</v>
      </c>
      <c r="B98" s="179" t="str">
        <f>Zones!B98</f>
        <v>Floor 3 Janitor</v>
      </c>
      <c r="C98" s="183">
        <f>Zones!J98</f>
        <v>0.126</v>
      </c>
      <c r="D98" s="183">
        <f>Zones!G98</f>
        <v>63</v>
      </c>
      <c r="E98" s="447">
        <v>15</v>
      </c>
      <c r="F98" s="447">
        <f t="shared" si="15"/>
        <v>0.15</v>
      </c>
      <c r="G98" s="161"/>
      <c r="H98" s="161"/>
      <c r="I98" s="184">
        <f t="shared" si="16"/>
        <v>0</v>
      </c>
      <c r="J98" s="185">
        <f t="shared" si="17"/>
        <v>1.8900000000000001</v>
      </c>
      <c r="K98" s="186">
        <f t="shared" si="18"/>
        <v>9.4499999999999993</v>
      </c>
      <c r="L98" s="186">
        <f t="shared" si="21"/>
        <v>0</v>
      </c>
      <c r="M98" s="187">
        <f t="shared" si="19"/>
        <v>9.4499999999999993</v>
      </c>
      <c r="N98" s="176"/>
    </row>
    <row r="99" spans="1:14" s="6" customFormat="1" ht="12.75">
      <c r="A99" s="179" t="str">
        <f>Zones!A99</f>
        <v>Locker Room</v>
      </c>
      <c r="B99" s="179" t="str">
        <f>Zones!B99</f>
        <v>Floor 3 Locker</v>
      </c>
      <c r="C99" s="183">
        <f>Zones!J99</f>
        <v>2.4</v>
      </c>
      <c r="D99" s="183">
        <f>Zones!G99</f>
        <v>120</v>
      </c>
      <c r="E99" s="447">
        <v>15</v>
      </c>
      <c r="F99" s="447">
        <f t="shared" ref="F99:F117" si="22">VLOOKUP(A99,A$183:E$205,5,FALSE)</f>
        <v>0.15</v>
      </c>
      <c r="G99" s="188">
        <v>0.25</v>
      </c>
      <c r="H99" s="188"/>
      <c r="I99" s="184">
        <f t="shared" ref="I99:I117" si="23">VLOOKUP(A99,A$183:H$205,8,FALSE)</f>
        <v>0</v>
      </c>
      <c r="J99" s="185">
        <f t="shared" ref="J99:J117" si="24">E99*C99</f>
        <v>36</v>
      </c>
      <c r="K99" s="186">
        <f t="shared" ref="K99:K117" si="25">IF(F99="n/a",D99*I99,F99*D99)</f>
        <v>18</v>
      </c>
      <c r="L99" s="186">
        <f>G99*D99</f>
        <v>30</v>
      </c>
      <c r="M99" s="187">
        <f t="shared" si="19"/>
        <v>36</v>
      </c>
      <c r="N99" s="176"/>
    </row>
    <row r="100" spans="1:14" s="6" customFormat="1" ht="12.75">
      <c r="A100" s="179" t="str">
        <f>Zones!A100</f>
        <v>Lounge, Breakroom, or Waiting Area</v>
      </c>
      <c r="B100" s="179" t="str">
        <f>Zones!B100</f>
        <v>Floor 3 Lounge</v>
      </c>
      <c r="C100" s="183">
        <f>Zones!J100</f>
        <v>25.047000000000001</v>
      </c>
      <c r="D100" s="183">
        <f>Zones!G100</f>
        <v>759</v>
      </c>
      <c r="E100" s="447">
        <v>15</v>
      </c>
      <c r="F100" s="447">
        <f t="shared" si="22"/>
        <v>0.15</v>
      </c>
      <c r="G100" s="161"/>
      <c r="H100" s="161"/>
      <c r="I100" s="184">
        <f t="shared" si="23"/>
        <v>0</v>
      </c>
      <c r="J100" s="185">
        <f t="shared" si="24"/>
        <v>375.70499999999998</v>
      </c>
      <c r="K100" s="186">
        <f t="shared" si="25"/>
        <v>113.85</v>
      </c>
      <c r="L100" s="186">
        <f t="shared" si="21"/>
        <v>0</v>
      </c>
      <c r="M100" s="187">
        <f t="shared" si="19"/>
        <v>375.70499999999998</v>
      </c>
      <c r="N100" s="176"/>
    </row>
    <row r="101" spans="1:14" s="6" customFormat="1" ht="12.75">
      <c r="A101" s="179" t="str">
        <f>Zones!A101</f>
        <v>Restrooms</v>
      </c>
      <c r="B101" s="179" t="str">
        <f>Zones!B101</f>
        <v>Floor 3 Lounge Toilet</v>
      </c>
      <c r="C101" s="183">
        <f>Zones!J101</f>
        <v>0.96</v>
      </c>
      <c r="D101" s="183">
        <f>Zones!G101</f>
        <v>192</v>
      </c>
      <c r="E101" s="447">
        <v>15</v>
      </c>
      <c r="F101" s="447">
        <v>0</v>
      </c>
      <c r="G101" s="161"/>
      <c r="H101" s="183">
        <f>4*50</f>
        <v>200</v>
      </c>
      <c r="I101" s="184">
        <f t="shared" si="23"/>
        <v>0</v>
      </c>
      <c r="J101" s="185">
        <f t="shared" si="24"/>
        <v>14.399999999999999</v>
      </c>
      <c r="K101" s="186">
        <f t="shared" si="25"/>
        <v>0</v>
      </c>
      <c r="L101" s="186">
        <f>H101</f>
        <v>200</v>
      </c>
      <c r="M101" s="187">
        <f t="shared" si="19"/>
        <v>200</v>
      </c>
      <c r="N101" s="176" t="s">
        <v>398</v>
      </c>
    </row>
    <row r="102" spans="1:14" s="6" customFormat="1" ht="12.75">
      <c r="A102" s="179" t="str">
        <f>Zones!A102</f>
        <v>Electrical, Mechanical, Telephone Rooms</v>
      </c>
      <c r="B102" s="179" t="str">
        <f>Zones!B102</f>
        <v>Floor 3 Mechanical</v>
      </c>
      <c r="C102" s="183">
        <f>Zones!J102</f>
        <v>1.05</v>
      </c>
      <c r="D102" s="183">
        <f>Zones!G102</f>
        <v>350</v>
      </c>
      <c r="E102" s="447">
        <v>15</v>
      </c>
      <c r="F102" s="447">
        <f t="shared" si="22"/>
        <v>0.15</v>
      </c>
      <c r="G102" s="161"/>
      <c r="H102" s="161"/>
      <c r="I102" s="184">
        <f t="shared" si="23"/>
        <v>0</v>
      </c>
      <c r="J102" s="185">
        <f t="shared" si="24"/>
        <v>15.75</v>
      </c>
      <c r="K102" s="186">
        <f t="shared" si="25"/>
        <v>52.5</v>
      </c>
      <c r="L102" s="186">
        <f>H102*D102</f>
        <v>0</v>
      </c>
      <c r="M102" s="187">
        <f t="shared" si="19"/>
        <v>52.5</v>
      </c>
      <c r="N102" s="176"/>
    </row>
    <row r="103" spans="1:14" s="6" customFormat="1" ht="12.75">
      <c r="A103" s="179" t="str">
        <f>Zones!A103</f>
        <v>Corridor Area</v>
      </c>
      <c r="B103" s="179" t="str">
        <f>Zones!B103</f>
        <v>Floor 3 Mechanical Hall</v>
      </c>
      <c r="C103" s="183">
        <f>Zones!J103</f>
        <v>1.5</v>
      </c>
      <c r="D103" s="183">
        <f>Zones!G103</f>
        <v>300</v>
      </c>
      <c r="E103" s="447">
        <v>15</v>
      </c>
      <c r="F103" s="447">
        <f t="shared" si="22"/>
        <v>0.15</v>
      </c>
      <c r="G103" s="161"/>
      <c r="H103" s="161"/>
      <c r="I103" s="184">
        <f t="shared" si="23"/>
        <v>0</v>
      </c>
      <c r="J103" s="185">
        <f t="shared" si="24"/>
        <v>22.5</v>
      </c>
      <c r="K103" s="186">
        <f t="shared" si="25"/>
        <v>45</v>
      </c>
      <c r="L103" s="186">
        <f>H103*D103</f>
        <v>0</v>
      </c>
      <c r="M103" s="187">
        <f t="shared" si="19"/>
        <v>45</v>
      </c>
      <c r="N103" s="176"/>
    </row>
    <row r="104" spans="1:14" s="6" customFormat="1" ht="12.75">
      <c r="A104" s="179" t="str">
        <f>Zones!A104</f>
        <v>Office Area (&gt;250 square feet)</v>
      </c>
      <c r="B104" s="179" t="str">
        <f>Zones!B104</f>
        <v>Floor 3 Office</v>
      </c>
      <c r="C104" s="183">
        <f>Zones!J104</f>
        <v>15.18</v>
      </c>
      <c r="D104" s="183">
        <f>Zones!G104</f>
        <v>3036</v>
      </c>
      <c r="E104" s="447">
        <v>15</v>
      </c>
      <c r="F104" s="447">
        <f t="shared" si="22"/>
        <v>0.15</v>
      </c>
      <c r="G104" s="161"/>
      <c r="H104" s="161"/>
      <c r="I104" s="184">
        <f t="shared" si="23"/>
        <v>0</v>
      </c>
      <c r="J104" s="185">
        <f t="shared" si="24"/>
        <v>227.7</v>
      </c>
      <c r="K104" s="186">
        <f t="shared" si="25"/>
        <v>455.4</v>
      </c>
      <c r="L104" s="186">
        <f>H104*D104</f>
        <v>0</v>
      </c>
      <c r="M104" s="187">
        <f t="shared" si="19"/>
        <v>455.4</v>
      </c>
      <c r="N104" s="176"/>
    </row>
    <row r="105" spans="1:14" s="6" customFormat="1" ht="12.75">
      <c r="A105" s="179" t="str">
        <f>Zones!A105</f>
        <v>Corridor Area</v>
      </c>
      <c r="B105" s="179" t="str">
        <f>Zones!B105</f>
        <v>Floor 3 Office Hall</v>
      </c>
      <c r="C105" s="183">
        <f>Zones!J105</f>
        <v>4.17</v>
      </c>
      <c r="D105" s="183">
        <f>Zones!G105</f>
        <v>834</v>
      </c>
      <c r="E105" s="447">
        <v>15</v>
      </c>
      <c r="F105" s="447">
        <f t="shared" si="22"/>
        <v>0.15</v>
      </c>
      <c r="G105" s="161"/>
      <c r="H105" s="161"/>
      <c r="I105" s="184">
        <f t="shared" si="23"/>
        <v>0</v>
      </c>
      <c r="J105" s="185">
        <f t="shared" si="24"/>
        <v>62.55</v>
      </c>
      <c r="K105" s="186">
        <f t="shared" si="25"/>
        <v>125.1</v>
      </c>
      <c r="L105" s="186">
        <f>H105*D105</f>
        <v>0</v>
      </c>
      <c r="M105" s="187">
        <f t="shared" si="19"/>
        <v>125.1</v>
      </c>
      <c r="N105" s="176"/>
    </row>
    <row r="106" spans="1:14" s="6" customFormat="1" ht="20.25" customHeight="1">
      <c r="A106" s="179" t="str">
        <f>Zones!A106</f>
        <v>Restrooms</v>
      </c>
      <c r="B106" s="179" t="str">
        <f>Zones!B106</f>
        <v>Floor 3 Office Toilet</v>
      </c>
      <c r="C106" s="183">
        <f>Zones!J106</f>
        <v>0.27</v>
      </c>
      <c r="D106" s="183">
        <f>Zones!G106</f>
        <v>54</v>
      </c>
      <c r="E106" s="447">
        <v>15</v>
      </c>
      <c r="F106" s="447">
        <v>0</v>
      </c>
      <c r="G106" s="161"/>
      <c r="H106" s="183">
        <v>50</v>
      </c>
      <c r="I106" s="184">
        <f t="shared" si="23"/>
        <v>0</v>
      </c>
      <c r="J106" s="185">
        <f t="shared" si="24"/>
        <v>4.0500000000000007</v>
      </c>
      <c r="K106" s="186">
        <f t="shared" si="25"/>
        <v>0</v>
      </c>
      <c r="L106" s="186">
        <f>H106</f>
        <v>50</v>
      </c>
      <c r="M106" s="187">
        <f t="shared" si="19"/>
        <v>50</v>
      </c>
      <c r="N106" s="176" t="s">
        <v>398</v>
      </c>
    </row>
    <row r="107" spans="1:14" s="6" customFormat="1" ht="14.45" customHeight="1">
      <c r="A107" s="179" t="str">
        <f>Zones!A107</f>
        <v>Healthcare Facility and Hospitals (Physical Therapy Room)</v>
      </c>
      <c r="B107" s="179" t="str">
        <f>Zones!B107</f>
        <v>Floor 3 Physical Therapy 1</v>
      </c>
      <c r="C107" s="183">
        <f>Zones!J107</f>
        <v>13</v>
      </c>
      <c r="D107" s="183">
        <f>Zones!G107</f>
        <v>1300</v>
      </c>
      <c r="E107" s="447">
        <v>15</v>
      </c>
      <c r="F107" s="447" t="str">
        <f t="shared" si="22"/>
        <v>n/a</v>
      </c>
      <c r="G107" s="161"/>
      <c r="H107" s="161"/>
      <c r="I107" s="184">
        <f t="shared" si="23"/>
        <v>0.33333333333333331</v>
      </c>
      <c r="J107" s="185">
        <f t="shared" si="24"/>
        <v>195</v>
      </c>
      <c r="K107" s="186">
        <f t="shared" si="25"/>
        <v>433.33333333333331</v>
      </c>
      <c r="L107" s="186">
        <f>H107*D107</f>
        <v>0</v>
      </c>
      <c r="M107" s="187">
        <f t="shared" si="19"/>
        <v>433.33333333333331</v>
      </c>
      <c r="N107" s="176"/>
    </row>
    <row r="108" spans="1:14" s="6" customFormat="1" ht="14.45" customHeight="1">
      <c r="A108" s="179" t="str">
        <f>Zones!A108</f>
        <v>Healthcare Facility and Hospitals (Physical Therapy Room)</v>
      </c>
      <c r="B108" s="179" t="str">
        <f>Zones!B108</f>
        <v>Floor 3 Physical Therapy 2</v>
      </c>
      <c r="C108" s="183">
        <f>Zones!J108</f>
        <v>5.92</v>
      </c>
      <c r="D108" s="183">
        <f>Zones!G108</f>
        <v>592</v>
      </c>
      <c r="E108" s="447">
        <v>15</v>
      </c>
      <c r="F108" s="447" t="str">
        <f t="shared" si="22"/>
        <v>n/a</v>
      </c>
      <c r="G108" s="161"/>
      <c r="H108" s="161"/>
      <c r="I108" s="184">
        <f t="shared" si="23"/>
        <v>0.33333333333333331</v>
      </c>
      <c r="J108" s="185">
        <f t="shared" si="24"/>
        <v>88.8</v>
      </c>
      <c r="K108" s="186">
        <f t="shared" si="25"/>
        <v>197.33333333333331</v>
      </c>
      <c r="L108" s="186">
        <f>H108*D108</f>
        <v>0</v>
      </c>
      <c r="M108" s="187">
        <f t="shared" si="19"/>
        <v>197.33333333333331</v>
      </c>
      <c r="N108" s="176"/>
    </row>
    <row r="109" spans="1:14" s="6" customFormat="1" ht="35.25" customHeight="1">
      <c r="A109" s="179" t="str">
        <f>Zones!A109</f>
        <v>Restrooms</v>
      </c>
      <c r="B109" s="179" t="str">
        <f>Zones!B109</f>
        <v>Floor 3 Physical Therapy Toilet</v>
      </c>
      <c r="C109" s="183">
        <f>Zones!J109</f>
        <v>0.42</v>
      </c>
      <c r="D109" s="183">
        <f>Zones!G109</f>
        <v>84</v>
      </c>
      <c r="E109" s="447">
        <v>15</v>
      </c>
      <c r="F109" s="447">
        <f t="shared" si="22"/>
        <v>0.15</v>
      </c>
      <c r="G109" s="161"/>
      <c r="H109" s="183">
        <f>2*50</f>
        <v>100</v>
      </c>
      <c r="I109" s="184">
        <f t="shared" si="23"/>
        <v>0</v>
      </c>
      <c r="J109" s="185">
        <f t="shared" si="24"/>
        <v>6.3</v>
      </c>
      <c r="K109" s="186">
        <f t="shared" si="25"/>
        <v>12.6</v>
      </c>
      <c r="L109" s="186">
        <f>H109</f>
        <v>100</v>
      </c>
      <c r="M109" s="187">
        <f t="shared" si="19"/>
        <v>100</v>
      </c>
      <c r="N109" s="176" t="s">
        <v>398</v>
      </c>
    </row>
    <row r="110" spans="1:14" s="6" customFormat="1" ht="12.75">
      <c r="A110" s="179" t="str">
        <f>Zones!A110</f>
        <v>Storage (General)</v>
      </c>
      <c r="B110" s="179" t="str">
        <f>Zones!B110</f>
        <v>Floor 3 Storage 1</v>
      </c>
      <c r="C110" s="183">
        <f>Zones!J110</f>
        <v>0.216</v>
      </c>
      <c r="D110" s="183">
        <f>Zones!G110</f>
        <v>108</v>
      </c>
      <c r="E110" s="447">
        <v>15</v>
      </c>
      <c r="F110" s="447">
        <f t="shared" si="22"/>
        <v>0.15</v>
      </c>
      <c r="G110" s="161"/>
      <c r="H110" s="161"/>
      <c r="I110" s="184">
        <f t="shared" si="23"/>
        <v>0</v>
      </c>
      <c r="J110" s="185">
        <f t="shared" si="24"/>
        <v>3.2399999999999998</v>
      </c>
      <c r="K110" s="186">
        <f t="shared" si="25"/>
        <v>16.2</v>
      </c>
      <c r="L110" s="186">
        <f t="shared" ref="L110:L117" si="26">G110*D110</f>
        <v>0</v>
      </c>
      <c r="M110" s="187">
        <f t="shared" si="19"/>
        <v>16.2</v>
      </c>
      <c r="N110" s="176"/>
    </row>
    <row r="111" spans="1:14" s="6" customFormat="1" ht="12.75">
      <c r="A111" s="179" t="str">
        <f>Zones!A111</f>
        <v>Storage (General)</v>
      </c>
      <c r="B111" s="179" t="str">
        <f>Zones!B111</f>
        <v>Floor 3 Storage 2</v>
      </c>
      <c r="C111" s="183">
        <f>Zones!J111</f>
        <v>0.16800000000000001</v>
      </c>
      <c r="D111" s="183">
        <f>Zones!G111</f>
        <v>84</v>
      </c>
      <c r="E111" s="447">
        <v>15</v>
      </c>
      <c r="F111" s="447">
        <f t="shared" si="22"/>
        <v>0.15</v>
      </c>
      <c r="G111" s="161"/>
      <c r="H111" s="161"/>
      <c r="I111" s="184">
        <f t="shared" si="23"/>
        <v>0</v>
      </c>
      <c r="J111" s="185">
        <f t="shared" si="24"/>
        <v>2.52</v>
      </c>
      <c r="K111" s="186">
        <f t="shared" si="25"/>
        <v>12.6</v>
      </c>
      <c r="L111" s="186">
        <f t="shared" si="26"/>
        <v>0</v>
      </c>
      <c r="M111" s="187">
        <f t="shared" si="19"/>
        <v>12.6</v>
      </c>
      <c r="N111" s="176"/>
    </row>
    <row r="112" spans="1:14" s="6" customFormat="1" ht="12.75">
      <c r="A112" s="179" t="str">
        <f>Zones!A112</f>
        <v>Healthcare Facility and Hospitals (Exam/Treatment Room)</v>
      </c>
      <c r="B112" s="179" t="str">
        <f>Zones!B112</f>
        <v>Floor 3 Treatment</v>
      </c>
      <c r="C112" s="183">
        <f>Zones!J112</f>
        <v>4.76</v>
      </c>
      <c r="D112" s="183">
        <f>Zones!G112</f>
        <v>476</v>
      </c>
      <c r="E112" s="447">
        <v>15</v>
      </c>
      <c r="F112" s="447" t="str">
        <f t="shared" si="22"/>
        <v>n/a</v>
      </c>
      <c r="G112" s="161"/>
      <c r="H112" s="161"/>
      <c r="I112" s="184">
        <f t="shared" si="23"/>
        <v>0.33333333333333331</v>
      </c>
      <c r="J112" s="185">
        <f t="shared" si="24"/>
        <v>71.399999999999991</v>
      </c>
      <c r="K112" s="186">
        <f t="shared" si="25"/>
        <v>158.66666666666666</v>
      </c>
      <c r="L112" s="186">
        <f t="shared" si="26"/>
        <v>0</v>
      </c>
      <c r="M112" s="187">
        <f t="shared" si="19"/>
        <v>158.66666666666666</v>
      </c>
      <c r="N112" s="176"/>
    </row>
    <row r="113" spans="1:27" s="6" customFormat="1" ht="12.75">
      <c r="A113" s="179" t="str">
        <f>Zones!A113</f>
        <v>Storage (General)</v>
      </c>
      <c r="B113" s="179" t="str">
        <f>Zones!B113</f>
        <v>Floor 3 Undeveloped 1</v>
      </c>
      <c r="C113" s="183">
        <f>Zones!J113</f>
        <v>4.5359999999999996</v>
      </c>
      <c r="D113" s="183">
        <f>Zones!G113</f>
        <v>2268</v>
      </c>
      <c r="E113" s="447">
        <v>15</v>
      </c>
      <c r="F113" s="447">
        <f t="shared" si="22"/>
        <v>0.15</v>
      </c>
      <c r="G113" s="161"/>
      <c r="H113" s="161"/>
      <c r="I113" s="184">
        <f t="shared" si="23"/>
        <v>0</v>
      </c>
      <c r="J113" s="185">
        <f t="shared" si="24"/>
        <v>68.039999999999992</v>
      </c>
      <c r="K113" s="186">
        <f t="shared" si="25"/>
        <v>340.2</v>
      </c>
      <c r="L113" s="186">
        <f t="shared" si="26"/>
        <v>0</v>
      </c>
      <c r="M113" s="187">
        <f t="shared" si="19"/>
        <v>340.2</v>
      </c>
      <c r="N113" s="176"/>
    </row>
    <row r="114" spans="1:27" s="6" customFormat="1" ht="12.75">
      <c r="A114" s="179" t="str">
        <f>Zones!A114</f>
        <v>Storage (General)</v>
      </c>
      <c r="B114" s="179" t="str">
        <f>Zones!B114</f>
        <v>Floor 3 Undeveloped 2</v>
      </c>
      <c r="C114" s="183">
        <f>Zones!J114</f>
        <v>2.3039999999999998</v>
      </c>
      <c r="D114" s="183">
        <f>Zones!G114</f>
        <v>1152</v>
      </c>
      <c r="E114" s="447">
        <v>15</v>
      </c>
      <c r="F114" s="447">
        <f t="shared" si="22"/>
        <v>0.15</v>
      </c>
      <c r="G114" s="161"/>
      <c r="H114" s="161"/>
      <c r="I114" s="184">
        <f t="shared" si="23"/>
        <v>0</v>
      </c>
      <c r="J114" s="185">
        <f t="shared" si="24"/>
        <v>34.559999999999995</v>
      </c>
      <c r="K114" s="186">
        <f t="shared" si="25"/>
        <v>172.79999999999998</v>
      </c>
      <c r="L114" s="186">
        <f t="shared" si="26"/>
        <v>0</v>
      </c>
      <c r="M114" s="187">
        <f t="shared" si="19"/>
        <v>172.79999999999998</v>
      </c>
      <c r="N114" s="176"/>
    </row>
    <row r="115" spans="1:27" s="6" customFormat="1" ht="12.75">
      <c r="A115" s="179" t="str">
        <f>Zones!A115</f>
        <v>Storage (General)</v>
      </c>
      <c r="B115" s="179" t="str">
        <f>Zones!B115</f>
        <v>Floor 3 Utility</v>
      </c>
      <c r="C115" s="183">
        <f>Zones!J115</f>
        <v>0.432</v>
      </c>
      <c r="D115" s="183">
        <f>Zones!G115</f>
        <v>216</v>
      </c>
      <c r="E115" s="447">
        <v>15</v>
      </c>
      <c r="F115" s="447">
        <f t="shared" si="22"/>
        <v>0.15</v>
      </c>
      <c r="G115" s="161"/>
      <c r="H115" s="161"/>
      <c r="I115" s="184">
        <f t="shared" si="23"/>
        <v>0</v>
      </c>
      <c r="J115" s="185">
        <f t="shared" si="24"/>
        <v>6.4799999999999995</v>
      </c>
      <c r="K115" s="186">
        <f t="shared" si="25"/>
        <v>32.4</v>
      </c>
      <c r="L115" s="186">
        <f t="shared" si="26"/>
        <v>0</v>
      </c>
      <c r="M115" s="187">
        <f t="shared" si="19"/>
        <v>32.4</v>
      </c>
      <c r="N115" s="176"/>
    </row>
    <row r="116" spans="1:27" s="6" customFormat="1" ht="12.75">
      <c r="A116" s="179" t="str">
        <f>Zones!A116</f>
        <v>Office Area (&gt;250 square feet)</v>
      </c>
      <c r="B116" s="179" t="str">
        <f>Zones!B116</f>
        <v>Floor 3 Work</v>
      </c>
      <c r="C116" s="183">
        <f>Zones!J116</f>
        <v>2.87</v>
      </c>
      <c r="D116" s="183">
        <f>Zones!G116</f>
        <v>574</v>
      </c>
      <c r="E116" s="447">
        <v>15</v>
      </c>
      <c r="F116" s="447">
        <f t="shared" si="22"/>
        <v>0.15</v>
      </c>
      <c r="G116" s="161"/>
      <c r="H116" s="161"/>
      <c r="I116" s="184">
        <f t="shared" si="23"/>
        <v>0</v>
      </c>
      <c r="J116" s="185">
        <f t="shared" si="24"/>
        <v>43.050000000000004</v>
      </c>
      <c r="K116" s="186">
        <f t="shared" si="25"/>
        <v>86.1</v>
      </c>
      <c r="L116" s="186">
        <f t="shared" si="26"/>
        <v>0</v>
      </c>
      <c r="M116" s="187">
        <f t="shared" si="19"/>
        <v>86.1</v>
      </c>
      <c r="N116" s="176"/>
    </row>
    <row r="117" spans="1:27" s="6" customFormat="1" ht="12.75">
      <c r="A117" s="179" t="str">
        <f>Zones!A117</f>
        <v>Stairwell</v>
      </c>
      <c r="B117" s="179" t="str">
        <f>Zones!B117</f>
        <v>NE Stair</v>
      </c>
      <c r="C117" s="183">
        <f>Zones!J117</f>
        <v>0.84</v>
      </c>
      <c r="D117" s="183">
        <f>Zones!G117</f>
        <v>168</v>
      </c>
      <c r="E117" s="447">
        <v>15</v>
      </c>
      <c r="F117" s="447">
        <f t="shared" si="22"/>
        <v>0.15</v>
      </c>
      <c r="G117" s="161"/>
      <c r="H117" s="161"/>
      <c r="I117" s="184">
        <f t="shared" si="23"/>
        <v>0</v>
      </c>
      <c r="J117" s="185">
        <f t="shared" si="24"/>
        <v>12.6</v>
      </c>
      <c r="K117" s="186">
        <f t="shared" si="25"/>
        <v>25.2</v>
      </c>
      <c r="L117" s="186">
        <f t="shared" si="26"/>
        <v>0</v>
      </c>
      <c r="M117" s="187">
        <f t="shared" si="19"/>
        <v>25.2</v>
      </c>
      <c r="N117" s="176"/>
    </row>
    <row r="118" spans="1:27" s="6" customFormat="1" ht="12.75">
      <c r="A118" s="179" t="str">
        <f>Zones!A118</f>
        <v>Elevator</v>
      </c>
      <c r="B118" s="179" t="str">
        <f>Zones!B118</f>
        <v>NW Elevator</v>
      </c>
      <c r="C118" s="183">
        <f>Zones!J118</f>
        <v>0</v>
      </c>
      <c r="D118" s="183">
        <f>Zones!G118</f>
        <v>140</v>
      </c>
      <c r="E118" s="447">
        <v>0</v>
      </c>
      <c r="F118" s="447">
        <v>0</v>
      </c>
      <c r="G118" s="161"/>
      <c r="H118" s="161"/>
      <c r="I118" s="184"/>
      <c r="J118" s="185">
        <f>E118*C118</f>
        <v>0</v>
      </c>
      <c r="K118" s="186">
        <f>IF(F118="n/a",D118*I118,F118*D118)</f>
        <v>0</v>
      </c>
      <c r="L118" s="186">
        <f>G118*D118</f>
        <v>0</v>
      </c>
      <c r="M118" s="187">
        <f>MAX(J118:L118)</f>
        <v>0</v>
      </c>
      <c r="N118" s="176"/>
    </row>
    <row r="119" spans="1:27" s="6" customFormat="1" ht="12.75">
      <c r="A119" s="179" t="str">
        <f>Zones!A119</f>
        <v>Stairwell</v>
      </c>
      <c r="B119" s="179" t="str">
        <f>Zones!B119</f>
        <v>NW Stair</v>
      </c>
      <c r="C119" s="183">
        <f>Zones!J119</f>
        <v>0.96</v>
      </c>
      <c r="D119" s="183">
        <f>Zones!G119</f>
        <v>192</v>
      </c>
      <c r="E119" s="447">
        <v>17</v>
      </c>
      <c r="F119" s="447">
        <f>VLOOKUP(A119,A$183:E$205,5,FALSE)</f>
        <v>0.15</v>
      </c>
      <c r="G119" s="161"/>
      <c r="H119" s="161"/>
      <c r="I119" s="184">
        <f>VLOOKUP(A119,A$183:H$205,8,FALSE)</f>
        <v>0</v>
      </c>
      <c r="J119" s="185">
        <f>E119*C119</f>
        <v>16.32</v>
      </c>
      <c r="K119" s="186">
        <f>IF(F119="n/a",D119*I119,F119*D119)</f>
        <v>28.799999999999997</v>
      </c>
      <c r="L119" s="186">
        <f>G119*D119</f>
        <v>0</v>
      </c>
      <c r="M119" s="187">
        <f>MAX(J119:L119)</f>
        <v>28.799999999999997</v>
      </c>
      <c r="N119" s="176"/>
    </row>
    <row r="120" spans="1:27" s="6" customFormat="1" ht="12.75">
      <c r="A120" s="179" t="str">
        <f>Zones!A120</f>
        <v>Stairwell</v>
      </c>
      <c r="B120" s="179" t="str">
        <f>Zones!B120</f>
        <v>SW Stair</v>
      </c>
      <c r="C120" s="183">
        <f>Zones!J120</f>
        <v>0.48</v>
      </c>
      <c r="D120" s="183">
        <f>Zones!G120</f>
        <v>96</v>
      </c>
      <c r="E120" s="447">
        <v>18</v>
      </c>
      <c r="F120" s="447">
        <f>VLOOKUP(A120,A$183:E$205,5,FALSE)</f>
        <v>0.15</v>
      </c>
      <c r="G120" s="161"/>
      <c r="H120" s="161"/>
      <c r="I120" s="184">
        <f>VLOOKUP(A120,A$183:H$205,8,FALSE)</f>
        <v>0</v>
      </c>
      <c r="J120" s="185">
        <f>E120*C120</f>
        <v>8.64</v>
      </c>
      <c r="K120" s="186">
        <f>IF(F120="n/a",D120*I120,F120*D120)</f>
        <v>14.399999999999999</v>
      </c>
      <c r="L120" s="186">
        <f>G120*D120</f>
        <v>0</v>
      </c>
      <c r="M120" s="187">
        <f>MAX(J120:L120)</f>
        <v>14.399999999999999</v>
      </c>
      <c r="N120" s="176"/>
    </row>
    <row r="121" spans="1:27">
      <c r="A121" s="220" t="str">
        <f>Zones!A121</f>
        <v>Total (23 Space types)</v>
      </c>
      <c r="B121" s="220" t="str">
        <f>Zones!B121</f>
        <v>Total ( 118 spaces)</v>
      </c>
      <c r="C121" s="183">
        <f>Zones!J121</f>
        <v>329.1930000000001</v>
      </c>
      <c r="D121" s="183">
        <f>Zones!G121</f>
        <v>40946</v>
      </c>
      <c r="E121" s="447">
        <v>19</v>
      </c>
      <c r="F121" s="447"/>
      <c r="G121" s="161"/>
      <c r="H121" s="161"/>
      <c r="I121" s="327"/>
      <c r="J121" s="185">
        <f>E121*C121</f>
        <v>6254.6670000000022</v>
      </c>
      <c r="K121" s="328">
        <f>IF(F121="n/a",D121*I121,F121*D121)</f>
        <v>0</v>
      </c>
      <c r="L121" s="328">
        <f>G121*D121</f>
        <v>0</v>
      </c>
      <c r="M121" s="187">
        <f>MAX(J121:L121)</f>
        <v>6254.6670000000022</v>
      </c>
      <c r="N121" s="176"/>
      <c r="O121" s="4"/>
      <c r="P121" s="4"/>
      <c r="Q121" s="4"/>
      <c r="R121" s="4"/>
      <c r="S121" s="4"/>
      <c r="T121" s="4"/>
      <c r="U121" s="4"/>
      <c r="V121" s="4"/>
      <c r="W121" s="4"/>
      <c r="X121" s="4"/>
      <c r="Y121" s="4"/>
      <c r="Z121" s="4"/>
      <c r="AA121" s="4"/>
    </row>
    <row r="122" spans="1:27">
      <c r="A122" s="85"/>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c r="A123" s="85"/>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c r="A124" s="85"/>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s="4" customFormat="1" ht="15">
      <c r="A125" s="86"/>
      <c r="B125" s="87"/>
      <c r="C125" s="87"/>
      <c r="D125" s="87"/>
      <c r="E125" s="87"/>
      <c r="F125" s="87"/>
      <c r="G125" s="18"/>
      <c r="H125" s="18"/>
      <c r="I125" s="18"/>
      <c r="J125" s="18"/>
    </row>
    <row r="126" spans="1:2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c r="A133" s="4"/>
      <c r="B133" s="4"/>
      <c r="C133" s="4"/>
      <c r="D133" s="4"/>
      <c r="E133" s="4"/>
      <c r="F133" s="4"/>
      <c r="G133" s="4"/>
      <c r="H133" s="4"/>
      <c r="I133" s="4"/>
      <c r="J133" s="4"/>
      <c r="K133" s="4"/>
      <c r="L133" s="4"/>
      <c r="M133" s="4"/>
      <c r="N133" s="4"/>
      <c r="O133" s="4"/>
      <c r="P133" s="4"/>
      <c r="Q133" s="4"/>
      <c r="R133" s="4"/>
      <c r="S133" s="88"/>
      <c r="T133" s="88"/>
      <c r="U133" s="88"/>
      <c r="V133" s="88"/>
      <c r="W133" s="88"/>
      <c r="X133" s="88"/>
      <c r="Y133" s="88"/>
      <c r="Z133" s="88"/>
      <c r="AA133" s="88"/>
    </row>
    <row r="134" spans="1:27" s="88" customFormat="1">
      <c r="A134" s="19" t="s">
        <v>232</v>
      </c>
      <c r="B134" s="19"/>
      <c r="C134" s="19"/>
      <c r="D134" s="19"/>
      <c r="E134" s="19"/>
      <c r="F134" s="19"/>
      <c r="G134" s="19"/>
      <c r="H134" s="19"/>
      <c r="I134" s="19"/>
      <c r="J134" s="19"/>
      <c r="S134" s="4"/>
      <c r="T134" s="4"/>
      <c r="U134" s="4"/>
      <c r="V134" s="4"/>
      <c r="W134" s="4"/>
      <c r="X134" s="4"/>
      <c r="Y134" s="4"/>
      <c r="Z134" s="4"/>
      <c r="AA134" s="4"/>
    </row>
    <row r="182" spans="1:9" ht="15.6" customHeight="1">
      <c r="A182" s="505" t="str">
        <f>"Outdoor Airflow Rate - "&amp;Prototype!B4</f>
        <v>Outdoor Airflow Rate - Outpatient</v>
      </c>
      <c r="B182" s="505"/>
      <c r="C182" s="505"/>
      <c r="D182" s="505"/>
      <c r="E182" s="505"/>
      <c r="F182" s="505"/>
      <c r="G182" s="505"/>
      <c r="H182" s="505"/>
      <c r="I182" s="505"/>
    </row>
    <row r="183" spans="1:9" ht="51">
      <c r="A183" s="469" t="s">
        <v>70</v>
      </c>
      <c r="B183" s="445" t="s">
        <v>49</v>
      </c>
      <c r="C183" s="445" t="s">
        <v>399</v>
      </c>
      <c r="D183" s="445" t="s">
        <v>400</v>
      </c>
      <c r="E183" s="445" t="s">
        <v>401</v>
      </c>
      <c r="F183" s="445" t="s">
        <v>402</v>
      </c>
      <c r="G183" s="445" t="s">
        <v>403</v>
      </c>
      <c r="H183" s="445" t="s">
        <v>404</v>
      </c>
      <c r="I183" s="469" t="s">
        <v>405</v>
      </c>
    </row>
    <row r="184" spans="1:9">
      <c r="A184" s="108" t="str">
        <f>Zones!A3</f>
        <v>Healthcare Facility and Hospitals (Exam/Treatment Room)</v>
      </c>
      <c r="B184" s="61">
        <f>SUMIF(Zones!A$3:A$120, "*Healthcare Facility and Hospitals (Exam/Treatment Room)*", Zones!G3:G120)</f>
        <v>4606</v>
      </c>
      <c r="C184" s="112">
        <v>10</v>
      </c>
      <c r="D184" s="112">
        <f>(B184/1000)*C184</f>
        <v>46.06</v>
      </c>
      <c r="E184" s="454" t="s">
        <v>52</v>
      </c>
      <c r="F184" s="113" t="s">
        <v>82</v>
      </c>
      <c r="G184" s="454">
        <v>2</v>
      </c>
      <c r="H184" s="76">
        <f>(G184*10)/60</f>
        <v>0.33333333333333331</v>
      </c>
      <c r="I184" s="114">
        <v>1647</v>
      </c>
    </row>
    <row r="185" spans="1:9" ht="38.25">
      <c r="A185" s="108" t="str">
        <f>Zones!A4</f>
        <v>Healthcare Facility and Hospitals (Medical Supply Room)</v>
      </c>
      <c r="B185" s="61">
        <f>SUMIF(Zones!A$3:A$120, "*Healthcare Facility and Hospitals (Medical Supply Room)*", Zones!G$3:G$120)</f>
        <v>765</v>
      </c>
      <c r="C185" s="112">
        <v>10</v>
      </c>
      <c r="D185" s="112">
        <f t="shared" ref="D185:D205" si="27">(B185/1000)*C185</f>
        <v>7.65</v>
      </c>
      <c r="E185" s="454" t="s">
        <v>52</v>
      </c>
      <c r="F185" s="453" t="s">
        <v>406</v>
      </c>
      <c r="G185" s="454">
        <v>2</v>
      </c>
      <c r="H185" s="76">
        <f t="shared" ref="H185:H191" si="28">(G185*10)/60</f>
        <v>0.33333333333333331</v>
      </c>
      <c r="I185" s="114">
        <v>728</v>
      </c>
    </row>
    <row r="186" spans="1:9" ht="38.25">
      <c r="A186" s="108" t="str">
        <f>Zones!A22</f>
        <v>Healthcare Facility and Hospitals (Imaging Room)</v>
      </c>
      <c r="B186" s="61">
        <f>SUMIF(Zones!A$3:A$120, "*Healthcare Facility and Hospitals (Imaging Room)*", Zones!G$3:G$120)</f>
        <v>1508</v>
      </c>
      <c r="C186" s="112">
        <v>10</v>
      </c>
      <c r="D186" s="112">
        <f t="shared" si="27"/>
        <v>15.08</v>
      </c>
      <c r="E186" s="454" t="s">
        <v>52</v>
      </c>
      <c r="F186" s="453" t="s">
        <v>407</v>
      </c>
      <c r="G186" s="454">
        <v>2</v>
      </c>
      <c r="H186" s="76">
        <f t="shared" si="28"/>
        <v>0.33333333333333331</v>
      </c>
      <c r="I186" s="114">
        <v>3046</v>
      </c>
    </row>
    <row r="187" spans="1:9">
      <c r="A187" s="108" t="str">
        <f>Zones!A29</f>
        <v>Healthcare Facility and Hospitals (Nurse's Station)</v>
      </c>
      <c r="B187" s="61">
        <f>SUMIF(Zones!A$3:A$120, "*Healthcare Facility and Hospitals (Nurse's Station)*", Zones!G$3:G$120)</f>
        <v>591</v>
      </c>
      <c r="C187" s="112">
        <v>10</v>
      </c>
      <c r="D187" s="112">
        <f t="shared" si="27"/>
        <v>5.91</v>
      </c>
      <c r="E187" s="454" t="s">
        <v>52</v>
      </c>
      <c r="F187" s="453"/>
      <c r="G187" s="454">
        <v>2</v>
      </c>
      <c r="H187" s="76">
        <f t="shared" si="28"/>
        <v>0.33333333333333331</v>
      </c>
      <c r="I187" s="114">
        <f>H187*B187</f>
        <v>197</v>
      </c>
    </row>
    <row r="188" spans="1:9">
      <c r="A188" s="108" t="str">
        <f>Zones!A32</f>
        <v>Healthcare Facility and Hospitals (Operating Room)</v>
      </c>
      <c r="B188" s="61">
        <f>SUMIF(Zones!A$3:A$120, "*Healthcare Facility and Hospitals (Operating Room)*", Zones!G$3:G$120)</f>
        <v>1416</v>
      </c>
      <c r="C188" s="112">
        <v>10</v>
      </c>
      <c r="D188" s="112">
        <f t="shared" si="27"/>
        <v>14.16</v>
      </c>
      <c r="E188" s="454" t="s">
        <v>52</v>
      </c>
      <c r="F188" s="453"/>
      <c r="G188" s="454">
        <v>2</v>
      </c>
      <c r="H188" s="76">
        <f t="shared" si="28"/>
        <v>0.33333333333333331</v>
      </c>
      <c r="I188" s="114">
        <f t="shared" ref="I188:I190" si="29">H188*B188</f>
        <v>472</v>
      </c>
    </row>
    <row r="189" spans="1:9">
      <c r="A189" s="94" t="str">
        <f>Zones!A35</f>
        <v>Healthcare Facility and Hospitals (Recovery Room)</v>
      </c>
      <c r="B189" s="61">
        <f>SUMIF(Zones!A$3:A$120, "*Healthcare Facility and Hospitals (Recovery Room)*", Zones!G$3:G$120)</f>
        <v>948</v>
      </c>
      <c r="C189" s="112">
        <v>10</v>
      </c>
      <c r="D189" s="112">
        <f t="shared" si="27"/>
        <v>9.48</v>
      </c>
      <c r="E189" s="454" t="s">
        <v>52</v>
      </c>
      <c r="F189" s="453"/>
      <c r="G189" s="453">
        <v>2</v>
      </c>
      <c r="H189" s="76">
        <f t="shared" si="28"/>
        <v>0.33333333333333331</v>
      </c>
      <c r="I189" s="114">
        <f t="shared" si="29"/>
        <v>316</v>
      </c>
    </row>
    <row r="190" spans="1:9" ht="25.5">
      <c r="A190" s="108" t="str">
        <f>Zones!A107</f>
        <v>Healthcare Facility and Hospitals (Physical Therapy Room)</v>
      </c>
      <c r="B190" s="61">
        <f>SUMIF(Zones!A$3:A$120, "*Healthcare Facility and Hospitals (Physical Therapy Room)*", Zones!G$3:G$120)</f>
        <v>1892</v>
      </c>
      <c r="C190" s="112">
        <v>10</v>
      </c>
      <c r="D190" s="112">
        <f t="shared" si="27"/>
        <v>18.919999999999998</v>
      </c>
      <c r="E190" s="454" t="s">
        <v>52</v>
      </c>
      <c r="F190" s="453"/>
      <c r="G190" s="454">
        <v>2</v>
      </c>
      <c r="H190" s="76">
        <f t="shared" si="28"/>
        <v>0.33333333333333331</v>
      </c>
      <c r="I190" s="114">
        <f t="shared" si="29"/>
        <v>630.66666666666663</v>
      </c>
    </row>
    <row r="191" spans="1:9">
      <c r="A191" s="108" t="str">
        <f>Zones!A37</f>
        <v>Healthcare Facility and Hospitals (Patient Room)</v>
      </c>
      <c r="B191" s="61">
        <f>SUMIF(Zones!A$3:A$120, "*Healthcare Facility and Hospitals (Patient Room)*", Zones!G$3:G$120)</f>
        <v>527</v>
      </c>
      <c r="C191" s="112">
        <v>10</v>
      </c>
      <c r="D191" s="112">
        <f t="shared" si="27"/>
        <v>5.2700000000000005</v>
      </c>
      <c r="E191" s="454" t="s">
        <v>52</v>
      </c>
      <c r="F191" s="454"/>
      <c r="G191" s="454">
        <v>2</v>
      </c>
      <c r="H191" s="76">
        <f t="shared" si="28"/>
        <v>0.33333333333333331</v>
      </c>
      <c r="I191" s="114">
        <f>H191*B191</f>
        <v>175.66666666666666</v>
      </c>
    </row>
    <row r="192" spans="1:9">
      <c r="A192" s="108" t="str">
        <f>Zones!A5</f>
        <v>Dining Area (Cafeteria/Fast Food)</v>
      </c>
      <c r="B192" s="61">
        <f>SUMIF(Zones!A$3:A$120, "*Dining Area (Cafeteria/Fast Food)*", Zones!G$3:G$120)</f>
        <v>420</v>
      </c>
      <c r="C192" s="112">
        <f>Zones!K5</f>
        <v>33</v>
      </c>
      <c r="D192" s="112">
        <f t="shared" si="27"/>
        <v>13.86</v>
      </c>
      <c r="E192" s="454">
        <v>0.15</v>
      </c>
      <c r="F192" s="454"/>
      <c r="G192" s="454"/>
      <c r="H192" s="76"/>
      <c r="I192" s="114">
        <f t="shared" ref="I192:I205" si="30">MAX(D192*15,B192*E192,F192*B192)</f>
        <v>207.89999999999998</v>
      </c>
    </row>
    <row r="193" spans="1:10">
      <c r="A193" s="108" t="str">
        <f>Zones!A8</f>
        <v>Office Area (&lt;250 square feet)</v>
      </c>
      <c r="B193" s="61">
        <f>SUMIF(Zones!A$3:A$120, "*Office Area (&lt;250 square feet)*", Zones!G$3:G$120)</f>
        <v>676</v>
      </c>
      <c r="C193" s="112">
        <f>Zones!K8</f>
        <v>5</v>
      </c>
      <c r="D193" s="112">
        <f t="shared" si="27"/>
        <v>3.3800000000000003</v>
      </c>
      <c r="E193" s="454">
        <v>0.15</v>
      </c>
      <c r="F193" s="454"/>
      <c r="G193" s="454"/>
      <c r="H193" s="76"/>
      <c r="I193" s="114">
        <f t="shared" si="30"/>
        <v>101.39999999999999</v>
      </c>
      <c r="J193" s="4"/>
    </row>
    <row r="194" spans="1:10">
      <c r="A194" s="108" t="str">
        <f>Zones!A31</f>
        <v>Office Area (&gt;250 square feet)</v>
      </c>
      <c r="B194" s="61">
        <f>SUMIF(Zones!A$3:A$120, "*Office Area (&gt;250 square feet)*", Zones!G$3:G$120)</f>
        <v>7009</v>
      </c>
      <c r="C194" s="112">
        <v>5</v>
      </c>
      <c r="D194" s="112">
        <f t="shared" si="27"/>
        <v>35.045000000000002</v>
      </c>
      <c r="E194" s="454">
        <v>0.15</v>
      </c>
      <c r="F194" s="454"/>
      <c r="G194" s="454"/>
      <c r="H194" s="76"/>
      <c r="I194" s="114">
        <f t="shared" si="30"/>
        <v>1051.3499999999999</v>
      </c>
      <c r="J194" s="4"/>
    </row>
    <row r="195" spans="1:10">
      <c r="A195" s="108" t="str">
        <f>Zones!A58</f>
        <v>Convention, Conference, Multipurpose and Meeting Area</v>
      </c>
      <c r="B195" s="61">
        <f>SUMIF(Zones!A$3:A$120, "*Conference/Meeting*", Zones!G$3:G$120)</f>
        <v>0</v>
      </c>
      <c r="C195" s="112">
        <f>Zones!K58</f>
        <v>33</v>
      </c>
      <c r="D195" s="112">
        <f t="shared" si="27"/>
        <v>0</v>
      </c>
      <c r="E195" s="454">
        <v>0.15</v>
      </c>
      <c r="F195" s="454"/>
      <c r="G195" s="454"/>
      <c r="H195" s="76"/>
      <c r="I195" s="114">
        <f t="shared" si="30"/>
        <v>0</v>
      </c>
      <c r="J195" s="4"/>
    </row>
    <row r="196" spans="1:10">
      <c r="A196" s="108" t="str">
        <f>Zones!A15</f>
        <v>Lobby, Main Entry</v>
      </c>
      <c r="B196" s="61">
        <f>SUMIF(Zones!A$3:A$120, "*Lobby, Main Entry*", Zones!G$3:G$120)</f>
        <v>622</v>
      </c>
      <c r="C196" s="112">
        <f>Zones!K15</f>
        <v>33</v>
      </c>
      <c r="D196" s="112">
        <f t="shared" si="27"/>
        <v>20.526</v>
      </c>
      <c r="E196" s="454">
        <v>0.15</v>
      </c>
      <c r="F196" s="454"/>
      <c r="G196" s="454"/>
      <c r="H196" s="76"/>
      <c r="I196" s="114">
        <f t="shared" si="30"/>
        <v>307.89</v>
      </c>
      <c r="J196" s="4"/>
    </row>
    <row r="197" spans="1:10">
      <c r="A197" s="108" t="str">
        <f>Zones!A13</f>
        <v>Corridor Area</v>
      </c>
      <c r="B197" s="61">
        <f>SUMIF(Zones!A$3:A$120, "*Corridor Area*", Zones!G$3:G$120)</f>
        <v>7879</v>
      </c>
      <c r="C197" s="112">
        <f>Zones!K16</f>
        <v>5</v>
      </c>
      <c r="D197" s="112">
        <f t="shared" si="27"/>
        <v>39.394999999999996</v>
      </c>
      <c r="E197" s="454">
        <v>0.15</v>
      </c>
      <c r="F197" s="454"/>
      <c r="G197" s="454"/>
      <c r="H197" s="76"/>
      <c r="I197" s="114">
        <f>MAX(D197*15,B197*E197,F197*B197)</f>
        <v>1181.8499999999999</v>
      </c>
      <c r="J197" s="4"/>
    </row>
    <row r="198" spans="1:10">
      <c r="A198" s="108" t="str">
        <f>Zones!A17</f>
        <v>Restrooms</v>
      </c>
      <c r="B198" s="61">
        <f>SUMIF(Zones!A$3:A$120, "*Restroom*", Zones!G$3:G$120)</f>
        <v>790</v>
      </c>
      <c r="C198" s="112">
        <f>Zones!K17</f>
        <v>5</v>
      </c>
      <c r="D198" s="112">
        <f t="shared" si="27"/>
        <v>3.95</v>
      </c>
      <c r="E198" s="454">
        <v>0.15</v>
      </c>
      <c r="F198" s="454" t="s">
        <v>408</v>
      </c>
      <c r="G198" s="454"/>
      <c r="H198" s="76"/>
      <c r="I198" s="114">
        <v>0</v>
      </c>
      <c r="J198" s="6"/>
    </row>
    <row r="199" spans="1:10">
      <c r="A199" s="108" t="str">
        <f>Zones!A18</f>
        <v>Locker Room</v>
      </c>
      <c r="B199" s="61">
        <f>SUMIF(Zones!A$3:A$120, "*Locker Room *", Zones!G$3:G$120)</f>
        <v>0</v>
      </c>
      <c r="C199" s="112">
        <f>Zones!K18</f>
        <v>20</v>
      </c>
      <c r="D199" s="112">
        <f t="shared" si="27"/>
        <v>0</v>
      </c>
      <c r="E199" s="454">
        <v>0.15</v>
      </c>
      <c r="F199" s="454">
        <v>0.25</v>
      </c>
      <c r="G199" s="454"/>
      <c r="H199" s="76"/>
      <c r="I199" s="114">
        <f t="shared" si="30"/>
        <v>0</v>
      </c>
      <c r="J199" s="4"/>
    </row>
    <row r="200" spans="1:10">
      <c r="A200" s="108" t="str">
        <f>Zones!A26</f>
        <v>Kitchen/Food Preparation Area</v>
      </c>
      <c r="B200" s="61">
        <f>SUMIF(Zones!A$3:A$120, "*Kitchen/Food Preparation Area*", Zones!G$3:G$120)</f>
        <v>182</v>
      </c>
      <c r="C200" s="112">
        <f>Zones!K26</f>
        <v>3</v>
      </c>
      <c r="D200" s="112">
        <f t="shared" si="27"/>
        <v>0.54600000000000004</v>
      </c>
      <c r="E200" s="454">
        <v>0.15</v>
      </c>
      <c r="F200" s="454">
        <v>0.7</v>
      </c>
      <c r="G200" s="454"/>
      <c r="H200" s="76"/>
      <c r="I200" s="114">
        <f t="shared" si="30"/>
        <v>127.39999999999999</v>
      </c>
      <c r="J200" s="4"/>
    </row>
    <row r="201" spans="1:10">
      <c r="A201" s="108" t="str">
        <f>Zones!A28</f>
        <v>Storage (General)</v>
      </c>
      <c r="B201" s="61">
        <f>SUMIF(Zones!A$3:A$120, "*Storage*", Zones!G$3:G$120)</f>
        <v>6172</v>
      </c>
      <c r="C201" s="112">
        <f>Zones!K28</f>
        <v>2</v>
      </c>
      <c r="D201" s="112">
        <f t="shared" si="27"/>
        <v>12.343999999999999</v>
      </c>
      <c r="E201" s="454">
        <v>0.15</v>
      </c>
      <c r="F201" s="454"/>
      <c r="G201" s="454"/>
      <c r="H201" s="76"/>
      <c r="I201" s="114">
        <f t="shared" si="30"/>
        <v>925.8</v>
      </c>
      <c r="J201" s="4"/>
    </row>
    <row r="202" spans="1:10">
      <c r="A202" s="108" t="str">
        <f>Zones!A20</f>
        <v>Lounge, Breakroom, or Waiting Area</v>
      </c>
      <c r="B202" s="61">
        <f>SUMIF(Zones!A$3:A$120, "*Breakroom/Lounge*", Zones!G$3:G$120)</f>
        <v>0</v>
      </c>
      <c r="C202" s="112">
        <f>Zones!K20</f>
        <v>33</v>
      </c>
      <c r="D202" s="112">
        <f t="shared" si="27"/>
        <v>0</v>
      </c>
      <c r="E202" s="454">
        <v>0.15</v>
      </c>
      <c r="F202" s="454"/>
      <c r="G202" s="454"/>
      <c r="H202" s="76"/>
      <c r="I202" s="114">
        <f t="shared" si="30"/>
        <v>0</v>
      </c>
      <c r="J202" s="4"/>
    </row>
    <row r="203" spans="1:10">
      <c r="A203" s="108" t="str">
        <f>Zones!A41</f>
        <v>Reception area</v>
      </c>
      <c r="B203" s="61">
        <f>SUMIF(Zones!A$3:A$120, "*Reception area*", Zones!G$3:G$120)</f>
        <v>1493</v>
      </c>
      <c r="C203" s="112">
        <f>Zones!K41</f>
        <v>5</v>
      </c>
      <c r="D203" s="112">
        <f t="shared" si="27"/>
        <v>7.4650000000000007</v>
      </c>
      <c r="E203" s="454">
        <v>0.15</v>
      </c>
      <c r="F203" s="454"/>
      <c r="G203" s="454"/>
      <c r="H203" s="76"/>
      <c r="I203" s="114">
        <f t="shared" si="30"/>
        <v>223.95</v>
      </c>
      <c r="J203" s="4"/>
    </row>
    <row r="204" spans="1:10">
      <c r="A204" s="108" t="str">
        <f>Zones!A117</f>
        <v>Stairwell</v>
      </c>
      <c r="B204" s="61">
        <f>SUMIF(Zones!A$3:A$120, "*Stair*", Zones!G$3:G$120)</f>
        <v>456</v>
      </c>
      <c r="C204" s="112">
        <f>Zones!K117</f>
        <v>5</v>
      </c>
      <c r="D204" s="112">
        <f t="shared" si="27"/>
        <v>2.2800000000000002</v>
      </c>
      <c r="E204" s="454">
        <v>0.15</v>
      </c>
      <c r="F204" s="454"/>
      <c r="G204" s="454"/>
      <c r="H204" s="76"/>
      <c r="I204" s="114">
        <f t="shared" si="30"/>
        <v>68.399999999999991</v>
      </c>
      <c r="J204" s="4"/>
    </row>
    <row r="205" spans="1:10">
      <c r="A205" s="108" t="str">
        <f>Zones!A10</f>
        <v>Electrical, Mechanical, Telephone Rooms</v>
      </c>
      <c r="B205" s="61">
        <f>SUMIF(Zones!A$3:A$120, "*Mech/Elec*", Zones!G$3:G$120)</f>
        <v>0</v>
      </c>
      <c r="C205" s="112">
        <f>Zones!K10</f>
        <v>3</v>
      </c>
      <c r="D205" s="112">
        <f t="shared" si="27"/>
        <v>0</v>
      </c>
      <c r="E205" s="454">
        <v>0.15</v>
      </c>
      <c r="F205" s="454"/>
      <c r="G205" s="454"/>
      <c r="H205" s="76"/>
      <c r="I205" s="114">
        <f t="shared" si="30"/>
        <v>0</v>
      </c>
      <c r="J205" s="4"/>
    </row>
    <row r="206" spans="1:10">
      <c r="A206" s="111" t="s">
        <v>409</v>
      </c>
      <c r="B206" s="61">
        <f>SUM(B184:B205)</f>
        <v>37952</v>
      </c>
      <c r="C206" s="454"/>
      <c r="D206" s="112">
        <f>SUM(D184:D205)</f>
        <v>261.32099999999991</v>
      </c>
      <c r="E206" s="454"/>
      <c r="F206" s="454"/>
      <c r="G206" s="454"/>
      <c r="H206" s="454"/>
      <c r="I206" s="114">
        <f>SUM(I184:I205)</f>
        <v>11408.273333333333</v>
      </c>
      <c r="J206" s="4"/>
    </row>
    <row r="207" spans="1:10">
      <c r="A207" s="4"/>
      <c r="B207" s="4"/>
      <c r="C207" s="4"/>
      <c r="D207" s="4"/>
      <c r="E207" s="4"/>
      <c r="F207" s="4"/>
      <c r="G207" s="4"/>
      <c r="H207" s="4"/>
      <c r="I207" s="4"/>
      <c r="J207" s="4"/>
    </row>
  </sheetData>
  <autoFilter ref="A2:N120" xr:uid="{9B1730C9-5C61-418E-9D38-D82374F9BCB6}"/>
  <mergeCells count="2">
    <mergeCell ref="A182:I182"/>
    <mergeCell ref="A1:N1"/>
  </mergeCells>
  <phoneticPr fontId="5" type="noConversion"/>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O222"/>
  <sheetViews>
    <sheetView zoomScale="80" zoomScaleNormal="80" workbookViewId="0">
      <selection sqref="A1:G1"/>
    </sheetView>
  </sheetViews>
  <sheetFormatPr defaultColWidth="8.7109375" defaultRowHeight="12.75"/>
  <cols>
    <col min="1" max="1" width="49.5703125" style="9" bestFit="1" customWidth="1"/>
    <col min="2" max="3" width="22.5703125" style="9" customWidth="1"/>
    <col min="4" max="4" width="19.7109375" style="9" customWidth="1"/>
    <col min="5" max="5" width="51.7109375" style="9" bestFit="1" customWidth="1"/>
    <col min="6" max="6" width="27" style="9" customWidth="1"/>
    <col min="7" max="7" width="29.7109375" style="9" customWidth="1"/>
    <col min="8" max="8" width="9.42578125" style="9" bestFit="1" customWidth="1"/>
    <col min="9" max="9" width="22.42578125" style="9" customWidth="1"/>
    <col min="10" max="10" width="33" style="9" customWidth="1"/>
    <col min="11" max="11" width="13.28515625" style="9" customWidth="1"/>
    <col min="12" max="12" width="15.28515625" style="9" customWidth="1"/>
    <col min="13" max="13" width="11" style="9" customWidth="1"/>
    <col min="14" max="17" width="15.28515625" style="9" customWidth="1"/>
    <col min="18" max="18" width="7.7109375" style="9" hidden="1" customWidth="1"/>
    <col min="19" max="19" width="12.42578125" style="9" hidden="1" customWidth="1"/>
    <col min="20" max="35" width="6.5703125" style="9" hidden="1" customWidth="1"/>
    <col min="36" max="36" width="15.28515625" style="9" customWidth="1"/>
    <col min="37" max="37" width="11.28515625" style="9" customWidth="1"/>
    <col min="38" max="38" width="6.28515625" style="9" customWidth="1"/>
    <col min="39" max="42" width="4.7109375" style="9" customWidth="1"/>
    <col min="43" max="43" width="6.28515625" style="9" customWidth="1"/>
    <col min="44" max="58" width="4.7109375" style="9" customWidth="1"/>
    <col min="59" max="16384" width="8.7109375" style="9"/>
  </cols>
  <sheetData>
    <row r="1" spans="1:7" ht="24" customHeight="1">
      <c r="A1" s="492" t="str">
        <f>"Water Heater - "&amp;Prototype!A2</f>
        <v>Water Heater - Outpatient</v>
      </c>
      <c r="B1" s="492"/>
      <c r="C1" s="492"/>
      <c r="D1" s="492"/>
      <c r="E1" s="492"/>
      <c r="F1" s="492"/>
      <c r="G1" s="492"/>
    </row>
    <row r="2" spans="1:7" ht="22.15" customHeight="1">
      <c r="A2" s="273" t="s">
        <v>237</v>
      </c>
      <c r="B2" s="273" t="s">
        <v>410</v>
      </c>
      <c r="C2" s="273" t="s">
        <v>411</v>
      </c>
      <c r="D2" s="273" t="s">
        <v>412</v>
      </c>
      <c r="E2" s="548" t="s">
        <v>413</v>
      </c>
      <c r="F2" s="549"/>
      <c r="G2" s="273" t="s">
        <v>239</v>
      </c>
    </row>
    <row r="3" spans="1:7" ht="31.15" customHeight="1">
      <c r="A3" s="443" t="s">
        <v>414</v>
      </c>
      <c r="B3" s="443" t="s">
        <v>366</v>
      </c>
      <c r="C3" s="226">
        <v>0.8</v>
      </c>
      <c r="D3" s="272">
        <f>F135</f>
        <v>30</v>
      </c>
      <c r="E3" s="272">
        <f>G137</f>
        <v>649.11312575568274</v>
      </c>
      <c r="F3" s="443" t="s">
        <v>415</v>
      </c>
      <c r="G3" s="161"/>
    </row>
    <row r="4" spans="1:7" ht="33.6" customHeight="1">
      <c r="A4" s="443" t="s">
        <v>316</v>
      </c>
      <c r="B4" s="443" t="s">
        <v>366</v>
      </c>
      <c r="C4" s="226">
        <v>0.8</v>
      </c>
      <c r="D4" s="272">
        <f>F133</f>
        <v>30</v>
      </c>
      <c r="E4" s="272">
        <f>G133</f>
        <v>649.11312575568274</v>
      </c>
      <c r="F4" s="443" t="s">
        <v>415</v>
      </c>
      <c r="G4" s="161"/>
    </row>
    <row r="5" spans="1:7" ht="14.65" customHeight="1"/>
    <row r="6" spans="1:7" ht="13.9" customHeight="1"/>
    <row r="7" spans="1:7" ht="16.149999999999999" customHeight="1">
      <c r="A7" s="492" t="s">
        <v>416</v>
      </c>
      <c r="B7" s="492"/>
      <c r="C7" s="492"/>
      <c r="D7" s="492"/>
      <c r="E7" s="492"/>
      <c r="F7" s="492"/>
      <c r="G7" s="492"/>
    </row>
    <row r="8" spans="1:7" ht="51">
      <c r="A8" s="157" t="s">
        <v>417</v>
      </c>
      <c r="B8" s="157" t="s">
        <v>418</v>
      </c>
      <c r="C8" s="157" t="s">
        <v>419</v>
      </c>
      <c r="D8" s="157" t="s">
        <v>79</v>
      </c>
      <c r="E8" s="157" t="s">
        <v>420</v>
      </c>
      <c r="F8" s="157" t="s">
        <v>421</v>
      </c>
      <c r="G8" s="157" t="s">
        <v>422</v>
      </c>
    </row>
    <row r="9" spans="1:7" ht="22.15" customHeight="1">
      <c r="A9" s="222" t="str">
        <f>Zones!B3</f>
        <v>Floor 1 Anesthesia</v>
      </c>
      <c r="B9" s="442" t="s">
        <v>366</v>
      </c>
      <c r="C9" s="223">
        <f>Zones!G3</f>
        <v>108</v>
      </c>
      <c r="D9" s="215">
        <f>Zones!J3</f>
        <v>1.08</v>
      </c>
      <c r="E9" s="225">
        <f>VLOOKUP(Zones!A3,'Water Heater'!$A$201:$B$222, 2, FALSE)</f>
        <v>0.24</v>
      </c>
      <c r="F9" s="177">
        <f>E9*D9</f>
        <v>0.25919999999999999</v>
      </c>
      <c r="G9" s="329">
        <f t="shared" ref="G9:G31" si="0">F9/60</f>
        <v>4.3200000000000001E-3</v>
      </c>
    </row>
    <row r="10" spans="1:7" ht="22.15" customHeight="1">
      <c r="A10" s="222" t="str">
        <f>Zones!B4</f>
        <v>Floor 1 Bio Haz</v>
      </c>
      <c r="B10" s="442" t="s">
        <v>366</v>
      </c>
      <c r="C10" s="223">
        <f>Zones!G4</f>
        <v>56</v>
      </c>
      <c r="D10" s="215">
        <f>Zones!J4</f>
        <v>0.56000000000000005</v>
      </c>
      <c r="E10" s="225">
        <f>VLOOKUP(Zones!A4,'Water Heater'!$A$201:$B$222, 2, FALSE)</f>
        <v>0.24</v>
      </c>
      <c r="F10" s="177">
        <f t="shared" ref="F10:F73" si="1">E10*D10</f>
        <v>0.13440000000000002</v>
      </c>
      <c r="G10" s="329">
        <f t="shared" si="0"/>
        <v>2.2400000000000002E-3</v>
      </c>
    </row>
    <row r="11" spans="1:7" ht="22.15" customHeight="1">
      <c r="A11" s="222" t="str">
        <f>Zones!B5</f>
        <v>Floor 1 Café</v>
      </c>
      <c r="B11" s="442" t="s">
        <v>366</v>
      </c>
      <c r="C11" s="223">
        <f>Zones!G5</f>
        <v>420</v>
      </c>
      <c r="D11" s="215">
        <f>Zones!J5</f>
        <v>13.86</v>
      </c>
      <c r="E11" s="225">
        <f>VLOOKUP(Zones!A5,'Water Heater'!$A$201:$B$222, 2, FALSE)</f>
        <v>0.57799999999999996</v>
      </c>
      <c r="F11" s="177">
        <f t="shared" si="1"/>
        <v>8.0110799999999998</v>
      </c>
      <c r="G11" s="224">
        <f t="shared" si="0"/>
        <v>0.133518</v>
      </c>
    </row>
    <row r="12" spans="1:7" ht="22.15" customHeight="1">
      <c r="A12" s="222" t="str">
        <f>Zones!B6</f>
        <v>Floor 1 Clean</v>
      </c>
      <c r="B12" s="442" t="s">
        <v>366</v>
      </c>
      <c r="C12" s="223">
        <f>Zones!G6</f>
        <v>126</v>
      </c>
      <c r="D12" s="215">
        <f>Zones!J6</f>
        <v>1.26</v>
      </c>
      <c r="E12" s="225">
        <f>VLOOKUP(Zones!A6,'Water Heater'!$A$201:$B$222, 2, FALSE)</f>
        <v>0.24</v>
      </c>
      <c r="F12" s="177">
        <f t="shared" si="1"/>
        <v>0.3024</v>
      </c>
      <c r="G12" s="224">
        <f t="shared" si="0"/>
        <v>5.0400000000000002E-3</v>
      </c>
    </row>
    <row r="13" spans="1:7" ht="22.15" customHeight="1">
      <c r="A13" s="222" t="str">
        <f>Zones!B7</f>
        <v>Floor 1 Clean Work</v>
      </c>
      <c r="B13" s="442" t="s">
        <v>366</v>
      </c>
      <c r="C13" s="223">
        <f>Zones!G7</f>
        <v>165</v>
      </c>
      <c r="D13" s="215">
        <f>Zones!J7</f>
        <v>1.65</v>
      </c>
      <c r="E13" s="225">
        <f>VLOOKUP(Zones!A7,'Water Heater'!$A$201:$B$222, 2, FALSE)</f>
        <v>0.24</v>
      </c>
      <c r="F13" s="177">
        <f t="shared" si="1"/>
        <v>0.39599999999999996</v>
      </c>
      <c r="G13" s="224">
        <f t="shared" si="0"/>
        <v>6.5999999999999991E-3</v>
      </c>
    </row>
    <row r="14" spans="1:7" ht="22.15" customHeight="1">
      <c r="A14" s="222" t="str">
        <f>Zones!B8</f>
        <v>Floor 1 Dictation</v>
      </c>
      <c r="B14" s="442" t="s">
        <v>366</v>
      </c>
      <c r="C14" s="223">
        <f>Zones!G8</f>
        <v>126</v>
      </c>
      <c r="D14" s="215">
        <f>Zones!J8</f>
        <v>0.63</v>
      </c>
      <c r="E14" s="225">
        <f>VLOOKUP(Zones!A8,'Water Heater'!$A$201:$B$222, 2, FALSE)</f>
        <v>0.18</v>
      </c>
      <c r="F14" s="177">
        <f t="shared" si="1"/>
        <v>0.1134</v>
      </c>
      <c r="G14" s="224">
        <f t="shared" si="0"/>
        <v>1.89E-3</v>
      </c>
    </row>
    <row r="15" spans="1:7" ht="22.15" customHeight="1">
      <c r="A15" s="222" t="str">
        <f>Zones!B9</f>
        <v>Floor 1 Dressing Room</v>
      </c>
      <c r="B15" s="442" t="s">
        <v>366</v>
      </c>
      <c r="C15" s="223">
        <f>Zones!G9</f>
        <v>45</v>
      </c>
      <c r="D15" s="215">
        <f>Zones!J9</f>
        <v>0.22500000000000001</v>
      </c>
      <c r="E15" s="225">
        <f>VLOOKUP(Zones!A9,'Water Heater'!$A$201:$B$222, 2, FALSE)</f>
        <v>0.18</v>
      </c>
      <c r="F15" s="177">
        <f t="shared" si="1"/>
        <v>4.0500000000000001E-2</v>
      </c>
      <c r="G15" s="224">
        <f t="shared" si="0"/>
        <v>6.7500000000000004E-4</v>
      </c>
    </row>
    <row r="16" spans="1:7" ht="22.15" customHeight="1">
      <c r="A16" s="222" t="str">
        <f>Zones!B10</f>
        <v>Floor 1 Electrical Room</v>
      </c>
      <c r="B16" s="442" t="s">
        <v>366</v>
      </c>
      <c r="C16" s="223">
        <f>Zones!G10</f>
        <v>98</v>
      </c>
      <c r="D16" s="215">
        <f>Zones!J10</f>
        <v>0.29399999999999998</v>
      </c>
      <c r="E16" s="225">
        <f>VLOOKUP(Zones!A10,'Water Heater'!$A$201:$B$222, 2, FALSE)</f>
        <v>0.18</v>
      </c>
      <c r="F16" s="177">
        <f t="shared" si="1"/>
        <v>5.2919999999999995E-2</v>
      </c>
      <c r="G16" s="224">
        <f t="shared" si="0"/>
        <v>8.8199999999999986E-4</v>
      </c>
    </row>
    <row r="17" spans="1:8" ht="22.15" customHeight="1">
      <c r="A17" s="222" t="str">
        <f>Zones!B11</f>
        <v>Floor 1 Elevator Pump Room</v>
      </c>
      <c r="B17" s="442" t="s">
        <v>366</v>
      </c>
      <c r="C17" s="223">
        <f>Zones!G11</f>
        <v>91</v>
      </c>
      <c r="D17" s="215">
        <f>Zones!J11</f>
        <v>0.27300000000000002</v>
      </c>
      <c r="E17" s="225">
        <f>VLOOKUP(Zones!A11,'Water Heater'!$A$201:$B$222, 2, FALSE)</f>
        <v>0.18</v>
      </c>
      <c r="F17" s="177">
        <f t="shared" si="1"/>
        <v>4.9140000000000003E-2</v>
      </c>
      <c r="G17" s="224">
        <f t="shared" si="0"/>
        <v>8.1900000000000007E-4</v>
      </c>
    </row>
    <row r="18" spans="1:8" ht="22.15" customHeight="1">
      <c r="A18" s="222" t="str">
        <f>Zones!B12</f>
        <v>Floor 1 Humid</v>
      </c>
      <c r="B18" s="442" t="s">
        <v>366</v>
      </c>
      <c r="C18" s="223">
        <f>Zones!G12</f>
        <v>54</v>
      </c>
      <c r="D18" s="215">
        <f>Zones!J12</f>
        <v>0.27</v>
      </c>
      <c r="E18" s="225">
        <f>VLOOKUP(Zones!A12,'Water Heater'!$A$201:$B$222, 2, FALSE)</f>
        <v>0.18</v>
      </c>
      <c r="F18" s="177">
        <f t="shared" si="1"/>
        <v>4.8600000000000004E-2</v>
      </c>
      <c r="G18" s="224">
        <f t="shared" si="0"/>
        <v>8.1000000000000006E-4</v>
      </c>
    </row>
    <row r="19" spans="1:8" ht="22.15" customHeight="1">
      <c r="A19" s="222" t="str">
        <f>Zones!B13</f>
        <v>Floor 1 IT Hall</v>
      </c>
      <c r="B19" s="442" t="s">
        <v>366</v>
      </c>
      <c r="C19" s="223">
        <f>Zones!G13</f>
        <v>140</v>
      </c>
      <c r="D19" s="215">
        <f>Zones!J13</f>
        <v>0.7</v>
      </c>
      <c r="E19" s="225">
        <f>VLOOKUP(Zones!A13,'Water Heater'!$A$201:$B$222, 2, FALSE)</f>
        <v>0</v>
      </c>
      <c r="F19" s="177">
        <f t="shared" si="1"/>
        <v>0</v>
      </c>
      <c r="G19" s="224">
        <f t="shared" si="0"/>
        <v>0</v>
      </c>
    </row>
    <row r="20" spans="1:8" ht="22.15" customHeight="1">
      <c r="A20" s="222" t="str">
        <f>Zones!B14</f>
        <v>Floor 1 IT Room</v>
      </c>
      <c r="B20" s="442" t="s">
        <v>366</v>
      </c>
      <c r="C20" s="223">
        <f>Zones!G14</f>
        <v>112</v>
      </c>
      <c r="D20" s="215">
        <f>Zones!J14</f>
        <v>0.56000000000000005</v>
      </c>
      <c r="E20" s="225">
        <f>VLOOKUP(Zones!A14,'Water Heater'!$A$201:$B$222, 2, FALSE)</f>
        <v>0.18</v>
      </c>
      <c r="F20" s="177">
        <f t="shared" si="1"/>
        <v>0.1008</v>
      </c>
      <c r="G20" s="224">
        <f t="shared" si="0"/>
        <v>1.6800000000000001E-3</v>
      </c>
    </row>
    <row r="21" spans="1:8" ht="22.15" customHeight="1">
      <c r="A21" s="222" t="str">
        <f>Zones!B15</f>
        <v>Floor 1 Lobby</v>
      </c>
      <c r="B21" s="442" t="s">
        <v>366</v>
      </c>
      <c r="C21" s="223">
        <f>Zones!G15</f>
        <v>622</v>
      </c>
      <c r="D21" s="215">
        <f>Zones!J15</f>
        <v>20.526</v>
      </c>
      <c r="E21" s="225">
        <f>VLOOKUP(Zones!A15,'Water Heater'!$A$201:$B$222, 2, FALSE)</f>
        <v>0.09</v>
      </c>
      <c r="F21" s="177">
        <f t="shared" si="1"/>
        <v>1.84734</v>
      </c>
      <c r="G21" s="224">
        <f t="shared" si="0"/>
        <v>3.0789E-2</v>
      </c>
    </row>
    <row r="22" spans="1:8" ht="22.15" customHeight="1">
      <c r="A22" s="222" t="str">
        <f>Zones!B16</f>
        <v>Floor 1 Lobby Hall</v>
      </c>
      <c r="B22" s="442" t="s">
        <v>366</v>
      </c>
      <c r="C22" s="223">
        <f>Zones!G16</f>
        <v>240</v>
      </c>
      <c r="D22" s="215">
        <f>Zones!J16</f>
        <v>1.2</v>
      </c>
      <c r="E22" s="225">
        <f>VLOOKUP(Zones!A16,'Water Heater'!$A$201:$B$222, 2, FALSE)</f>
        <v>0</v>
      </c>
      <c r="F22" s="177">
        <f t="shared" si="1"/>
        <v>0</v>
      </c>
      <c r="G22" s="224">
        <f t="shared" si="0"/>
        <v>0</v>
      </c>
    </row>
    <row r="23" spans="1:8" ht="22.15" customHeight="1">
      <c r="A23" s="222" t="str">
        <f>Zones!B17</f>
        <v>Floor 1 Lobby Toilet</v>
      </c>
      <c r="B23" s="442" t="s">
        <v>366</v>
      </c>
      <c r="C23" s="223">
        <f>Zones!G17</f>
        <v>54</v>
      </c>
      <c r="D23" s="215">
        <f>Zones!J17</f>
        <v>0.27</v>
      </c>
      <c r="E23" s="225">
        <f>VLOOKUP(Zones!A17,'Water Heater'!$A$201:$B$222, 2, FALSE)</f>
        <v>0</v>
      </c>
      <c r="F23" s="177">
        <f t="shared" si="1"/>
        <v>0</v>
      </c>
      <c r="G23" s="224">
        <f t="shared" si="0"/>
        <v>0</v>
      </c>
    </row>
    <row r="24" spans="1:8" ht="22.15" customHeight="1">
      <c r="A24" s="222" t="str">
        <f>Zones!B18</f>
        <v>Floor 1 Locker Room</v>
      </c>
      <c r="B24" s="442" t="s">
        <v>366</v>
      </c>
      <c r="C24" s="223">
        <f>Zones!G18</f>
        <v>660</v>
      </c>
      <c r="D24" s="215">
        <f>Zones!J18</f>
        <v>13.2</v>
      </c>
      <c r="E24" s="225">
        <f>VLOOKUP(Zones!A18,'Water Heater'!$A$201:$B$222, 2, FALSE)</f>
        <v>0.57799999999999996</v>
      </c>
      <c r="F24" s="177">
        <f t="shared" si="1"/>
        <v>7.629599999999999</v>
      </c>
      <c r="G24" s="224">
        <f t="shared" si="0"/>
        <v>0.12716</v>
      </c>
    </row>
    <row r="25" spans="1:8" ht="22.15" customHeight="1">
      <c r="A25" s="222" t="str">
        <f>Zones!B19</f>
        <v>Floor 1 Locker Room Hall</v>
      </c>
      <c r="B25" s="442" t="s">
        <v>366</v>
      </c>
      <c r="C25" s="223">
        <f>Zones!G19</f>
        <v>496</v>
      </c>
      <c r="D25" s="215">
        <f>Zones!J19</f>
        <v>2.48</v>
      </c>
      <c r="E25" s="225">
        <f>VLOOKUP(Zones!A19,'Water Heater'!$A$201:$B$222, 2, FALSE)</f>
        <v>0</v>
      </c>
      <c r="F25" s="177">
        <f t="shared" si="1"/>
        <v>0</v>
      </c>
      <c r="G25" s="224">
        <f t="shared" si="0"/>
        <v>0</v>
      </c>
    </row>
    <row r="26" spans="1:8" ht="22.15" customHeight="1">
      <c r="A26" s="222" t="str">
        <f>Zones!B20</f>
        <v>Floor 1 Lounge</v>
      </c>
      <c r="B26" s="442" t="s">
        <v>366</v>
      </c>
      <c r="C26" s="223">
        <f>Zones!G20</f>
        <v>360</v>
      </c>
      <c r="D26" s="215">
        <f>Zones!J20</f>
        <v>11.88</v>
      </c>
      <c r="E26" s="225">
        <f>VLOOKUP(Zones!A20,'Water Heater'!$A$201:$B$222, 2, FALSE)</f>
        <v>0.09</v>
      </c>
      <c r="F26" s="177">
        <f t="shared" si="1"/>
        <v>1.0691999999999999</v>
      </c>
      <c r="G26" s="224">
        <f t="shared" si="0"/>
        <v>1.7819999999999999E-2</v>
      </c>
    </row>
    <row r="27" spans="1:8" ht="22.15" customHeight="1">
      <c r="A27" s="222" t="str">
        <f>Zones!B21</f>
        <v>Floor 1 Med Gas</v>
      </c>
      <c r="B27" s="442" t="s">
        <v>366</v>
      </c>
      <c r="C27" s="223">
        <f>Zones!G21</f>
        <v>56</v>
      </c>
      <c r="D27" s="215">
        <f>Zones!J21</f>
        <v>0.56000000000000005</v>
      </c>
      <c r="E27" s="225">
        <f>VLOOKUP(Zones!A21,'Water Heater'!$A$201:$B$222, 2, FALSE)</f>
        <v>0.24</v>
      </c>
      <c r="F27" s="177">
        <f t="shared" si="1"/>
        <v>0.13440000000000002</v>
      </c>
      <c r="G27" s="224">
        <f t="shared" si="0"/>
        <v>2.2400000000000002E-3</v>
      </c>
    </row>
    <row r="28" spans="1:8" ht="22.15" customHeight="1">
      <c r="A28" s="222" t="str">
        <f>Zones!B22</f>
        <v>Floor 1 MRI Control Room</v>
      </c>
      <c r="B28" s="442" t="s">
        <v>366</v>
      </c>
      <c r="C28" s="223">
        <f>Zones!G22</f>
        <v>168</v>
      </c>
      <c r="D28" s="215">
        <f>Zones!J22</f>
        <v>1.68</v>
      </c>
      <c r="E28" s="225">
        <f>VLOOKUP(Zones!A22,'Water Heater'!$A$201:$B$222, 2, FALSE)</f>
        <v>0.24</v>
      </c>
      <c r="F28" s="177">
        <f t="shared" si="1"/>
        <v>0.40319999999999995</v>
      </c>
      <c r="G28" s="224">
        <f t="shared" si="0"/>
        <v>6.7199999999999994E-3</v>
      </c>
    </row>
    <row r="29" spans="1:8" ht="22.15" customHeight="1">
      <c r="A29" s="222" t="str">
        <f>Zones!B23</f>
        <v>Floor 1 MRI Hall</v>
      </c>
      <c r="B29" s="442" t="s">
        <v>366</v>
      </c>
      <c r="C29" s="223">
        <f>Zones!G23</f>
        <v>147</v>
      </c>
      <c r="D29" s="215">
        <f>Zones!J23</f>
        <v>0.73499999999999999</v>
      </c>
      <c r="E29" s="225">
        <f>VLOOKUP(Zones!A23,'Water Heater'!$A$201:$B$222, 2, FALSE)</f>
        <v>0</v>
      </c>
      <c r="F29" s="177">
        <f t="shared" si="1"/>
        <v>0</v>
      </c>
      <c r="G29" s="224">
        <f t="shared" si="0"/>
        <v>0</v>
      </c>
    </row>
    <row r="30" spans="1:8" ht="22.15" customHeight="1">
      <c r="A30" s="222" t="str">
        <f>Zones!B24</f>
        <v>Floor 1 MRI Room</v>
      </c>
      <c r="B30" s="442" t="s">
        <v>366</v>
      </c>
      <c r="C30" s="223">
        <f>Zones!G24</f>
        <v>440</v>
      </c>
      <c r="D30" s="215">
        <f>Zones!J24</f>
        <v>4.4000000000000004</v>
      </c>
      <c r="E30" s="225">
        <f>VLOOKUP(Zones!A24,'Water Heater'!$A$201:$B$222, 2, FALSE)</f>
        <v>0.24</v>
      </c>
      <c r="F30" s="177">
        <f t="shared" si="1"/>
        <v>1.056</v>
      </c>
      <c r="G30" s="224">
        <f t="shared" si="0"/>
        <v>1.7600000000000001E-2</v>
      </c>
    </row>
    <row r="31" spans="1:8" ht="22.15" customHeight="1">
      <c r="A31" s="222" t="str">
        <f>Zones!B25</f>
        <v>Floor 1 MRI Toilet</v>
      </c>
      <c r="B31" s="442" t="s">
        <v>366</v>
      </c>
      <c r="C31" s="223">
        <f>Zones!G25</f>
        <v>54</v>
      </c>
      <c r="D31" s="215">
        <f>Zones!J25</f>
        <v>0.27</v>
      </c>
      <c r="E31" s="225">
        <f>VLOOKUP(Zones!A25,'Water Heater'!$A$201:$B$222, 2, FALSE)</f>
        <v>0</v>
      </c>
      <c r="F31" s="177">
        <f t="shared" si="1"/>
        <v>0</v>
      </c>
      <c r="G31" s="224">
        <f t="shared" si="0"/>
        <v>0</v>
      </c>
      <c r="H31" s="118"/>
    </row>
    <row r="32" spans="1:8" ht="22.15" customHeight="1">
      <c r="A32" s="222" t="str">
        <f>Zones!B26</f>
        <v>Floor 1 Nourishment</v>
      </c>
      <c r="B32" s="442" t="s">
        <v>366</v>
      </c>
      <c r="C32" s="223">
        <f>Zones!G26</f>
        <v>182</v>
      </c>
      <c r="D32" s="215">
        <f>Zones!J26</f>
        <v>0.54600000000000004</v>
      </c>
      <c r="E32" s="225">
        <f>VLOOKUP(Zones!A26,'Water Heater'!$A$201:$B$222, 2, FALSE)</f>
        <v>0.57799999999999996</v>
      </c>
      <c r="F32" s="177">
        <f t="shared" si="1"/>
        <v>0.31558799999999998</v>
      </c>
      <c r="G32" s="224">
        <f t="shared" ref="G32:G95" si="2">F32/60</f>
        <v>5.2597999999999994E-3</v>
      </c>
      <c r="H32" s="118"/>
    </row>
    <row r="33" spans="1:8" ht="22.15" customHeight="1">
      <c r="A33" s="222" t="str">
        <f>Zones!B27</f>
        <v>Floor 1 Nurse Hall</v>
      </c>
      <c r="B33" s="442" t="s">
        <v>366</v>
      </c>
      <c r="C33" s="223">
        <f>Zones!G27</f>
        <v>496</v>
      </c>
      <c r="D33" s="215">
        <f>Zones!J27</f>
        <v>2.48</v>
      </c>
      <c r="E33" s="225">
        <f>VLOOKUP(Zones!A27,'Water Heater'!$A$201:$B$222, 2, FALSE)</f>
        <v>0</v>
      </c>
      <c r="F33" s="177">
        <f t="shared" si="1"/>
        <v>0</v>
      </c>
      <c r="G33" s="224">
        <f t="shared" si="2"/>
        <v>0</v>
      </c>
      <c r="H33" s="118"/>
    </row>
    <row r="34" spans="1:8" ht="22.15" customHeight="1">
      <c r="A34" s="222" t="str">
        <f>Zones!B28</f>
        <v>Floor 1 Nurse Janitor</v>
      </c>
      <c r="B34" s="442" t="s">
        <v>366</v>
      </c>
      <c r="C34" s="223">
        <f>Zones!G28</f>
        <v>54</v>
      </c>
      <c r="D34" s="215">
        <f>Zones!J28</f>
        <v>0.108</v>
      </c>
      <c r="E34" s="225">
        <f>VLOOKUP(Zones!A28,'Water Heater'!$A$201:$B$222, 2, FALSE)</f>
        <v>0</v>
      </c>
      <c r="F34" s="177">
        <f t="shared" si="1"/>
        <v>0</v>
      </c>
      <c r="G34" s="224">
        <f t="shared" si="2"/>
        <v>0</v>
      </c>
      <c r="H34" s="118"/>
    </row>
    <row r="35" spans="1:8" ht="22.15" customHeight="1">
      <c r="A35" s="222" t="str">
        <f>Zones!B29</f>
        <v>Floor 1 Nurse Station</v>
      </c>
      <c r="B35" s="442" t="s">
        <v>366</v>
      </c>
      <c r="C35" s="223">
        <f>Zones!G29</f>
        <v>261</v>
      </c>
      <c r="D35" s="215">
        <f>Zones!J29</f>
        <v>2.61</v>
      </c>
      <c r="E35" s="225">
        <f>VLOOKUP(Zones!A29,'Water Heater'!$A$201:$B$222, 2, FALSE)</f>
        <v>0.24</v>
      </c>
      <c r="F35" s="177">
        <f t="shared" si="1"/>
        <v>0.62639999999999996</v>
      </c>
      <c r="G35" s="224">
        <f t="shared" si="2"/>
        <v>1.044E-2</v>
      </c>
      <c r="H35" s="118"/>
    </row>
    <row r="36" spans="1:8" ht="22.15" customHeight="1">
      <c r="A36" s="222" t="str">
        <f>Zones!B30</f>
        <v>Floor 1 Nurse Toilet</v>
      </c>
      <c r="B36" s="442" t="s">
        <v>366</v>
      </c>
      <c r="C36" s="223">
        <f>Zones!G30</f>
        <v>54</v>
      </c>
      <c r="D36" s="215">
        <f>Zones!J30</f>
        <v>0.27</v>
      </c>
      <c r="E36" s="225">
        <f>VLOOKUP(Zones!A30,'Water Heater'!$A$201:$B$222, 2, FALSE)</f>
        <v>0</v>
      </c>
      <c r="F36" s="177">
        <f t="shared" si="1"/>
        <v>0</v>
      </c>
      <c r="G36" s="224">
        <f t="shared" si="2"/>
        <v>0</v>
      </c>
      <c r="H36" s="118"/>
    </row>
    <row r="37" spans="1:8" ht="22.15" customHeight="1">
      <c r="A37" s="222" t="str">
        <f>Zones!B31</f>
        <v>Floor 1 Office</v>
      </c>
      <c r="B37" s="442" t="s">
        <v>366</v>
      </c>
      <c r="C37" s="223">
        <f>Zones!G31</f>
        <v>483</v>
      </c>
      <c r="D37" s="215">
        <f>Zones!J31</f>
        <v>2.415</v>
      </c>
      <c r="E37" s="225">
        <f>VLOOKUP(Zones!A31,'Water Heater'!$A$201:$B$222, 2, FALSE)</f>
        <v>0.18</v>
      </c>
      <c r="F37" s="177">
        <f t="shared" si="1"/>
        <v>0.43469999999999998</v>
      </c>
      <c r="G37" s="224">
        <f t="shared" si="2"/>
        <v>7.2449999999999997E-3</v>
      </c>
      <c r="H37" s="118"/>
    </row>
    <row r="38" spans="1:8" ht="22.15" customHeight="1">
      <c r="A38" s="222" t="str">
        <f>Zones!B32</f>
        <v>Floor 1 Operating Room 1</v>
      </c>
      <c r="B38" s="442" t="s">
        <v>366</v>
      </c>
      <c r="C38" s="223">
        <f>Zones!G32</f>
        <v>460</v>
      </c>
      <c r="D38" s="215">
        <f>Zones!J32</f>
        <v>4.5999999999999996</v>
      </c>
      <c r="E38" s="225">
        <f>VLOOKUP(Zones!A32,'Water Heater'!$A$201:$B$222, 2, FALSE)</f>
        <v>0.24</v>
      </c>
      <c r="F38" s="177">
        <f t="shared" si="1"/>
        <v>1.1039999999999999</v>
      </c>
      <c r="G38" s="224">
        <f t="shared" si="2"/>
        <v>1.8399999999999996E-2</v>
      </c>
      <c r="H38" s="118"/>
    </row>
    <row r="39" spans="1:8" ht="22.15" customHeight="1">
      <c r="A39" s="222" t="str">
        <f>Zones!B33</f>
        <v>Floor 1 Operating Room 2</v>
      </c>
      <c r="B39" s="442" t="s">
        <v>366</v>
      </c>
      <c r="C39" s="223">
        <f>Zones!G33</f>
        <v>480</v>
      </c>
      <c r="D39" s="215">
        <f>Zones!J33</f>
        <v>4.8</v>
      </c>
      <c r="E39" s="225">
        <f>VLOOKUP(Zones!A33,'Water Heater'!$A$201:$B$222, 2, FALSE)</f>
        <v>0.24</v>
      </c>
      <c r="F39" s="177">
        <f t="shared" si="1"/>
        <v>1.1519999999999999</v>
      </c>
      <c r="G39" s="224">
        <f t="shared" si="2"/>
        <v>1.9199999999999998E-2</v>
      </c>
      <c r="H39" s="118"/>
    </row>
    <row r="40" spans="1:8" ht="22.15" customHeight="1">
      <c r="A40" s="222" t="str">
        <f>Zones!B34</f>
        <v>Floor 1 Operating Room 3</v>
      </c>
      <c r="B40" s="442" t="s">
        <v>366</v>
      </c>
      <c r="C40" s="223">
        <f>Zones!G34</f>
        <v>476</v>
      </c>
      <c r="D40" s="215">
        <f>Zones!J34</f>
        <v>4.76</v>
      </c>
      <c r="E40" s="225">
        <f>VLOOKUP(Zones!A34,'Water Heater'!$A$201:$B$222, 2, FALSE)</f>
        <v>0.24</v>
      </c>
      <c r="F40" s="177">
        <f t="shared" si="1"/>
        <v>1.1423999999999999</v>
      </c>
      <c r="G40" s="224">
        <f t="shared" si="2"/>
        <v>1.9039999999999998E-2</v>
      </c>
      <c r="H40" s="118"/>
    </row>
    <row r="41" spans="1:8" ht="22.15" customHeight="1">
      <c r="A41" s="222" t="str">
        <f>Zones!B35</f>
        <v>Floor 1 PACU</v>
      </c>
      <c r="B41" s="442" t="s">
        <v>366</v>
      </c>
      <c r="C41" s="223">
        <f>Zones!G35</f>
        <v>108</v>
      </c>
      <c r="D41" s="215">
        <f>Zones!J35</f>
        <v>1.08</v>
      </c>
      <c r="E41" s="225">
        <f>VLOOKUP(Zones!A35,'Water Heater'!$A$201:$B$222, 2, FALSE)</f>
        <v>0.24</v>
      </c>
      <c r="F41" s="177">
        <f t="shared" si="1"/>
        <v>0.25919999999999999</v>
      </c>
      <c r="G41" s="224">
        <f t="shared" si="2"/>
        <v>4.3200000000000001E-3</v>
      </c>
      <c r="H41" s="118"/>
    </row>
    <row r="42" spans="1:8" ht="22.15" customHeight="1">
      <c r="A42" s="222" t="str">
        <f>Zones!B36</f>
        <v>Floor 1 Pre-Op Hall</v>
      </c>
      <c r="B42" s="442" t="s">
        <v>366</v>
      </c>
      <c r="C42" s="223">
        <f>Zones!G36</f>
        <v>528</v>
      </c>
      <c r="D42" s="215">
        <f>Zones!J36</f>
        <v>2.64</v>
      </c>
      <c r="E42" s="225">
        <f>VLOOKUP(Zones!A36,'Water Heater'!$A$201:$B$222, 2, FALSE)</f>
        <v>0</v>
      </c>
      <c r="F42" s="177">
        <f t="shared" si="1"/>
        <v>0</v>
      </c>
      <c r="G42" s="224">
        <f t="shared" si="2"/>
        <v>0</v>
      </c>
      <c r="H42" s="118"/>
    </row>
    <row r="43" spans="1:8" ht="22.15" customHeight="1">
      <c r="A43" s="222" t="str">
        <f>Zones!B37</f>
        <v>Floor 1 Pre-Op Room 1</v>
      </c>
      <c r="B43" s="442" t="s">
        <v>366</v>
      </c>
      <c r="C43" s="223">
        <f>Zones!G37</f>
        <v>189</v>
      </c>
      <c r="D43" s="215">
        <f>Zones!J37</f>
        <v>1.89</v>
      </c>
      <c r="E43" s="225">
        <f>VLOOKUP(Zones!A37,'Water Heater'!$A$201:$B$222, 2, FALSE)</f>
        <v>0.24</v>
      </c>
      <c r="F43" s="177">
        <f t="shared" si="1"/>
        <v>0.45359999999999995</v>
      </c>
      <c r="G43" s="224">
        <f t="shared" si="2"/>
        <v>7.559999999999999E-3</v>
      </c>
      <c r="H43" s="118"/>
    </row>
    <row r="44" spans="1:8" ht="22.15" customHeight="1">
      <c r="A44" s="222" t="str">
        <f>Zones!B38</f>
        <v>Floor 1 Pre-Op Room 2</v>
      </c>
      <c r="B44" s="442" t="s">
        <v>366</v>
      </c>
      <c r="C44" s="223">
        <f>Zones!G38</f>
        <v>338</v>
      </c>
      <c r="D44" s="215">
        <f>Zones!J38</f>
        <v>3.38</v>
      </c>
      <c r="E44" s="225">
        <f>VLOOKUP(Zones!A38,'Water Heater'!$A$201:$B$222, 2, FALSE)</f>
        <v>0.24</v>
      </c>
      <c r="F44" s="177">
        <f t="shared" si="1"/>
        <v>0.81119999999999992</v>
      </c>
      <c r="G44" s="224">
        <f t="shared" si="2"/>
        <v>1.3519999999999999E-2</v>
      </c>
      <c r="H44" s="118"/>
    </row>
    <row r="45" spans="1:8" ht="22.15" customHeight="1">
      <c r="A45" s="222" t="str">
        <f>Zones!B39</f>
        <v>Floor 1 Pre-Op Toilet</v>
      </c>
      <c r="B45" s="442" t="s">
        <v>366</v>
      </c>
      <c r="C45" s="223">
        <f>Zones!G39</f>
        <v>54</v>
      </c>
      <c r="D45" s="215">
        <f>Zones!J39</f>
        <v>0.27</v>
      </c>
      <c r="E45" s="225">
        <f>VLOOKUP(Zones!A39,'Water Heater'!$A$201:$B$222, 2, FALSE)</f>
        <v>0</v>
      </c>
      <c r="F45" s="177">
        <f t="shared" si="1"/>
        <v>0</v>
      </c>
      <c r="G45" s="224">
        <f t="shared" si="2"/>
        <v>0</v>
      </c>
      <c r="H45" s="118"/>
    </row>
    <row r="46" spans="1:8" ht="22.15" customHeight="1">
      <c r="A46" s="222" t="str">
        <f>Zones!B40</f>
        <v>Floor 1 Procedure Room</v>
      </c>
      <c r="B46" s="442" t="s">
        <v>366</v>
      </c>
      <c r="C46" s="223">
        <f>Zones!G40</f>
        <v>285</v>
      </c>
      <c r="D46" s="215">
        <f>Zones!J40</f>
        <v>2.85</v>
      </c>
      <c r="E46" s="225">
        <f>VLOOKUP(Zones!A40,'Water Heater'!$A$201:$B$222, 2, FALSE)</f>
        <v>0.24</v>
      </c>
      <c r="F46" s="177">
        <f t="shared" si="1"/>
        <v>0.68399999999999994</v>
      </c>
      <c r="G46" s="224">
        <f t="shared" si="2"/>
        <v>1.1399999999999999E-2</v>
      </c>
      <c r="H46" s="118"/>
    </row>
    <row r="47" spans="1:8" ht="22.15" customHeight="1">
      <c r="A47" s="222" t="str">
        <f>Zones!B41</f>
        <v>Floor 1 Reception</v>
      </c>
      <c r="B47" s="442" t="s">
        <v>366</v>
      </c>
      <c r="C47" s="223">
        <f>Zones!G41</f>
        <v>509</v>
      </c>
      <c r="D47" s="215">
        <f>Zones!J41</f>
        <v>2.5449999999999999</v>
      </c>
      <c r="E47" s="225">
        <f>VLOOKUP(Zones!A41,'Water Heater'!$A$201:$B$222, 2, FALSE)</f>
        <v>0.18</v>
      </c>
      <c r="F47" s="177">
        <f t="shared" si="1"/>
        <v>0.45809999999999995</v>
      </c>
      <c r="G47" s="224">
        <f t="shared" si="2"/>
        <v>7.6349999999999994E-3</v>
      </c>
      <c r="H47" s="118"/>
    </row>
    <row r="48" spans="1:8" ht="22.15" customHeight="1">
      <c r="A48" s="222" t="str">
        <f>Zones!B42</f>
        <v>Floor 1 Reception Hall</v>
      </c>
      <c r="B48" s="442" t="s">
        <v>366</v>
      </c>
      <c r="C48" s="223">
        <f>Zones!G42</f>
        <v>128</v>
      </c>
      <c r="D48" s="215">
        <f>Zones!J42</f>
        <v>0.64</v>
      </c>
      <c r="E48" s="225">
        <f>VLOOKUP(Zones!A42,'Water Heater'!$A$201:$B$222, 2, FALSE)</f>
        <v>0</v>
      </c>
      <c r="F48" s="177">
        <f t="shared" si="1"/>
        <v>0</v>
      </c>
      <c r="G48" s="224">
        <f t="shared" si="2"/>
        <v>0</v>
      </c>
      <c r="H48" s="118"/>
    </row>
    <row r="49" spans="1:8" ht="22.15" customHeight="1">
      <c r="A49" s="222" t="str">
        <f>Zones!B43</f>
        <v>Floor 1 Recovery Room</v>
      </c>
      <c r="B49" s="442" t="s">
        <v>366</v>
      </c>
      <c r="C49" s="223">
        <f>Zones!G43</f>
        <v>540</v>
      </c>
      <c r="D49" s="215">
        <f>Zones!J43</f>
        <v>5.4</v>
      </c>
      <c r="E49" s="225">
        <f>VLOOKUP(Zones!A43,'Water Heater'!$A$201:$B$222, 2, FALSE)</f>
        <v>0.24</v>
      </c>
      <c r="F49" s="177">
        <f t="shared" si="1"/>
        <v>1.296</v>
      </c>
      <c r="G49" s="224">
        <f t="shared" si="2"/>
        <v>2.1600000000000001E-2</v>
      </c>
      <c r="H49" s="118"/>
    </row>
    <row r="50" spans="1:8" ht="22.15" customHeight="1">
      <c r="A50" s="222" t="str">
        <f>Zones!B44</f>
        <v>Floor 1 Scheduling</v>
      </c>
      <c r="B50" s="442" t="s">
        <v>366</v>
      </c>
      <c r="C50" s="223">
        <f>Zones!G44</f>
        <v>119</v>
      </c>
      <c r="D50" s="215">
        <f>Zones!J44</f>
        <v>0.59499999999999997</v>
      </c>
      <c r="E50" s="225">
        <f>VLOOKUP(Zones!A44,'Water Heater'!$A$201:$B$222, 2, FALSE)</f>
        <v>0.18</v>
      </c>
      <c r="F50" s="177">
        <f t="shared" si="1"/>
        <v>0.10709999999999999</v>
      </c>
      <c r="G50" s="224">
        <f t="shared" si="2"/>
        <v>1.7849999999999997E-3</v>
      </c>
      <c r="H50" s="118"/>
    </row>
    <row r="51" spans="1:8" ht="22.15" customHeight="1">
      <c r="A51" s="222" t="str">
        <f>Zones!B45</f>
        <v>Floor 1 Scrub</v>
      </c>
      <c r="B51" s="442" t="s">
        <v>366</v>
      </c>
      <c r="C51" s="223">
        <f>Zones!G45</f>
        <v>84</v>
      </c>
      <c r="D51" s="215">
        <f>Zones!J45</f>
        <v>0.42</v>
      </c>
      <c r="E51" s="225">
        <f>VLOOKUP(Zones!A45,'Water Heater'!$A$201:$B$222, 2, FALSE)</f>
        <v>0</v>
      </c>
      <c r="F51" s="177">
        <f t="shared" si="1"/>
        <v>0</v>
      </c>
      <c r="G51" s="224">
        <f t="shared" si="2"/>
        <v>0</v>
      </c>
      <c r="H51" s="118"/>
    </row>
    <row r="52" spans="1:8" ht="22.15" customHeight="1">
      <c r="A52" s="222" t="str">
        <f>Zones!B46</f>
        <v>Floor 1 Soil</v>
      </c>
      <c r="B52" s="442" t="s">
        <v>366</v>
      </c>
      <c r="C52" s="223">
        <f>Zones!G46</f>
        <v>126</v>
      </c>
      <c r="D52" s="215">
        <f>Zones!J46</f>
        <v>1.26</v>
      </c>
      <c r="E52" s="225">
        <f>VLOOKUP(Zones!A46,'Water Heater'!$A$201:$B$222, 2, FALSE)</f>
        <v>0.24</v>
      </c>
      <c r="F52" s="177">
        <f t="shared" si="1"/>
        <v>0.3024</v>
      </c>
      <c r="G52" s="224">
        <f t="shared" si="2"/>
        <v>5.0400000000000002E-3</v>
      </c>
      <c r="H52" s="118"/>
    </row>
    <row r="53" spans="1:8" ht="22.15" customHeight="1">
      <c r="A53" s="222" t="str">
        <f>Zones!B47</f>
        <v>Floor 1 Soil Hold</v>
      </c>
      <c r="B53" s="442" t="s">
        <v>366</v>
      </c>
      <c r="C53" s="223">
        <f>Zones!G47</f>
        <v>56</v>
      </c>
      <c r="D53" s="215">
        <f>Zones!J47</f>
        <v>0.56000000000000005</v>
      </c>
      <c r="E53" s="225">
        <f>VLOOKUP(Zones!A47,'Water Heater'!$A$201:$B$222, 2, FALSE)</f>
        <v>0.24</v>
      </c>
      <c r="F53" s="177">
        <f t="shared" si="1"/>
        <v>0.13440000000000002</v>
      </c>
      <c r="G53" s="224">
        <f t="shared" si="2"/>
        <v>2.2400000000000002E-3</v>
      </c>
      <c r="H53" s="118"/>
    </row>
    <row r="54" spans="1:8" ht="22.15" customHeight="1">
      <c r="A54" s="222" t="str">
        <f>Zones!B48</f>
        <v>Floor 1 Soil Work</v>
      </c>
      <c r="B54" s="442" t="s">
        <v>366</v>
      </c>
      <c r="C54" s="223">
        <f>Zones!G48</f>
        <v>180</v>
      </c>
      <c r="D54" s="215">
        <f>Zones!J48</f>
        <v>1.8</v>
      </c>
      <c r="E54" s="225">
        <f>VLOOKUP(Zones!A48,'Water Heater'!$A$201:$B$222, 2, FALSE)</f>
        <v>0.24</v>
      </c>
      <c r="F54" s="177">
        <f t="shared" si="1"/>
        <v>0.432</v>
      </c>
      <c r="G54" s="224">
        <f t="shared" si="2"/>
        <v>7.1999999999999998E-3</v>
      </c>
      <c r="H54" s="118"/>
    </row>
    <row r="55" spans="1:8" ht="22.15" customHeight="1">
      <c r="A55" s="222" t="str">
        <f>Zones!B49</f>
        <v>Floor 1 Step Down</v>
      </c>
      <c r="B55" s="442" t="s">
        <v>366</v>
      </c>
      <c r="C55" s="223">
        <f>Zones!G49</f>
        <v>300</v>
      </c>
      <c r="D55" s="215">
        <f>Zones!J49</f>
        <v>3</v>
      </c>
      <c r="E55" s="225">
        <f>VLOOKUP(Zones!A49,'Water Heater'!$A$201:$B$222, 2, FALSE)</f>
        <v>0.24</v>
      </c>
      <c r="F55" s="177">
        <f t="shared" si="1"/>
        <v>0.72</v>
      </c>
      <c r="G55" s="224">
        <f t="shared" si="2"/>
        <v>1.2E-2</v>
      </c>
      <c r="H55" s="118"/>
    </row>
    <row r="56" spans="1:8" ht="22.15" customHeight="1">
      <c r="A56" s="222" t="str">
        <f>Zones!B50</f>
        <v>Floor 1 Sterile Hall</v>
      </c>
      <c r="B56" s="442" t="s">
        <v>366</v>
      </c>
      <c r="C56" s="223">
        <f>Zones!G50</f>
        <v>616</v>
      </c>
      <c r="D56" s="215">
        <f>Zones!J50</f>
        <v>3.08</v>
      </c>
      <c r="E56" s="225">
        <f>VLOOKUP(Zones!A50,'Water Heater'!$A$201:$B$222, 2, FALSE)</f>
        <v>0</v>
      </c>
      <c r="F56" s="177">
        <f t="shared" si="1"/>
        <v>0</v>
      </c>
      <c r="G56" s="224">
        <f t="shared" si="2"/>
        <v>0</v>
      </c>
      <c r="H56" s="118"/>
    </row>
    <row r="57" spans="1:8" ht="22.15" customHeight="1">
      <c r="A57" s="222" t="str">
        <f>Zones!B51</f>
        <v>Floor 1 Sterile Storage</v>
      </c>
      <c r="B57" s="442" t="s">
        <v>366</v>
      </c>
      <c r="C57" s="223">
        <f>Zones!G51</f>
        <v>396</v>
      </c>
      <c r="D57" s="215">
        <f>Zones!J51</f>
        <v>0.79200000000000004</v>
      </c>
      <c r="E57" s="225">
        <f>VLOOKUP(Zones!A51,'Water Heater'!$A$201:$B$222, 2, FALSE)</f>
        <v>0</v>
      </c>
      <c r="F57" s="177">
        <f t="shared" si="1"/>
        <v>0</v>
      </c>
      <c r="G57" s="224">
        <f t="shared" si="2"/>
        <v>0</v>
      </c>
      <c r="H57" s="118"/>
    </row>
    <row r="58" spans="1:8" ht="22.15" customHeight="1">
      <c r="A58" s="222" t="str">
        <f>Zones!B52</f>
        <v>Floor 1 Storage</v>
      </c>
      <c r="B58" s="442" t="s">
        <v>366</v>
      </c>
      <c r="C58" s="223">
        <f>Zones!G52</f>
        <v>920</v>
      </c>
      <c r="D58" s="215">
        <f>Zones!J52</f>
        <v>1.84</v>
      </c>
      <c r="E58" s="225">
        <f>VLOOKUP(Zones!A52,'Water Heater'!$A$201:$B$222, 2, FALSE)</f>
        <v>0</v>
      </c>
      <c r="F58" s="177">
        <f t="shared" si="1"/>
        <v>0</v>
      </c>
      <c r="G58" s="224">
        <f t="shared" si="2"/>
        <v>0</v>
      </c>
      <c r="H58" s="118"/>
    </row>
    <row r="59" spans="1:8" ht="22.15" customHeight="1">
      <c r="A59" s="222" t="str">
        <f>Zones!B53</f>
        <v>Floor 1 Sub-Sterile</v>
      </c>
      <c r="B59" s="442" t="s">
        <v>366</v>
      </c>
      <c r="C59" s="223">
        <f>Zones!G53</f>
        <v>196</v>
      </c>
      <c r="D59" s="215">
        <f>Zones!J53</f>
        <v>0.98</v>
      </c>
      <c r="E59" s="225">
        <f>VLOOKUP(Zones!A53,'Water Heater'!$A$201:$B$222, 2, FALSE)</f>
        <v>0</v>
      </c>
      <c r="F59" s="177">
        <f t="shared" si="1"/>
        <v>0</v>
      </c>
      <c r="G59" s="224">
        <f t="shared" si="2"/>
        <v>0</v>
      </c>
      <c r="H59" s="118"/>
    </row>
    <row r="60" spans="1:8" ht="22.15" customHeight="1">
      <c r="A60" s="222" t="str">
        <f>Zones!B54</f>
        <v>Floor 1 Utility Hall</v>
      </c>
      <c r="B60" s="442" t="s">
        <v>366</v>
      </c>
      <c r="C60" s="223">
        <f>Zones!G54</f>
        <v>256</v>
      </c>
      <c r="D60" s="215">
        <f>Zones!J54</f>
        <v>1.28</v>
      </c>
      <c r="E60" s="225">
        <f>VLOOKUP(Zones!A54,'Water Heater'!$A$201:$B$222, 2, FALSE)</f>
        <v>0</v>
      </c>
      <c r="F60" s="177">
        <f t="shared" si="1"/>
        <v>0</v>
      </c>
      <c r="G60" s="224">
        <f t="shared" si="2"/>
        <v>0</v>
      </c>
      <c r="H60" s="118"/>
    </row>
    <row r="61" spans="1:8" ht="22.15" customHeight="1">
      <c r="A61" s="222" t="str">
        <f>Zones!B55</f>
        <v>Floor 1 Utility Janitor</v>
      </c>
      <c r="B61" s="442" t="s">
        <v>366</v>
      </c>
      <c r="C61" s="223">
        <f>Zones!G55</f>
        <v>42</v>
      </c>
      <c r="D61" s="215">
        <f>Zones!J55</f>
        <v>8.4000000000000005E-2</v>
      </c>
      <c r="E61" s="225">
        <f>VLOOKUP(Zones!A55,'Water Heater'!$A$201:$B$222, 2, FALSE)</f>
        <v>0</v>
      </c>
      <c r="F61" s="177">
        <f t="shared" si="1"/>
        <v>0</v>
      </c>
      <c r="G61" s="224">
        <f t="shared" si="2"/>
        <v>0</v>
      </c>
      <c r="H61" s="118"/>
    </row>
    <row r="62" spans="1:8" ht="22.15" customHeight="1">
      <c r="A62" s="222" t="str">
        <f>Zones!B56</f>
        <v>Floor 1 Utility Room</v>
      </c>
      <c r="B62" s="442" t="s">
        <v>366</v>
      </c>
      <c r="C62" s="223">
        <f>Zones!G56</f>
        <v>360</v>
      </c>
      <c r="D62" s="215">
        <f>Zones!J56</f>
        <v>0.72</v>
      </c>
      <c r="E62" s="225">
        <f>VLOOKUP(Zones!A56,'Water Heater'!$A$201:$B$222, 2, FALSE)</f>
        <v>0</v>
      </c>
      <c r="F62" s="177">
        <f t="shared" si="1"/>
        <v>0</v>
      </c>
      <c r="G62" s="224">
        <f t="shared" si="2"/>
        <v>0</v>
      </c>
      <c r="H62" s="118"/>
    </row>
    <row r="63" spans="1:8" ht="22.15" customHeight="1">
      <c r="A63" s="222" t="str">
        <f>Zones!B57</f>
        <v>Floor 1 Vestibule</v>
      </c>
      <c r="B63" s="442" t="s">
        <v>366</v>
      </c>
      <c r="C63" s="223">
        <f>Zones!G57</f>
        <v>72</v>
      </c>
      <c r="D63" s="215">
        <f>Zones!J57</f>
        <v>0.36</v>
      </c>
      <c r="E63" s="225">
        <f>VLOOKUP(Zones!A57,'Water Heater'!$A$201:$B$222, 2, FALSE)</f>
        <v>0</v>
      </c>
      <c r="F63" s="177">
        <f t="shared" si="1"/>
        <v>0</v>
      </c>
      <c r="G63" s="224">
        <f t="shared" si="2"/>
        <v>0</v>
      </c>
      <c r="H63" s="118"/>
    </row>
    <row r="64" spans="1:8" ht="22.15" customHeight="1">
      <c r="A64" s="222" t="str">
        <f>Zones!B58</f>
        <v>Floor 2 Conference</v>
      </c>
      <c r="B64" s="442" t="s">
        <v>366</v>
      </c>
      <c r="C64" s="223">
        <f>Zones!G58</f>
        <v>336</v>
      </c>
      <c r="D64" s="215">
        <f>Zones!J58</f>
        <v>11.087999999999999</v>
      </c>
      <c r="E64" s="225">
        <f>VLOOKUP(Zones!A58,'Water Heater'!$A$201:$B$222, 2, FALSE)</f>
        <v>0.09</v>
      </c>
      <c r="F64" s="177">
        <f t="shared" si="1"/>
        <v>0.99791999999999992</v>
      </c>
      <c r="G64" s="224">
        <f t="shared" si="2"/>
        <v>1.6631999999999997E-2</v>
      </c>
      <c r="H64" s="118"/>
    </row>
    <row r="65" spans="1:8" ht="22.15" customHeight="1">
      <c r="A65" s="222" t="str">
        <f>Zones!B59</f>
        <v>Floor 2 Conference Toilet</v>
      </c>
      <c r="B65" s="442" t="s">
        <v>366</v>
      </c>
      <c r="C65" s="223">
        <f>Zones!G59</f>
        <v>64</v>
      </c>
      <c r="D65" s="215">
        <f>Zones!J59</f>
        <v>0.32</v>
      </c>
      <c r="E65" s="225">
        <f>VLOOKUP(Zones!A59,'Water Heater'!$A$201:$B$222, 2, FALSE)</f>
        <v>0</v>
      </c>
      <c r="F65" s="177">
        <f t="shared" si="1"/>
        <v>0</v>
      </c>
      <c r="G65" s="224">
        <f t="shared" si="2"/>
        <v>0</v>
      </c>
      <c r="H65" s="118"/>
    </row>
    <row r="66" spans="1:8" ht="22.15" customHeight="1">
      <c r="A66" s="222" t="str">
        <f>Zones!B60</f>
        <v>Floor 2 Dictation</v>
      </c>
      <c r="B66" s="442" t="s">
        <v>366</v>
      </c>
      <c r="C66" s="223">
        <f>Zones!G60</f>
        <v>70</v>
      </c>
      <c r="D66" s="215">
        <f>Zones!J60</f>
        <v>0.35</v>
      </c>
      <c r="E66" s="225">
        <f>VLOOKUP(Zones!A60,'Water Heater'!$A$201:$B$222, 2, FALSE)</f>
        <v>0.18</v>
      </c>
      <c r="F66" s="177">
        <f t="shared" si="1"/>
        <v>6.3E-2</v>
      </c>
      <c r="G66" s="224">
        <f t="shared" si="2"/>
        <v>1.0499999999999999E-3</v>
      </c>
      <c r="H66" s="118"/>
    </row>
    <row r="67" spans="1:8" ht="22.15" customHeight="1">
      <c r="A67" s="222" t="str">
        <f>Zones!B61</f>
        <v>Floor 2 Exam 1</v>
      </c>
      <c r="B67" s="442" t="s">
        <v>366</v>
      </c>
      <c r="C67" s="223">
        <f>Zones!G61</f>
        <v>360</v>
      </c>
      <c r="D67" s="215">
        <f>Zones!J61</f>
        <v>3.6</v>
      </c>
      <c r="E67" s="225">
        <f>VLOOKUP(Zones!A61,'Water Heater'!$A$201:$B$222, 2, FALSE)</f>
        <v>0.24</v>
      </c>
      <c r="F67" s="177">
        <f t="shared" si="1"/>
        <v>0.86399999999999999</v>
      </c>
      <c r="G67" s="224">
        <f t="shared" si="2"/>
        <v>1.44E-2</v>
      </c>
      <c r="H67" s="118"/>
    </row>
    <row r="68" spans="1:8" ht="22.15" customHeight="1">
      <c r="A68" s="222" t="str">
        <f>Zones!B62</f>
        <v>Floor 2 Exam 2</v>
      </c>
      <c r="B68" s="442" t="s">
        <v>366</v>
      </c>
      <c r="C68" s="223">
        <f>Zones!G62</f>
        <v>540</v>
      </c>
      <c r="D68" s="215">
        <f>Zones!J62</f>
        <v>5.4</v>
      </c>
      <c r="E68" s="225">
        <f>VLOOKUP(Zones!A62,'Water Heater'!$A$201:$B$222, 2, FALSE)</f>
        <v>0.24</v>
      </c>
      <c r="F68" s="177">
        <f t="shared" si="1"/>
        <v>1.296</v>
      </c>
      <c r="G68" s="224">
        <f t="shared" si="2"/>
        <v>2.1600000000000001E-2</v>
      </c>
      <c r="H68" s="118"/>
    </row>
    <row r="69" spans="1:8" ht="22.15" customHeight="1">
      <c r="A69" s="222" t="str">
        <f>Zones!B63</f>
        <v>Floor 2 Exam 3</v>
      </c>
      <c r="B69" s="442" t="s">
        <v>366</v>
      </c>
      <c r="C69" s="223">
        <f>Zones!G63</f>
        <v>720</v>
      </c>
      <c r="D69" s="215">
        <f>Zones!J63</f>
        <v>7.2</v>
      </c>
      <c r="E69" s="225">
        <f>VLOOKUP(Zones!A63,'Water Heater'!$A$201:$B$222, 2, FALSE)</f>
        <v>0.24</v>
      </c>
      <c r="F69" s="177">
        <f t="shared" si="1"/>
        <v>1.728</v>
      </c>
      <c r="G69" s="224">
        <f t="shared" si="2"/>
        <v>2.8799999999999999E-2</v>
      </c>
      <c r="H69" s="118"/>
    </row>
    <row r="70" spans="1:8" ht="22.15" customHeight="1">
      <c r="A70" s="222" t="str">
        <f>Zones!B64</f>
        <v>Floor 2 Exam 4</v>
      </c>
      <c r="B70" s="442" t="s">
        <v>366</v>
      </c>
      <c r="C70" s="223">
        <f>Zones!G64</f>
        <v>84</v>
      </c>
      <c r="D70" s="215">
        <f>Zones!J64</f>
        <v>0.84</v>
      </c>
      <c r="E70" s="225">
        <f>VLOOKUP(Zones!A64,'Water Heater'!$A$201:$B$222, 2, FALSE)</f>
        <v>0.24</v>
      </c>
      <c r="F70" s="177">
        <f t="shared" si="1"/>
        <v>0.20159999999999997</v>
      </c>
      <c r="G70" s="224">
        <f t="shared" si="2"/>
        <v>3.3599999999999997E-3</v>
      </c>
      <c r="H70" s="118"/>
    </row>
    <row r="71" spans="1:8" ht="22.15" customHeight="1">
      <c r="A71" s="222" t="str">
        <f>Zones!B65</f>
        <v>Floor 2 Exam 5</v>
      </c>
      <c r="B71" s="442" t="s">
        <v>366</v>
      </c>
      <c r="C71" s="223">
        <f>Zones!G65</f>
        <v>350</v>
      </c>
      <c r="D71" s="215">
        <f>Zones!J65</f>
        <v>3.5</v>
      </c>
      <c r="E71" s="225">
        <f>VLOOKUP(Zones!A65,'Water Heater'!$A$201:$B$222, 2, FALSE)</f>
        <v>0.24</v>
      </c>
      <c r="F71" s="177">
        <f t="shared" si="1"/>
        <v>0.84</v>
      </c>
      <c r="G71" s="224">
        <f t="shared" si="2"/>
        <v>1.4E-2</v>
      </c>
      <c r="H71" s="118"/>
    </row>
    <row r="72" spans="1:8" ht="22.15" customHeight="1">
      <c r="A72" s="222" t="str">
        <f>Zones!B66</f>
        <v>Floor 2 Exam 6</v>
      </c>
      <c r="B72" s="442" t="s">
        <v>366</v>
      </c>
      <c r="C72" s="223">
        <f>Zones!G66</f>
        <v>225</v>
      </c>
      <c r="D72" s="215">
        <f>Zones!J66</f>
        <v>2.25</v>
      </c>
      <c r="E72" s="225">
        <f>VLOOKUP(Zones!A66,'Water Heater'!$A$201:$B$222, 2, FALSE)</f>
        <v>0.24</v>
      </c>
      <c r="F72" s="177">
        <f t="shared" si="1"/>
        <v>0.54</v>
      </c>
      <c r="G72" s="224">
        <f t="shared" si="2"/>
        <v>9.0000000000000011E-3</v>
      </c>
      <c r="H72" s="118"/>
    </row>
    <row r="73" spans="1:8" ht="22.15" customHeight="1">
      <c r="A73" s="222" t="str">
        <f>Zones!B67</f>
        <v>Floor 2 Exam 7</v>
      </c>
      <c r="B73" s="442" t="s">
        <v>366</v>
      </c>
      <c r="C73" s="223">
        <f>Zones!G67</f>
        <v>792</v>
      </c>
      <c r="D73" s="215">
        <f>Zones!J67</f>
        <v>7.92</v>
      </c>
      <c r="E73" s="225">
        <f>VLOOKUP(Zones!A67,'Water Heater'!$A$201:$B$222, 2, FALSE)</f>
        <v>0.24</v>
      </c>
      <c r="F73" s="177">
        <f t="shared" si="1"/>
        <v>1.9007999999999998</v>
      </c>
      <c r="G73" s="224">
        <f t="shared" si="2"/>
        <v>3.168E-2</v>
      </c>
      <c r="H73" s="118"/>
    </row>
    <row r="74" spans="1:8" ht="22.15" customHeight="1">
      <c r="A74" s="222" t="str">
        <f>Zones!B68</f>
        <v>Floor 2 Exam 8</v>
      </c>
      <c r="B74" s="442" t="s">
        <v>366</v>
      </c>
      <c r="C74" s="223">
        <f>Zones!G68</f>
        <v>270</v>
      </c>
      <c r="D74" s="215">
        <f>Zones!J68</f>
        <v>2.7</v>
      </c>
      <c r="E74" s="225">
        <f>VLOOKUP(Zones!A68,'Water Heater'!$A$201:$B$222, 2, FALSE)</f>
        <v>0.24</v>
      </c>
      <c r="F74" s="177">
        <f t="shared" ref="F74:F126" si="3">E74*D74</f>
        <v>0.64800000000000002</v>
      </c>
      <c r="G74" s="224">
        <f t="shared" si="2"/>
        <v>1.0800000000000001E-2</v>
      </c>
      <c r="H74" s="118"/>
    </row>
    <row r="75" spans="1:8" ht="22.15" customHeight="1">
      <c r="A75" s="222" t="str">
        <f>Zones!B69</f>
        <v>Floor 2 Exam 9</v>
      </c>
      <c r="B75" s="442" t="s">
        <v>366</v>
      </c>
      <c r="C75" s="223">
        <f>Zones!G69</f>
        <v>396</v>
      </c>
      <c r="D75" s="215">
        <f>Zones!J69</f>
        <v>3.96</v>
      </c>
      <c r="E75" s="225">
        <f>VLOOKUP(Zones!A69,'Water Heater'!$A$201:$B$222, 2, FALSE)</f>
        <v>0.24</v>
      </c>
      <c r="F75" s="177">
        <f t="shared" si="3"/>
        <v>0.95039999999999991</v>
      </c>
      <c r="G75" s="224">
        <f t="shared" si="2"/>
        <v>1.584E-2</v>
      </c>
      <c r="H75" s="118"/>
    </row>
    <row r="76" spans="1:8" ht="22.15" customHeight="1">
      <c r="A76" s="222" t="str">
        <f>Zones!B70</f>
        <v>Floor 2 Exam Hall 1</v>
      </c>
      <c r="B76" s="442" t="s">
        <v>366</v>
      </c>
      <c r="C76" s="223">
        <f>Zones!G70</f>
        <v>180</v>
      </c>
      <c r="D76" s="215">
        <f>Zones!J70</f>
        <v>0.9</v>
      </c>
      <c r="E76" s="225">
        <f>VLOOKUP(Zones!A70,'Water Heater'!$A$201:$B$222, 2, FALSE)</f>
        <v>0</v>
      </c>
      <c r="F76" s="177">
        <f t="shared" si="3"/>
        <v>0</v>
      </c>
      <c r="G76" s="224">
        <f t="shared" si="2"/>
        <v>0</v>
      </c>
      <c r="H76" s="118"/>
    </row>
    <row r="77" spans="1:8" ht="22.15" customHeight="1">
      <c r="A77" s="222" t="str">
        <f>Zones!B71</f>
        <v>Floor 2 Exam Hall 2</v>
      </c>
      <c r="B77" s="442" t="s">
        <v>366</v>
      </c>
      <c r="C77" s="223">
        <f>Zones!G71</f>
        <v>180</v>
      </c>
      <c r="D77" s="215">
        <f>Zones!J71</f>
        <v>0.9</v>
      </c>
      <c r="E77" s="225">
        <f>VLOOKUP(Zones!A71,'Water Heater'!$A$201:$B$222, 2, FALSE)</f>
        <v>0</v>
      </c>
      <c r="F77" s="177">
        <f t="shared" si="3"/>
        <v>0</v>
      </c>
      <c r="G77" s="224">
        <f t="shared" si="2"/>
        <v>0</v>
      </c>
      <c r="H77" s="118"/>
    </row>
    <row r="78" spans="1:8" ht="22.15" customHeight="1">
      <c r="A78" s="222" t="str">
        <f>Zones!B72</f>
        <v>Floor 2 Exam Hall 3</v>
      </c>
      <c r="B78" s="442" t="s">
        <v>366</v>
      </c>
      <c r="C78" s="223">
        <f>Zones!G72</f>
        <v>180</v>
      </c>
      <c r="D78" s="215">
        <f>Zones!J72</f>
        <v>0.9</v>
      </c>
      <c r="E78" s="225">
        <f>VLOOKUP(Zones!A72,'Water Heater'!$A$201:$B$222, 2, FALSE)</f>
        <v>0</v>
      </c>
      <c r="F78" s="177">
        <f t="shared" si="3"/>
        <v>0</v>
      </c>
      <c r="G78" s="224">
        <f t="shared" si="2"/>
        <v>0</v>
      </c>
      <c r="H78" s="118"/>
    </row>
    <row r="79" spans="1:8" ht="22.15" customHeight="1">
      <c r="A79" s="222" t="str">
        <f>Zones!B73</f>
        <v>Floor 2 Exam Hall 4</v>
      </c>
      <c r="B79" s="442" t="s">
        <v>366</v>
      </c>
      <c r="C79" s="223">
        <f>Zones!G73</f>
        <v>198</v>
      </c>
      <c r="D79" s="215">
        <f>Zones!J73</f>
        <v>0.99</v>
      </c>
      <c r="E79" s="225">
        <f>VLOOKUP(Zones!A73,'Water Heater'!$A$201:$B$222, 2, FALSE)</f>
        <v>0</v>
      </c>
      <c r="F79" s="177">
        <f t="shared" si="3"/>
        <v>0</v>
      </c>
      <c r="G79" s="224">
        <f t="shared" si="2"/>
        <v>0</v>
      </c>
      <c r="H79" s="118"/>
    </row>
    <row r="80" spans="1:8" ht="22.15" customHeight="1">
      <c r="A80" s="222" t="str">
        <f>Zones!B74</f>
        <v>Floor 2 Exam Hall 5</v>
      </c>
      <c r="B80" s="442" t="s">
        <v>366</v>
      </c>
      <c r="C80" s="223">
        <f>Zones!G74</f>
        <v>198</v>
      </c>
      <c r="D80" s="215">
        <f>Zones!J74</f>
        <v>0.99</v>
      </c>
      <c r="E80" s="225">
        <f>VLOOKUP(Zones!A74,'Water Heater'!$A$201:$B$222, 2, FALSE)</f>
        <v>0</v>
      </c>
      <c r="F80" s="177">
        <f t="shared" si="3"/>
        <v>0</v>
      </c>
      <c r="G80" s="224">
        <f t="shared" si="2"/>
        <v>0</v>
      </c>
      <c r="H80" s="118"/>
    </row>
    <row r="81" spans="1:8" ht="22.15" customHeight="1">
      <c r="A81" s="222" t="str">
        <f>Zones!B75</f>
        <v>Floor 2 Exam Hall 6</v>
      </c>
      <c r="B81" s="442" t="s">
        <v>366</v>
      </c>
      <c r="C81" s="223">
        <f>Zones!G75</f>
        <v>198</v>
      </c>
      <c r="D81" s="215">
        <f>Zones!J75</f>
        <v>0.99</v>
      </c>
      <c r="E81" s="225">
        <f>VLOOKUP(Zones!A75,'Water Heater'!$A$201:$B$222, 2, FALSE)</f>
        <v>0</v>
      </c>
      <c r="F81" s="177">
        <f t="shared" si="3"/>
        <v>0</v>
      </c>
      <c r="G81" s="224">
        <f t="shared" si="2"/>
        <v>0</v>
      </c>
      <c r="H81" s="118"/>
    </row>
    <row r="82" spans="1:8" ht="22.15" customHeight="1">
      <c r="A82" s="222" t="str">
        <f>Zones!B76</f>
        <v>Floor 2 Janitor</v>
      </c>
      <c r="B82" s="442" t="s">
        <v>366</v>
      </c>
      <c r="C82" s="223">
        <f>Zones!G76</f>
        <v>63</v>
      </c>
      <c r="D82" s="215">
        <f>Zones!J76</f>
        <v>0.126</v>
      </c>
      <c r="E82" s="225">
        <f>VLOOKUP(Zones!A76,'Water Heater'!$A$201:$B$222, 2, FALSE)</f>
        <v>0</v>
      </c>
      <c r="F82" s="177">
        <f t="shared" si="3"/>
        <v>0</v>
      </c>
      <c r="G82" s="224">
        <f t="shared" si="2"/>
        <v>0</v>
      </c>
      <c r="H82" s="118"/>
    </row>
    <row r="83" spans="1:8" ht="22.15" customHeight="1">
      <c r="A83" s="222" t="str">
        <f>Zones!B77</f>
        <v>Floor 2 Lounge</v>
      </c>
      <c r="B83" s="442" t="s">
        <v>366</v>
      </c>
      <c r="C83" s="223">
        <f>Zones!G77</f>
        <v>80</v>
      </c>
      <c r="D83" s="215">
        <f>Zones!J77</f>
        <v>2.64</v>
      </c>
      <c r="E83" s="225">
        <f>VLOOKUP(Zones!A77,'Water Heater'!$A$201:$B$222, 2, FALSE)</f>
        <v>0.09</v>
      </c>
      <c r="F83" s="177">
        <f t="shared" si="3"/>
        <v>0.23760000000000001</v>
      </c>
      <c r="G83" s="224">
        <f t="shared" si="2"/>
        <v>3.96E-3</v>
      </c>
      <c r="H83" s="118"/>
    </row>
    <row r="84" spans="1:8" ht="22.15" customHeight="1">
      <c r="A84" s="222" t="str">
        <f>Zones!B78</f>
        <v>Floor 2 Nurse Station 1</v>
      </c>
      <c r="B84" s="442" t="s">
        <v>366</v>
      </c>
      <c r="C84" s="223">
        <f>Zones!G78</f>
        <v>150</v>
      </c>
      <c r="D84" s="215">
        <f>Zones!J78</f>
        <v>1.5</v>
      </c>
      <c r="E84" s="225">
        <f>VLOOKUP(Zones!A78,'Water Heater'!$A$201:$B$222, 2, FALSE)</f>
        <v>0.24</v>
      </c>
      <c r="F84" s="177">
        <f t="shared" si="3"/>
        <v>0.36</v>
      </c>
      <c r="G84" s="224">
        <f t="shared" si="2"/>
        <v>6.0000000000000001E-3</v>
      </c>
      <c r="H84" s="118"/>
    </row>
    <row r="85" spans="1:8" ht="22.15" customHeight="1">
      <c r="A85" s="222" t="str">
        <f>Zones!B79</f>
        <v>Floor 2 Nurse Station 2</v>
      </c>
      <c r="B85" s="442" t="s">
        <v>366</v>
      </c>
      <c r="C85" s="223">
        <f>Zones!G79</f>
        <v>180</v>
      </c>
      <c r="D85" s="215">
        <f>Zones!J79</f>
        <v>1.8</v>
      </c>
      <c r="E85" s="225">
        <f>VLOOKUP(Zones!A79,'Water Heater'!$A$201:$B$222, 2, FALSE)</f>
        <v>0.24</v>
      </c>
      <c r="F85" s="177">
        <f t="shared" si="3"/>
        <v>0.432</v>
      </c>
      <c r="G85" s="224">
        <f t="shared" si="2"/>
        <v>7.1999999999999998E-3</v>
      </c>
      <c r="H85" s="118"/>
    </row>
    <row r="86" spans="1:8" ht="22.15" customHeight="1">
      <c r="A86" s="222" t="str">
        <f>Zones!B80</f>
        <v>Floor 2 Office</v>
      </c>
      <c r="B86" s="442" t="s">
        <v>366</v>
      </c>
      <c r="C86" s="223">
        <f>Zones!G80</f>
        <v>560</v>
      </c>
      <c r="D86" s="215">
        <f>Zones!J80</f>
        <v>2.8</v>
      </c>
      <c r="E86" s="225">
        <f>VLOOKUP(Zones!A80,'Water Heater'!$A$201:$B$222, 2, FALSE)</f>
        <v>0.18</v>
      </c>
      <c r="F86" s="177">
        <f t="shared" si="3"/>
        <v>0.504</v>
      </c>
      <c r="G86" s="224">
        <f t="shared" si="2"/>
        <v>8.3999999999999995E-3</v>
      </c>
      <c r="H86" s="118"/>
    </row>
    <row r="87" spans="1:8" ht="22.15" customHeight="1">
      <c r="A87" s="222" t="str">
        <f>Zones!B81</f>
        <v>Floor 2 Office Hall</v>
      </c>
      <c r="B87" s="442" t="s">
        <v>366</v>
      </c>
      <c r="C87" s="223">
        <f>Zones!G81</f>
        <v>444</v>
      </c>
      <c r="D87" s="215">
        <f>Zones!J81</f>
        <v>2.2200000000000002</v>
      </c>
      <c r="E87" s="225">
        <f>VLOOKUP(Zones!A81,'Water Heater'!$A$201:$B$222, 2, FALSE)</f>
        <v>0</v>
      </c>
      <c r="F87" s="177">
        <f t="shared" si="3"/>
        <v>0</v>
      </c>
      <c r="G87" s="224">
        <f t="shared" si="2"/>
        <v>0</v>
      </c>
      <c r="H87" s="118"/>
    </row>
    <row r="88" spans="1:8" ht="22.15" customHeight="1">
      <c r="A88" s="222" t="str">
        <f>Zones!B82</f>
        <v>Floor 2 Reception</v>
      </c>
      <c r="B88" s="442" t="s">
        <v>366</v>
      </c>
      <c r="C88" s="223">
        <f>Zones!G82</f>
        <v>984</v>
      </c>
      <c r="D88" s="215">
        <f>Zones!J82</f>
        <v>4.92</v>
      </c>
      <c r="E88" s="225">
        <f>VLOOKUP(Zones!A82,'Water Heater'!$A$201:$B$222, 2, FALSE)</f>
        <v>0.18</v>
      </c>
      <c r="F88" s="177">
        <f t="shared" si="3"/>
        <v>0.88559999999999994</v>
      </c>
      <c r="G88" s="224">
        <f t="shared" si="2"/>
        <v>1.4759999999999999E-2</v>
      </c>
      <c r="H88" s="118"/>
    </row>
    <row r="89" spans="1:8" ht="22.15" customHeight="1">
      <c r="A89" s="222" t="str">
        <f>Zones!B83</f>
        <v>Floor 2 Reception Hall</v>
      </c>
      <c r="B89" s="442" t="s">
        <v>366</v>
      </c>
      <c r="C89" s="223">
        <f>Zones!G83</f>
        <v>564</v>
      </c>
      <c r="D89" s="215">
        <f>Zones!J83</f>
        <v>2.82</v>
      </c>
      <c r="E89" s="225">
        <f>VLOOKUP(Zones!A83,'Water Heater'!$A$201:$B$222, 2, FALSE)</f>
        <v>0</v>
      </c>
      <c r="F89" s="177">
        <f t="shared" si="3"/>
        <v>0</v>
      </c>
      <c r="G89" s="224">
        <f t="shared" si="2"/>
        <v>0</v>
      </c>
      <c r="H89" s="118"/>
    </row>
    <row r="90" spans="1:8" ht="22.15" customHeight="1">
      <c r="A90" s="222" t="str">
        <f>Zones!B84</f>
        <v>Floor 2 Reception Toilet</v>
      </c>
      <c r="B90" s="442" t="s">
        <v>366</v>
      </c>
      <c r="C90" s="223">
        <f>Zones!G84</f>
        <v>126</v>
      </c>
      <c r="D90" s="215">
        <f>Zones!J84</f>
        <v>0.63</v>
      </c>
      <c r="E90" s="225">
        <f>VLOOKUP(Zones!A84,'Water Heater'!$A$201:$B$222, 2, FALSE)</f>
        <v>0</v>
      </c>
      <c r="F90" s="177">
        <f t="shared" si="3"/>
        <v>0</v>
      </c>
      <c r="G90" s="224">
        <f t="shared" si="2"/>
        <v>0</v>
      </c>
      <c r="H90" s="118"/>
    </row>
    <row r="91" spans="1:8" ht="22.15" customHeight="1">
      <c r="A91" s="222" t="str">
        <f>Zones!B85</f>
        <v>Floor 2 Scheduling 1</v>
      </c>
      <c r="B91" s="442" t="s">
        <v>366</v>
      </c>
      <c r="C91" s="223">
        <f>Zones!G85</f>
        <v>324</v>
      </c>
      <c r="D91" s="215">
        <f>Zones!J85</f>
        <v>1.62</v>
      </c>
      <c r="E91" s="225">
        <f>VLOOKUP(Zones!A85,'Water Heater'!$A$201:$B$222, 2, FALSE)</f>
        <v>0.18</v>
      </c>
      <c r="F91" s="177">
        <f t="shared" si="3"/>
        <v>0.29160000000000003</v>
      </c>
      <c r="G91" s="224">
        <f t="shared" si="2"/>
        <v>4.8600000000000006E-3</v>
      </c>
      <c r="H91" s="118"/>
    </row>
    <row r="92" spans="1:8" ht="22.15" customHeight="1">
      <c r="A92" s="222" t="str">
        <f>Zones!B86</f>
        <v>Floor 2 Scheduling 2</v>
      </c>
      <c r="B92" s="442" t="s">
        <v>366</v>
      </c>
      <c r="C92" s="223">
        <f>Zones!G86</f>
        <v>342</v>
      </c>
      <c r="D92" s="215">
        <f>Zones!J86</f>
        <v>1.71</v>
      </c>
      <c r="E92" s="225">
        <f>VLOOKUP(Zones!A86,'Water Heater'!$A$201:$B$222, 2, FALSE)</f>
        <v>0.18</v>
      </c>
      <c r="F92" s="177">
        <f t="shared" si="3"/>
        <v>0.30779999999999996</v>
      </c>
      <c r="G92" s="224">
        <f t="shared" si="2"/>
        <v>5.1299999999999991E-3</v>
      </c>
      <c r="H92" s="118"/>
    </row>
    <row r="93" spans="1:8" ht="22.15" customHeight="1">
      <c r="A93" s="222" t="str">
        <f>Zones!B87</f>
        <v>Floor 2 Storage 1</v>
      </c>
      <c r="B93" s="442" t="s">
        <v>366</v>
      </c>
      <c r="C93" s="223">
        <f>Zones!G87</f>
        <v>56</v>
      </c>
      <c r="D93" s="215">
        <f>Zones!J87</f>
        <v>0.112</v>
      </c>
      <c r="E93" s="225">
        <f>VLOOKUP(Zones!A87,'Water Heater'!$A$201:$B$222, 2, FALSE)</f>
        <v>0</v>
      </c>
      <c r="F93" s="177">
        <f t="shared" si="3"/>
        <v>0</v>
      </c>
      <c r="G93" s="224">
        <f t="shared" si="2"/>
        <v>0</v>
      </c>
      <c r="H93" s="118"/>
    </row>
    <row r="94" spans="1:8" ht="22.15" customHeight="1">
      <c r="A94" s="222" t="str">
        <f>Zones!B88</f>
        <v>Floor 2 Storage 2</v>
      </c>
      <c r="B94" s="442" t="s">
        <v>366</v>
      </c>
      <c r="C94" s="223">
        <f>Zones!G88</f>
        <v>120</v>
      </c>
      <c r="D94" s="215">
        <f>Zones!J88</f>
        <v>0.24</v>
      </c>
      <c r="E94" s="225">
        <f>VLOOKUP(Zones!A88,'Water Heater'!$A$201:$B$222, 2, FALSE)</f>
        <v>0</v>
      </c>
      <c r="F94" s="177">
        <f t="shared" si="3"/>
        <v>0</v>
      </c>
      <c r="G94" s="224">
        <f t="shared" si="2"/>
        <v>0</v>
      </c>
      <c r="H94" s="118"/>
    </row>
    <row r="95" spans="1:8" ht="22.15" customHeight="1">
      <c r="A95" s="222" t="str">
        <f>Zones!B89</f>
        <v>Floor 2 Storage 3</v>
      </c>
      <c r="B95" s="442" t="s">
        <v>366</v>
      </c>
      <c r="C95" s="223">
        <f>Zones!G89</f>
        <v>144</v>
      </c>
      <c r="D95" s="215">
        <f>Zones!J89</f>
        <v>0.28799999999999998</v>
      </c>
      <c r="E95" s="225">
        <f>VLOOKUP(Zones!A89,'Water Heater'!$A$201:$B$222, 2, FALSE)</f>
        <v>0</v>
      </c>
      <c r="F95" s="177">
        <f t="shared" si="3"/>
        <v>0</v>
      </c>
      <c r="G95" s="224">
        <f t="shared" si="2"/>
        <v>0</v>
      </c>
      <c r="H95" s="118"/>
    </row>
    <row r="96" spans="1:8" ht="22.15" customHeight="1">
      <c r="A96" s="222" t="str">
        <f>Zones!B90</f>
        <v>Floor 2 Utility</v>
      </c>
      <c r="B96" s="442" t="s">
        <v>366</v>
      </c>
      <c r="C96" s="223">
        <f>Zones!G90</f>
        <v>126</v>
      </c>
      <c r="D96" s="215">
        <f>Zones!J90</f>
        <v>0.252</v>
      </c>
      <c r="E96" s="225">
        <f>VLOOKUP(Zones!A90,'Water Heater'!$A$201:$B$222, 2, FALSE)</f>
        <v>0</v>
      </c>
      <c r="F96" s="177">
        <f t="shared" si="3"/>
        <v>0</v>
      </c>
      <c r="G96" s="224">
        <f t="shared" ref="G96:G126" si="4">F96/60</f>
        <v>0</v>
      </c>
      <c r="H96" s="118"/>
    </row>
    <row r="97" spans="1:8" ht="22.15" customHeight="1">
      <c r="A97" s="222" t="str">
        <f>Zones!B91</f>
        <v>Floor 2 Work</v>
      </c>
      <c r="B97" s="442" t="s">
        <v>366</v>
      </c>
      <c r="C97" s="223">
        <f>Zones!G91</f>
        <v>1690</v>
      </c>
      <c r="D97" s="215">
        <f>Zones!J91</f>
        <v>8.4499999999999993</v>
      </c>
      <c r="E97" s="225">
        <f>VLOOKUP(Zones!A91,'Water Heater'!$A$201:$B$222, 2, FALSE)</f>
        <v>0.18</v>
      </c>
      <c r="F97" s="177">
        <f t="shared" si="3"/>
        <v>1.5209999999999999</v>
      </c>
      <c r="G97" s="224">
        <f t="shared" si="4"/>
        <v>2.5349999999999998E-2</v>
      </c>
      <c r="H97" s="118"/>
    </row>
    <row r="98" spans="1:8" ht="22.15" customHeight="1">
      <c r="A98" s="222" t="str">
        <f>Zones!B92</f>
        <v>Floor 2 Work Hall</v>
      </c>
      <c r="B98" s="442" t="s">
        <v>366</v>
      </c>
      <c r="C98" s="223">
        <f>Zones!G92</f>
        <v>834</v>
      </c>
      <c r="D98" s="215">
        <f>Zones!J92</f>
        <v>4.17</v>
      </c>
      <c r="E98" s="225">
        <f>VLOOKUP(Zones!A92,'Water Heater'!$A$201:$B$222, 2, FALSE)</f>
        <v>0</v>
      </c>
      <c r="F98" s="177">
        <f t="shared" si="3"/>
        <v>0</v>
      </c>
      <c r="G98" s="224">
        <f t="shared" si="4"/>
        <v>0</v>
      </c>
      <c r="H98" s="118"/>
    </row>
    <row r="99" spans="1:8" ht="22.15" customHeight="1">
      <c r="A99" s="222" t="str">
        <f>Zones!B93</f>
        <v>Floor 2 Work Toilet</v>
      </c>
      <c r="B99" s="442" t="s">
        <v>366</v>
      </c>
      <c r="C99" s="223">
        <f>Zones!G93</f>
        <v>54</v>
      </c>
      <c r="D99" s="215">
        <f>Zones!J93</f>
        <v>0.27</v>
      </c>
      <c r="E99" s="225">
        <f>VLOOKUP(Zones!A93,'Water Heater'!$A$201:$B$222, 2, FALSE)</f>
        <v>0</v>
      </c>
      <c r="F99" s="177">
        <f t="shared" si="3"/>
        <v>0</v>
      </c>
      <c r="G99" s="224">
        <f t="shared" si="4"/>
        <v>0</v>
      </c>
      <c r="H99" s="118"/>
    </row>
    <row r="100" spans="1:8" ht="22.15" customHeight="1">
      <c r="A100" s="222" t="str">
        <f>Zones!B94</f>
        <v>Floor 2 X-Ray</v>
      </c>
      <c r="B100" s="442" t="s">
        <v>366</v>
      </c>
      <c r="C100" s="223">
        <f>Zones!G94</f>
        <v>900</v>
      </c>
      <c r="D100" s="215">
        <f>Zones!J94</f>
        <v>9</v>
      </c>
      <c r="E100" s="225">
        <f>VLOOKUP(Zones!A94,'Water Heater'!$A$201:$B$222, 2, FALSE)</f>
        <v>0.24</v>
      </c>
      <c r="F100" s="177">
        <f t="shared" si="3"/>
        <v>2.16</v>
      </c>
      <c r="G100" s="224">
        <f t="shared" si="4"/>
        <v>3.6000000000000004E-2</v>
      </c>
      <c r="H100" s="118"/>
    </row>
    <row r="101" spans="1:8" ht="22.15" customHeight="1">
      <c r="A101" s="222" t="str">
        <f>Zones!B95</f>
        <v>Floor 3 Dressing Room</v>
      </c>
      <c r="B101" s="442" t="s">
        <v>366</v>
      </c>
      <c r="C101" s="223">
        <f>Zones!G95</f>
        <v>42</v>
      </c>
      <c r="D101" s="215">
        <f>Zones!J95</f>
        <v>0.21</v>
      </c>
      <c r="E101" s="225">
        <f>VLOOKUP(Zones!A95,'Water Heater'!$A$201:$B$222, 2, FALSE)</f>
        <v>0.18</v>
      </c>
      <c r="F101" s="177">
        <f t="shared" si="3"/>
        <v>3.78E-2</v>
      </c>
      <c r="G101" s="224">
        <f t="shared" si="4"/>
        <v>6.3000000000000003E-4</v>
      </c>
      <c r="H101" s="118"/>
    </row>
    <row r="102" spans="1:8" ht="22.15" customHeight="1">
      <c r="A102" s="222" t="str">
        <f>Zones!B96</f>
        <v>Floor 3 Elevator Hall</v>
      </c>
      <c r="B102" s="442" t="s">
        <v>366</v>
      </c>
      <c r="C102" s="223">
        <f>Zones!G96</f>
        <v>370</v>
      </c>
      <c r="D102" s="215">
        <f>Zones!J96</f>
        <v>1.85</v>
      </c>
      <c r="E102" s="225">
        <f>VLOOKUP(Zones!A96,'Water Heater'!$A$201:$B$222, 2, FALSE)</f>
        <v>0</v>
      </c>
      <c r="F102" s="177">
        <f t="shared" si="3"/>
        <v>0</v>
      </c>
      <c r="G102" s="224">
        <f t="shared" si="4"/>
        <v>0</v>
      </c>
      <c r="H102" s="118"/>
    </row>
    <row r="103" spans="1:8" ht="22.15" customHeight="1">
      <c r="A103" s="222" t="str">
        <f>Zones!B97</f>
        <v>Floor 3 Humid</v>
      </c>
      <c r="B103" s="442" t="s">
        <v>366</v>
      </c>
      <c r="C103" s="223">
        <f>Zones!G97</f>
        <v>108</v>
      </c>
      <c r="D103" s="215">
        <f>Zones!J97</f>
        <v>0.54</v>
      </c>
      <c r="E103" s="225">
        <f>VLOOKUP(Zones!A97,'Water Heater'!$A$201:$B$222, 2, FALSE)</f>
        <v>0.18</v>
      </c>
      <c r="F103" s="177">
        <f t="shared" si="3"/>
        <v>9.7200000000000009E-2</v>
      </c>
      <c r="G103" s="224">
        <f t="shared" si="4"/>
        <v>1.6200000000000001E-3</v>
      </c>
      <c r="H103" s="118"/>
    </row>
    <row r="104" spans="1:8" ht="22.15" customHeight="1">
      <c r="A104" s="222" t="str">
        <f>Zones!B98</f>
        <v>Floor 3 Janitor</v>
      </c>
      <c r="B104" s="442" t="s">
        <v>366</v>
      </c>
      <c r="C104" s="223">
        <f>Zones!G98</f>
        <v>63</v>
      </c>
      <c r="D104" s="215">
        <f>Zones!J98</f>
        <v>0.126</v>
      </c>
      <c r="E104" s="225">
        <f>VLOOKUP(Zones!A98,'Water Heater'!$A$201:$B$222, 2, FALSE)</f>
        <v>0</v>
      </c>
      <c r="F104" s="177">
        <f t="shared" si="3"/>
        <v>0</v>
      </c>
      <c r="G104" s="224">
        <f t="shared" si="4"/>
        <v>0</v>
      </c>
      <c r="H104" s="118"/>
    </row>
    <row r="105" spans="1:8" ht="22.15" customHeight="1">
      <c r="A105" s="222" t="str">
        <f>Zones!B99</f>
        <v>Floor 3 Locker</v>
      </c>
      <c r="B105" s="442" t="s">
        <v>366</v>
      </c>
      <c r="C105" s="223">
        <f>Zones!G99</f>
        <v>120</v>
      </c>
      <c r="D105" s="215">
        <f>Zones!J99</f>
        <v>2.4</v>
      </c>
      <c r="E105" s="225">
        <f>VLOOKUP(Zones!A99,'Water Heater'!$A$201:$B$222, 2, FALSE)</f>
        <v>0.57799999999999996</v>
      </c>
      <c r="F105" s="177">
        <f t="shared" si="3"/>
        <v>1.3871999999999998</v>
      </c>
      <c r="G105" s="224">
        <f t="shared" si="4"/>
        <v>2.3119999999999995E-2</v>
      </c>
      <c r="H105" s="118"/>
    </row>
    <row r="106" spans="1:8" ht="22.15" customHeight="1">
      <c r="A106" s="222" t="str">
        <f>Zones!B100</f>
        <v>Floor 3 Lounge</v>
      </c>
      <c r="B106" s="442" t="s">
        <v>366</v>
      </c>
      <c r="C106" s="223">
        <f>Zones!G100</f>
        <v>759</v>
      </c>
      <c r="D106" s="215">
        <f>Zones!J100</f>
        <v>25.047000000000001</v>
      </c>
      <c r="E106" s="225">
        <f>VLOOKUP(Zones!A100,'Water Heater'!$A$201:$B$222, 2, FALSE)</f>
        <v>0.09</v>
      </c>
      <c r="F106" s="177">
        <f t="shared" si="3"/>
        <v>2.2542300000000002</v>
      </c>
      <c r="G106" s="224">
        <f t="shared" si="4"/>
        <v>3.75705E-2</v>
      </c>
      <c r="H106" s="118"/>
    </row>
    <row r="107" spans="1:8" ht="22.15" customHeight="1">
      <c r="A107" s="222" t="str">
        <f>Zones!B101</f>
        <v>Floor 3 Lounge Toilet</v>
      </c>
      <c r="B107" s="442" t="s">
        <v>366</v>
      </c>
      <c r="C107" s="223">
        <f>Zones!G101</f>
        <v>192</v>
      </c>
      <c r="D107" s="215">
        <f>Zones!J101</f>
        <v>0.96</v>
      </c>
      <c r="E107" s="225">
        <f>VLOOKUP(Zones!A101,'Water Heater'!$A$201:$B$222, 2, FALSE)</f>
        <v>0</v>
      </c>
      <c r="F107" s="177">
        <f t="shared" si="3"/>
        <v>0</v>
      </c>
      <c r="G107" s="224">
        <f t="shared" si="4"/>
        <v>0</v>
      </c>
      <c r="H107" s="118"/>
    </row>
    <row r="108" spans="1:8" ht="22.15" customHeight="1">
      <c r="A108" s="222" t="str">
        <f>Zones!B102</f>
        <v>Floor 3 Mechanical</v>
      </c>
      <c r="B108" s="442" t="s">
        <v>366</v>
      </c>
      <c r="C108" s="223">
        <f>Zones!G102</f>
        <v>350</v>
      </c>
      <c r="D108" s="215">
        <f>Zones!J102</f>
        <v>1.05</v>
      </c>
      <c r="E108" s="225">
        <f>VLOOKUP(Zones!A102,'Water Heater'!$A$201:$B$222, 2, FALSE)</f>
        <v>0.18</v>
      </c>
      <c r="F108" s="177">
        <f t="shared" si="3"/>
        <v>0.189</v>
      </c>
      <c r="G108" s="224">
        <f t="shared" si="4"/>
        <v>3.15E-3</v>
      </c>
      <c r="H108" s="118"/>
    </row>
    <row r="109" spans="1:8" ht="22.15" customHeight="1">
      <c r="A109" s="222" t="str">
        <f>Zones!B103</f>
        <v>Floor 3 Mechanical Hall</v>
      </c>
      <c r="B109" s="442" t="s">
        <v>366</v>
      </c>
      <c r="C109" s="223">
        <f>Zones!G103</f>
        <v>300</v>
      </c>
      <c r="D109" s="215">
        <f>Zones!J103</f>
        <v>1.5</v>
      </c>
      <c r="E109" s="225">
        <f>VLOOKUP(Zones!A103,'Water Heater'!$A$201:$B$222, 2, FALSE)</f>
        <v>0</v>
      </c>
      <c r="F109" s="177">
        <f t="shared" si="3"/>
        <v>0</v>
      </c>
      <c r="G109" s="224">
        <f t="shared" si="4"/>
        <v>0</v>
      </c>
      <c r="H109" s="118"/>
    </row>
    <row r="110" spans="1:8" ht="22.15" customHeight="1">
      <c r="A110" s="222" t="str">
        <f>Zones!B104</f>
        <v>Floor 3 Office</v>
      </c>
      <c r="B110" s="442" t="s">
        <v>366</v>
      </c>
      <c r="C110" s="223">
        <f>Zones!G104</f>
        <v>3036</v>
      </c>
      <c r="D110" s="215">
        <f>Zones!J104</f>
        <v>15.18</v>
      </c>
      <c r="E110" s="225">
        <f>VLOOKUP(Zones!A104,'Water Heater'!$A$201:$B$222, 2, FALSE)</f>
        <v>0.18</v>
      </c>
      <c r="F110" s="177">
        <f t="shared" si="3"/>
        <v>2.7323999999999997</v>
      </c>
      <c r="G110" s="224">
        <f t="shared" si="4"/>
        <v>4.5539999999999997E-2</v>
      </c>
      <c r="H110" s="118"/>
    </row>
    <row r="111" spans="1:8" ht="22.15" customHeight="1">
      <c r="A111" s="222" t="str">
        <f>Zones!B105</f>
        <v>Floor 3 Office Hall</v>
      </c>
      <c r="B111" s="442" t="s">
        <v>366</v>
      </c>
      <c r="C111" s="223">
        <f>Zones!G105</f>
        <v>834</v>
      </c>
      <c r="D111" s="215">
        <f>Zones!J105</f>
        <v>4.17</v>
      </c>
      <c r="E111" s="225">
        <f>VLOOKUP(Zones!A105,'Water Heater'!$A$201:$B$222, 2, FALSE)</f>
        <v>0</v>
      </c>
      <c r="F111" s="177">
        <f t="shared" si="3"/>
        <v>0</v>
      </c>
      <c r="G111" s="224">
        <f t="shared" si="4"/>
        <v>0</v>
      </c>
      <c r="H111" s="118"/>
    </row>
    <row r="112" spans="1:8" ht="22.15" customHeight="1">
      <c r="A112" s="222" t="str">
        <f>Zones!B106</f>
        <v>Floor 3 Office Toilet</v>
      </c>
      <c r="B112" s="442" t="s">
        <v>366</v>
      </c>
      <c r="C112" s="223">
        <f>Zones!G106</f>
        <v>54</v>
      </c>
      <c r="D112" s="215">
        <f>Zones!J106</f>
        <v>0.27</v>
      </c>
      <c r="E112" s="225">
        <f>VLOOKUP(Zones!A106,'Water Heater'!$A$201:$B$222, 2, FALSE)</f>
        <v>0</v>
      </c>
      <c r="F112" s="177">
        <f t="shared" si="3"/>
        <v>0</v>
      </c>
      <c r="G112" s="224">
        <f t="shared" si="4"/>
        <v>0</v>
      </c>
      <c r="H112" s="118"/>
    </row>
    <row r="113" spans="1:8" ht="22.15" customHeight="1">
      <c r="A113" s="222" t="str">
        <f>Zones!B107</f>
        <v>Floor 3 Physical Therapy 1</v>
      </c>
      <c r="B113" s="442" t="s">
        <v>366</v>
      </c>
      <c r="C113" s="223">
        <f>Zones!G107</f>
        <v>1300</v>
      </c>
      <c r="D113" s="215">
        <f>Zones!J107</f>
        <v>13</v>
      </c>
      <c r="E113" s="225">
        <f>VLOOKUP(Zones!A107,'Water Heater'!$A$201:$B$222, 2, FALSE)</f>
        <v>0.24</v>
      </c>
      <c r="F113" s="177">
        <f t="shared" si="3"/>
        <v>3.12</v>
      </c>
      <c r="G113" s="224">
        <f t="shared" si="4"/>
        <v>5.2000000000000005E-2</v>
      </c>
      <c r="H113" s="118"/>
    </row>
    <row r="114" spans="1:8" ht="22.15" customHeight="1">
      <c r="A114" s="222" t="str">
        <f>Zones!B108</f>
        <v>Floor 3 Physical Therapy 2</v>
      </c>
      <c r="B114" s="442" t="s">
        <v>366</v>
      </c>
      <c r="C114" s="223">
        <f>Zones!G108</f>
        <v>592</v>
      </c>
      <c r="D114" s="215">
        <f>Zones!J108</f>
        <v>5.92</v>
      </c>
      <c r="E114" s="225">
        <f>VLOOKUP(Zones!A108,'Water Heater'!$A$201:$B$222, 2, FALSE)</f>
        <v>0.24</v>
      </c>
      <c r="F114" s="177">
        <f t="shared" si="3"/>
        <v>1.4207999999999998</v>
      </c>
      <c r="G114" s="224">
        <f t="shared" si="4"/>
        <v>2.3679999999999996E-2</v>
      </c>
      <c r="H114" s="118"/>
    </row>
    <row r="115" spans="1:8" ht="22.15" customHeight="1">
      <c r="A115" s="222" t="str">
        <f>Zones!B109</f>
        <v>Floor 3 Physical Therapy Toilet</v>
      </c>
      <c r="B115" s="442" t="s">
        <v>366</v>
      </c>
      <c r="C115" s="223">
        <f>Zones!G109</f>
        <v>84</v>
      </c>
      <c r="D115" s="215">
        <f>Zones!J109</f>
        <v>0.42</v>
      </c>
      <c r="E115" s="225">
        <f>VLOOKUP(Zones!A109,'Water Heater'!$A$201:$B$222, 2, FALSE)</f>
        <v>0</v>
      </c>
      <c r="F115" s="177">
        <f t="shared" si="3"/>
        <v>0</v>
      </c>
      <c r="G115" s="224">
        <f t="shared" si="4"/>
        <v>0</v>
      </c>
      <c r="H115" s="118"/>
    </row>
    <row r="116" spans="1:8" ht="22.15" customHeight="1">
      <c r="A116" s="222" t="str">
        <f>Zones!B110</f>
        <v>Floor 3 Storage 1</v>
      </c>
      <c r="B116" s="442" t="s">
        <v>366</v>
      </c>
      <c r="C116" s="223">
        <f>Zones!G110</f>
        <v>108</v>
      </c>
      <c r="D116" s="215">
        <f>Zones!J110</f>
        <v>0.216</v>
      </c>
      <c r="E116" s="225">
        <f>VLOOKUP(Zones!A110,'Water Heater'!$A$201:$B$222, 2, FALSE)</f>
        <v>0</v>
      </c>
      <c r="F116" s="177">
        <f t="shared" si="3"/>
        <v>0</v>
      </c>
      <c r="G116" s="224">
        <f t="shared" si="4"/>
        <v>0</v>
      </c>
      <c r="H116" s="118"/>
    </row>
    <row r="117" spans="1:8" ht="22.15" customHeight="1">
      <c r="A117" s="222" t="str">
        <f>Zones!B111</f>
        <v>Floor 3 Storage 2</v>
      </c>
      <c r="B117" s="442" t="s">
        <v>366</v>
      </c>
      <c r="C117" s="223">
        <f>Zones!G111</f>
        <v>84</v>
      </c>
      <c r="D117" s="215">
        <f>Zones!J111</f>
        <v>0.16800000000000001</v>
      </c>
      <c r="E117" s="225">
        <f>VLOOKUP(Zones!A111,'Water Heater'!$A$201:$B$222, 2, FALSE)</f>
        <v>0</v>
      </c>
      <c r="F117" s="177">
        <f t="shared" si="3"/>
        <v>0</v>
      </c>
      <c r="G117" s="224">
        <f t="shared" si="4"/>
        <v>0</v>
      </c>
      <c r="H117" s="118"/>
    </row>
    <row r="118" spans="1:8" ht="22.15" customHeight="1">
      <c r="A118" s="222" t="str">
        <f>Zones!B112</f>
        <v>Floor 3 Treatment</v>
      </c>
      <c r="B118" s="442" t="s">
        <v>366</v>
      </c>
      <c r="C118" s="223">
        <f>Zones!G112</f>
        <v>476</v>
      </c>
      <c r="D118" s="215">
        <f>Zones!J112</f>
        <v>4.76</v>
      </c>
      <c r="E118" s="225">
        <f>VLOOKUP(Zones!A112,'Water Heater'!$A$201:$B$222, 2, FALSE)</f>
        <v>0.24</v>
      </c>
      <c r="F118" s="177">
        <f t="shared" si="3"/>
        <v>1.1423999999999999</v>
      </c>
      <c r="G118" s="224">
        <f t="shared" si="4"/>
        <v>1.9039999999999998E-2</v>
      </c>
      <c r="H118" s="118"/>
    </row>
    <row r="119" spans="1:8" ht="22.15" customHeight="1">
      <c r="A119" s="222" t="str">
        <f>Zones!B113</f>
        <v>Floor 3 Undeveloped 1</v>
      </c>
      <c r="B119" s="442" t="s">
        <v>366</v>
      </c>
      <c r="C119" s="223">
        <f>Zones!G113</f>
        <v>2268</v>
      </c>
      <c r="D119" s="215">
        <f>Zones!J113</f>
        <v>4.5359999999999996</v>
      </c>
      <c r="E119" s="225">
        <f>VLOOKUP(Zones!A113,'Water Heater'!$A$201:$B$222, 2, FALSE)</f>
        <v>0</v>
      </c>
      <c r="F119" s="177">
        <f t="shared" si="3"/>
        <v>0</v>
      </c>
      <c r="G119" s="224">
        <f t="shared" si="4"/>
        <v>0</v>
      </c>
      <c r="H119" s="118"/>
    </row>
    <row r="120" spans="1:8" ht="22.15" customHeight="1">
      <c r="A120" s="222" t="str">
        <f>Zones!B114</f>
        <v>Floor 3 Undeveloped 2</v>
      </c>
      <c r="B120" s="442" t="s">
        <v>366</v>
      </c>
      <c r="C120" s="223">
        <f>Zones!G114</f>
        <v>1152</v>
      </c>
      <c r="D120" s="215">
        <f>Zones!J114</f>
        <v>2.3039999999999998</v>
      </c>
      <c r="E120" s="225">
        <f>VLOOKUP(Zones!A114,'Water Heater'!$A$201:$B$222, 2, FALSE)</f>
        <v>0</v>
      </c>
      <c r="F120" s="177">
        <f t="shared" si="3"/>
        <v>0</v>
      </c>
      <c r="G120" s="224">
        <f t="shared" si="4"/>
        <v>0</v>
      </c>
      <c r="H120" s="118"/>
    </row>
    <row r="121" spans="1:8" ht="22.15" customHeight="1">
      <c r="A121" s="222" t="str">
        <f>Zones!B115</f>
        <v>Floor 3 Utility</v>
      </c>
      <c r="B121" s="442" t="s">
        <v>366</v>
      </c>
      <c r="C121" s="223">
        <f>Zones!G115</f>
        <v>216</v>
      </c>
      <c r="D121" s="215">
        <f>Zones!J115</f>
        <v>0.432</v>
      </c>
      <c r="E121" s="225">
        <f>VLOOKUP(Zones!A115,'Water Heater'!$A$201:$B$222, 2, FALSE)</f>
        <v>0</v>
      </c>
      <c r="F121" s="177">
        <f t="shared" si="3"/>
        <v>0</v>
      </c>
      <c r="G121" s="224">
        <f t="shared" si="4"/>
        <v>0</v>
      </c>
      <c r="H121" s="118"/>
    </row>
    <row r="122" spans="1:8" ht="22.15" customHeight="1">
      <c r="A122" s="222" t="str">
        <f>Zones!B116</f>
        <v>Floor 3 Work</v>
      </c>
      <c r="B122" s="442" t="s">
        <v>366</v>
      </c>
      <c r="C122" s="223">
        <f>Zones!G116</f>
        <v>574</v>
      </c>
      <c r="D122" s="215">
        <f>Zones!J116</f>
        <v>2.87</v>
      </c>
      <c r="E122" s="225">
        <f>VLOOKUP(Zones!A116,'Water Heater'!$A$201:$B$222, 2, FALSE)</f>
        <v>0.18</v>
      </c>
      <c r="F122" s="177">
        <f t="shared" si="3"/>
        <v>0.51659999999999995</v>
      </c>
      <c r="G122" s="224">
        <f t="shared" si="4"/>
        <v>8.6099999999999996E-3</v>
      </c>
      <c r="H122" s="118"/>
    </row>
    <row r="123" spans="1:8" ht="22.15" customHeight="1">
      <c r="A123" s="222" t="str">
        <f>Zones!B117</f>
        <v>NE Stair</v>
      </c>
      <c r="B123" s="442" t="s">
        <v>366</v>
      </c>
      <c r="C123" s="223">
        <f>Zones!G117</f>
        <v>168</v>
      </c>
      <c r="D123" s="215">
        <f>Zones!J117</f>
        <v>0.84</v>
      </c>
      <c r="E123" s="225">
        <f>VLOOKUP(Zones!A117,'Water Heater'!$A$201:$B$222, 2, FALSE)</f>
        <v>0</v>
      </c>
      <c r="F123" s="177">
        <f t="shared" si="3"/>
        <v>0</v>
      </c>
      <c r="G123" s="224">
        <f t="shared" si="4"/>
        <v>0</v>
      </c>
      <c r="H123" s="118"/>
    </row>
    <row r="124" spans="1:8" ht="22.15" customHeight="1">
      <c r="A124" s="222" t="str">
        <f>Zones!B118</f>
        <v>NW Elevator</v>
      </c>
      <c r="B124" s="442" t="s">
        <v>366</v>
      </c>
      <c r="C124" s="223">
        <f>Zones!G118</f>
        <v>140</v>
      </c>
      <c r="D124" s="215">
        <f>Zones!J118</f>
        <v>0</v>
      </c>
      <c r="E124" s="225">
        <v>0</v>
      </c>
      <c r="F124" s="177">
        <f t="shared" si="3"/>
        <v>0</v>
      </c>
      <c r="G124" s="224">
        <f t="shared" si="4"/>
        <v>0</v>
      </c>
      <c r="H124" s="118"/>
    </row>
    <row r="125" spans="1:8" ht="22.15" customHeight="1">
      <c r="A125" s="222" t="str">
        <f>Zones!B119</f>
        <v>NW Stair</v>
      </c>
      <c r="B125" s="442" t="s">
        <v>366</v>
      </c>
      <c r="C125" s="223">
        <f>Zones!G119</f>
        <v>192</v>
      </c>
      <c r="D125" s="215">
        <f>Zones!J119</f>
        <v>0.96</v>
      </c>
      <c r="E125" s="225">
        <f>VLOOKUP(Zones!A119,'Water Heater'!$A$201:$B$222, 2, FALSE)</f>
        <v>0</v>
      </c>
      <c r="F125" s="177">
        <f t="shared" si="3"/>
        <v>0</v>
      </c>
      <c r="G125" s="224">
        <f t="shared" si="4"/>
        <v>0</v>
      </c>
      <c r="H125" s="118"/>
    </row>
    <row r="126" spans="1:8" ht="22.15" customHeight="1">
      <c r="A126" s="222" t="str">
        <f>Zones!B120</f>
        <v>SW Stair</v>
      </c>
      <c r="B126" s="442" t="s">
        <v>366</v>
      </c>
      <c r="C126" s="223">
        <f>Zones!G120</f>
        <v>96</v>
      </c>
      <c r="D126" s="215">
        <f>Zones!J120</f>
        <v>0.48</v>
      </c>
      <c r="E126" s="280">
        <f>VLOOKUP(Zones!A120,'Water Heater'!$A$201:$B$222, 2, FALSE)</f>
        <v>0</v>
      </c>
      <c r="F126" s="177">
        <f t="shared" si="3"/>
        <v>0</v>
      </c>
      <c r="G126" s="224">
        <f t="shared" si="4"/>
        <v>0</v>
      </c>
    </row>
    <row r="127" spans="1:8">
      <c r="A127" s="222" t="str">
        <f>Zones!B121</f>
        <v>Total ( 118 spaces)</v>
      </c>
      <c r="B127" s="442" t="s">
        <v>366</v>
      </c>
      <c r="C127" s="223">
        <f>Zones!G121</f>
        <v>40946</v>
      </c>
      <c r="D127" s="278">
        <f>Zones!J121</f>
        <v>329.1930000000001</v>
      </c>
      <c r="E127" s="276"/>
      <c r="F127" s="279">
        <f>SUM(F9:F126)</f>
        <v>61.708217999999988</v>
      </c>
      <c r="G127" s="224">
        <f>F127/60</f>
        <v>1.0284702999999997</v>
      </c>
    </row>
    <row r="128" spans="1:8">
      <c r="A128" s="68"/>
      <c r="E128" s="69"/>
    </row>
    <row r="129" spans="1:41">
      <c r="A129" s="68"/>
      <c r="E129" s="69"/>
    </row>
    <row r="130" spans="1:41">
      <c r="A130" s="68"/>
      <c r="E130" s="69"/>
    </row>
    <row r="131" spans="1:41" ht="18" customHeight="1">
      <c r="A131" s="545" t="s">
        <v>423</v>
      </c>
      <c r="B131" s="545"/>
      <c r="C131" s="545"/>
      <c r="D131" s="545"/>
      <c r="E131" s="545"/>
      <c r="F131" s="545"/>
      <c r="G131" s="545"/>
      <c r="H131" s="545"/>
      <c r="I131" s="545"/>
      <c r="J131" s="545"/>
    </row>
    <row r="132" spans="1:41" ht="57" customHeight="1">
      <c r="A132" s="157" t="s">
        <v>410</v>
      </c>
      <c r="B132" s="157" t="s">
        <v>421</v>
      </c>
      <c r="C132" s="157" t="s">
        <v>424</v>
      </c>
      <c r="D132" s="157" t="s">
        <v>425</v>
      </c>
      <c r="E132" s="157" t="s">
        <v>426</v>
      </c>
      <c r="F132" s="157" t="s">
        <v>427</v>
      </c>
      <c r="G132" s="546" t="s">
        <v>428</v>
      </c>
      <c r="H132" s="547"/>
      <c r="I132" s="471" t="s">
        <v>429</v>
      </c>
      <c r="J132" s="157" t="s">
        <v>35</v>
      </c>
    </row>
    <row r="133" spans="1:41" ht="18.600000000000001" customHeight="1">
      <c r="A133" s="213" t="s">
        <v>430</v>
      </c>
      <c r="B133" s="214">
        <f>MAX(SUMIF(B9:B30, "*Gas*", F9:F30),75)</f>
        <v>75</v>
      </c>
      <c r="C133" s="214">
        <f>B133*(135-55)*8.2877*1</f>
        <v>49726.2</v>
      </c>
      <c r="D133" s="214">
        <f>C133*B139</f>
        <v>29835.719999999998</v>
      </c>
      <c r="E133" s="215">
        <f>D133/0.8</f>
        <v>37294.649999999994</v>
      </c>
      <c r="F133" s="214">
        <f>F135-F134</f>
        <v>30</v>
      </c>
      <c r="G133" s="216">
        <f>(E133/800)+110*SQRT(F133)</f>
        <v>649.11312575568274</v>
      </c>
      <c r="H133" s="217" t="s">
        <v>431</v>
      </c>
      <c r="I133" s="218">
        <f>G133/B145</f>
        <v>9.6882556082937725</v>
      </c>
      <c r="J133" s="493" t="s">
        <v>432</v>
      </c>
    </row>
    <row r="134" spans="1:41" ht="18.600000000000001" customHeight="1">
      <c r="A134" s="213" t="s">
        <v>433</v>
      </c>
      <c r="B134" s="214">
        <f>SUMIF(B9:B30, "*Electric*", F9:F30)</f>
        <v>0</v>
      </c>
      <c r="C134" s="214">
        <f>B134*(135-55)*8.2877*1</f>
        <v>0</v>
      </c>
      <c r="D134" s="214">
        <f>C134*0.85</f>
        <v>0</v>
      </c>
      <c r="E134" s="215">
        <f>D134/1</f>
        <v>0</v>
      </c>
      <c r="F134" s="214">
        <f>(B134*F135)/B135</f>
        <v>0</v>
      </c>
      <c r="G134" s="216"/>
      <c r="H134" s="161" t="s">
        <v>434</v>
      </c>
      <c r="I134" s="219">
        <f>0.0834*G134*F134</f>
        <v>0</v>
      </c>
      <c r="J134" s="494"/>
    </row>
    <row r="135" spans="1:41" ht="18.600000000000001" customHeight="1">
      <c r="A135" s="220" t="s">
        <v>409</v>
      </c>
      <c r="B135" s="214">
        <f>MAX(B133+B134,75)</f>
        <v>75</v>
      </c>
      <c r="C135" s="214">
        <f>B135*(135-55)*8.2877*1</f>
        <v>49726.2</v>
      </c>
      <c r="D135" s="214">
        <f>C135*B139</f>
        <v>29835.719999999998</v>
      </c>
      <c r="E135" s="215">
        <f>D135/0.8</f>
        <v>37294.649999999994</v>
      </c>
      <c r="F135" s="214">
        <f>B135*1*B140</f>
        <v>30</v>
      </c>
      <c r="G135" s="161"/>
      <c r="H135" s="161"/>
      <c r="I135" s="221"/>
      <c r="J135" s="494"/>
    </row>
    <row r="136" spans="1:41">
      <c r="A136" s="68"/>
      <c r="B136" s="129"/>
      <c r="C136" s="8"/>
      <c r="D136" s="8"/>
      <c r="E136" s="130"/>
      <c r="F136" s="129"/>
      <c r="I136" s="6"/>
    </row>
    <row r="137" spans="1:41">
      <c r="A137" s="435" t="s">
        <v>435</v>
      </c>
      <c r="B137" s="39">
        <v>135</v>
      </c>
      <c r="C137" s="435" t="s">
        <v>436</v>
      </c>
      <c r="D137" s="435"/>
      <c r="E137" s="435"/>
      <c r="F137" s="131" t="s">
        <v>437</v>
      </c>
      <c r="G137" s="132">
        <f>(E135/800)+110*SQRT(F135)</f>
        <v>649.11312575568274</v>
      </c>
      <c r="H137" s="133" t="s">
        <v>431</v>
      </c>
      <c r="I137" s="155">
        <f>G137/B145</f>
        <v>9.6882556082937725</v>
      </c>
    </row>
    <row r="138" spans="1:41">
      <c r="A138" s="435" t="s">
        <v>438</v>
      </c>
      <c r="B138" s="39">
        <v>55</v>
      </c>
      <c r="C138" s="435" t="s">
        <v>439</v>
      </c>
      <c r="D138" s="435"/>
      <c r="E138" s="435"/>
      <c r="F138" s="435"/>
      <c r="G138" s="435"/>
      <c r="H138" s="435"/>
      <c r="I138" s="435"/>
    </row>
    <row r="139" spans="1:41" ht="15">
      <c r="A139" s="134" t="s">
        <v>440</v>
      </c>
      <c r="B139" s="39">
        <v>0.6</v>
      </c>
      <c r="C139" s="435" t="s">
        <v>439</v>
      </c>
      <c r="D139" s="435"/>
      <c r="E139" s="435"/>
      <c r="F139" s="435"/>
      <c r="G139" s="435"/>
      <c r="H139" s="435"/>
      <c r="I139" s="435"/>
    </row>
    <row r="140" spans="1:41">
      <c r="A140" s="435" t="s">
        <v>441</v>
      </c>
      <c r="B140" s="39">
        <v>0.4</v>
      </c>
      <c r="C140" s="435"/>
      <c r="D140" s="435"/>
      <c r="E140" s="435"/>
      <c r="F140" s="435"/>
      <c r="G140" s="435"/>
      <c r="H140" s="435"/>
      <c r="I140" s="435"/>
    </row>
    <row r="141" spans="1:41" ht="24" customHeight="1">
      <c r="A141" s="544" t="s">
        <v>442</v>
      </c>
      <c r="B141" s="544"/>
      <c r="C141" s="544"/>
      <c r="D141" s="544"/>
      <c r="E141" s="544"/>
      <c r="F141" s="544"/>
      <c r="G141" s="544"/>
      <c r="H141" s="544"/>
      <c r="I141" s="544"/>
    </row>
    <row r="142" spans="1:41" ht="15.6" customHeight="1">
      <c r="A142" s="458"/>
      <c r="B142" s="458"/>
      <c r="C142" s="458"/>
      <c r="D142" s="458"/>
      <c r="E142" s="458"/>
      <c r="F142" s="458"/>
      <c r="G142" s="458"/>
      <c r="H142" s="458"/>
      <c r="I142" s="458"/>
    </row>
    <row r="143" spans="1:41" ht="15.6" customHeight="1">
      <c r="A143" s="134" t="s">
        <v>443</v>
      </c>
      <c r="B143" s="435"/>
      <c r="C143" s="435"/>
      <c r="D143" s="435"/>
      <c r="E143" s="439"/>
      <c r="F143" s="435"/>
      <c r="G143" s="435"/>
      <c r="H143" s="435"/>
      <c r="I143" s="435"/>
      <c r="J143" s="435"/>
      <c r="K143" s="435"/>
      <c r="L143" s="435"/>
      <c r="M143" s="435"/>
      <c r="N143" s="435"/>
      <c r="O143" s="435"/>
      <c r="P143" s="435"/>
      <c r="Q143" s="435"/>
      <c r="R143" s="435"/>
      <c r="S143" s="435"/>
      <c r="T143" s="435"/>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435"/>
    </row>
    <row r="144" spans="1:41" ht="15.6" customHeight="1">
      <c r="A144" s="134" t="s">
        <v>444</v>
      </c>
      <c r="B144" s="435">
        <v>68</v>
      </c>
      <c r="C144" s="435"/>
      <c r="D144" s="435"/>
      <c r="E144" s="435"/>
      <c r="F144" s="435"/>
      <c r="G144" s="435"/>
      <c r="H144" s="435"/>
      <c r="I144" s="435"/>
      <c r="J144" s="435"/>
      <c r="K144" s="435"/>
      <c r="L144" s="435"/>
      <c r="M144" s="435"/>
      <c r="N144" s="435"/>
      <c r="O144" s="435"/>
      <c r="P144" s="435"/>
      <c r="Q144" s="435"/>
      <c r="R144" s="435"/>
      <c r="S144" s="435"/>
      <c r="T144" s="435"/>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435"/>
    </row>
    <row r="145" spans="1:41" ht="13.15" customHeight="1">
      <c r="A145" s="134" t="s">
        <v>445</v>
      </c>
      <c r="B145" s="435">
        <f>B137-B144</f>
        <v>67</v>
      </c>
      <c r="C145" s="435"/>
      <c r="D145" s="435"/>
      <c r="E145" s="435"/>
      <c r="F145" s="435"/>
      <c r="G145" s="435"/>
      <c r="H145" s="435"/>
      <c r="I145" s="435"/>
      <c r="J145" s="435"/>
      <c r="K145" s="435"/>
      <c r="L145" s="435"/>
      <c r="M145" s="435"/>
      <c r="N145" s="435"/>
      <c r="O145" s="435"/>
      <c r="P145" s="435"/>
      <c r="Q145" s="435"/>
      <c r="R145" s="435"/>
      <c r="S145" s="435"/>
      <c r="T145" s="435"/>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435"/>
    </row>
    <row r="146" spans="1:41" s="6" customFormat="1" ht="15">
      <c r="A146" s="134" t="s">
        <v>446</v>
      </c>
      <c r="B146" s="435"/>
      <c r="C146" s="435"/>
      <c r="D146" s="435"/>
      <c r="E146" s="435"/>
      <c r="F146" s="435"/>
      <c r="G146" s="435"/>
      <c r="H146" s="435"/>
      <c r="I146" s="435"/>
      <c r="J146" s="435"/>
      <c r="K146" s="435"/>
      <c r="L146" s="435"/>
      <c r="M146" s="435"/>
      <c r="N146" s="435"/>
      <c r="O146" s="435"/>
      <c r="P146" s="435"/>
      <c r="Q146" s="435"/>
      <c r="R146" s="435"/>
      <c r="S146" s="435"/>
      <c r="T146" s="435"/>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435"/>
    </row>
    <row r="147" spans="1:41" ht="15.6" customHeight="1">
      <c r="A147" s="458"/>
      <c r="B147" s="458"/>
      <c r="C147" s="458"/>
      <c r="D147" s="458"/>
      <c r="E147" s="458"/>
      <c r="F147" s="458"/>
      <c r="G147" s="458"/>
      <c r="H147" s="458"/>
      <c r="I147" s="458"/>
    </row>
    <row r="148" spans="1:41" ht="15.6" customHeight="1">
      <c r="A148" s="458"/>
      <c r="B148" s="458"/>
      <c r="C148" s="458"/>
      <c r="D148" s="458"/>
      <c r="E148" s="458"/>
      <c r="F148" s="458"/>
      <c r="G148" s="458"/>
      <c r="H148" s="458"/>
      <c r="I148" s="458"/>
    </row>
    <row r="149" spans="1:41" ht="15.6" customHeight="1">
      <c r="A149" s="458"/>
      <c r="B149" s="458"/>
      <c r="C149" s="458"/>
      <c r="D149" s="458"/>
      <c r="E149" s="458"/>
      <c r="F149" s="458"/>
      <c r="G149" s="458"/>
      <c r="H149" s="458"/>
      <c r="I149" s="458"/>
    </row>
    <row r="150" spans="1:41" ht="15.6" customHeight="1">
      <c r="A150" s="458"/>
      <c r="B150" s="458"/>
      <c r="C150" s="458"/>
      <c r="D150" s="458"/>
      <c r="E150" s="458"/>
      <c r="F150" s="458"/>
      <c r="G150" s="458"/>
      <c r="H150" s="458"/>
      <c r="I150" s="458"/>
    </row>
    <row r="151" spans="1:41" ht="15.6" customHeight="1">
      <c r="A151" s="458"/>
      <c r="B151" s="458"/>
      <c r="C151" s="458"/>
      <c r="D151" s="458"/>
      <c r="E151" s="458"/>
      <c r="F151" s="458"/>
      <c r="G151" s="458"/>
      <c r="H151" s="458"/>
      <c r="I151" s="458"/>
    </row>
    <row r="152" spans="1:41" ht="15.6" customHeight="1">
      <c r="A152" s="458"/>
      <c r="B152" s="458"/>
      <c r="C152" s="458"/>
      <c r="D152" s="458"/>
      <c r="E152" s="458"/>
      <c r="F152" s="458"/>
      <c r="G152" s="458"/>
      <c r="H152" s="458"/>
      <c r="I152" s="458"/>
    </row>
    <row r="153" spans="1:41" ht="15.6" customHeight="1">
      <c r="A153" s="458"/>
      <c r="B153" s="458"/>
      <c r="C153" s="458"/>
      <c r="D153" s="458"/>
      <c r="E153" s="458"/>
      <c r="F153" s="458"/>
      <c r="G153" s="458"/>
      <c r="H153" s="458"/>
      <c r="I153" s="458"/>
    </row>
    <row r="154" spans="1:41" ht="15.6" customHeight="1">
      <c r="A154" s="458"/>
      <c r="B154" s="458"/>
      <c r="C154" s="458"/>
      <c r="D154" s="458"/>
      <c r="E154" s="458"/>
      <c r="F154" s="458"/>
      <c r="G154" s="458"/>
      <c r="H154" s="458"/>
      <c r="I154" s="458"/>
    </row>
    <row r="155" spans="1:41" ht="15.6" customHeight="1">
      <c r="A155" s="458"/>
      <c r="B155" s="458"/>
      <c r="C155" s="458"/>
      <c r="D155" s="458"/>
      <c r="E155" s="458"/>
      <c r="F155" s="458"/>
      <c r="G155" s="458"/>
      <c r="H155" s="458"/>
      <c r="I155" s="458"/>
    </row>
    <row r="156" spans="1:41" s="89" customFormat="1" ht="21" customHeight="1">
      <c r="A156" s="89" t="s">
        <v>232</v>
      </c>
    </row>
    <row r="157" spans="1:41" ht="15">
      <c r="A157" s="1"/>
    </row>
    <row r="158" spans="1:41" ht="15">
      <c r="A158" s="119"/>
    </row>
    <row r="159" spans="1:41" ht="15">
      <c r="A159" s="120"/>
    </row>
    <row r="160" spans="1:41" ht="15">
      <c r="A160" s="119"/>
    </row>
    <row r="161" spans="1:1" ht="15">
      <c r="A161" s="120"/>
    </row>
    <row r="162" spans="1:1" ht="15">
      <c r="A162" s="119"/>
    </row>
    <row r="163" spans="1:1" ht="15">
      <c r="A163" s="120"/>
    </row>
    <row r="164" spans="1:1" ht="15">
      <c r="A164" s="119"/>
    </row>
    <row r="165" spans="1:1" ht="15">
      <c r="A165" s="120"/>
    </row>
    <row r="166" spans="1:1" ht="15">
      <c r="A166" s="119"/>
    </row>
    <row r="167" spans="1:1" ht="15">
      <c r="A167" s="120"/>
    </row>
    <row r="168" spans="1:1" ht="15">
      <c r="A168" s="119"/>
    </row>
    <row r="169" spans="1:1" ht="15">
      <c r="A169" s="120"/>
    </row>
    <row r="170" spans="1:1" ht="15">
      <c r="A170" s="119"/>
    </row>
    <row r="171" spans="1:1" ht="15">
      <c r="A171" s="119"/>
    </row>
    <row r="172" spans="1:1" ht="15">
      <c r="A172" s="119"/>
    </row>
    <row r="173" spans="1:1" ht="15">
      <c r="A173" s="119"/>
    </row>
    <row r="174" spans="1:1" ht="15">
      <c r="A174" s="119"/>
    </row>
    <row r="175" spans="1:1" ht="15">
      <c r="A175" s="119"/>
    </row>
    <row r="176" spans="1:1" ht="15">
      <c r="A176" s="119"/>
    </row>
    <row r="177" spans="1:1" ht="15">
      <c r="A177" s="119"/>
    </row>
    <row r="178" spans="1:1" ht="15">
      <c r="A178" s="119"/>
    </row>
    <row r="179" spans="1:1" ht="15">
      <c r="A179" s="120"/>
    </row>
    <row r="180" spans="1:1" ht="15">
      <c r="A180" s="119"/>
    </row>
    <row r="181" spans="1:1" ht="15">
      <c r="A181" s="119"/>
    </row>
    <row r="182" spans="1:1" ht="15">
      <c r="A182" s="119"/>
    </row>
    <row r="183" spans="1:1" ht="15">
      <c r="A183" s="119"/>
    </row>
    <row r="184" spans="1:1" ht="15">
      <c r="A184" s="119"/>
    </row>
    <row r="185" spans="1:1" ht="15">
      <c r="A185" s="120"/>
    </row>
    <row r="186" spans="1:1" ht="15">
      <c r="A186" s="119"/>
    </row>
    <row r="187" spans="1:1" ht="15">
      <c r="A187" s="119"/>
    </row>
    <row r="188" spans="1:1" ht="15">
      <c r="A188" s="119"/>
    </row>
    <row r="189" spans="1:1" ht="15">
      <c r="A189" s="119"/>
    </row>
    <row r="190" spans="1:1" ht="15">
      <c r="A190" s="119"/>
    </row>
    <row r="191" spans="1:1" ht="15">
      <c r="A191" s="119"/>
    </row>
    <row r="192" spans="1:1" ht="15">
      <c r="A192" s="119"/>
    </row>
    <row r="193" spans="1:2" ht="15">
      <c r="A193" s="119"/>
    </row>
    <row r="194" spans="1:2" ht="15">
      <c r="A194" s="119"/>
    </row>
    <row r="195" spans="1:2" ht="15">
      <c r="A195" s="119"/>
    </row>
    <row r="196" spans="1:2" ht="15">
      <c r="A196" s="119"/>
    </row>
    <row r="197" spans="1:2" ht="15">
      <c r="A197" s="120"/>
    </row>
    <row r="198" spans="1:2" ht="15">
      <c r="A198" s="119"/>
    </row>
    <row r="199" spans="1:2" ht="15">
      <c r="A199" s="119"/>
    </row>
    <row r="200" spans="1:2" ht="76.5">
      <c r="A200" s="273" t="s">
        <v>70</v>
      </c>
      <c r="B200" s="273" t="s">
        <v>420</v>
      </c>
    </row>
    <row r="201" spans="1:2">
      <c r="A201" s="276" t="s">
        <v>81</v>
      </c>
      <c r="B201" s="277">
        <v>0.24</v>
      </c>
    </row>
    <row r="202" spans="1:2">
      <c r="A202" s="276" t="s">
        <v>86</v>
      </c>
      <c r="B202" s="277">
        <v>0.24</v>
      </c>
    </row>
    <row r="203" spans="1:2">
      <c r="A203" s="276" t="s">
        <v>114</v>
      </c>
      <c r="B203" s="277">
        <v>0.24</v>
      </c>
    </row>
    <row r="204" spans="1:2">
      <c r="A204" s="276" t="s">
        <v>124</v>
      </c>
      <c r="B204" s="277">
        <v>0.24</v>
      </c>
    </row>
    <row r="205" spans="1:2">
      <c r="A205" s="276" t="s">
        <v>129</v>
      </c>
      <c r="B205" s="277">
        <v>0.24</v>
      </c>
    </row>
    <row r="206" spans="1:2">
      <c r="A206" s="276" t="s">
        <v>133</v>
      </c>
      <c r="B206" s="277">
        <v>0.24</v>
      </c>
    </row>
    <row r="207" spans="1:2">
      <c r="A207" s="276" t="s">
        <v>211</v>
      </c>
      <c r="B207" s="277">
        <v>0.24</v>
      </c>
    </row>
    <row r="208" spans="1:2">
      <c r="A208" s="276" t="s">
        <v>136</v>
      </c>
      <c r="B208" s="277">
        <v>0.24</v>
      </c>
    </row>
    <row r="209" spans="1:2">
      <c r="A209" s="94" t="s">
        <v>88</v>
      </c>
      <c r="B209" s="277">
        <v>0.57799999999999996</v>
      </c>
    </row>
    <row r="210" spans="1:2">
      <c r="A210" s="435" t="s">
        <v>92</v>
      </c>
      <c r="B210" s="277">
        <v>0.18</v>
      </c>
    </row>
    <row r="211" spans="1:2">
      <c r="A211" s="435" t="s">
        <v>127</v>
      </c>
      <c r="B211" s="277">
        <v>0.18</v>
      </c>
    </row>
    <row r="212" spans="1:2">
      <c r="A212" s="98" t="s">
        <v>159</v>
      </c>
      <c r="B212" s="277">
        <v>0.09</v>
      </c>
    </row>
    <row r="213" spans="1:2">
      <c r="A213" s="276" t="s">
        <v>103</v>
      </c>
      <c r="B213" s="277">
        <v>0.09</v>
      </c>
    </row>
    <row r="214" spans="1:2">
      <c r="A214" s="276" t="s">
        <v>100</v>
      </c>
      <c r="B214" s="277">
        <v>0</v>
      </c>
    </row>
    <row r="215" spans="1:2">
      <c r="A215" s="98" t="s">
        <v>106</v>
      </c>
      <c r="B215" s="277">
        <v>0</v>
      </c>
    </row>
    <row r="216" spans="1:2">
      <c r="A216" s="111" t="s">
        <v>108</v>
      </c>
      <c r="B216" s="277">
        <v>0.57799999999999996</v>
      </c>
    </row>
    <row r="217" spans="1:2">
      <c r="A217" s="276" t="s">
        <v>119</v>
      </c>
      <c r="B217" s="277">
        <v>0.57799999999999996</v>
      </c>
    </row>
    <row r="218" spans="1:2">
      <c r="A218" s="435" t="s">
        <v>122</v>
      </c>
      <c r="B218" s="277">
        <v>0</v>
      </c>
    </row>
    <row r="219" spans="1:2">
      <c r="A219" s="111" t="s">
        <v>111</v>
      </c>
      <c r="B219" s="277">
        <v>0.09</v>
      </c>
    </row>
    <row r="220" spans="1:2">
      <c r="A220" s="276" t="s">
        <v>141</v>
      </c>
      <c r="B220" s="277">
        <v>0.18</v>
      </c>
    </row>
    <row r="221" spans="1:2">
      <c r="A221" s="111" t="s">
        <v>222</v>
      </c>
      <c r="B221" s="277">
        <v>0</v>
      </c>
    </row>
    <row r="222" spans="1:2">
      <c r="A222" s="435" t="s">
        <v>96</v>
      </c>
      <c r="B222" s="277">
        <v>0.18</v>
      </c>
    </row>
  </sheetData>
  <mergeCells count="47">
    <mergeCell ref="AE146:AF146"/>
    <mergeCell ref="AG146:AH146"/>
    <mergeCell ref="AI146:AJ146"/>
    <mergeCell ref="AK146:AL146"/>
    <mergeCell ref="AM146:AN146"/>
    <mergeCell ref="U146:V146"/>
    <mergeCell ref="W146:X146"/>
    <mergeCell ref="Y146:Z146"/>
    <mergeCell ref="AA146:AB146"/>
    <mergeCell ref="AC146:AD146"/>
    <mergeCell ref="AE145:AF145"/>
    <mergeCell ref="AG145:AH145"/>
    <mergeCell ref="AI145:AJ145"/>
    <mergeCell ref="AK145:AL145"/>
    <mergeCell ref="AM145:AN145"/>
    <mergeCell ref="U145:V145"/>
    <mergeCell ref="W145:X145"/>
    <mergeCell ref="Y145:Z145"/>
    <mergeCell ref="AA145:AB145"/>
    <mergeCell ref="AC145:AD145"/>
    <mergeCell ref="AE144:AF144"/>
    <mergeCell ref="AG144:AH144"/>
    <mergeCell ref="AI144:AJ144"/>
    <mergeCell ref="AK144:AL144"/>
    <mergeCell ref="AM144:AN144"/>
    <mergeCell ref="U144:V144"/>
    <mergeCell ref="W144:X144"/>
    <mergeCell ref="Y144:Z144"/>
    <mergeCell ref="AA144:AB144"/>
    <mergeCell ref="AC144:AD144"/>
    <mergeCell ref="AE143:AF143"/>
    <mergeCell ref="AG143:AH143"/>
    <mergeCell ref="AI143:AJ143"/>
    <mergeCell ref="AK143:AL143"/>
    <mergeCell ref="AM143:AN143"/>
    <mergeCell ref="U143:V143"/>
    <mergeCell ref="W143:X143"/>
    <mergeCell ref="Y143:Z143"/>
    <mergeCell ref="AA143:AB143"/>
    <mergeCell ref="AC143:AD143"/>
    <mergeCell ref="A7:G7"/>
    <mergeCell ref="A1:G1"/>
    <mergeCell ref="A141:I141"/>
    <mergeCell ref="J133:J135"/>
    <mergeCell ref="A131:J131"/>
    <mergeCell ref="G132:H132"/>
    <mergeCell ref="E2:F2"/>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F650906-D0B3-47AF-BF81-0288842683D1}">
          <x14:formula1>
            <xm:f>Data!$A$2:$A$200</xm:f>
          </x14:formula1>
          <xm:sqref>A209 A221 A219 A215:A216 A212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G44"/>
  <sheetViews>
    <sheetView zoomScale="90" zoomScaleNormal="90" workbookViewId="0">
      <selection sqref="A1:G1"/>
    </sheetView>
  </sheetViews>
  <sheetFormatPr defaultColWidth="8.7109375" defaultRowHeight="12.75" customHeight="1"/>
  <cols>
    <col min="1" max="1" width="53.42578125" style="6" customWidth="1"/>
    <col min="2" max="2" width="15.85546875" style="6" customWidth="1"/>
    <col min="3" max="3" width="21.42578125" style="6" customWidth="1"/>
    <col min="4" max="4" width="18.85546875" style="6" customWidth="1"/>
    <col min="5" max="5" width="18.7109375" style="6" customWidth="1"/>
    <col min="6" max="6" width="22.7109375" style="6" customWidth="1"/>
    <col min="7" max="7" width="18" style="6" customWidth="1"/>
    <col min="8" max="8" width="10.5703125" style="6" customWidth="1"/>
    <col min="9" max="9" width="13.28515625" style="6" customWidth="1"/>
    <col min="10" max="10" width="9.7109375" style="6" customWidth="1"/>
    <col min="11" max="11" width="9.42578125" style="6" customWidth="1"/>
    <col min="12" max="12" width="10.5703125" style="6" customWidth="1"/>
    <col min="13" max="13" width="10.7109375" style="6" customWidth="1"/>
    <col min="14" max="14" width="11" style="6" customWidth="1"/>
    <col min="15" max="15" width="9.42578125" style="6" customWidth="1"/>
    <col min="16" max="21" width="8.7109375" style="6"/>
    <col min="22" max="22" width="13.7109375" style="6" bestFit="1" customWidth="1"/>
    <col min="23" max="16384" width="8.7109375" style="6"/>
  </cols>
  <sheetData>
    <row r="1" spans="1:7" ht="25.9" customHeight="1">
      <c r="A1" s="492" t="str">
        <f>"Interior Lighting - "&amp;Prototype!A2</f>
        <v>Interior Lighting - Outpatient</v>
      </c>
      <c r="B1" s="492"/>
      <c r="C1" s="492"/>
      <c r="D1" s="492"/>
      <c r="E1" s="492"/>
      <c r="F1" s="492"/>
      <c r="G1" s="492"/>
    </row>
    <row r="2" spans="1:7" ht="22.9" customHeight="1">
      <c r="A2" s="551" t="s">
        <v>447</v>
      </c>
      <c r="B2" s="553" t="s">
        <v>448</v>
      </c>
      <c r="C2" s="553"/>
      <c r="D2" s="553"/>
      <c r="E2" s="553" t="s">
        <v>309</v>
      </c>
      <c r="F2" s="553"/>
      <c r="G2" s="553"/>
    </row>
    <row r="3" spans="1:7" ht="37.9" customHeight="1">
      <c r="A3" s="552"/>
      <c r="B3" s="324" t="s">
        <v>449</v>
      </c>
      <c r="C3" s="324" t="s">
        <v>450</v>
      </c>
      <c r="D3" s="324" t="s">
        <v>35</v>
      </c>
      <c r="E3" s="324" t="s">
        <v>451</v>
      </c>
      <c r="F3" s="324" t="s">
        <v>450</v>
      </c>
      <c r="G3" s="324" t="s">
        <v>35</v>
      </c>
    </row>
    <row r="4" spans="1:7" ht="18.600000000000001" customHeight="1">
      <c r="A4" s="212" t="str">
        <f>Ventilation!A184</f>
        <v>Healthcare Facility and Hospitals (Exam/Treatment Room)</v>
      </c>
      <c r="B4" s="443">
        <v>1.1499999999999999</v>
      </c>
      <c r="C4" s="444"/>
      <c r="D4" s="554" t="s">
        <v>452</v>
      </c>
      <c r="E4" s="443">
        <v>1.1499999999999999</v>
      </c>
      <c r="F4" s="444"/>
      <c r="G4" s="554" t="s">
        <v>453</v>
      </c>
    </row>
    <row r="5" spans="1:7" ht="18.600000000000001" customHeight="1">
      <c r="A5" s="212" t="str">
        <f>Ventilation!A185</f>
        <v>Healthcare Facility and Hospitals (Medical Supply Room)</v>
      </c>
      <c r="B5" s="443">
        <v>0.55000000000000004</v>
      </c>
      <c r="C5" s="444"/>
      <c r="D5" s="555"/>
      <c r="E5" s="443">
        <v>0.55000000000000004</v>
      </c>
      <c r="F5" s="444"/>
      <c r="G5" s="555"/>
    </row>
    <row r="6" spans="1:7" ht="18.600000000000001" customHeight="1">
      <c r="A6" s="212" t="str">
        <f>Ventilation!A186</f>
        <v>Healthcare Facility and Hospitals (Imaging Room)</v>
      </c>
      <c r="B6" s="443">
        <v>0.6</v>
      </c>
      <c r="C6" s="444"/>
      <c r="D6" s="555"/>
      <c r="E6" s="443">
        <v>1</v>
      </c>
      <c r="F6" s="444"/>
      <c r="G6" s="555"/>
    </row>
    <row r="7" spans="1:7" ht="18.600000000000001" customHeight="1">
      <c r="A7" s="212" t="str">
        <f>Ventilation!A187</f>
        <v>Healthcare Facility and Hospitals (Nurse's Station)</v>
      </c>
      <c r="B7" s="443">
        <v>0.85</v>
      </c>
      <c r="C7" s="444"/>
      <c r="D7" s="555"/>
      <c r="E7" s="443">
        <v>0.75</v>
      </c>
      <c r="F7" s="444"/>
      <c r="G7" s="555"/>
    </row>
    <row r="8" spans="1:7" ht="18.600000000000001" customHeight="1">
      <c r="A8" s="212" t="str">
        <f>Ventilation!A188</f>
        <v>Healthcare Facility and Hospitals (Operating Room)</v>
      </c>
      <c r="B8" s="443">
        <v>1.9</v>
      </c>
      <c r="C8" s="444"/>
      <c r="D8" s="555"/>
      <c r="E8" s="443">
        <v>1.9</v>
      </c>
      <c r="F8" s="444"/>
      <c r="G8" s="555"/>
    </row>
    <row r="9" spans="1:7" ht="18.600000000000001" customHeight="1">
      <c r="A9" s="212" t="str">
        <f>Ventilation!A189</f>
        <v>Healthcare Facility and Hospitals (Recovery Room)</v>
      </c>
      <c r="B9" s="443">
        <v>0.9</v>
      </c>
      <c r="C9" s="444"/>
      <c r="D9" s="555"/>
      <c r="E9" s="443">
        <v>0.9</v>
      </c>
      <c r="F9" s="444"/>
      <c r="G9" s="555"/>
    </row>
    <row r="10" spans="1:7" ht="18.600000000000001" customHeight="1">
      <c r="A10" s="212" t="str">
        <f>Ventilation!A190</f>
        <v>Healthcare Facility and Hospitals (Physical Therapy Room)</v>
      </c>
      <c r="B10" s="443">
        <v>0.75</v>
      </c>
      <c r="C10" s="444"/>
      <c r="D10" s="555"/>
      <c r="E10" s="443">
        <v>0.85</v>
      </c>
      <c r="F10" s="444"/>
      <c r="G10" s="555"/>
    </row>
    <row r="11" spans="1:7" ht="18.600000000000001" customHeight="1">
      <c r="A11" s="212" t="str">
        <f>Ventilation!A191</f>
        <v>Healthcare Facility and Hospitals (Patient Room)</v>
      </c>
      <c r="B11" s="443">
        <v>0.7</v>
      </c>
      <c r="C11" s="444"/>
      <c r="D11" s="555"/>
      <c r="E11" s="443">
        <v>0.55000000000000004</v>
      </c>
      <c r="F11" s="444"/>
      <c r="G11" s="555"/>
    </row>
    <row r="12" spans="1:7" ht="18.600000000000001" customHeight="1">
      <c r="A12" s="212" t="str">
        <f>Ventilation!A192</f>
        <v>Dining Area (Cafeteria/Fast Food)</v>
      </c>
      <c r="B12" s="443">
        <v>0.45</v>
      </c>
      <c r="C12" s="444"/>
      <c r="D12" s="555"/>
      <c r="E12" s="443">
        <v>0.4</v>
      </c>
      <c r="F12" s="444"/>
      <c r="G12" s="555"/>
    </row>
    <row r="13" spans="1:7" ht="18.600000000000001" customHeight="1">
      <c r="A13" s="212" t="str">
        <f>Ventilation!A193</f>
        <v>Office Area (&lt;250 square feet)</v>
      </c>
      <c r="B13" s="443">
        <v>0.65</v>
      </c>
      <c r="C13" s="444"/>
      <c r="D13" s="555"/>
      <c r="E13" s="443">
        <v>0.7</v>
      </c>
      <c r="F13" s="444"/>
      <c r="G13" s="555"/>
    </row>
    <row r="14" spans="1:7" ht="18.600000000000001" customHeight="1">
      <c r="A14" s="212" t="str">
        <f>Ventilation!A194</f>
        <v>Office Area (&gt;250 square feet)</v>
      </c>
      <c r="B14" s="443">
        <v>0.6</v>
      </c>
      <c r="C14" s="444"/>
      <c r="D14" s="555"/>
      <c r="E14" s="443">
        <v>0.65</v>
      </c>
      <c r="F14" s="444"/>
      <c r="G14" s="555"/>
    </row>
    <row r="15" spans="1:7" ht="18.600000000000001" customHeight="1">
      <c r="A15" s="212" t="str">
        <f>Ventilation!A195</f>
        <v>Convention, Conference, Multipurpose and Meeting Area</v>
      </c>
      <c r="B15" s="443">
        <v>0.75</v>
      </c>
      <c r="C15" s="444"/>
      <c r="D15" s="555"/>
      <c r="E15" s="443">
        <v>0.85</v>
      </c>
      <c r="F15" s="444"/>
      <c r="G15" s="555"/>
    </row>
    <row r="16" spans="1:7" ht="18.600000000000001" customHeight="1">
      <c r="A16" s="212" t="str">
        <f>Ventilation!A196</f>
        <v>Lobby, Main Entry</v>
      </c>
      <c r="B16" s="443">
        <v>0.7</v>
      </c>
      <c r="C16" s="444"/>
      <c r="D16" s="555"/>
      <c r="E16" s="443">
        <v>0.85</v>
      </c>
      <c r="F16" s="444"/>
      <c r="G16" s="555"/>
    </row>
    <row r="17" spans="1:7" ht="18.600000000000001" customHeight="1">
      <c r="A17" s="212" t="str">
        <f>Ventilation!A197</f>
        <v>Corridor Area</v>
      </c>
      <c r="B17" s="443">
        <v>0.4</v>
      </c>
      <c r="C17" s="444"/>
      <c r="D17" s="555"/>
      <c r="E17" s="443">
        <v>0.6</v>
      </c>
      <c r="F17" s="444"/>
      <c r="G17" s="555"/>
    </row>
    <row r="18" spans="1:7" ht="18.600000000000001" customHeight="1">
      <c r="A18" s="212" t="str">
        <f>Ventilation!A198</f>
        <v>Restrooms</v>
      </c>
      <c r="B18" s="443">
        <v>0.65</v>
      </c>
      <c r="C18" s="444"/>
      <c r="D18" s="555"/>
      <c r="E18" s="443">
        <v>0.65</v>
      </c>
      <c r="F18" s="444"/>
      <c r="G18" s="555"/>
    </row>
    <row r="19" spans="1:7" ht="18.600000000000001" customHeight="1">
      <c r="A19" s="212" t="str">
        <f>Ventilation!A199</f>
        <v>Locker Room</v>
      </c>
      <c r="B19" s="443">
        <v>0.45</v>
      </c>
      <c r="C19" s="444"/>
      <c r="D19" s="555"/>
      <c r="E19" s="443">
        <v>0.45</v>
      </c>
      <c r="F19" s="444"/>
      <c r="G19" s="555"/>
    </row>
    <row r="20" spans="1:7" ht="18.600000000000001" customHeight="1">
      <c r="A20" s="212" t="str">
        <f>Ventilation!A200</f>
        <v>Kitchen/Food Preparation Area</v>
      </c>
      <c r="B20" s="443">
        <v>0.95</v>
      </c>
      <c r="C20" s="444"/>
      <c r="D20" s="555"/>
      <c r="E20" s="443">
        <v>0.95</v>
      </c>
      <c r="F20" s="444"/>
      <c r="G20" s="555"/>
    </row>
    <row r="21" spans="1:7" ht="18.600000000000001" customHeight="1">
      <c r="A21" s="212" t="str">
        <f>Ventilation!A201</f>
        <v>Storage (General)</v>
      </c>
      <c r="B21" s="443">
        <v>0.4</v>
      </c>
      <c r="C21" s="444"/>
      <c r="D21" s="555"/>
      <c r="E21" s="443">
        <v>0.4</v>
      </c>
      <c r="F21" s="444"/>
      <c r="G21" s="555"/>
    </row>
    <row r="22" spans="1:7" ht="18.600000000000001" customHeight="1">
      <c r="A22" s="212" t="str">
        <f>Ventilation!A202</f>
        <v>Lounge, Breakroom, or Waiting Area</v>
      </c>
      <c r="B22" s="443">
        <v>0.55000000000000004</v>
      </c>
      <c r="C22" s="444"/>
      <c r="D22" s="555"/>
      <c r="E22" s="443">
        <v>0.65</v>
      </c>
      <c r="F22" s="444"/>
      <c r="G22" s="555"/>
    </row>
    <row r="23" spans="1:7" ht="18.600000000000001" customHeight="1">
      <c r="A23" s="212" t="str">
        <f>Ventilation!A204</f>
        <v>Stairwell</v>
      </c>
      <c r="B23" s="443">
        <v>0.6</v>
      </c>
      <c r="C23" s="444"/>
      <c r="D23" s="555"/>
      <c r="E23" s="443">
        <v>0.5</v>
      </c>
      <c r="F23" s="444"/>
      <c r="G23" s="555"/>
    </row>
    <row r="24" spans="1:7" ht="18.600000000000001" customHeight="1">
      <c r="A24" s="212" t="str">
        <f>Ventilation!A205</f>
        <v>Electrical, Mechanical, Telephone Rooms</v>
      </c>
      <c r="B24" s="443">
        <v>0.4</v>
      </c>
      <c r="C24" s="444"/>
      <c r="D24" s="555"/>
      <c r="E24" s="443">
        <v>0.4</v>
      </c>
      <c r="F24" s="444"/>
      <c r="G24" s="555"/>
    </row>
    <row r="25" spans="1:7" ht="12.75" customHeight="1">
      <c r="A25" s="176" t="str">
        <f>Zones!A82</f>
        <v>Reception area</v>
      </c>
      <c r="B25" s="443">
        <f>0.7</f>
        <v>0.7</v>
      </c>
      <c r="C25" s="176"/>
      <c r="D25" s="555"/>
      <c r="E25" s="443">
        <v>0.85</v>
      </c>
      <c r="F25" s="176"/>
      <c r="G25" s="555"/>
    </row>
    <row r="26" spans="1:7" ht="12.75" customHeight="1">
      <c r="A26" s="326" t="str">
        <f>Zones!A118</f>
        <v>Elevator</v>
      </c>
      <c r="B26" s="443">
        <v>0</v>
      </c>
      <c r="C26" s="176"/>
      <c r="D26" s="556"/>
      <c r="E26" s="443">
        <v>0</v>
      </c>
      <c r="F26" s="176"/>
      <c r="G26" s="556"/>
    </row>
    <row r="27" spans="1:7" ht="12.75" customHeight="1">
      <c r="B27" s="10"/>
      <c r="D27" s="10"/>
      <c r="E27" s="10"/>
      <c r="G27" s="10"/>
    </row>
    <row r="28" spans="1:7" ht="16.899999999999999" customHeight="1"/>
    <row r="29" spans="1:7" ht="16.899999999999999" customHeight="1">
      <c r="A29" s="147" t="s">
        <v>454</v>
      </c>
    </row>
    <row r="30" spans="1:7" ht="16.899999999999999" customHeight="1"/>
    <row r="31" spans="1:7" ht="16.899999999999999" customHeight="1"/>
    <row r="32" spans="1:7" ht="16.899999999999999" customHeight="1"/>
    <row r="34" spans="1:4" ht="13.15" customHeight="1"/>
    <row r="35" spans="1:4" ht="13.15" customHeight="1"/>
    <row r="36" spans="1:4" ht="13.15" customHeight="1"/>
    <row r="37" spans="1:4" ht="13.15" customHeight="1"/>
    <row r="38" spans="1:4" ht="13.15" customHeight="1"/>
    <row r="39" spans="1:4" ht="13.15" customHeight="1"/>
    <row r="40" spans="1:4" ht="13.15" customHeight="1"/>
    <row r="41" spans="1:4" ht="13.15" customHeight="1">
      <c r="A41" s="70"/>
      <c r="B41" s="10"/>
      <c r="C41" s="71"/>
      <c r="D41" s="10"/>
    </row>
    <row r="42" spans="1:4" ht="13.15" customHeight="1">
      <c r="A42" s="70"/>
      <c r="B42" s="10"/>
      <c r="C42" s="71"/>
      <c r="D42" s="10"/>
    </row>
    <row r="43" spans="1:4" s="19" customFormat="1" hidden="1">
      <c r="C43" s="20"/>
      <c r="D43" s="22"/>
    </row>
    <row r="44" spans="1:4" ht="17.649999999999999" customHeight="1"/>
  </sheetData>
  <mergeCells count="6">
    <mergeCell ref="A1:G1"/>
    <mergeCell ref="A2:A3"/>
    <mergeCell ref="B2:D2"/>
    <mergeCell ref="E2:G2"/>
    <mergeCell ref="D4:D26"/>
    <mergeCell ref="G4:G26"/>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5"/>
  <sheetViews>
    <sheetView zoomScale="85" zoomScaleNormal="85" workbookViewId="0">
      <selection sqref="A1:D1"/>
    </sheetView>
  </sheetViews>
  <sheetFormatPr defaultColWidth="8.7109375" defaultRowHeight="12.75"/>
  <cols>
    <col min="1" max="1" width="30.85546875" style="6" customWidth="1"/>
    <col min="2" max="2" width="36.28515625" style="6" customWidth="1"/>
    <col min="3" max="3" width="17.7109375" style="6" customWidth="1"/>
    <col min="4" max="4" width="34.7109375" style="6" customWidth="1"/>
    <col min="5" max="5" width="25.28515625" style="6" customWidth="1"/>
    <col min="6" max="6" width="17.140625" style="6" customWidth="1"/>
    <col min="7" max="7" width="17.5703125" style="6" customWidth="1"/>
    <col min="8" max="8" width="15.5703125" style="6" customWidth="1"/>
    <col min="9" max="9" width="13.28515625" style="6" customWidth="1"/>
    <col min="10" max="16384" width="8.7109375" style="6"/>
  </cols>
  <sheetData>
    <row r="1" spans="1:7" ht="25.15" customHeight="1">
      <c r="A1" s="564" t="str">
        <f>"Exterior Lighting - "&amp;Prototype!A2</f>
        <v>Exterior Lighting - Outpatient</v>
      </c>
      <c r="B1" s="564"/>
      <c r="C1" s="564"/>
      <c r="D1" s="564"/>
    </row>
    <row r="2" spans="1:7" ht="37.15" customHeight="1">
      <c r="A2" s="462" t="s">
        <v>455</v>
      </c>
      <c r="B2" s="462" t="s">
        <v>456</v>
      </c>
      <c r="C2" s="462" t="s">
        <v>457</v>
      </c>
      <c r="D2" s="462" t="s">
        <v>35</v>
      </c>
    </row>
    <row r="3" spans="1:7" ht="37.15" customHeight="1">
      <c r="A3" s="159">
        <f>G14</f>
        <v>1841.885</v>
      </c>
      <c r="B3" s="159">
        <f>G15</f>
        <v>1030.665</v>
      </c>
      <c r="C3" s="159">
        <f>B3+A3</f>
        <v>2872.55</v>
      </c>
      <c r="D3" s="443" t="s">
        <v>458</v>
      </c>
      <c r="E3" s="72"/>
    </row>
    <row r="4" spans="1:7" ht="22.15" customHeight="1">
      <c r="A4" s="47"/>
      <c r="B4" s="47"/>
      <c r="C4" s="47"/>
    </row>
    <row r="5" spans="1:7" ht="13.5" thickBot="1"/>
    <row r="6" spans="1:7" ht="22.15" customHeight="1">
      <c r="A6" s="560" t="str">
        <f>"Exterior Lighting "</f>
        <v xml:space="preserve">Exterior Lighting </v>
      </c>
      <c r="B6" s="561"/>
      <c r="C6" s="561"/>
      <c r="D6" s="561"/>
      <c r="E6" s="561"/>
      <c r="F6" s="561"/>
      <c r="G6" s="562"/>
    </row>
    <row r="7" spans="1:7" ht="40.9" customHeight="1">
      <c r="A7" s="160" t="s">
        <v>459</v>
      </c>
      <c r="B7" s="563" t="s">
        <v>460</v>
      </c>
      <c r="C7" s="563"/>
      <c r="D7" s="462" t="s">
        <v>236</v>
      </c>
      <c r="E7" s="462" t="s">
        <v>461</v>
      </c>
      <c r="F7" s="462" t="s">
        <v>236</v>
      </c>
      <c r="G7" s="462" t="s">
        <v>462</v>
      </c>
    </row>
    <row r="8" spans="1:7" ht="16.149999999999999" customHeight="1">
      <c r="A8" s="161" t="s">
        <v>463</v>
      </c>
      <c r="B8" s="161"/>
      <c r="C8" s="162"/>
      <c r="D8" s="442"/>
      <c r="E8" s="442">
        <v>200</v>
      </c>
      <c r="F8" s="171" t="s">
        <v>464</v>
      </c>
      <c r="G8" s="163">
        <f>$E8</f>
        <v>200</v>
      </c>
    </row>
    <row r="9" spans="1:7" ht="41.45" customHeight="1">
      <c r="A9" s="161" t="s">
        <v>465</v>
      </c>
      <c r="B9" s="167" t="s">
        <v>466</v>
      </c>
      <c r="C9" s="164">
        <f>B20/250*400</f>
        <v>65520.000000000007</v>
      </c>
      <c r="D9" s="442" t="s">
        <v>467</v>
      </c>
      <c r="E9" s="442">
        <v>1.9E-2</v>
      </c>
      <c r="F9" s="172" t="s">
        <v>468</v>
      </c>
      <c r="G9" s="163">
        <f>$E9*65520</f>
        <v>1244.8799999999999</v>
      </c>
    </row>
    <row r="10" spans="1:7" ht="16.149999999999999" customHeight="1">
      <c r="A10" s="161" t="s">
        <v>469</v>
      </c>
      <c r="B10" s="168" t="s">
        <v>470</v>
      </c>
      <c r="C10" s="162">
        <v>14</v>
      </c>
      <c r="D10" s="442" t="s">
        <v>471</v>
      </c>
      <c r="E10" s="442">
        <v>15</v>
      </c>
      <c r="F10" s="172" t="s">
        <v>472</v>
      </c>
      <c r="G10" s="163">
        <f>E10*C10</f>
        <v>210</v>
      </c>
    </row>
    <row r="11" spans="1:7" ht="42" customHeight="1">
      <c r="A11" s="161" t="s">
        <v>473</v>
      </c>
      <c r="B11" s="169" t="s">
        <v>474</v>
      </c>
      <c r="C11" s="162">
        <v>4095</v>
      </c>
      <c r="D11" s="442" t="s">
        <v>467</v>
      </c>
      <c r="E11" s="442">
        <v>7.0000000000000001E-3</v>
      </c>
      <c r="F11" s="172" t="s">
        <v>468</v>
      </c>
      <c r="G11" s="165">
        <f>E11*C11</f>
        <v>28.664999999999999</v>
      </c>
    </row>
    <row r="12" spans="1:7" ht="89.25">
      <c r="A12" s="161" t="s">
        <v>475</v>
      </c>
      <c r="B12" s="170" t="s">
        <v>476</v>
      </c>
      <c r="C12" s="166">
        <f>B21*0.5*30</f>
        <v>10020</v>
      </c>
      <c r="D12" s="442" t="s">
        <v>467</v>
      </c>
      <c r="E12" s="442">
        <v>0.1</v>
      </c>
      <c r="F12" s="172" t="s">
        <v>468</v>
      </c>
      <c r="G12" s="165">
        <f>E12*C12</f>
        <v>1002</v>
      </c>
    </row>
    <row r="13" spans="1:7" ht="16.149999999999999" customHeight="1">
      <c r="A13" s="161" t="s">
        <v>477</v>
      </c>
      <c r="B13" s="161"/>
      <c r="C13" s="162">
        <v>1365</v>
      </c>
      <c r="D13" s="442" t="s">
        <v>467</v>
      </c>
      <c r="E13" s="442">
        <v>0.13700000000000001</v>
      </c>
      <c r="F13" s="172" t="s">
        <v>468</v>
      </c>
      <c r="G13" s="165">
        <f>E13*C13</f>
        <v>187.00500000000002</v>
      </c>
    </row>
    <row r="14" spans="1:7" ht="16.149999999999999" customHeight="1">
      <c r="A14" s="557" t="s">
        <v>455</v>
      </c>
      <c r="B14" s="558"/>
      <c r="C14" s="558"/>
      <c r="D14" s="558"/>
      <c r="E14" s="558"/>
      <c r="F14" s="559"/>
      <c r="G14" s="238">
        <f>G9+G8+G13+G10</f>
        <v>1841.885</v>
      </c>
    </row>
    <row r="15" spans="1:7" ht="16.149999999999999" customHeight="1">
      <c r="A15" s="557" t="s">
        <v>478</v>
      </c>
      <c r="B15" s="558"/>
      <c r="C15" s="558"/>
      <c r="D15" s="558"/>
      <c r="E15" s="558"/>
      <c r="F15" s="559"/>
      <c r="G15" s="238">
        <f>G11+G12</f>
        <v>1030.665</v>
      </c>
    </row>
    <row r="16" spans="1:7">
      <c r="A16" s="557" t="s">
        <v>409</v>
      </c>
      <c r="B16" s="558"/>
      <c r="C16" s="558"/>
      <c r="D16" s="558"/>
      <c r="E16" s="558"/>
      <c r="F16" s="559"/>
      <c r="G16" s="238">
        <f>G14+G15</f>
        <v>2872.55</v>
      </c>
    </row>
    <row r="20" spans="1:7">
      <c r="A20" s="6" t="s">
        <v>479</v>
      </c>
      <c r="B20" s="122">
        <f>Prototype!B8</f>
        <v>40950</v>
      </c>
    </row>
    <row r="21" spans="1:7">
      <c r="A21" s="6" t="s">
        <v>480</v>
      </c>
      <c r="B21" s="135">
        <f>10020/0.5/30</f>
        <v>668</v>
      </c>
    </row>
    <row r="22" spans="1:7">
      <c r="A22" s="6" t="s">
        <v>481</v>
      </c>
      <c r="B22" s="6">
        <v>3</v>
      </c>
    </row>
    <row r="24" spans="1:7" ht="8.4499999999999993" customHeight="1"/>
    <row r="25" spans="1:7" s="19" customFormat="1" ht="13.15" hidden="1" customHeight="1">
      <c r="A25" s="19" t="s">
        <v>232</v>
      </c>
      <c r="E25" s="20"/>
      <c r="F25" s="21"/>
      <c r="G25" s="22"/>
    </row>
  </sheetData>
  <mergeCells count="6">
    <mergeCell ref="A16:F16"/>
    <mergeCell ref="A6:G6"/>
    <mergeCell ref="B7:C7"/>
    <mergeCell ref="A1:D1"/>
    <mergeCell ref="A14:F14"/>
    <mergeCell ref="A15:F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I47"/>
  <sheetViews>
    <sheetView zoomScale="80" zoomScaleNormal="80" workbookViewId="0">
      <selection sqref="A1:F1"/>
    </sheetView>
  </sheetViews>
  <sheetFormatPr defaultColWidth="8.7109375" defaultRowHeight="12.75"/>
  <cols>
    <col min="1" max="1" width="50.28515625" style="6" customWidth="1"/>
    <col min="2" max="2" width="19" style="6" customWidth="1"/>
    <col min="3" max="3" width="16.85546875" style="6" customWidth="1"/>
    <col min="4" max="4" width="16.5703125" style="6" customWidth="1"/>
    <col min="5" max="5" width="28.85546875" style="6" customWidth="1"/>
    <col min="6" max="6" width="47.85546875" style="6" customWidth="1"/>
    <col min="7" max="7" width="15.28515625" style="6" customWidth="1"/>
    <col min="8" max="8" width="13.42578125" style="6" customWidth="1"/>
    <col min="9" max="9" width="23.28515625" style="6" customWidth="1"/>
    <col min="10" max="10" width="10.7109375" style="6" bestFit="1" customWidth="1"/>
    <col min="11" max="11" width="10.5703125" style="6" bestFit="1" customWidth="1"/>
    <col min="12" max="16384" width="8.7109375" style="6"/>
  </cols>
  <sheetData>
    <row r="1" spans="1:7" ht="23.45" customHeight="1">
      <c r="A1" s="567" t="str">
        <f>"Equipment - "&amp;Prototype!A2</f>
        <v>Equipment - Outpatient</v>
      </c>
      <c r="B1" s="482"/>
      <c r="C1" s="482"/>
      <c r="D1" s="482"/>
      <c r="E1" s="482"/>
      <c r="F1" s="482"/>
    </row>
    <row r="2" spans="1:7" s="12" customFormat="1" ht="44.45" customHeight="1">
      <c r="A2" s="324" t="s">
        <v>305</v>
      </c>
      <c r="B2" s="325" t="s">
        <v>486</v>
      </c>
      <c r="C2" s="325" t="s">
        <v>487</v>
      </c>
      <c r="D2" s="325" t="s">
        <v>488</v>
      </c>
      <c r="E2" s="324" t="s">
        <v>35</v>
      </c>
      <c r="F2" s="324" t="s">
        <v>239</v>
      </c>
    </row>
    <row r="3" spans="1:7" ht="33" customHeight="1">
      <c r="A3" s="173" t="str">
        <f>Ventilation!A184</f>
        <v>Healthcare Facility and Hospitals (Exam/Treatment Room)</v>
      </c>
      <c r="B3" s="442">
        <v>1.5</v>
      </c>
      <c r="C3" s="442">
        <v>1.1258999999999999</v>
      </c>
      <c r="D3" s="442"/>
      <c r="E3" s="554" t="s">
        <v>489</v>
      </c>
      <c r="F3" s="281" t="s">
        <v>490</v>
      </c>
    </row>
    <row r="4" spans="1:7" ht="18" customHeight="1">
      <c r="A4" s="173" t="str">
        <f>Ventilation!A185</f>
        <v>Healthcare Facility and Hospitals (Medical Supply Room)</v>
      </c>
      <c r="B4" s="442">
        <v>1.5</v>
      </c>
      <c r="C4" s="442"/>
      <c r="D4" s="442"/>
      <c r="E4" s="555"/>
      <c r="F4" s="161"/>
      <c r="G4" s="50"/>
    </row>
    <row r="5" spans="1:7" ht="18" customHeight="1">
      <c r="A5" s="173" t="str">
        <f>Ventilation!A186</f>
        <v>Healthcare Facility and Hospitals (Imaging Room)</v>
      </c>
      <c r="B5" s="442">
        <v>10</v>
      </c>
      <c r="C5" s="442"/>
      <c r="D5" s="442"/>
      <c r="E5" s="555"/>
      <c r="F5" s="161" t="s">
        <v>491</v>
      </c>
      <c r="G5" s="50"/>
    </row>
    <row r="6" spans="1:7" ht="18" customHeight="1">
      <c r="A6" s="173" t="str">
        <f>Ventilation!A187</f>
        <v>Healthcare Facility and Hospitals (Nurse's Station)</v>
      </c>
      <c r="B6" s="442">
        <v>2</v>
      </c>
      <c r="C6" s="442"/>
      <c r="D6" s="442"/>
      <c r="E6" s="555"/>
      <c r="F6" s="161" t="s">
        <v>492</v>
      </c>
      <c r="G6" s="50"/>
    </row>
    <row r="7" spans="1:7" ht="29.45" customHeight="1">
      <c r="A7" s="173" t="str">
        <f>Ventilation!A188</f>
        <v>Healthcare Facility and Hospitals (Operating Room)</v>
      </c>
      <c r="B7" s="442">
        <v>11</v>
      </c>
      <c r="C7" s="442">
        <v>3.62</v>
      </c>
      <c r="D7" s="442"/>
      <c r="E7" s="555"/>
      <c r="F7" s="281" t="s">
        <v>493</v>
      </c>
      <c r="G7" s="50"/>
    </row>
    <row r="8" spans="1:7" ht="18" customHeight="1">
      <c r="A8" s="173" t="str">
        <f>Ventilation!A189</f>
        <v>Healthcare Facility and Hospitals (Recovery Room)</v>
      </c>
      <c r="B8" s="442">
        <v>1.5</v>
      </c>
      <c r="C8" s="442"/>
      <c r="D8" s="442"/>
      <c r="E8" s="555"/>
      <c r="F8" s="161"/>
      <c r="G8" s="50"/>
    </row>
    <row r="9" spans="1:7" ht="18" customHeight="1">
      <c r="A9" s="173" t="str">
        <f>Ventilation!A190</f>
        <v>Healthcare Facility and Hospitals (Physical Therapy Room)</v>
      </c>
      <c r="B9" s="442">
        <v>1.5</v>
      </c>
      <c r="C9" s="442"/>
      <c r="D9" s="442"/>
      <c r="E9" s="555"/>
      <c r="F9" s="161"/>
      <c r="G9" s="50"/>
    </row>
    <row r="10" spans="1:7" ht="18" customHeight="1">
      <c r="A10" s="173" t="str">
        <f>Ventilation!A191</f>
        <v>Healthcare Facility and Hospitals (Patient Room)</v>
      </c>
      <c r="B10" s="442">
        <v>1.5</v>
      </c>
      <c r="C10" s="442"/>
      <c r="D10" s="442"/>
      <c r="E10" s="555"/>
      <c r="F10" s="161"/>
      <c r="G10" s="50"/>
    </row>
    <row r="11" spans="1:7" ht="18" customHeight="1">
      <c r="A11" s="173" t="str">
        <f>Ventilation!A192</f>
        <v>Dining Area (Cafeteria/Fast Food)</v>
      </c>
      <c r="B11" s="442">
        <v>0.5</v>
      </c>
      <c r="C11" s="442"/>
      <c r="D11" s="442">
        <v>0.25</v>
      </c>
      <c r="E11" s="555"/>
      <c r="F11" s="161" t="s">
        <v>494</v>
      </c>
      <c r="G11" s="50"/>
    </row>
    <row r="12" spans="1:7" ht="18" customHeight="1">
      <c r="A12" s="173" t="str">
        <f>Ventilation!A193</f>
        <v>Office Area (&lt;250 square feet)</v>
      </c>
      <c r="B12" s="442">
        <v>0.7</v>
      </c>
      <c r="C12" s="442"/>
      <c r="D12" s="442"/>
      <c r="E12" s="555"/>
      <c r="F12" s="174" t="s">
        <v>495</v>
      </c>
      <c r="G12" s="50"/>
    </row>
    <row r="13" spans="1:7" ht="18" customHeight="1">
      <c r="A13" s="173" t="str">
        <f>Ventilation!A194</f>
        <v>Office Area (&gt;250 square feet)</v>
      </c>
      <c r="B13" s="442">
        <v>0.7</v>
      </c>
      <c r="C13" s="442"/>
      <c r="D13" s="442"/>
      <c r="E13" s="555"/>
      <c r="F13" s="174" t="s">
        <v>495</v>
      </c>
      <c r="G13" s="50"/>
    </row>
    <row r="14" spans="1:7" ht="19.149999999999999" customHeight="1">
      <c r="A14" s="173" t="str">
        <f>Ventilation!A195</f>
        <v>Convention, Conference, Multipurpose and Meeting Area</v>
      </c>
      <c r="B14" s="175">
        <v>1</v>
      </c>
      <c r="C14" s="175"/>
      <c r="D14" s="175"/>
      <c r="E14" s="555"/>
      <c r="F14" s="176"/>
      <c r="G14" s="50"/>
    </row>
    <row r="15" spans="1:7" ht="19.149999999999999" customHeight="1">
      <c r="A15" s="173" t="str">
        <f>Ventilation!A196</f>
        <v>Lobby, Main Entry</v>
      </c>
      <c r="B15" s="442">
        <v>0.5</v>
      </c>
      <c r="C15" s="442"/>
      <c r="D15" s="442"/>
      <c r="E15" s="555"/>
      <c r="F15" s="281"/>
      <c r="G15" s="50"/>
    </row>
    <row r="16" spans="1:7" ht="19.149999999999999" customHeight="1">
      <c r="A16" s="173" t="str">
        <f>Ventilation!A197</f>
        <v>Corridor Area</v>
      </c>
      <c r="B16" s="442">
        <v>0</v>
      </c>
      <c r="C16" s="442"/>
      <c r="D16" s="442"/>
      <c r="E16" s="555"/>
      <c r="F16" s="281"/>
      <c r="G16" s="50"/>
    </row>
    <row r="17" spans="1:9" ht="19.149999999999999" customHeight="1">
      <c r="A17" s="173" t="str">
        <f>Ventilation!A198</f>
        <v>Restrooms</v>
      </c>
      <c r="B17" s="442">
        <v>0</v>
      </c>
      <c r="C17" s="442"/>
      <c r="D17" s="442"/>
      <c r="E17" s="555"/>
      <c r="F17" s="281"/>
      <c r="G17" s="50"/>
    </row>
    <row r="18" spans="1:9" ht="19.149999999999999" customHeight="1">
      <c r="A18" s="173" t="str">
        <f>Ventilation!A199</f>
        <v>Locker Room</v>
      </c>
      <c r="B18" s="442">
        <v>0.5</v>
      </c>
      <c r="C18" s="442"/>
      <c r="D18" s="442"/>
      <c r="E18" s="555"/>
      <c r="F18" s="281"/>
      <c r="G18" s="50"/>
    </row>
    <row r="19" spans="1:9" ht="28.15" customHeight="1">
      <c r="A19" s="173" t="str">
        <f>Ventilation!A200</f>
        <v>Kitchen/Food Preparation Area</v>
      </c>
      <c r="B19" s="442">
        <v>1.5</v>
      </c>
      <c r="C19" s="177">
        <v>17.537680000000002</v>
      </c>
      <c r="D19" s="442">
        <v>1.1200000000000001</v>
      </c>
      <c r="E19" s="555"/>
      <c r="F19" s="281" t="s">
        <v>496</v>
      </c>
      <c r="G19" s="50"/>
    </row>
    <row r="20" spans="1:9" ht="19.149999999999999" customHeight="1">
      <c r="A20" s="173" t="str">
        <f>Ventilation!A201</f>
        <v>Storage (General)</v>
      </c>
      <c r="B20" s="442">
        <v>0.2</v>
      </c>
      <c r="C20" s="442"/>
      <c r="D20" s="442"/>
      <c r="E20" s="555"/>
      <c r="F20" s="281"/>
      <c r="G20" s="50"/>
    </row>
    <row r="21" spans="1:9" ht="21.6" customHeight="1">
      <c r="A21" s="173" t="str">
        <f>Ventilation!A202</f>
        <v>Lounge, Breakroom, or Waiting Area</v>
      </c>
      <c r="B21" s="442">
        <v>1</v>
      </c>
      <c r="C21" s="442"/>
      <c r="D21" s="442"/>
      <c r="E21" s="555"/>
      <c r="F21" s="281"/>
      <c r="G21" s="50"/>
    </row>
    <row r="22" spans="1:9" ht="19.899999999999999" customHeight="1">
      <c r="A22" s="173" t="str">
        <f>Ventilation!A204</f>
        <v>Stairwell</v>
      </c>
      <c r="B22" s="442">
        <v>0</v>
      </c>
      <c r="C22" s="442"/>
      <c r="D22" s="442"/>
      <c r="E22" s="555"/>
      <c r="F22" s="281"/>
      <c r="G22" s="50"/>
    </row>
    <row r="23" spans="1:9" ht="19.899999999999999" customHeight="1">
      <c r="A23" s="173" t="str">
        <f>Ventilation!A205</f>
        <v>Electrical, Mechanical, Telephone Rooms</v>
      </c>
      <c r="B23" s="442">
        <v>3</v>
      </c>
      <c r="C23" s="442"/>
      <c r="D23" s="442"/>
      <c r="E23" s="555"/>
      <c r="F23" s="281"/>
      <c r="G23" s="50"/>
    </row>
    <row r="24" spans="1:9" ht="18" customHeight="1">
      <c r="A24" s="176" t="str">
        <f>Zones!A41</f>
        <v>Reception area</v>
      </c>
      <c r="B24" s="442">
        <f>B15</f>
        <v>0.5</v>
      </c>
      <c r="C24" s="443"/>
      <c r="D24" s="161"/>
      <c r="E24" s="555"/>
      <c r="F24" s="176"/>
    </row>
    <row r="25" spans="1:9" ht="18" customHeight="1">
      <c r="A25" s="326" t="str">
        <f>Zones!A118</f>
        <v>Elevator</v>
      </c>
      <c r="B25" s="442">
        <v>0</v>
      </c>
      <c r="C25" s="443"/>
      <c r="D25" s="161"/>
      <c r="E25" s="556"/>
      <c r="F25" s="176"/>
    </row>
    <row r="26" spans="1:9" ht="18" customHeight="1">
      <c r="A26" s="90"/>
      <c r="B26" s="8"/>
      <c r="C26" s="10"/>
      <c r="D26" s="9"/>
      <c r="E26" s="17"/>
    </row>
    <row r="27" spans="1:9" ht="27.6" customHeight="1">
      <c r="A27" s="525" t="s">
        <v>224</v>
      </c>
      <c r="B27" s="525"/>
      <c r="C27" s="525"/>
      <c r="D27" s="525"/>
      <c r="E27" s="525"/>
      <c r="F27" s="525"/>
      <c r="G27" s="525"/>
      <c r="H27" s="525"/>
      <c r="I27" s="525"/>
    </row>
    <row r="28" spans="1:9" ht="39" customHeight="1">
      <c r="A28" s="469" t="s">
        <v>237</v>
      </c>
      <c r="B28" s="469" t="s">
        <v>497</v>
      </c>
      <c r="C28" s="471" t="s">
        <v>498</v>
      </c>
      <c r="D28" s="471" t="s">
        <v>499</v>
      </c>
      <c r="E28" s="471" t="s">
        <v>500</v>
      </c>
      <c r="F28" s="471" t="s">
        <v>501</v>
      </c>
      <c r="G28" s="471" t="s">
        <v>502</v>
      </c>
      <c r="H28" s="471" t="s">
        <v>503</v>
      </c>
      <c r="I28" s="471" t="s">
        <v>239</v>
      </c>
    </row>
    <row r="29" spans="1:9" ht="57" customHeight="1">
      <c r="A29" s="108" t="s">
        <v>309</v>
      </c>
      <c r="B29" s="109">
        <f>C37</f>
        <v>3</v>
      </c>
      <c r="C29" s="453">
        <v>1.65</v>
      </c>
      <c r="D29" s="453" t="s">
        <v>52</v>
      </c>
      <c r="E29" s="453" t="s">
        <v>52</v>
      </c>
      <c r="F29" s="453" t="s">
        <v>52</v>
      </c>
      <c r="G29" s="453" t="s">
        <v>52</v>
      </c>
      <c r="H29" s="245">
        <f>D47</f>
        <v>13860.78</v>
      </c>
      <c r="I29" s="453" t="s">
        <v>504</v>
      </c>
    </row>
    <row r="30" spans="1:9" ht="85.15" customHeight="1">
      <c r="A30" s="108" t="s">
        <v>316</v>
      </c>
      <c r="B30" s="109">
        <f>C37</f>
        <v>3</v>
      </c>
      <c r="C30" s="246" t="s">
        <v>505</v>
      </c>
      <c r="D30" s="110" t="s">
        <v>506</v>
      </c>
      <c r="E30" s="247" t="s">
        <v>507</v>
      </c>
      <c r="F30" s="110" t="s">
        <v>508</v>
      </c>
      <c r="G30" s="453" t="s">
        <v>52</v>
      </c>
      <c r="H30" s="245">
        <f>B47</f>
        <v>7611.31</v>
      </c>
      <c r="I30" s="246" t="s">
        <v>509</v>
      </c>
    </row>
    <row r="31" spans="1:9" ht="18" customHeight="1">
      <c r="A31" s="90"/>
      <c r="B31" s="8"/>
      <c r="C31" s="10"/>
      <c r="D31" s="9"/>
      <c r="E31" s="17"/>
    </row>
    <row r="32" spans="1:9" ht="18" customHeight="1">
      <c r="A32" s="90"/>
      <c r="B32" s="8"/>
      <c r="C32" s="10"/>
      <c r="D32" s="9"/>
      <c r="E32" s="17"/>
    </row>
    <row r="33" spans="1:5" ht="12.6" customHeight="1">
      <c r="A33" s="565" t="s">
        <v>510</v>
      </c>
      <c r="B33" s="565"/>
      <c r="C33" s="565"/>
      <c r="D33" s="565"/>
      <c r="E33" s="565"/>
    </row>
    <row r="34" spans="1:5" ht="12.6" customHeight="1">
      <c r="A34" s="566" t="s">
        <v>511</v>
      </c>
      <c r="B34" s="566"/>
      <c r="C34" s="566"/>
      <c r="D34" s="566"/>
      <c r="E34" s="566"/>
    </row>
    <row r="35" spans="1:5" ht="12.6" customHeight="1">
      <c r="A35" s="566" t="s">
        <v>512</v>
      </c>
      <c r="B35" s="566"/>
      <c r="C35" s="566"/>
      <c r="D35" s="566"/>
      <c r="E35" s="566"/>
    </row>
    <row r="36" spans="1:5" ht="12.6" customHeight="1">
      <c r="A36" s="483" t="s">
        <v>513</v>
      </c>
      <c r="B36" s="483"/>
      <c r="C36" s="483"/>
      <c r="D36" s="483"/>
      <c r="E36" s="483"/>
    </row>
    <row r="37" spans="1:5" ht="12.6" customHeight="1">
      <c r="A37" s="483" t="s">
        <v>514</v>
      </c>
      <c r="B37" s="483"/>
      <c r="C37" s="8">
        <f>ROUND((40950*0.7/50000)+ROUND(3/2,0),0)</f>
        <v>3</v>
      </c>
      <c r="D37" s="566" t="s">
        <v>515</v>
      </c>
      <c r="E37" s="566"/>
    </row>
    <row r="38" spans="1:5" ht="12.6" customHeight="1">
      <c r="A38" s="483" t="s">
        <v>516</v>
      </c>
      <c r="B38" s="483"/>
      <c r="C38" s="8">
        <f>C37*C39</f>
        <v>30</v>
      </c>
      <c r="D38" s="566" t="s">
        <v>517</v>
      </c>
      <c r="E38" s="566"/>
    </row>
    <row r="39" spans="1:5" ht="12.6" customHeight="1">
      <c r="A39" s="483" t="s">
        <v>518</v>
      </c>
      <c r="B39" s="483"/>
      <c r="C39" s="8">
        <v>10</v>
      </c>
      <c r="D39" s="566"/>
      <c r="E39" s="566"/>
    </row>
    <row r="40" spans="1:5">
      <c r="A40" s="484" t="s">
        <v>519</v>
      </c>
      <c r="B40" s="484"/>
      <c r="C40" s="484"/>
      <c r="D40" s="484"/>
      <c r="E40" s="484"/>
    </row>
    <row r="42" spans="1:5">
      <c r="A42" s="66" t="s">
        <v>520</v>
      </c>
      <c r="B42" s="66">
        <v>2022</v>
      </c>
      <c r="C42" s="66">
        <v>2019</v>
      </c>
      <c r="D42" s="66">
        <v>2013</v>
      </c>
    </row>
    <row r="43" spans="1:5">
      <c r="A43" s="66" t="s">
        <v>521</v>
      </c>
      <c r="B43" s="150">
        <v>7453.34</v>
      </c>
      <c r="C43" s="150">
        <v>13672.78</v>
      </c>
      <c r="D43" s="150">
        <v>13672.78</v>
      </c>
    </row>
    <row r="44" spans="1:5">
      <c r="A44" s="66" t="s">
        <v>522</v>
      </c>
      <c r="B44" s="150">
        <v>157.97</v>
      </c>
      <c r="C44" s="151">
        <v>188</v>
      </c>
      <c r="D44" s="150">
        <v>188</v>
      </c>
    </row>
    <row r="45" spans="1:5">
      <c r="A45" s="66" t="s">
        <v>523</v>
      </c>
      <c r="B45" s="66" t="s">
        <v>524</v>
      </c>
      <c r="C45" s="66" t="s">
        <v>525</v>
      </c>
      <c r="D45" s="66" t="s">
        <v>526</v>
      </c>
    </row>
    <row r="46" spans="1:5">
      <c r="A46" s="66"/>
      <c r="B46" s="66"/>
      <c r="C46" s="66"/>
      <c r="D46" s="66"/>
    </row>
    <row r="47" spans="1:5">
      <c r="A47" s="66" t="s">
        <v>527</v>
      </c>
      <c r="B47" s="150">
        <f t="shared" ref="B47:C47" si="0">B43+B44</f>
        <v>7611.31</v>
      </c>
      <c r="C47" s="150">
        <f t="shared" si="0"/>
        <v>13860.78</v>
      </c>
      <c r="D47" s="150">
        <f>D43+D44</f>
        <v>13860.78</v>
      </c>
    </row>
  </sheetData>
  <mergeCells count="14">
    <mergeCell ref="A39:B39"/>
    <mergeCell ref="D39:E39"/>
    <mergeCell ref="A40:E40"/>
    <mergeCell ref="A35:E35"/>
    <mergeCell ref="A36:E36"/>
    <mergeCell ref="A37:B37"/>
    <mergeCell ref="D37:E37"/>
    <mergeCell ref="A38:B38"/>
    <mergeCell ref="D38:E38"/>
    <mergeCell ref="A27:I27"/>
    <mergeCell ref="A33:E33"/>
    <mergeCell ref="A34:E34"/>
    <mergeCell ref="A1:F1"/>
    <mergeCell ref="E3:E25"/>
  </mergeCells>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M156"/>
  <sheetViews>
    <sheetView zoomScale="85" zoomScaleNormal="85" workbookViewId="0">
      <selection sqref="A1:AC1"/>
    </sheetView>
  </sheetViews>
  <sheetFormatPr defaultColWidth="9.28515625" defaultRowHeight="12"/>
  <cols>
    <col min="1" max="1" width="23.28515625" style="35" customWidth="1"/>
    <col min="2" max="2" width="18.28515625" style="35" customWidth="1"/>
    <col min="3" max="3" width="15.28515625" style="35" customWidth="1"/>
    <col min="4" max="4" width="25.28515625" style="35" customWidth="1"/>
    <col min="5" max="5" width="9.28515625" style="35"/>
    <col min="6" max="29" width="5.7109375" style="35" customWidth="1"/>
    <col min="30" max="16384" width="9.28515625" style="35"/>
  </cols>
  <sheetData>
    <row r="1" spans="1:39" ht="24" customHeight="1">
      <c r="A1" s="603" t="str">
        <f>"Schedules - "&amp;Prototype!A2</f>
        <v>Schedules - Outpatient</v>
      </c>
      <c r="B1" s="603"/>
      <c r="C1" s="603"/>
      <c r="D1" s="603"/>
      <c r="E1" s="603"/>
      <c r="F1" s="603"/>
      <c r="G1" s="603"/>
      <c r="H1" s="603"/>
      <c r="I1" s="603"/>
      <c r="J1" s="603"/>
      <c r="K1" s="603"/>
      <c r="L1" s="603"/>
      <c r="M1" s="603"/>
      <c r="N1" s="603"/>
      <c r="O1" s="603"/>
      <c r="P1" s="603"/>
      <c r="Q1" s="603"/>
      <c r="R1" s="603"/>
      <c r="S1" s="603"/>
      <c r="T1" s="603"/>
      <c r="U1" s="603"/>
      <c r="V1" s="603"/>
      <c r="W1" s="603"/>
      <c r="X1" s="603"/>
      <c r="Y1" s="603"/>
      <c r="Z1" s="603"/>
      <c r="AA1" s="603"/>
      <c r="AB1" s="603"/>
      <c r="AC1" s="604"/>
      <c r="AD1" s="36"/>
      <c r="AE1" s="36"/>
      <c r="AF1" s="36"/>
      <c r="AG1" s="36"/>
      <c r="AH1" s="36"/>
      <c r="AI1" s="37"/>
      <c r="AJ1" s="37"/>
      <c r="AK1" s="37"/>
    </row>
    <row r="2" spans="1:39" ht="24" customHeight="1">
      <c r="A2" s="605" t="s">
        <v>528</v>
      </c>
      <c r="B2" s="605" t="s">
        <v>73</v>
      </c>
      <c r="C2" s="605" t="s">
        <v>529</v>
      </c>
      <c r="D2" s="605" t="s">
        <v>35</v>
      </c>
      <c r="E2" s="605" t="s">
        <v>530</v>
      </c>
      <c r="F2" s="609" t="s">
        <v>482</v>
      </c>
      <c r="G2" s="609"/>
      <c r="H2" s="609"/>
      <c r="I2" s="609"/>
      <c r="J2" s="609"/>
      <c r="K2" s="609"/>
      <c r="L2" s="609"/>
      <c r="M2" s="609"/>
      <c r="N2" s="609"/>
      <c r="O2" s="609"/>
      <c r="P2" s="609"/>
      <c r="Q2" s="609"/>
      <c r="R2" s="609"/>
      <c r="S2" s="609"/>
      <c r="T2" s="609"/>
      <c r="U2" s="609"/>
      <c r="V2" s="609"/>
      <c r="W2" s="609"/>
      <c r="X2" s="609"/>
      <c r="Y2" s="609"/>
      <c r="Z2" s="609"/>
      <c r="AA2" s="609"/>
      <c r="AB2" s="609"/>
      <c r="AC2" s="609"/>
      <c r="AD2" s="36"/>
      <c r="AE2" s="36"/>
      <c r="AF2" s="36"/>
      <c r="AG2" s="36"/>
      <c r="AH2" s="36"/>
      <c r="AI2" s="37"/>
      <c r="AJ2" s="37"/>
      <c r="AK2" s="37"/>
    </row>
    <row r="3" spans="1:39" ht="25.15" customHeight="1" thickBot="1">
      <c r="A3" s="606"/>
      <c r="B3" s="606"/>
      <c r="C3" s="606"/>
      <c r="D3" s="606"/>
      <c r="E3" s="606"/>
      <c r="F3" s="470">
        <v>1</v>
      </c>
      <c r="G3" s="470">
        <v>2</v>
      </c>
      <c r="H3" s="470">
        <v>3</v>
      </c>
      <c r="I3" s="470">
        <v>4</v>
      </c>
      <c r="J3" s="470">
        <v>5</v>
      </c>
      <c r="K3" s="470">
        <v>6</v>
      </c>
      <c r="L3" s="470">
        <v>7</v>
      </c>
      <c r="M3" s="470">
        <v>8</v>
      </c>
      <c r="N3" s="470">
        <v>9</v>
      </c>
      <c r="O3" s="470">
        <v>10</v>
      </c>
      <c r="P3" s="470">
        <v>11</v>
      </c>
      <c r="Q3" s="470">
        <v>12</v>
      </c>
      <c r="R3" s="470">
        <v>13</v>
      </c>
      <c r="S3" s="470">
        <v>14</v>
      </c>
      <c r="T3" s="470">
        <v>15</v>
      </c>
      <c r="U3" s="470">
        <v>16</v>
      </c>
      <c r="V3" s="470">
        <v>17</v>
      </c>
      <c r="W3" s="470">
        <v>18</v>
      </c>
      <c r="X3" s="470">
        <v>19</v>
      </c>
      <c r="Y3" s="470">
        <v>20</v>
      </c>
      <c r="Z3" s="470">
        <v>21</v>
      </c>
      <c r="AA3" s="470">
        <v>22</v>
      </c>
      <c r="AB3" s="470">
        <v>23</v>
      </c>
      <c r="AC3" s="470">
        <v>24</v>
      </c>
      <c r="AD3" s="37"/>
      <c r="AE3" s="37"/>
      <c r="AF3" s="37"/>
      <c r="AG3" s="37"/>
      <c r="AH3" s="37"/>
      <c r="AI3" s="37"/>
      <c r="AJ3" s="37"/>
      <c r="AK3" s="37"/>
    </row>
    <row r="4" spans="1:39" ht="25.15" customHeight="1">
      <c r="A4" s="583" t="s">
        <v>531</v>
      </c>
      <c r="B4" s="583" t="s">
        <v>84</v>
      </c>
      <c r="C4" s="610" t="s">
        <v>532</v>
      </c>
      <c r="D4" s="580" t="s">
        <v>533</v>
      </c>
      <c r="E4" s="418" t="s">
        <v>485</v>
      </c>
      <c r="F4" s="467">
        <v>0</v>
      </c>
      <c r="G4" s="467">
        <v>0</v>
      </c>
      <c r="H4" s="467">
        <v>0</v>
      </c>
      <c r="I4" s="467">
        <v>0</v>
      </c>
      <c r="J4" s="467">
        <v>0</v>
      </c>
      <c r="K4" s="467">
        <v>0</v>
      </c>
      <c r="L4" s="467">
        <v>0</v>
      </c>
      <c r="M4" s="467">
        <v>0.1</v>
      </c>
      <c r="N4" s="467">
        <v>0.5</v>
      </c>
      <c r="O4" s="467">
        <v>0.8</v>
      </c>
      <c r="P4" s="467">
        <v>0.8</v>
      </c>
      <c r="Q4" s="467">
        <v>0.8</v>
      </c>
      <c r="R4" s="467">
        <v>0.8</v>
      </c>
      <c r="S4" s="467">
        <v>0.8</v>
      </c>
      <c r="T4" s="467">
        <v>0.8</v>
      </c>
      <c r="U4" s="467">
        <v>0.8</v>
      </c>
      <c r="V4" s="467">
        <v>0.8</v>
      </c>
      <c r="W4" s="467">
        <v>0.5</v>
      </c>
      <c r="X4" s="467">
        <v>0.3</v>
      </c>
      <c r="Y4" s="467">
        <v>0.3</v>
      </c>
      <c r="Z4" s="467">
        <v>0.2</v>
      </c>
      <c r="AA4" s="467">
        <v>0.2</v>
      </c>
      <c r="AB4" s="467">
        <v>0</v>
      </c>
      <c r="AC4" s="62">
        <v>0</v>
      </c>
      <c r="AD4" s="37"/>
      <c r="AE4" s="37"/>
      <c r="AF4" s="37"/>
      <c r="AG4" s="37"/>
      <c r="AH4" s="37"/>
      <c r="AI4" s="37"/>
      <c r="AJ4" s="37"/>
      <c r="AK4" s="37"/>
    </row>
    <row r="5" spans="1:39" ht="33" customHeight="1">
      <c r="A5" s="529"/>
      <c r="B5" s="529"/>
      <c r="C5" s="522"/>
      <c r="D5" s="581"/>
      <c r="E5" s="419" t="s">
        <v>483</v>
      </c>
      <c r="F5" s="454">
        <v>0</v>
      </c>
      <c r="G5" s="454">
        <v>0</v>
      </c>
      <c r="H5" s="454">
        <v>0</v>
      </c>
      <c r="I5" s="454">
        <v>0</v>
      </c>
      <c r="J5" s="454">
        <v>0</v>
      </c>
      <c r="K5" s="454">
        <v>0</v>
      </c>
      <c r="L5" s="454">
        <v>0</v>
      </c>
      <c r="M5" s="454">
        <v>0.1</v>
      </c>
      <c r="N5" s="454">
        <v>0.3</v>
      </c>
      <c r="O5" s="454">
        <v>0.4</v>
      </c>
      <c r="P5" s="454">
        <v>0.4</v>
      </c>
      <c r="Q5" s="454">
        <v>0.4</v>
      </c>
      <c r="R5" s="454">
        <v>0.4</v>
      </c>
      <c r="S5" s="454">
        <v>0.4</v>
      </c>
      <c r="T5" s="454">
        <v>0.4</v>
      </c>
      <c r="U5" s="454">
        <v>0.4</v>
      </c>
      <c r="V5" s="454">
        <v>0.4</v>
      </c>
      <c r="W5" s="454">
        <v>0.1</v>
      </c>
      <c r="X5" s="454">
        <v>0.1</v>
      </c>
      <c r="Y5" s="454">
        <v>0</v>
      </c>
      <c r="Z5" s="454">
        <v>0</v>
      </c>
      <c r="AA5" s="454">
        <v>0</v>
      </c>
      <c r="AB5" s="454">
        <v>0</v>
      </c>
      <c r="AC5" s="227">
        <v>0</v>
      </c>
      <c r="AD5" s="37"/>
      <c r="AE5" s="37"/>
      <c r="AF5" s="37"/>
      <c r="AG5" s="37"/>
      <c r="AH5" s="37"/>
      <c r="AI5" s="37"/>
      <c r="AJ5" s="37"/>
      <c r="AK5" s="37"/>
    </row>
    <row r="6" spans="1:39" ht="33" customHeight="1" thickBot="1">
      <c r="A6" s="584"/>
      <c r="B6" s="584"/>
      <c r="C6" s="611"/>
      <c r="D6" s="582"/>
      <c r="E6" s="420" t="s">
        <v>484</v>
      </c>
      <c r="F6" s="468">
        <v>0</v>
      </c>
      <c r="G6" s="468">
        <v>0</v>
      </c>
      <c r="H6" s="468">
        <v>0</v>
      </c>
      <c r="I6" s="468">
        <v>0</v>
      </c>
      <c r="J6" s="468">
        <v>0</v>
      </c>
      <c r="K6" s="468">
        <v>0</v>
      </c>
      <c r="L6" s="468">
        <v>0</v>
      </c>
      <c r="M6" s="468">
        <v>0</v>
      </c>
      <c r="N6" s="468">
        <v>0.05</v>
      </c>
      <c r="O6" s="468">
        <v>0.05</v>
      </c>
      <c r="P6" s="468">
        <v>0.05</v>
      </c>
      <c r="Q6" s="468">
        <v>0.05</v>
      </c>
      <c r="R6" s="468">
        <v>0.05</v>
      </c>
      <c r="S6" s="468">
        <v>0.05</v>
      </c>
      <c r="T6" s="468">
        <v>0.05</v>
      </c>
      <c r="U6" s="468">
        <v>0.05</v>
      </c>
      <c r="V6" s="468">
        <v>0</v>
      </c>
      <c r="W6" s="468">
        <v>0</v>
      </c>
      <c r="X6" s="468">
        <v>0</v>
      </c>
      <c r="Y6" s="468">
        <v>0</v>
      </c>
      <c r="Z6" s="468">
        <v>0</v>
      </c>
      <c r="AA6" s="468">
        <v>0</v>
      </c>
      <c r="AB6" s="468">
        <v>0</v>
      </c>
      <c r="AC6" s="63">
        <v>0</v>
      </c>
      <c r="AD6" s="37"/>
      <c r="AE6" s="37"/>
      <c r="AF6" s="37"/>
      <c r="AG6" s="37"/>
      <c r="AH6" s="37"/>
      <c r="AI6" s="37"/>
      <c r="AJ6" s="37"/>
      <c r="AK6" s="37"/>
    </row>
    <row r="7" spans="1:39" ht="38.65" customHeight="1">
      <c r="A7" s="583" t="s">
        <v>531</v>
      </c>
      <c r="B7" s="583" t="s">
        <v>84</v>
      </c>
      <c r="C7" s="586" t="s">
        <v>534</v>
      </c>
      <c r="D7" s="580" t="s">
        <v>533</v>
      </c>
      <c r="E7" s="421" t="s">
        <v>485</v>
      </c>
      <c r="F7" s="228">
        <v>0.1</v>
      </c>
      <c r="G7" s="228">
        <v>0.1</v>
      </c>
      <c r="H7" s="228">
        <v>0.1</v>
      </c>
      <c r="I7" s="228">
        <v>0.1</v>
      </c>
      <c r="J7" s="228">
        <v>0.1</v>
      </c>
      <c r="K7" s="228">
        <v>0.1</v>
      </c>
      <c r="L7" s="228">
        <v>0.1</v>
      </c>
      <c r="M7" s="228">
        <v>0.45</v>
      </c>
      <c r="N7" s="228">
        <v>0.8</v>
      </c>
      <c r="O7" s="228">
        <v>0.8</v>
      </c>
      <c r="P7" s="228">
        <v>0.8</v>
      </c>
      <c r="Q7" s="228">
        <v>0.8</v>
      </c>
      <c r="R7" s="228">
        <v>0.8</v>
      </c>
      <c r="S7" s="228">
        <v>0.8</v>
      </c>
      <c r="T7" s="228">
        <v>0.8</v>
      </c>
      <c r="U7" s="228">
        <v>0.8</v>
      </c>
      <c r="V7" s="228">
        <v>0.3</v>
      </c>
      <c r="W7" s="228">
        <v>0.3</v>
      </c>
      <c r="X7" s="228">
        <v>0.3</v>
      </c>
      <c r="Y7" s="228">
        <v>0.3</v>
      </c>
      <c r="Z7" s="228">
        <v>0.3</v>
      </c>
      <c r="AA7" s="228">
        <v>0.3</v>
      </c>
      <c r="AB7" s="228">
        <v>0.3</v>
      </c>
      <c r="AC7" s="229">
        <v>0.1</v>
      </c>
      <c r="AD7" s="37"/>
      <c r="AE7" s="37"/>
      <c r="AF7" s="37"/>
      <c r="AG7" s="37"/>
      <c r="AH7" s="37"/>
      <c r="AI7" s="37"/>
      <c r="AJ7" s="37"/>
      <c r="AK7" s="37"/>
      <c r="AM7" s="49"/>
    </row>
    <row r="8" spans="1:39" ht="38.65" customHeight="1">
      <c r="A8" s="529"/>
      <c r="B8" s="529"/>
      <c r="C8" s="587"/>
      <c r="D8" s="581"/>
      <c r="E8" s="422" t="s">
        <v>483</v>
      </c>
      <c r="F8" s="442">
        <v>0.1</v>
      </c>
      <c r="G8" s="442">
        <v>0.1</v>
      </c>
      <c r="H8" s="442">
        <v>0.1</v>
      </c>
      <c r="I8" s="442">
        <v>0.1</v>
      </c>
      <c r="J8" s="442">
        <v>0.1</v>
      </c>
      <c r="K8" s="442">
        <v>0.1</v>
      </c>
      <c r="L8" s="442">
        <v>0.1</v>
      </c>
      <c r="M8" s="442">
        <v>0.2</v>
      </c>
      <c r="N8" s="442">
        <v>0.35</v>
      </c>
      <c r="O8" s="442">
        <v>0.35</v>
      </c>
      <c r="P8" s="442">
        <v>0.35</v>
      </c>
      <c r="Q8" s="442">
        <v>0.35</v>
      </c>
      <c r="R8" s="442">
        <v>0.35</v>
      </c>
      <c r="S8" s="442">
        <v>0.35</v>
      </c>
      <c r="T8" s="442">
        <v>0.35</v>
      </c>
      <c r="U8" s="442">
        <v>0.35</v>
      </c>
      <c r="V8" s="442">
        <v>0.35</v>
      </c>
      <c r="W8" s="442">
        <v>0.35</v>
      </c>
      <c r="X8" s="442">
        <v>0.1</v>
      </c>
      <c r="Y8" s="442">
        <v>0.1</v>
      </c>
      <c r="Z8" s="442">
        <v>0.1</v>
      </c>
      <c r="AA8" s="442">
        <v>0.1</v>
      </c>
      <c r="AB8" s="442">
        <v>0.1</v>
      </c>
      <c r="AC8" s="230">
        <v>0.1</v>
      </c>
      <c r="AD8" s="37"/>
      <c r="AE8" s="37"/>
      <c r="AF8" s="37"/>
      <c r="AG8" s="37"/>
      <c r="AH8" s="37"/>
      <c r="AI8" s="37"/>
      <c r="AJ8" s="37"/>
      <c r="AK8" s="37"/>
      <c r="AM8" s="49"/>
    </row>
    <row r="9" spans="1:39" ht="38.65" customHeight="1" thickBot="1">
      <c r="A9" s="584"/>
      <c r="B9" s="584"/>
      <c r="C9" s="608"/>
      <c r="D9" s="582"/>
      <c r="E9" s="423" t="s">
        <v>484</v>
      </c>
      <c r="F9" s="231">
        <v>0.05</v>
      </c>
      <c r="G9" s="231">
        <v>0.05</v>
      </c>
      <c r="H9" s="231">
        <v>0.05</v>
      </c>
      <c r="I9" s="231">
        <v>0.05</v>
      </c>
      <c r="J9" s="231">
        <v>0.05</v>
      </c>
      <c r="K9" s="231">
        <v>0.05</v>
      </c>
      <c r="L9" s="231">
        <v>0.05</v>
      </c>
      <c r="M9" s="231">
        <v>0.05</v>
      </c>
      <c r="N9" s="231">
        <v>0.1</v>
      </c>
      <c r="O9" s="231">
        <v>0.1</v>
      </c>
      <c r="P9" s="231">
        <v>0.1</v>
      </c>
      <c r="Q9" s="231">
        <v>0.1</v>
      </c>
      <c r="R9" s="231">
        <v>0.1</v>
      </c>
      <c r="S9" s="231">
        <v>0.1</v>
      </c>
      <c r="T9" s="231">
        <v>0.1</v>
      </c>
      <c r="U9" s="231">
        <v>0.1</v>
      </c>
      <c r="V9" s="231">
        <v>0.05</v>
      </c>
      <c r="W9" s="231">
        <v>0.05</v>
      </c>
      <c r="X9" s="231">
        <v>0.05</v>
      </c>
      <c r="Y9" s="231">
        <v>0.05</v>
      </c>
      <c r="Z9" s="231">
        <v>0.05</v>
      </c>
      <c r="AA9" s="231">
        <v>0.05</v>
      </c>
      <c r="AB9" s="231">
        <v>0.05</v>
      </c>
      <c r="AC9" s="232">
        <v>0.05</v>
      </c>
      <c r="AD9" s="37"/>
      <c r="AE9" s="37"/>
      <c r="AF9" s="37"/>
      <c r="AG9" s="37"/>
      <c r="AH9" s="37"/>
      <c r="AI9" s="37"/>
      <c r="AJ9" s="37"/>
      <c r="AK9" s="37"/>
      <c r="AM9" s="49"/>
    </row>
    <row r="10" spans="1:39" ht="36" customHeight="1">
      <c r="A10" s="583" t="s">
        <v>531</v>
      </c>
      <c r="B10" s="583" t="s">
        <v>84</v>
      </c>
      <c r="C10" s="607" t="s">
        <v>535</v>
      </c>
      <c r="D10" s="580" t="s">
        <v>533</v>
      </c>
      <c r="E10" s="424" t="s">
        <v>485</v>
      </c>
      <c r="F10" s="152">
        <v>0.1</v>
      </c>
      <c r="G10" s="152">
        <v>0.1</v>
      </c>
      <c r="H10" s="152">
        <v>0.1</v>
      </c>
      <c r="I10" s="152">
        <v>0.1</v>
      </c>
      <c r="J10" s="152">
        <v>0.1</v>
      </c>
      <c r="K10" s="152">
        <v>0.1</v>
      </c>
      <c r="L10" s="152">
        <v>0.1</v>
      </c>
      <c r="M10" s="152">
        <v>0.5</v>
      </c>
      <c r="N10" s="152">
        <v>0.9</v>
      </c>
      <c r="O10" s="152">
        <v>0.9</v>
      </c>
      <c r="P10" s="152">
        <v>0.9</v>
      </c>
      <c r="Q10" s="152">
        <v>0.9</v>
      </c>
      <c r="R10" s="152">
        <v>0.9</v>
      </c>
      <c r="S10" s="152">
        <v>0.9</v>
      </c>
      <c r="T10" s="152">
        <v>0.9</v>
      </c>
      <c r="U10" s="152">
        <v>0.9</v>
      </c>
      <c r="V10" s="152">
        <v>0.3</v>
      </c>
      <c r="W10" s="152">
        <v>0.3</v>
      </c>
      <c r="X10" s="152">
        <v>0.3</v>
      </c>
      <c r="Y10" s="152">
        <v>0.3</v>
      </c>
      <c r="Z10" s="152">
        <v>0.3</v>
      </c>
      <c r="AA10" s="152">
        <v>0.3</v>
      </c>
      <c r="AB10" s="152">
        <v>0.3</v>
      </c>
      <c r="AC10" s="234">
        <v>0.1</v>
      </c>
      <c r="AD10" s="38"/>
      <c r="AE10" s="37"/>
      <c r="AF10" s="37"/>
      <c r="AG10" s="37"/>
      <c r="AH10" s="37"/>
      <c r="AI10" s="37"/>
      <c r="AJ10" s="37"/>
      <c r="AK10" s="37"/>
      <c r="AM10" s="49"/>
    </row>
    <row r="11" spans="1:39" ht="36" customHeight="1">
      <c r="A11" s="529"/>
      <c r="B11" s="529"/>
      <c r="C11" s="587"/>
      <c r="D11" s="581"/>
      <c r="E11" s="422" t="s">
        <v>483</v>
      </c>
      <c r="F11" s="76">
        <v>0.1</v>
      </c>
      <c r="G11" s="76">
        <v>0.1</v>
      </c>
      <c r="H11" s="76">
        <v>0.1</v>
      </c>
      <c r="I11" s="76">
        <v>0.1</v>
      </c>
      <c r="J11" s="76">
        <v>0.1</v>
      </c>
      <c r="K11" s="76">
        <v>0.1</v>
      </c>
      <c r="L11" s="76">
        <v>0.1</v>
      </c>
      <c r="M11" s="76">
        <v>0.2</v>
      </c>
      <c r="N11" s="76">
        <v>0.4</v>
      </c>
      <c r="O11" s="76">
        <v>0.4</v>
      </c>
      <c r="P11" s="76">
        <v>0.4</v>
      </c>
      <c r="Q11" s="76">
        <v>0.4</v>
      </c>
      <c r="R11" s="76">
        <v>0.4</v>
      </c>
      <c r="S11" s="76">
        <v>0.4</v>
      </c>
      <c r="T11" s="76">
        <v>0.4</v>
      </c>
      <c r="U11" s="76">
        <v>0.4</v>
      </c>
      <c r="V11" s="76">
        <v>0.4</v>
      </c>
      <c r="W11" s="76">
        <v>0.4</v>
      </c>
      <c r="X11" s="76">
        <v>0.1</v>
      </c>
      <c r="Y11" s="76">
        <v>0.1</v>
      </c>
      <c r="Z11" s="76">
        <v>0.1</v>
      </c>
      <c r="AA11" s="76">
        <v>0.1</v>
      </c>
      <c r="AB11" s="76">
        <v>0.1</v>
      </c>
      <c r="AC11" s="235">
        <v>0.1</v>
      </c>
      <c r="AD11" s="38"/>
      <c r="AE11" s="37"/>
      <c r="AF11" s="37"/>
      <c r="AG11" s="37"/>
      <c r="AH11" s="37"/>
      <c r="AI11" s="37"/>
      <c r="AJ11" s="37"/>
      <c r="AK11" s="37"/>
      <c r="AM11" s="49"/>
    </row>
    <row r="12" spans="1:39" ht="36" customHeight="1" thickBot="1">
      <c r="A12" s="584"/>
      <c r="B12" s="584"/>
      <c r="C12" s="588"/>
      <c r="D12" s="582"/>
      <c r="E12" s="423" t="s">
        <v>484</v>
      </c>
      <c r="F12" s="236">
        <v>0.05</v>
      </c>
      <c r="G12" s="236">
        <v>0.05</v>
      </c>
      <c r="H12" s="236">
        <v>0.05</v>
      </c>
      <c r="I12" s="236">
        <v>0.05</v>
      </c>
      <c r="J12" s="236">
        <v>0.05</v>
      </c>
      <c r="K12" s="236">
        <v>0.05</v>
      </c>
      <c r="L12" s="236">
        <v>0.05</v>
      </c>
      <c r="M12" s="236">
        <v>0.05</v>
      </c>
      <c r="N12" s="236">
        <v>0.1</v>
      </c>
      <c r="O12" s="236">
        <v>0.1</v>
      </c>
      <c r="P12" s="236">
        <v>0.1</v>
      </c>
      <c r="Q12" s="236">
        <v>0.1</v>
      </c>
      <c r="R12" s="236">
        <v>0.1</v>
      </c>
      <c r="S12" s="236">
        <v>0.1</v>
      </c>
      <c r="T12" s="236">
        <v>0.1</v>
      </c>
      <c r="U12" s="236">
        <v>0.1</v>
      </c>
      <c r="V12" s="236">
        <v>0.05</v>
      </c>
      <c r="W12" s="236">
        <v>0.05</v>
      </c>
      <c r="X12" s="236">
        <v>0.05</v>
      </c>
      <c r="Y12" s="236">
        <v>0.05</v>
      </c>
      <c r="Z12" s="236">
        <v>0.05</v>
      </c>
      <c r="AA12" s="236">
        <v>0.05</v>
      </c>
      <c r="AB12" s="236">
        <v>0.05</v>
      </c>
      <c r="AC12" s="237">
        <v>0.05</v>
      </c>
      <c r="AD12" s="38"/>
      <c r="AE12" s="37"/>
      <c r="AF12" s="37"/>
      <c r="AG12" s="37"/>
      <c r="AH12" s="37"/>
      <c r="AI12" s="37"/>
      <c r="AJ12" s="37"/>
      <c r="AK12" s="37"/>
      <c r="AM12" s="49"/>
    </row>
    <row r="13" spans="1:39" ht="36" customHeight="1">
      <c r="A13" s="583" t="s">
        <v>531</v>
      </c>
      <c r="B13" s="583" t="s">
        <v>84</v>
      </c>
      <c r="C13" s="586" t="s">
        <v>536</v>
      </c>
      <c r="D13" s="580" t="s">
        <v>533</v>
      </c>
      <c r="E13" s="418" t="s">
        <v>485</v>
      </c>
      <c r="F13" s="467">
        <v>0.01</v>
      </c>
      <c r="G13" s="467">
        <v>0.01</v>
      </c>
      <c r="H13" s="467">
        <v>0.01</v>
      </c>
      <c r="I13" s="467">
        <v>0.01</v>
      </c>
      <c r="J13" s="467">
        <v>0.01</v>
      </c>
      <c r="K13" s="467">
        <v>0.01</v>
      </c>
      <c r="L13" s="467">
        <v>0.01</v>
      </c>
      <c r="M13" s="467">
        <v>0.17</v>
      </c>
      <c r="N13" s="467">
        <v>0.57999999999999996</v>
      </c>
      <c r="O13" s="467">
        <v>0.66</v>
      </c>
      <c r="P13" s="467">
        <v>0.78</v>
      </c>
      <c r="Q13" s="467">
        <v>0.82</v>
      </c>
      <c r="R13" s="467">
        <v>0.71</v>
      </c>
      <c r="S13" s="467">
        <v>0.82</v>
      </c>
      <c r="T13" s="467">
        <v>0.78</v>
      </c>
      <c r="U13" s="467">
        <v>0.74</v>
      </c>
      <c r="V13" s="467">
        <v>0.63</v>
      </c>
      <c r="W13" s="467">
        <v>0.41</v>
      </c>
      <c r="X13" s="467">
        <v>0.18</v>
      </c>
      <c r="Y13" s="467">
        <v>0.18</v>
      </c>
      <c r="Z13" s="467">
        <v>0.18</v>
      </c>
      <c r="AA13" s="467">
        <v>0.1</v>
      </c>
      <c r="AB13" s="467">
        <v>0.01</v>
      </c>
      <c r="AC13" s="62">
        <v>0.01</v>
      </c>
      <c r="AD13" s="37"/>
      <c r="AE13" s="37"/>
      <c r="AF13" s="37"/>
      <c r="AG13" s="37"/>
      <c r="AH13" s="37"/>
      <c r="AI13" s="37"/>
      <c r="AJ13" s="37"/>
      <c r="AK13" s="37"/>
      <c r="AM13" s="49"/>
    </row>
    <row r="14" spans="1:39" ht="36" customHeight="1">
      <c r="A14" s="529"/>
      <c r="B14" s="529"/>
      <c r="C14" s="587"/>
      <c r="D14" s="581"/>
      <c r="E14" s="419" t="s">
        <v>483</v>
      </c>
      <c r="F14" s="454">
        <v>0.01</v>
      </c>
      <c r="G14" s="454">
        <v>0.01</v>
      </c>
      <c r="H14" s="454">
        <v>0.01</v>
      </c>
      <c r="I14" s="454">
        <v>0.01</v>
      </c>
      <c r="J14" s="454">
        <v>0.01</v>
      </c>
      <c r="K14" s="454">
        <v>0.01</v>
      </c>
      <c r="L14" s="454">
        <v>0.01</v>
      </c>
      <c r="M14" s="454">
        <v>0.01</v>
      </c>
      <c r="N14" s="454">
        <v>0.2</v>
      </c>
      <c r="O14" s="454">
        <v>0.28000000000000003</v>
      </c>
      <c r="P14" s="454">
        <v>0.3</v>
      </c>
      <c r="Q14" s="454">
        <v>0.3</v>
      </c>
      <c r="R14" s="454">
        <v>0.24</v>
      </c>
      <c r="S14" s="454">
        <v>0.24</v>
      </c>
      <c r="T14" s="454">
        <v>0.23</v>
      </c>
      <c r="U14" s="454">
        <v>0.23</v>
      </c>
      <c r="V14" s="454">
        <v>0.23</v>
      </c>
      <c r="W14" s="454">
        <v>0.1</v>
      </c>
      <c r="X14" s="454">
        <v>0.01</v>
      </c>
      <c r="Y14" s="454">
        <v>0.01</v>
      </c>
      <c r="Z14" s="454">
        <v>0.01</v>
      </c>
      <c r="AA14" s="454">
        <v>0.01</v>
      </c>
      <c r="AB14" s="454">
        <v>0.01</v>
      </c>
      <c r="AC14" s="227">
        <v>0.01</v>
      </c>
      <c r="AD14" s="37"/>
      <c r="AE14" s="37"/>
      <c r="AF14" s="37"/>
      <c r="AG14" s="37"/>
      <c r="AH14" s="37"/>
      <c r="AI14" s="37"/>
      <c r="AJ14" s="37"/>
      <c r="AK14" s="37"/>
      <c r="AM14" s="49"/>
    </row>
    <row r="15" spans="1:39" ht="36" customHeight="1" thickBot="1">
      <c r="A15" s="584"/>
      <c r="B15" s="584"/>
      <c r="C15" s="588"/>
      <c r="D15" s="582"/>
      <c r="E15" s="420" t="s">
        <v>484</v>
      </c>
      <c r="F15" s="468">
        <v>0.01</v>
      </c>
      <c r="G15" s="468">
        <v>0.01</v>
      </c>
      <c r="H15" s="468">
        <v>0.01</v>
      </c>
      <c r="I15" s="468">
        <v>0.01</v>
      </c>
      <c r="J15" s="468">
        <v>0.01</v>
      </c>
      <c r="K15" s="468">
        <v>0.01</v>
      </c>
      <c r="L15" s="468">
        <v>0.01</v>
      </c>
      <c r="M15" s="468">
        <v>0.01</v>
      </c>
      <c r="N15" s="468">
        <v>0.01</v>
      </c>
      <c r="O15" s="468">
        <v>0.01</v>
      </c>
      <c r="P15" s="468">
        <v>0.01</v>
      </c>
      <c r="Q15" s="468">
        <v>0.01</v>
      </c>
      <c r="R15" s="468">
        <v>0.01</v>
      </c>
      <c r="S15" s="468">
        <v>0.01</v>
      </c>
      <c r="T15" s="468">
        <v>0.01</v>
      </c>
      <c r="U15" s="468">
        <v>0.01</v>
      </c>
      <c r="V15" s="468">
        <v>0.01</v>
      </c>
      <c r="W15" s="468">
        <v>0.01</v>
      </c>
      <c r="X15" s="468">
        <v>0.01</v>
      </c>
      <c r="Y15" s="468">
        <v>0.01</v>
      </c>
      <c r="Z15" s="468">
        <v>0.01</v>
      </c>
      <c r="AA15" s="468">
        <v>0.01</v>
      </c>
      <c r="AB15" s="468">
        <v>0.01</v>
      </c>
      <c r="AC15" s="63">
        <v>0.01</v>
      </c>
      <c r="AD15" s="37"/>
      <c r="AE15" s="37"/>
      <c r="AF15" s="37"/>
      <c r="AG15" s="37"/>
      <c r="AH15" s="37"/>
      <c r="AI15" s="37"/>
      <c r="AJ15" s="37"/>
      <c r="AK15" s="37"/>
      <c r="AM15" s="49"/>
    </row>
    <row r="16" spans="1:39" ht="36" customHeight="1">
      <c r="A16" s="583" t="s">
        <v>531</v>
      </c>
      <c r="B16" s="583" t="s">
        <v>84</v>
      </c>
      <c r="C16" s="586" t="s">
        <v>537</v>
      </c>
      <c r="D16" s="580" t="s">
        <v>533</v>
      </c>
      <c r="E16" s="424" t="s">
        <v>485</v>
      </c>
      <c r="F16" s="152">
        <v>0</v>
      </c>
      <c r="G16" s="152">
        <v>0</v>
      </c>
      <c r="H16" s="152">
        <v>0</v>
      </c>
      <c r="I16" s="152">
        <v>0</v>
      </c>
      <c r="J16" s="152">
        <v>0</v>
      </c>
      <c r="K16" s="152">
        <v>0</v>
      </c>
      <c r="L16" s="152">
        <v>0</v>
      </c>
      <c r="M16" s="152">
        <v>0.75</v>
      </c>
      <c r="N16" s="152">
        <v>0.9</v>
      </c>
      <c r="O16" s="152">
        <v>0.9</v>
      </c>
      <c r="P16" s="152">
        <v>0.9</v>
      </c>
      <c r="Q16" s="152">
        <v>0.9</v>
      </c>
      <c r="R16" s="152">
        <v>0.9</v>
      </c>
      <c r="S16" s="152">
        <v>0.9</v>
      </c>
      <c r="T16" s="152">
        <v>0.9</v>
      </c>
      <c r="U16" s="152">
        <v>0.9</v>
      </c>
      <c r="V16" s="152">
        <v>0.9</v>
      </c>
      <c r="W16" s="152">
        <v>0.75</v>
      </c>
      <c r="X16" s="152">
        <v>0.2</v>
      </c>
      <c r="Y16" s="152">
        <v>0.1</v>
      </c>
      <c r="Z16" s="152">
        <v>0</v>
      </c>
      <c r="AA16" s="152">
        <v>0</v>
      </c>
      <c r="AB16" s="152">
        <v>0</v>
      </c>
      <c r="AC16" s="234">
        <v>0</v>
      </c>
      <c r="AD16" s="38"/>
      <c r="AE16" s="37"/>
      <c r="AF16" s="37"/>
      <c r="AG16" s="37"/>
      <c r="AH16" s="37"/>
      <c r="AI16" s="37"/>
      <c r="AJ16" s="37"/>
      <c r="AK16" s="37"/>
      <c r="AM16" s="49"/>
    </row>
    <row r="17" spans="1:39" ht="36" customHeight="1">
      <c r="A17" s="529"/>
      <c r="B17" s="529"/>
      <c r="C17" s="587"/>
      <c r="D17" s="581"/>
      <c r="E17" s="422" t="s">
        <v>483</v>
      </c>
      <c r="F17" s="76">
        <v>0</v>
      </c>
      <c r="G17" s="76">
        <v>0</v>
      </c>
      <c r="H17" s="76">
        <v>0</v>
      </c>
      <c r="I17" s="76">
        <v>0</v>
      </c>
      <c r="J17" s="76">
        <v>0</v>
      </c>
      <c r="K17" s="76">
        <v>0</v>
      </c>
      <c r="L17" s="76">
        <v>0</v>
      </c>
      <c r="M17" s="76">
        <v>0.3</v>
      </c>
      <c r="N17" s="76">
        <v>0.5</v>
      </c>
      <c r="O17" s="76">
        <v>0.5</v>
      </c>
      <c r="P17" s="76">
        <v>0.5</v>
      </c>
      <c r="Q17" s="76">
        <v>0.5</v>
      </c>
      <c r="R17" s="76">
        <v>0.5</v>
      </c>
      <c r="S17" s="76">
        <v>0.5</v>
      </c>
      <c r="T17" s="76">
        <v>0.5</v>
      </c>
      <c r="U17" s="76">
        <v>0.5</v>
      </c>
      <c r="V17" s="76">
        <v>0.5</v>
      </c>
      <c r="W17" s="76">
        <v>0.3</v>
      </c>
      <c r="X17" s="76">
        <v>0</v>
      </c>
      <c r="Y17" s="76">
        <v>0</v>
      </c>
      <c r="Z17" s="76">
        <v>0</v>
      </c>
      <c r="AA17" s="76">
        <v>0</v>
      </c>
      <c r="AB17" s="76">
        <v>0</v>
      </c>
      <c r="AC17" s="235">
        <v>0</v>
      </c>
      <c r="AD17" s="38"/>
      <c r="AE17" s="37"/>
      <c r="AF17" s="37"/>
      <c r="AG17" s="37"/>
      <c r="AH17" s="37"/>
      <c r="AI17" s="37"/>
      <c r="AJ17" s="37"/>
      <c r="AK17" s="37"/>
      <c r="AM17" s="49"/>
    </row>
    <row r="18" spans="1:39" ht="36" customHeight="1" thickBot="1">
      <c r="A18" s="584"/>
      <c r="B18" s="584"/>
      <c r="C18" s="588"/>
      <c r="D18" s="582"/>
      <c r="E18" s="423" t="s">
        <v>484</v>
      </c>
      <c r="F18" s="236">
        <v>0</v>
      </c>
      <c r="G18" s="236">
        <v>0</v>
      </c>
      <c r="H18" s="236">
        <v>0</v>
      </c>
      <c r="I18" s="236">
        <v>0</v>
      </c>
      <c r="J18" s="236">
        <v>0</v>
      </c>
      <c r="K18" s="236">
        <v>0</v>
      </c>
      <c r="L18" s="236">
        <v>0</v>
      </c>
      <c r="M18" s="236">
        <v>0</v>
      </c>
      <c r="N18" s="236">
        <v>0</v>
      </c>
      <c r="O18" s="236">
        <v>0</v>
      </c>
      <c r="P18" s="236">
        <v>0</v>
      </c>
      <c r="Q18" s="236">
        <v>0</v>
      </c>
      <c r="R18" s="236">
        <v>0</v>
      </c>
      <c r="S18" s="236">
        <v>0</v>
      </c>
      <c r="T18" s="236">
        <v>0</v>
      </c>
      <c r="U18" s="236">
        <v>0</v>
      </c>
      <c r="V18" s="236">
        <v>0</v>
      </c>
      <c r="W18" s="236">
        <v>0</v>
      </c>
      <c r="X18" s="236">
        <v>0</v>
      </c>
      <c r="Y18" s="236">
        <v>0</v>
      </c>
      <c r="Z18" s="236">
        <v>0</v>
      </c>
      <c r="AA18" s="236">
        <v>0</v>
      </c>
      <c r="AB18" s="236">
        <v>0</v>
      </c>
      <c r="AC18" s="237">
        <v>0</v>
      </c>
      <c r="AD18" s="38"/>
      <c r="AE18" s="37"/>
      <c r="AF18" s="37"/>
      <c r="AG18" s="37"/>
      <c r="AH18" s="37"/>
      <c r="AI18" s="37"/>
      <c r="AJ18" s="37"/>
      <c r="AK18" s="37"/>
      <c r="AM18" s="49"/>
    </row>
    <row r="19" spans="1:39" ht="36" customHeight="1">
      <c r="A19" s="583" t="s">
        <v>531</v>
      </c>
      <c r="B19" s="583" t="s">
        <v>84</v>
      </c>
      <c r="C19" s="583" t="s">
        <v>538</v>
      </c>
      <c r="D19" s="580" t="s">
        <v>533</v>
      </c>
      <c r="E19" s="424" t="s">
        <v>485</v>
      </c>
      <c r="F19" s="152">
        <v>0.9</v>
      </c>
      <c r="G19" s="152">
        <v>0.9</v>
      </c>
      <c r="H19" s="152">
        <v>0.9</v>
      </c>
      <c r="I19" s="152">
        <v>0.9</v>
      </c>
      <c r="J19" s="152">
        <v>0.9</v>
      </c>
      <c r="K19" s="152">
        <v>0.9</v>
      </c>
      <c r="L19" s="152">
        <v>0.9</v>
      </c>
      <c r="M19" s="152">
        <v>0.9</v>
      </c>
      <c r="N19" s="152">
        <v>0.9</v>
      </c>
      <c r="O19" s="152">
        <v>0.9</v>
      </c>
      <c r="P19" s="152">
        <v>0.9</v>
      </c>
      <c r="Q19" s="152">
        <v>0.9</v>
      </c>
      <c r="R19" s="152">
        <v>0.9</v>
      </c>
      <c r="S19" s="152">
        <v>0.9</v>
      </c>
      <c r="T19" s="152">
        <v>0.9</v>
      </c>
      <c r="U19" s="152">
        <v>0.9</v>
      </c>
      <c r="V19" s="152">
        <v>0.9</v>
      </c>
      <c r="W19" s="152">
        <v>0.9</v>
      </c>
      <c r="X19" s="152">
        <v>0.9</v>
      </c>
      <c r="Y19" s="152">
        <v>0.9</v>
      </c>
      <c r="Z19" s="152">
        <v>0.9</v>
      </c>
      <c r="AA19" s="152">
        <v>0.9</v>
      </c>
      <c r="AB19" s="152">
        <v>0.9</v>
      </c>
      <c r="AC19" s="234">
        <v>0.9</v>
      </c>
      <c r="AD19" s="38"/>
      <c r="AE19" s="37"/>
      <c r="AF19" s="37"/>
      <c r="AG19" s="37"/>
      <c r="AH19" s="37"/>
      <c r="AI19" s="37"/>
      <c r="AJ19" s="37"/>
      <c r="AK19" s="37"/>
      <c r="AM19" s="49"/>
    </row>
    <row r="20" spans="1:39" ht="36" customHeight="1">
      <c r="A20" s="529"/>
      <c r="B20" s="529"/>
      <c r="C20" s="529"/>
      <c r="D20" s="581"/>
      <c r="E20" s="422" t="s">
        <v>483</v>
      </c>
      <c r="F20" s="76">
        <v>0.9</v>
      </c>
      <c r="G20" s="76">
        <v>0.9</v>
      </c>
      <c r="H20" s="76">
        <v>0.9</v>
      </c>
      <c r="I20" s="76">
        <v>0.9</v>
      </c>
      <c r="J20" s="76">
        <v>0.9</v>
      </c>
      <c r="K20" s="76">
        <v>0.9</v>
      </c>
      <c r="L20" s="76">
        <v>0.9</v>
      </c>
      <c r="M20" s="76">
        <v>0.9</v>
      </c>
      <c r="N20" s="76">
        <v>0.9</v>
      </c>
      <c r="O20" s="76">
        <v>0.9</v>
      </c>
      <c r="P20" s="76">
        <v>0.9</v>
      </c>
      <c r="Q20" s="76">
        <v>0.9</v>
      </c>
      <c r="R20" s="76">
        <v>0.9</v>
      </c>
      <c r="S20" s="76">
        <v>0.9</v>
      </c>
      <c r="T20" s="76">
        <v>0.9</v>
      </c>
      <c r="U20" s="76">
        <v>0.9</v>
      </c>
      <c r="V20" s="76">
        <v>0.9</v>
      </c>
      <c r="W20" s="76">
        <v>0.9</v>
      </c>
      <c r="X20" s="76">
        <v>0.9</v>
      </c>
      <c r="Y20" s="76">
        <v>0.9</v>
      </c>
      <c r="Z20" s="76">
        <v>0.9</v>
      </c>
      <c r="AA20" s="76">
        <v>0.9</v>
      </c>
      <c r="AB20" s="76">
        <v>0.9</v>
      </c>
      <c r="AC20" s="235">
        <v>0.9</v>
      </c>
      <c r="AD20" s="38"/>
      <c r="AE20" s="37"/>
      <c r="AF20" s="37"/>
      <c r="AG20" s="37"/>
      <c r="AH20" s="37"/>
      <c r="AI20" s="37"/>
      <c r="AJ20" s="37"/>
      <c r="AK20" s="37"/>
      <c r="AM20" s="49"/>
    </row>
    <row r="21" spans="1:39" ht="36" customHeight="1">
      <c r="A21" s="584"/>
      <c r="B21" s="584"/>
      <c r="C21" s="585"/>
      <c r="D21" s="582"/>
      <c r="E21" s="425" t="s">
        <v>484</v>
      </c>
      <c r="F21" s="319">
        <v>0.9</v>
      </c>
      <c r="G21" s="319">
        <v>0.9</v>
      </c>
      <c r="H21" s="319">
        <v>0.9</v>
      </c>
      <c r="I21" s="319">
        <v>0.9</v>
      </c>
      <c r="J21" s="319">
        <v>0.9</v>
      </c>
      <c r="K21" s="319">
        <v>0.9</v>
      </c>
      <c r="L21" s="319">
        <v>0.9</v>
      </c>
      <c r="M21" s="319">
        <v>0.9</v>
      </c>
      <c r="N21" s="319">
        <v>0.9</v>
      </c>
      <c r="O21" s="319">
        <v>0.9</v>
      </c>
      <c r="P21" s="319">
        <v>0.9</v>
      </c>
      <c r="Q21" s="319">
        <v>0.9</v>
      </c>
      <c r="R21" s="319">
        <v>0.9</v>
      </c>
      <c r="S21" s="319">
        <v>0.9</v>
      </c>
      <c r="T21" s="319">
        <v>0.9</v>
      </c>
      <c r="U21" s="319">
        <v>0.9</v>
      </c>
      <c r="V21" s="319">
        <v>0.9</v>
      </c>
      <c r="W21" s="319">
        <v>0.9</v>
      </c>
      <c r="X21" s="319">
        <v>0.9</v>
      </c>
      <c r="Y21" s="319">
        <v>0.9</v>
      </c>
      <c r="Z21" s="319">
        <v>0.9</v>
      </c>
      <c r="AA21" s="319">
        <v>0.9</v>
      </c>
      <c r="AB21" s="319">
        <v>0.9</v>
      </c>
      <c r="AC21" s="320">
        <v>0.9</v>
      </c>
      <c r="AD21" s="38"/>
      <c r="AE21" s="37"/>
      <c r="AF21" s="37"/>
      <c r="AG21" s="37"/>
      <c r="AH21" s="37"/>
      <c r="AI21" s="37"/>
      <c r="AJ21" s="37"/>
      <c r="AK21" s="37"/>
      <c r="AM21" s="49"/>
    </row>
    <row r="22" spans="1:39" ht="36" customHeight="1">
      <c r="A22" s="583" t="s">
        <v>539</v>
      </c>
      <c r="B22" s="583" t="s">
        <v>84</v>
      </c>
      <c r="C22" s="583" t="s">
        <v>286</v>
      </c>
      <c r="D22" s="580" t="s">
        <v>533</v>
      </c>
      <c r="E22" s="427" t="s">
        <v>485</v>
      </c>
      <c r="F22" s="428">
        <f>IF(F25=1,0.25,1)</f>
        <v>1</v>
      </c>
      <c r="G22" s="428">
        <f t="shared" ref="G22:AC24" si="0">IF(G25=1,0.25,1)</f>
        <v>1</v>
      </c>
      <c r="H22" s="428">
        <f t="shared" si="0"/>
        <v>1</v>
      </c>
      <c r="I22" s="428">
        <f t="shared" si="0"/>
        <v>1</v>
      </c>
      <c r="J22" s="428">
        <f t="shared" si="0"/>
        <v>1</v>
      </c>
      <c r="K22" s="428">
        <f t="shared" si="0"/>
        <v>1</v>
      </c>
      <c r="L22" s="428">
        <f t="shared" si="0"/>
        <v>0.25</v>
      </c>
      <c r="M22" s="428">
        <f t="shared" si="0"/>
        <v>0.25</v>
      </c>
      <c r="N22" s="428">
        <f t="shared" si="0"/>
        <v>0.25</v>
      </c>
      <c r="O22" s="428">
        <f t="shared" si="0"/>
        <v>0.25</v>
      </c>
      <c r="P22" s="428">
        <f t="shared" si="0"/>
        <v>0.25</v>
      </c>
      <c r="Q22" s="428">
        <f t="shared" si="0"/>
        <v>0.25</v>
      </c>
      <c r="R22" s="428">
        <f t="shared" si="0"/>
        <v>0.25</v>
      </c>
      <c r="S22" s="428">
        <f t="shared" si="0"/>
        <v>0.25</v>
      </c>
      <c r="T22" s="428">
        <f t="shared" si="0"/>
        <v>0.25</v>
      </c>
      <c r="U22" s="428">
        <f t="shared" si="0"/>
        <v>0.25</v>
      </c>
      <c r="V22" s="428">
        <f t="shared" si="0"/>
        <v>0.25</v>
      </c>
      <c r="W22" s="428">
        <f t="shared" si="0"/>
        <v>0.25</v>
      </c>
      <c r="X22" s="428">
        <f t="shared" si="0"/>
        <v>0.25</v>
      </c>
      <c r="Y22" s="428">
        <f t="shared" si="0"/>
        <v>0.25</v>
      </c>
      <c r="Z22" s="428">
        <f t="shared" si="0"/>
        <v>0.25</v>
      </c>
      <c r="AA22" s="428">
        <f t="shared" si="0"/>
        <v>0.25</v>
      </c>
      <c r="AB22" s="428">
        <f t="shared" si="0"/>
        <v>1</v>
      </c>
      <c r="AC22" s="429">
        <f t="shared" si="0"/>
        <v>1</v>
      </c>
      <c r="AD22" s="38"/>
      <c r="AE22" s="37"/>
      <c r="AF22" s="37"/>
      <c r="AG22" s="37"/>
      <c r="AH22" s="37"/>
      <c r="AI22" s="37"/>
      <c r="AJ22" s="37"/>
      <c r="AK22" s="37"/>
      <c r="AM22" s="49"/>
    </row>
    <row r="23" spans="1:39" ht="36" customHeight="1">
      <c r="A23" s="529"/>
      <c r="B23" s="529"/>
      <c r="C23" s="529"/>
      <c r="D23" s="581"/>
      <c r="E23" s="430" t="s">
        <v>483</v>
      </c>
      <c r="F23" s="177">
        <f t="shared" ref="F23:U24" si="1">IF(F26=1,0.25,1)</f>
        <v>1</v>
      </c>
      <c r="G23" s="177">
        <f t="shared" si="1"/>
        <v>1</v>
      </c>
      <c r="H23" s="177">
        <f t="shared" si="1"/>
        <v>1</v>
      </c>
      <c r="I23" s="177">
        <f t="shared" si="1"/>
        <v>1</v>
      </c>
      <c r="J23" s="177">
        <f t="shared" si="1"/>
        <v>1</v>
      </c>
      <c r="K23" s="177">
        <f t="shared" si="1"/>
        <v>1</v>
      </c>
      <c r="L23" s="177">
        <f t="shared" si="1"/>
        <v>0.25</v>
      </c>
      <c r="M23" s="177">
        <f t="shared" si="1"/>
        <v>0.25</v>
      </c>
      <c r="N23" s="177">
        <f t="shared" si="1"/>
        <v>0.25</v>
      </c>
      <c r="O23" s="177">
        <f t="shared" si="1"/>
        <v>0.25</v>
      </c>
      <c r="P23" s="177">
        <f t="shared" si="1"/>
        <v>0.25</v>
      </c>
      <c r="Q23" s="177">
        <f t="shared" si="1"/>
        <v>0.25</v>
      </c>
      <c r="R23" s="177">
        <f t="shared" si="1"/>
        <v>0.25</v>
      </c>
      <c r="S23" s="177">
        <f t="shared" si="1"/>
        <v>0.25</v>
      </c>
      <c r="T23" s="177">
        <f t="shared" si="1"/>
        <v>0.25</v>
      </c>
      <c r="U23" s="177">
        <f t="shared" si="1"/>
        <v>0.25</v>
      </c>
      <c r="V23" s="177">
        <f t="shared" si="0"/>
        <v>0.25</v>
      </c>
      <c r="W23" s="177">
        <f t="shared" si="0"/>
        <v>0.25</v>
      </c>
      <c r="X23" s="177">
        <f t="shared" si="0"/>
        <v>0.25</v>
      </c>
      <c r="Y23" s="177">
        <f t="shared" si="0"/>
        <v>1</v>
      </c>
      <c r="Z23" s="177">
        <f t="shared" si="0"/>
        <v>1</v>
      </c>
      <c r="AA23" s="177">
        <f t="shared" si="0"/>
        <v>1</v>
      </c>
      <c r="AB23" s="177">
        <f t="shared" si="0"/>
        <v>1</v>
      </c>
      <c r="AC23" s="431">
        <f t="shared" si="0"/>
        <v>1</v>
      </c>
      <c r="AD23" s="38"/>
      <c r="AE23" s="37"/>
      <c r="AF23" s="37"/>
      <c r="AG23" s="37"/>
      <c r="AH23" s="37"/>
      <c r="AI23" s="37"/>
      <c r="AJ23" s="37"/>
      <c r="AK23" s="37"/>
      <c r="AM23" s="49"/>
    </row>
    <row r="24" spans="1:39" ht="36" customHeight="1">
      <c r="A24" s="584"/>
      <c r="B24" s="584"/>
      <c r="C24" s="585"/>
      <c r="D24" s="582"/>
      <c r="E24" s="432" t="s">
        <v>484</v>
      </c>
      <c r="F24" s="433">
        <f t="shared" si="1"/>
        <v>1</v>
      </c>
      <c r="G24" s="433">
        <f t="shared" si="0"/>
        <v>1</v>
      </c>
      <c r="H24" s="433">
        <f t="shared" si="0"/>
        <v>1</v>
      </c>
      <c r="I24" s="433">
        <f t="shared" si="0"/>
        <v>1</v>
      </c>
      <c r="J24" s="433">
        <f t="shared" si="0"/>
        <v>1</v>
      </c>
      <c r="K24" s="433">
        <f t="shared" si="0"/>
        <v>1</v>
      </c>
      <c r="L24" s="433">
        <f t="shared" si="0"/>
        <v>1</v>
      </c>
      <c r="M24" s="433">
        <f t="shared" si="0"/>
        <v>0.25</v>
      </c>
      <c r="N24" s="433">
        <f t="shared" si="0"/>
        <v>0.25</v>
      </c>
      <c r="O24" s="433">
        <f t="shared" si="0"/>
        <v>0.25</v>
      </c>
      <c r="P24" s="433">
        <f t="shared" si="0"/>
        <v>0.25</v>
      </c>
      <c r="Q24" s="433">
        <f t="shared" si="0"/>
        <v>0.25</v>
      </c>
      <c r="R24" s="433">
        <f t="shared" si="0"/>
        <v>0.25</v>
      </c>
      <c r="S24" s="433">
        <f t="shared" si="0"/>
        <v>0.25</v>
      </c>
      <c r="T24" s="433">
        <f t="shared" si="0"/>
        <v>0.25</v>
      </c>
      <c r="U24" s="433">
        <f t="shared" si="0"/>
        <v>0.25</v>
      </c>
      <c r="V24" s="433">
        <f t="shared" si="0"/>
        <v>1</v>
      </c>
      <c r="W24" s="433">
        <f t="shared" si="0"/>
        <v>1</v>
      </c>
      <c r="X24" s="433">
        <f t="shared" si="0"/>
        <v>1</v>
      </c>
      <c r="Y24" s="433">
        <f t="shared" si="0"/>
        <v>1</v>
      </c>
      <c r="Z24" s="433">
        <f t="shared" si="0"/>
        <v>1</v>
      </c>
      <c r="AA24" s="433">
        <f t="shared" si="0"/>
        <v>1</v>
      </c>
      <c r="AB24" s="433">
        <f t="shared" si="0"/>
        <v>1</v>
      </c>
      <c r="AC24" s="434">
        <f t="shared" si="0"/>
        <v>1</v>
      </c>
      <c r="AD24" s="38"/>
      <c r="AE24" s="37"/>
      <c r="AF24" s="37"/>
      <c r="AG24" s="37"/>
      <c r="AH24" s="37"/>
      <c r="AI24" s="37"/>
      <c r="AJ24" s="37"/>
      <c r="AK24" s="37"/>
      <c r="AM24" s="49"/>
    </row>
    <row r="25" spans="1:39" ht="36" customHeight="1">
      <c r="A25" s="625" t="s">
        <v>531</v>
      </c>
      <c r="B25" s="583" t="s">
        <v>84</v>
      </c>
      <c r="C25" s="583" t="s">
        <v>540</v>
      </c>
      <c r="D25" s="580" t="s">
        <v>533</v>
      </c>
      <c r="E25" s="421" t="s">
        <v>485</v>
      </c>
      <c r="F25" s="153">
        <v>0</v>
      </c>
      <c r="G25" s="153">
        <v>0</v>
      </c>
      <c r="H25" s="153">
        <v>0</v>
      </c>
      <c r="I25" s="153">
        <v>0</v>
      </c>
      <c r="J25" s="153">
        <v>0</v>
      </c>
      <c r="K25" s="153">
        <v>0</v>
      </c>
      <c r="L25" s="153">
        <v>1</v>
      </c>
      <c r="M25" s="153">
        <v>1</v>
      </c>
      <c r="N25" s="153">
        <v>1</v>
      </c>
      <c r="O25" s="153">
        <v>1</v>
      </c>
      <c r="P25" s="153">
        <v>1</v>
      </c>
      <c r="Q25" s="153">
        <v>1</v>
      </c>
      <c r="R25" s="153">
        <v>1</v>
      </c>
      <c r="S25" s="153">
        <v>1</v>
      </c>
      <c r="T25" s="153">
        <v>1</v>
      </c>
      <c r="U25" s="153">
        <v>1</v>
      </c>
      <c r="V25" s="153">
        <v>1</v>
      </c>
      <c r="W25" s="153">
        <v>1</v>
      </c>
      <c r="X25" s="153">
        <v>1</v>
      </c>
      <c r="Y25" s="153">
        <v>1</v>
      </c>
      <c r="Z25" s="153">
        <v>1</v>
      </c>
      <c r="AA25" s="153">
        <v>1</v>
      </c>
      <c r="AB25" s="153">
        <v>0</v>
      </c>
      <c r="AC25" s="426">
        <v>0</v>
      </c>
      <c r="AD25" s="38"/>
      <c r="AE25" s="37"/>
      <c r="AF25" s="37"/>
      <c r="AG25" s="37"/>
      <c r="AH25" s="37"/>
      <c r="AI25" s="37"/>
      <c r="AJ25" s="37"/>
      <c r="AK25" s="37"/>
      <c r="AM25" s="49"/>
    </row>
    <row r="26" spans="1:39" ht="36" customHeight="1">
      <c r="A26" s="626"/>
      <c r="B26" s="529"/>
      <c r="C26" s="529"/>
      <c r="D26" s="581"/>
      <c r="E26" s="422" t="s">
        <v>483</v>
      </c>
      <c r="F26" s="76">
        <v>0</v>
      </c>
      <c r="G26" s="76">
        <v>0</v>
      </c>
      <c r="H26" s="76">
        <v>0</v>
      </c>
      <c r="I26" s="76">
        <v>0</v>
      </c>
      <c r="J26" s="76">
        <v>0</v>
      </c>
      <c r="K26" s="76">
        <v>0</v>
      </c>
      <c r="L26" s="76">
        <v>1</v>
      </c>
      <c r="M26" s="76">
        <v>1</v>
      </c>
      <c r="N26" s="76">
        <v>1</v>
      </c>
      <c r="O26" s="76">
        <v>1</v>
      </c>
      <c r="P26" s="76">
        <v>1</v>
      </c>
      <c r="Q26" s="76">
        <v>1</v>
      </c>
      <c r="R26" s="76">
        <v>1</v>
      </c>
      <c r="S26" s="76">
        <v>1</v>
      </c>
      <c r="T26" s="76">
        <v>1</v>
      </c>
      <c r="U26" s="76">
        <v>1</v>
      </c>
      <c r="V26" s="76">
        <v>1</v>
      </c>
      <c r="W26" s="76">
        <v>1</v>
      </c>
      <c r="X26" s="76">
        <v>1</v>
      </c>
      <c r="Y26" s="76">
        <v>0</v>
      </c>
      <c r="Z26" s="76">
        <v>0</v>
      </c>
      <c r="AA26" s="76">
        <v>0</v>
      </c>
      <c r="AB26" s="76">
        <v>0</v>
      </c>
      <c r="AC26" s="235">
        <v>0</v>
      </c>
      <c r="AD26" s="38"/>
      <c r="AE26" s="37"/>
      <c r="AF26" s="37"/>
      <c r="AG26" s="37"/>
      <c r="AH26" s="37"/>
      <c r="AI26" s="37"/>
      <c r="AJ26" s="37"/>
      <c r="AK26" s="37"/>
      <c r="AM26" s="49"/>
    </row>
    <row r="27" spans="1:39" ht="36" customHeight="1" thickBot="1">
      <c r="A27" s="627"/>
      <c r="B27" s="584"/>
      <c r="C27" s="584"/>
      <c r="D27" s="582"/>
      <c r="E27" s="425" t="s">
        <v>484</v>
      </c>
      <c r="F27" s="319">
        <v>0</v>
      </c>
      <c r="G27" s="319">
        <v>0</v>
      </c>
      <c r="H27" s="319">
        <v>0</v>
      </c>
      <c r="I27" s="319">
        <v>0</v>
      </c>
      <c r="J27" s="319">
        <v>0</v>
      </c>
      <c r="K27" s="319">
        <v>0</v>
      </c>
      <c r="L27" s="319">
        <v>0</v>
      </c>
      <c r="M27" s="319">
        <v>1</v>
      </c>
      <c r="N27" s="319">
        <v>1</v>
      </c>
      <c r="O27" s="319">
        <v>1</v>
      </c>
      <c r="P27" s="319">
        <v>1</v>
      </c>
      <c r="Q27" s="319">
        <v>1</v>
      </c>
      <c r="R27" s="319">
        <v>1</v>
      </c>
      <c r="S27" s="319">
        <v>1</v>
      </c>
      <c r="T27" s="319">
        <v>1</v>
      </c>
      <c r="U27" s="319">
        <v>1</v>
      </c>
      <c r="V27" s="319">
        <v>0</v>
      </c>
      <c r="W27" s="319">
        <v>0</v>
      </c>
      <c r="X27" s="319">
        <v>0</v>
      </c>
      <c r="Y27" s="319">
        <v>0</v>
      </c>
      <c r="Z27" s="319">
        <v>0</v>
      </c>
      <c r="AA27" s="319">
        <v>0</v>
      </c>
      <c r="AB27" s="319">
        <v>0</v>
      </c>
      <c r="AC27" s="320">
        <v>0</v>
      </c>
      <c r="AD27" s="38"/>
      <c r="AE27" s="37"/>
      <c r="AF27" s="37"/>
      <c r="AG27" s="37"/>
      <c r="AH27" s="37"/>
      <c r="AI27" s="37"/>
      <c r="AJ27" s="37"/>
      <c r="AK27" s="37"/>
      <c r="AM27" s="49"/>
    </row>
    <row r="28" spans="1:39" ht="36" customHeight="1">
      <c r="A28" s="625" t="s">
        <v>541</v>
      </c>
      <c r="B28" s="610" t="s">
        <v>84</v>
      </c>
      <c r="C28" s="651" t="s">
        <v>542</v>
      </c>
      <c r="D28" s="654"/>
      <c r="E28" s="321" t="s">
        <v>485</v>
      </c>
      <c r="F28" s="464">
        <f>IF(F25=1,Thermostat!$B$3,Thermostat!$B$4)</f>
        <v>70</v>
      </c>
      <c r="G28" s="464">
        <f>IF(G25=1,Thermostat!$B$3,Thermostat!$B$4)</f>
        <v>70</v>
      </c>
      <c r="H28" s="464">
        <f>IF(H25=1,Thermostat!$B$3,Thermostat!$B$4)</f>
        <v>70</v>
      </c>
      <c r="I28" s="464">
        <f>IF(I25=1,Thermostat!$B$3,Thermostat!$B$4)</f>
        <v>70</v>
      </c>
      <c r="J28" s="464">
        <f>IF(J25=1,Thermostat!$B$3,Thermostat!$B$4)</f>
        <v>70</v>
      </c>
      <c r="K28" s="464">
        <f>IF(K25=1,Thermostat!$B$3,Thermostat!$B$4)</f>
        <v>70</v>
      </c>
      <c r="L28" s="464">
        <f>IF(L25=1,Thermostat!$B$3,Thermostat!$B$4)</f>
        <v>70</v>
      </c>
      <c r="M28" s="464">
        <f>IF(M25=1,Thermostat!$B$3,Thermostat!$B$4)</f>
        <v>70</v>
      </c>
      <c r="N28" s="464">
        <f>IF(N25=1,Thermostat!$B$3,Thermostat!$B$4)</f>
        <v>70</v>
      </c>
      <c r="O28" s="464">
        <f>IF(O25=1,Thermostat!$B$3,Thermostat!$B$4)</f>
        <v>70</v>
      </c>
      <c r="P28" s="464">
        <f>IF(P25=1,Thermostat!$B$3,Thermostat!$B$4)</f>
        <v>70</v>
      </c>
      <c r="Q28" s="464">
        <f>IF(Q25=1,Thermostat!$B$3,Thermostat!$B$4)</f>
        <v>70</v>
      </c>
      <c r="R28" s="464">
        <f>IF(R25=1,Thermostat!$B$3,Thermostat!$B$4)</f>
        <v>70</v>
      </c>
      <c r="S28" s="464">
        <f>IF(S25=1,Thermostat!$B$3,Thermostat!$B$4)</f>
        <v>70</v>
      </c>
      <c r="T28" s="464">
        <f>IF(T25=1,Thermostat!$B$3,Thermostat!$B$4)</f>
        <v>70</v>
      </c>
      <c r="U28" s="464">
        <f>IF(U25=1,Thermostat!$B$3,Thermostat!$B$4)</f>
        <v>70</v>
      </c>
      <c r="V28" s="464">
        <f>IF(V25=1,Thermostat!$B$3,Thermostat!$B$4)</f>
        <v>70</v>
      </c>
      <c r="W28" s="464">
        <f>IF(W25=1,Thermostat!$B$3,Thermostat!$B$4)</f>
        <v>70</v>
      </c>
      <c r="X28" s="464">
        <f>IF(X25=1,Thermostat!$B$3,Thermostat!$B$4)</f>
        <v>70</v>
      </c>
      <c r="Y28" s="464">
        <f>IF(Y25=1,Thermostat!$B$3,Thermostat!$B$4)</f>
        <v>70</v>
      </c>
      <c r="Z28" s="464">
        <f>IF(Z25=1,Thermostat!$B$3,Thermostat!$B$4)</f>
        <v>70</v>
      </c>
      <c r="AA28" s="464">
        <f>IF(AA25=1,Thermostat!$B$3,Thermostat!$B$4)</f>
        <v>70</v>
      </c>
      <c r="AB28" s="464">
        <f>IF(AB25=1,Thermostat!$B$3,Thermostat!$B$4)</f>
        <v>70</v>
      </c>
      <c r="AC28" s="316">
        <f>IF(AC25=1,Thermostat!$B$3,Thermostat!$B$4)</f>
        <v>70</v>
      </c>
      <c r="AD28" s="38"/>
      <c r="AE28" s="37"/>
      <c r="AF28" s="37"/>
      <c r="AG28" s="37"/>
      <c r="AH28" s="37"/>
      <c r="AI28" s="37"/>
      <c r="AJ28" s="37"/>
      <c r="AK28" s="37"/>
      <c r="AM28" s="49"/>
    </row>
    <row r="29" spans="1:39" ht="36" customHeight="1">
      <c r="A29" s="626"/>
      <c r="B29" s="522"/>
      <c r="C29" s="652"/>
      <c r="D29" s="655"/>
      <c r="E29" s="322" t="s">
        <v>483</v>
      </c>
      <c r="F29" s="465">
        <f>IF(F26=1,Thermostat!$B$3,Thermostat!$B$4)</f>
        <v>70</v>
      </c>
      <c r="G29" s="465">
        <f>IF(G26=1,Thermostat!$B$3,Thermostat!$B$4)</f>
        <v>70</v>
      </c>
      <c r="H29" s="465">
        <f>IF(H26=1,Thermostat!$B$3,Thermostat!$B$4)</f>
        <v>70</v>
      </c>
      <c r="I29" s="465">
        <f>IF(I26=1,Thermostat!$B$3,Thermostat!$B$4)</f>
        <v>70</v>
      </c>
      <c r="J29" s="465">
        <f>IF(J26=1,Thermostat!$B$3,Thermostat!$B$4)</f>
        <v>70</v>
      </c>
      <c r="K29" s="465">
        <f>IF(K26=1,Thermostat!$B$3,Thermostat!$B$4)</f>
        <v>70</v>
      </c>
      <c r="L29" s="465">
        <f>IF(L26=1,Thermostat!$B$3,Thermostat!$B$4)</f>
        <v>70</v>
      </c>
      <c r="M29" s="465">
        <f>IF(M26=1,Thermostat!$B$3,Thermostat!$B$4)</f>
        <v>70</v>
      </c>
      <c r="N29" s="465">
        <f>IF(N26=1,Thermostat!$B$3,Thermostat!$B$4)</f>
        <v>70</v>
      </c>
      <c r="O29" s="465">
        <f>IF(O26=1,Thermostat!$B$3,Thermostat!$B$4)</f>
        <v>70</v>
      </c>
      <c r="P29" s="465">
        <f>IF(P26=1,Thermostat!$B$3,Thermostat!$B$4)</f>
        <v>70</v>
      </c>
      <c r="Q29" s="465">
        <f>IF(Q26=1,Thermostat!$B$3,Thermostat!$B$4)</f>
        <v>70</v>
      </c>
      <c r="R29" s="465">
        <f>IF(R26=1,Thermostat!$B$3,Thermostat!$B$4)</f>
        <v>70</v>
      </c>
      <c r="S29" s="465">
        <f>IF(S26=1,Thermostat!$B$3,Thermostat!$B$4)</f>
        <v>70</v>
      </c>
      <c r="T29" s="465">
        <f>IF(T26=1,Thermostat!$B$3,Thermostat!$B$4)</f>
        <v>70</v>
      </c>
      <c r="U29" s="465">
        <f>IF(U26=1,Thermostat!$B$3,Thermostat!$B$4)</f>
        <v>70</v>
      </c>
      <c r="V29" s="465">
        <f>IF(V26=1,Thermostat!$B$3,Thermostat!$B$4)</f>
        <v>70</v>
      </c>
      <c r="W29" s="465">
        <f>IF(W26=1,Thermostat!$B$3,Thermostat!$B$4)</f>
        <v>70</v>
      </c>
      <c r="X29" s="465">
        <f>IF(X26=1,Thermostat!$B$3,Thermostat!$B$4)</f>
        <v>70</v>
      </c>
      <c r="Y29" s="465">
        <f>IF(Y26=1,Thermostat!$B$3,Thermostat!$B$4)</f>
        <v>70</v>
      </c>
      <c r="Z29" s="465">
        <f>IF(Z26=1,Thermostat!$B$3,Thermostat!$B$4)</f>
        <v>70</v>
      </c>
      <c r="AA29" s="465">
        <f>IF(AA26=1,Thermostat!$B$3,Thermostat!$B$4)</f>
        <v>70</v>
      </c>
      <c r="AB29" s="465">
        <f>IF(AB26=1,Thermostat!$B$3,Thermostat!$B$4)</f>
        <v>70</v>
      </c>
      <c r="AC29" s="317">
        <f>IF(AC26=1,Thermostat!$B$3,Thermostat!$B$4)</f>
        <v>70</v>
      </c>
      <c r="AD29" s="38"/>
      <c r="AE29" s="37"/>
      <c r="AF29" s="37"/>
      <c r="AG29" s="37"/>
      <c r="AH29" s="37"/>
      <c r="AI29" s="37"/>
      <c r="AJ29" s="37"/>
      <c r="AK29" s="37"/>
      <c r="AM29" s="49"/>
    </row>
    <row r="30" spans="1:39" ht="36" customHeight="1" thickBot="1">
      <c r="A30" s="627"/>
      <c r="B30" s="611"/>
      <c r="C30" s="653"/>
      <c r="D30" s="656"/>
      <c r="E30" s="323" t="s">
        <v>484</v>
      </c>
      <c r="F30" s="466">
        <f>IF(F27=1,Thermostat!$B$3,Thermostat!$B$4)</f>
        <v>70</v>
      </c>
      <c r="G30" s="466">
        <f>IF(G27=1,Thermostat!$B$3,Thermostat!$B$4)</f>
        <v>70</v>
      </c>
      <c r="H30" s="466">
        <f>IF(H27=1,Thermostat!$B$3,Thermostat!$B$4)</f>
        <v>70</v>
      </c>
      <c r="I30" s="466">
        <f>IF(I27=1,Thermostat!$B$3,Thermostat!$B$4)</f>
        <v>70</v>
      </c>
      <c r="J30" s="466">
        <f>IF(J27=1,Thermostat!$B$3,Thermostat!$B$4)</f>
        <v>70</v>
      </c>
      <c r="K30" s="466">
        <f>IF(K27=1,Thermostat!$B$3,Thermostat!$B$4)</f>
        <v>70</v>
      </c>
      <c r="L30" s="466">
        <f>IF(L27=1,Thermostat!$B$3,Thermostat!$B$4)</f>
        <v>70</v>
      </c>
      <c r="M30" s="466">
        <f>IF(M27=1,Thermostat!$B$3,Thermostat!$B$4)</f>
        <v>70</v>
      </c>
      <c r="N30" s="466">
        <f>IF(N27=1,Thermostat!$B$3,Thermostat!$B$4)</f>
        <v>70</v>
      </c>
      <c r="O30" s="466">
        <f>IF(O27=1,Thermostat!$B$3,Thermostat!$B$4)</f>
        <v>70</v>
      </c>
      <c r="P30" s="466">
        <f>IF(P27=1,Thermostat!$B$3,Thermostat!$B$4)</f>
        <v>70</v>
      </c>
      <c r="Q30" s="466">
        <f>IF(Q27=1,Thermostat!$B$3,Thermostat!$B$4)</f>
        <v>70</v>
      </c>
      <c r="R30" s="466">
        <f>IF(R27=1,Thermostat!$B$3,Thermostat!$B$4)</f>
        <v>70</v>
      </c>
      <c r="S30" s="466">
        <f>IF(S27=1,Thermostat!$B$3,Thermostat!$B$4)</f>
        <v>70</v>
      </c>
      <c r="T30" s="466">
        <f>IF(T27=1,Thermostat!$B$3,Thermostat!$B$4)</f>
        <v>70</v>
      </c>
      <c r="U30" s="466">
        <f>IF(U27=1,Thermostat!$B$3,Thermostat!$B$4)</f>
        <v>70</v>
      </c>
      <c r="V30" s="466">
        <f>IF(V27=1,Thermostat!$B$3,Thermostat!$B$4)</f>
        <v>70</v>
      </c>
      <c r="W30" s="466">
        <f>IF(W27=1,Thermostat!$B$3,Thermostat!$B$4)</f>
        <v>70</v>
      </c>
      <c r="X30" s="466">
        <f>IF(X27=1,Thermostat!$B$3,Thermostat!$B$4)</f>
        <v>70</v>
      </c>
      <c r="Y30" s="466">
        <f>IF(Y27=1,Thermostat!$B$3,Thermostat!$B$4)</f>
        <v>70</v>
      </c>
      <c r="Z30" s="466">
        <f>IF(Z27=1,Thermostat!$B$3,Thermostat!$B$4)</f>
        <v>70</v>
      </c>
      <c r="AA30" s="466">
        <f>IF(AA27=1,Thermostat!$B$3,Thermostat!$B$4)</f>
        <v>70</v>
      </c>
      <c r="AB30" s="466">
        <f>IF(AB27=1,Thermostat!$B$3,Thermostat!$B$4)</f>
        <v>70</v>
      </c>
      <c r="AC30" s="318">
        <f>IF(AC27=1,Thermostat!$B$3,Thermostat!$B$4)</f>
        <v>70</v>
      </c>
      <c r="AD30" s="38"/>
      <c r="AE30" s="37"/>
      <c r="AF30" s="37"/>
      <c r="AG30" s="37"/>
      <c r="AH30" s="37"/>
      <c r="AI30" s="37"/>
      <c r="AJ30" s="37"/>
      <c r="AK30" s="37"/>
      <c r="AM30" s="49"/>
    </row>
    <row r="31" spans="1:39" ht="36" customHeight="1">
      <c r="A31" s="625" t="s">
        <v>541</v>
      </c>
      <c r="B31" s="610" t="s">
        <v>84</v>
      </c>
      <c r="C31" s="651" t="s">
        <v>543</v>
      </c>
      <c r="D31" s="654"/>
      <c r="E31" s="321" t="s">
        <v>485</v>
      </c>
      <c r="F31" s="464">
        <f>IF(F25=1,Thermostat!$B$5,Thermostat!$B$6)</f>
        <v>75</v>
      </c>
      <c r="G31" s="464">
        <f>IF(G25=1,Thermostat!$B$5,Thermostat!$B$6)</f>
        <v>75</v>
      </c>
      <c r="H31" s="464">
        <f>IF(H25=1,Thermostat!$B$5,Thermostat!$B$6)</f>
        <v>75</v>
      </c>
      <c r="I31" s="464">
        <f>IF(I25=1,Thermostat!$B$5,Thermostat!$B$6)</f>
        <v>75</v>
      </c>
      <c r="J31" s="464">
        <f>IF(J25=1,Thermostat!$B$5,Thermostat!$B$6)</f>
        <v>75</v>
      </c>
      <c r="K31" s="464">
        <f>IF(K25=1,Thermostat!$B$5,Thermostat!$B$6)</f>
        <v>75</v>
      </c>
      <c r="L31" s="464">
        <f>IF(L25=1,Thermostat!$B$5,Thermostat!$B$6)</f>
        <v>75</v>
      </c>
      <c r="M31" s="464">
        <f>IF(M25=1,Thermostat!$B$5,Thermostat!$B$6)</f>
        <v>75</v>
      </c>
      <c r="N31" s="464">
        <f>IF(N25=1,Thermostat!$B$5,Thermostat!$B$6)</f>
        <v>75</v>
      </c>
      <c r="O31" s="464">
        <f>IF(O25=1,Thermostat!$B$5,Thermostat!$B$6)</f>
        <v>75</v>
      </c>
      <c r="P31" s="464">
        <f>IF(P25=1,Thermostat!$B$5,Thermostat!$B$6)</f>
        <v>75</v>
      </c>
      <c r="Q31" s="464">
        <f>IF(Q25=1,Thermostat!$B$5,Thermostat!$B$6)</f>
        <v>75</v>
      </c>
      <c r="R31" s="464">
        <f>IF(R25=1,Thermostat!$B$5,Thermostat!$B$6)</f>
        <v>75</v>
      </c>
      <c r="S31" s="464">
        <f>IF(S25=1,Thermostat!$B$5,Thermostat!$B$6)</f>
        <v>75</v>
      </c>
      <c r="T31" s="464">
        <f>IF(T25=1,Thermostat!$B$5,Thermostat!$B$6)</f>
        <v>75</v>
      </c>
      <c r="U31" s="464">
        <f>IF(U25=1,Thermostat!$B$5,Thermostat!$B$6)</f>
        <v>75</v>
      </c>
      <c r="V31" s="464">
        <f>IF(V25=1,Thermostat!$B$5,Thermostat!$B$6)</f>
        <v>75</v>
      </c>
      <c r="W31" s="464">
        <f>IF(W25=1,Thermostat!$B$5,Thermostat!$B$6)</f>
        <v>75</v>
      </c>
      <c r="X31" s="464">
        <f>IF(X25=1,Thermostat!$B$5,Thermostat!$B$6)</f>
        <v>75</v>
      </c>
      <c r="Y31" s="464">
        <f>IF(Y25=1,Thermostat!$B$5,Thermostat!$B$6)</f>
        <v>75</v>
      </c>
      <c r="Z31" s="464">
        <f>IF(Z25=1,Thermostat!$B$5,Thermostat!$B$6)</f>
        <v>75</v>
      </c>
      <c r="AA31" s="464">
        <f>IF(AA25=1,Thermostat!$B$5,Thermostat!$B$6)</f>
        <v>75</v>
      </c>
      <c r="AB31" s="464">
        <f>IF(AB25=1,Thermostat!$B$5,Thermostat!$B$6)</f>
        <v>75</v>
      </c>
      <c r="AC31" s="316">
        <f>IF(AC25=1,Thermostat!$B$5,Thermostat!$B$6)</f>
        <v>75</v>
      </c>
      <c r="AD31" s="38"/>
      <c r="AE31" s="37"/>
      <c r="AF31" s="37"/>
      <c r="AG31" s="37"/>
      <c r="AH31" s="37"/>
      <c r="AI31" s="37"/>
      <c r="AJ31" s="37"/>
      <c r="AK31" s="37"/>
      <c r="AM31" s="49"/>
    </row>
    <row r="32" spans="1:39" ht="36" customHeight="1">
      <c r="A32" s="626"/>
      <c r="B32" s="522"/>
      <c r="C32" s="652"/>
      <c r="D32" s="655"/>
      <c r="E32" s="322" t="s">
        <v>483</v>
      </c>
      <c r="F32" s="465">
        <f>IF(F26=1,Thermostat!$B$5,Thermostat!$B$6)</f>
        <v>75</v>
      </c>
      <c r="G32" s="465">
        <f>IF(G26=1,Thermostat!$B$5,Thermostat!$B$6)</f>
        <v>75</v>
      </c>
      <c r="H32" s="465">
        <f>IF(H26=1,Thermostat!$B$5,Thermostat!$B$6)</f>
        <v>75</v>
      </c>
      <c r="I32" s="465">
        <f>IF(I26=1,Thermostat!$B$5,Thermostat!$B$6)</f>
        <v>75</v>
      </c>
      <c r="J32" s="465">
        <f>IF(J26=1,Thermostat!$B$5,Thermostat!$B$6)</f>
        <v>75</v>
      </c>
      <c r="K32" s="465">
        <f>IF(K26=1,Thermostat!$B$5,Thermostat!$B$6)</f>
        <v>75</v>
      </c>
      <c r="L32" s="465">
        <f>IF(L26=1,Thermostat!$B$5,Thermostat!$B$6)</f>
        <v>75</v>
      </c>
      <c r="M32" s="465">
        <f>IF(M26=1,Thermostat!$B$5,Thermostat!$B$6)</f>
        <v>75</v>
      </c>
      <c r="N32" s="465">
        <f>IF(N26=1,Thermostat!$B$5,Thermostat!$B$6)</f>
        <v>75</v>
      </c>
      <c r="O32" s="465">
        <f>IF(O26=1,Thermostat!$B$5,Thermostat!$B$6)</f>
        <v>75</v>
      </c>
      <c r="P32" s="465">
        <f>IF(P26=1,Thermostat!$B$5,Thermostat!$B$6)</f>
        <v>75</v>
      </c>
      <c r="Q32" s="465">
        <f>IF(Q26=1,Thermostat!$B$5,Thermostat!$B$6)</f>
        <v>75</v>
      </c>
      <c r="R32" s="465">
        <f>IF(R26=1,Thermostat!$B$5,Thermostat!$B$6)</f>
        <v>75</v>
      </c>
      <c r="S32" s="465">
        <f>IF(S26=1,Thermostat!$B$5,Thermostat!$B$6)</f>
        <v>75</v>
      </c>
      <c r="T32" s="465">
        <f>IF(T26=1,Thermostat!$B$5,Thermostat!$B$6)</f>
        <v>75</v>
      </c>
      <c r="U32" s="465">
        <f>IF(U26=1,Thermostat!$B$5,Thermostat!$B$6)</f>
        <v>75</v>
      </c>
      <c r="V32" s="465">
        <f>IF(V26=1,Thermostat!$B$5,Thermostat!$B$6)</f>
        <v>75</v>
      </c>
      <c r="W32" s="465">
        <f>IF(W26=1,Thermostat!$B$5,Thermostat!$B$6)</f>
        <v>75</v>
      </c>
      <c r="X32" s="465">
        <f>IF(X26=1,Thermostat!$B$5,Thermostat!$B$6)</f>
        <v>75</v>
      </c>
      <c r="Y32" s="465">
        <f>IF(Y26=1,Thermostat!$B$5,Thermostat!$B$6)</f>
        <v>75</v>
      </c>
      <c r="Z32" s="465">
        <f>IF(Z26=1,Thermostat!$B$5,Thermostat!$B$6)</f>
        <v>75</v>
      </c>
      <c r="AA32" s="465">
        <f>IF(AA26=1,Thermostat!$B$5,Thermostat!$B$6)</f>
        <v>75</v>
      </c>
      <c r="AB32" s="465">
        <f>IF(AB26=1,Thermostat!$B$5,Thermostat!$B$6)</f>
        <v>75</v>
      </c>
      <c r="AC32" s="317">
        <f>IF(AC26=1,Thermostat!$B$5,Thermostat!$B$6)</f>
        <v>75</v>
      </c>
      <c r="AD32" s="38"/>
      <c r="AE32" s="37"/>
      <c r="AF32" s="37"/>
      <c r="AG32" s="37"/>
      <c r="AH32" s="37"/>
      <c r="AI32" s="37"/>
      <c r="AJ32" s="37"/>
      <c r="AK32" s="37"/>
      <c r="AM32" s="49"/>
    </row>
    <row r="33" spans="1:39" ht="36" customHeight="1" thickBot="1">
      <c r="A33" s="627"/>
      <c r="B33" s="611"/>
      <c r="C33" s="653"/>
      <c r="D33" s="656"/>
      <c r="E33" s="323" t="s">
        <v>484</v>
      </c>
      <c r="F33" s="466">
        <f>IF(F27=1,Thermostat!$B$5,Thermostat!$B$6)</f>
        <v>75</v>
      </c>
      <c r="G33" s="466">
        <f>IF(G27=1,Thermostat!$B$5,Thermostat!$B$6)</f>
        <v>75</v>
      </c>
      <c r="H33" s="466">
        <f>IF(H27=1,Thermostat!$B$5,Thermostat!$B$6)</f>
        <v>75</v>
      </c>
      <c r="I33" s="466">
        <f>IF(I27=1,Thermostat!$B$5,Thermostat!$B$6)</f>
        <v>75</v>
      </c>
      <c r="J33" s="466">
        <f>IF(J27=1,Thermostat!$B$5,Thermostat!$B$6)</f>
        <v>75</v>
      </c>
      <c r="K33" s="466">
        <f>IF(K27=1,Thermostat!$B$5,Thermostat!$B$6)</f>
        <v>75</v>
      </c>
      <c r="L33" s="466">
        <f>IF(L27=1,Thermostat!$B$5,Thermostat!$B$6)</f>
        <v>75</v>
      </c>
      <c r="M33" s="466">
        <f>IF(M27=1,Thermostat!$B$5,Thermostat!$B$6)</f>
        <v>75</v>
      </c>
      <c r="N33" s="466">
        <f>IF(N27=1,Thermostat!$B$5,Thermostat!$B$6)</f>
        <v>75</v>
      </c>
      <c r="O33" s="466">
        <f>IF(O27=1,Thermostat!$B$5,Thermostat!$B$6)</f>
        <v>75</v>
      </c>
      <c r="P33" s="466">
        <f>IF(P27=1,Thermostat!$B$5,Thermostat!$B$6)</f>
        <v>75</v>
      </c>
      <c r="Q33" s="466">
        <f>IF(Q27=1,Thermostat!$B$5,Thermostat!$B$6)</f>
        <v>75</v>
      </c>
      <c r="R33" s="466">
        <f>IF(R27=1,Thermostat!$B$5,Thermostat!$B$6)</f>
        <v>75</v>
      </c>
      <c r="S33" s="466">
        <f>IF(S27=1,Thermostat!$B$5,Thermostat!$B$6)</f>
        <v>75</v>
      </c>
      <c r="T33" s="466">
        <f>IF(T27=1,Thermostat!$B$5,Thermostat!$B$6)</f>
        <v>75</v>
      </c>
      <c r="U33" s="466">
        <f>IF(U27=1,Thermostat!$B$5,Thermostat!$B$6)</f>
        <v>75</v>
      </c>
      <c r="V33" s="466">
        <f>IF(V27=1,Thermostat!$B$5,Thermostat!$B$6)</f>
        <v>75</v>
      </c>
      <c r="W33" s="466">
        <f>IF(W27=1,Thermostat!$B$5,Thermostat!$B$6)</f>
        <v>75</v>
      </c>
      <c r="X33" s="466">
        <f>IF(X27=1,Thermostat!$B$5,Thermostat!$B$6)</f>
        <v>75</v>
      </c>
      <c r="Y33" s="466">
        <f>IF(Y27=1,Thermostat!$B$5,Thermostat!$B$6)</f>
        <v>75</v>
      </c>
      <c r="Z33" s="466">
        <f>IF(Z27=1,Thermostat!$B$5,Thermostat!$B$6)</f>
        <v>75</v>
      </c>
      <c r="AA33" s="466">
        <f>IF(AA27=1,Thermostat!$B$5,Thermostat!$B$6)</f>
        <v>75</v>
      </c>
      <c r="AB33" s="466">
        <f>IF(AB27=1,Thermostat!$B$5,Thermostat!$B$6)</f>
        <v>75</v>
      </c>
      <c r="AC33" s="318">
        <f>IF(AC27=1,Thermostat!$B$5,Thermostat!$B$6)</f>
        <v>75</v>
      </c>
      <c r="AD33" s="38"/>
      <c r="AE33" s="37"/>
      <c r="AF33" s="37"/>
      <c r="AG33" s="37"/>
      <c r="AH33" s="37"/>
      <c r="AI33" s="37"/>
      <c r="AJ33" s="37"/>
      <c r="AK33" s="37"/>
      <c r="AM33" s="49"/>
    </row>
    <row r="34" spans="1:39" ht="36" customHeight="1" thickBot="1">
      <c r="A34" s="634" t="s">
        <v>94</v>
      </c>
      <c r="B34" s="634"/>
      <c r="C34" s="634" t="s">
        <v>18</v>
      </c>
      <c r="D34" s="634"/>
      <c r="E34" s="634"/>
      <c r="F34" s="634"/>
      <c r="G34" s="634"/>
      <c r="H34" s="634"/>
      <c r="I34" s="634"/>
      <c r="J34" s="634"/>
      <c r="K34" s="634"/>
      <c r="L34" s="634"/>
      <c r="M34" s="634"/>
      <c r="N34" s="634"/>
      <c r="O34" s="634"/>
      <c r="P34" s="634"/>
      <c r="Q34" s="634"/>
      <c r="R34" s="634"/>
      <c r="S34" s="634"/>
      <c r="T34" s="634"/>
      <c r="U34" s="634"/>
      <c r="V34" s="634"/>
      <c r="W34" s="634"/>
      <c r="X34" s="634"/>
      <c r="Y34" s="634"/>
      <c r="Z34" s="634"/>
      <c r="AA34" s="634"/>
      <c r="AB34" s="634"/>
      <c r="AC34" s="635"/>
      <c r="AD34" s="38"/>
      <c r="AE34" s="37"/>
      <c r="AF34" s="37"/>
      <c r="AG34" s="37"/>
      <c r="AH34" s="37"/>
      <c r="AI34" s="37"/>
      <c r="AJ34" s="37"/>
      <c r="AK34" s="37"/>
      <c r="AM34" s="49"/>
    </row>
    <row r="35" spans="1:39" ht="39.6" customHeight="1">
      <c r="A35" s="612" t="s">
        <v>94</v>
      </c>
      <c r="B35" s="595" t="s">
        <v>94</v>
      </c>
      <c r="C35" s="598" t="s">
        <v>532</v>
      </c>
      <c r="D35" s="600" t="s">
        <v>544</v>
      </c>
      <c r="E35" s="283" t="s">
        <v>485</v>
      </c>
      <c r="F35" s="330">
        <v>0</v>
      </c>
      <c r="G35" s="330">
        <v>0</v>
      </c>
      <c r="H35" s="330">
        <v>0</v>
      </c>
      <c r="I35" s="330">
        <v>0</v>
      </c>
      <c r="J35" s="330">
        <v>0</v>
      </c>
      <c r="K35" s="330">
        <v>0</v>
      </c>
      <c r="L35" s="330">
        <v>0.1</v>
      </c>
      <c r="M35" s="330">
        <v>0.2</v>
      </c>
      <c r="N35" s="330">
        <v>0.95</v>
      </c>
      <c r="O35" s="330">
        <v>0.95</v>
      </c>
      <c r="P35" s="330">
        <v>0.95</v>
      </c>
      <c r="Q35" s="330">
        <v>0.95</v>
      </c>
      <c r="R35" s="330">
        <v>0.5</v>
      </c>
      <c r="S35" s="330">
        <v>0.95</v>
      </c>
      <c r="T35" s="330">
        <v>0.95</v>
      </c>
      <c r="U35" s="330">
        <v>0.95</v>
      </c>
      <c r="V35" s="330">
        <v>0.95</v>
      </c>
      <c r="W35" s="330">
        <v>0.3</v>
      </c>
      <c r="X35" s="330">
        <v>0.1</v>
      </c>
      <c r="Y35" s="330">
        <v>0.1</v>
      </c>
      <c r="Z35" s="330">
        <v>0.1</v>
      </c>
      <c r="AA35" s="330">
        <v>0.1</v>
      </c>
      <c r="AB35" s="330">
        <v>0.05</v>
      </c>
      <c r="AC35" s="331">
        <v>0.05</v>
      </c>
      <c r="AD35" s="148"/>
      <c r="AE35" s="148"/>
      <c r="AF35" s="148"/>
      <c r="AG35" s="148"/>
      <c r="AH35" s="148"/>
      <c r="AI35" s="148"/>
      <c r="AJ35" s="148"/>
      <c r="AK35" s="148"/>
    </row>
    <row r="36" spans="1:39" ht="39.6" customHeight="1">
      <c r="A36" s="613"/>
      <c r="B36" s="596"/>
      <c r="C36" s="590"/>
      <c r="D36" s="601"/>
      <c r="E36" s="286" t="s">
        <v>483</v>
      </c>
      <c r="F36" s="332">
        <v>0</v>
      </c>
      <c r="G36" s="332">
        <v>0</v>
      </c>
      <c r="H36" s="332">
        <v>0</v>
      </c>
      <c r="I36" s="332">
        <v>0</v>
      </c>
      <c r="J36" s="332">
        <v>0</v>
      </c>
      <c r="K36" s="332">
        <v>0</v>
      </c>
      <c r="L36" s="333">
        <v>0.05</v>
      </c>
      <c r="M36" s="333">
        <v>0.05</v>
      </c>
      <c r="N36" s="333">
        <v>0.05</v>
      </c>
      <c r="O36" s="333">
        <v>0.05</v>
      </c>
      <c r="P36" s="333">
        <v>0.05</v>
      </c>
      <c r="Q36" s="333">
        <v>0.05</v>
      </c>
      <c r="R36" s="333">
        <v>0.05</v>
      </c>
      <c r="S36" s="333">
        <v>0.05</v>
      </c>
      <c r="T36" s="333">
        <v>0.05</v>
      </c>
      <c r="U36" s="333">
        <v>0.05</v>
      </c>
      <c r="V36" s="333">
        <v>0.05</v>
      </c>
      <c r="W36" s="333">
        <v>0.05</v>
      </c>
      <c r="X36" s="334">
        <v>0</v>
      </c>
      <c r="Y36" s="332">
        <v>0</v>
      </c>
      <c r="Z36" s="332">
        <v>0</v>
      </c>
      <c r="AA36" s="332">
        <v>0</v>
      </c>
      <c r="AB36" s="332">
        <v>0</v>
      </c>
      <c r="AC36" s="335">
        <v>0</v>
      </c>
      <c r="AD36" s="148"/>
      <c r="AE36" s="148"/>
      <c r="AF36" s="148"/>
      <c r="AG36" s="148"/>
      <c r="AH36" s="148"/>
      <c r="AI36" s="148"/>
      <c r="AJ36" s="148"/>
      <c r="AK36" s="148"/>
    </row>
    <row r="37" spans="1:39" ht="39.6" customHeight="1" thickBot="1">
      <c r="A37" s="614"/>
      <c r="B37" s="597"/>
      <c r="C37" s="599"/>
      <c r="D37" s="602"/>
      <c r="E37" s="295" t="s">
        <v>484</v>
      </c>
      <c r="F37" s="336">
        <v>0</v>
      </c>
      <c r="G37" s="336">
        <v>0</v>
      </c>
      <c r="H37" s="336">
        <v>0</v>
      </c>
      <c r="I37" s="336">
        <v>0</v>
      </c>
      <c r="J37" s="336">
        <v>0</v>
      </c>
      <c r="K37" s="336">
        <v>0</v>
      </c>
      <c r="L37" s="336">
        <v>0.05</v>
      </c>
      <c r="M37" s="336">
        <v>0.05</v>
      </c>
      <c r="N37" s="336">
        <v>0.05</v>
      </c>
      <c r="O37" s="336">
        <v>0.05</v>
      </c>
      <c r="P37" s="336">
        <v>0.05</v>
      </c>
      <c r="Q37" s="336">
        <v>0.05</v>
      </c>
      <c r="R37" s="336">
        <v>0.05</v>
      </c>
      <c r="S37" s="336">
        <v>0.05</v>
      </c>
      <c r="T37" s="336">
        <v>0.05</v>
      </c>
      <c r="U37" s="336">
        <v>0.05</v>
      </c>
      <c r="V37" s="336">
        <v>0.05</v>
      </c>
      <c r="W37" s="336">
        <v>0.05</v>
      </c>
      <c r="X37" s="336">
        <v>0</v>
      </c>
      <c r="Y37" s="336">
        <v>0</v>
      </c>
      <c r="Z37" s="336">
        <v>0</v>
      </c>
      <c r="AA37" s="336">
        <v>0</v>
      </c>
      <c r="AB37" s="336">
        <v>0</v>
      </c>
      <c r="AC37" s="337">
        <v>0</v>
      </c>
      <c r="AD37" s="148"/>
      <c r="AE37" s="148"/>
      <c r="AF37" s="148"/>
      <c r="AG37" s="148"/>
      <c r="AH37" s="148"/>
      <c r="AI37" s="148"/>
      <c r="AJ37" s="148"/>
      <c r="AK37" s="148"/>
    </row>
    <row r="38" spans="1:39" s="125" customFormat="1" ht="39.6" customHeight="1">
      <c r="A38" s="612" t="s">
        <v>94</v>
      </c>
      <c r="B38" s="595" t="s">
        <v>94</v>
      </c>
      <c r="C38" s="589" t="s">
        <v>534</v>
      </c>
      <c r="D38" s="600" t="s">
        <v>545</v>
      </c>
      <c r="E38" s="338" t="s">
        <v>485</v>
      </c>
      <c r="F38" s="330">
        <v>0.05</v>
      </c>
      <c r="G38" s="330">
        <v>0.05</v>
      </c>
      <c r="H38" s="330">
        <v>0.05</v>
      </c>
      <c r="I38" s="330">
        <v>0.05</v>
      </c>
      <c r="J38" s="330">
        <v>0.05</v>
      </c>
      <c r="K38" s="436">
        <v>0.1</v>
      </c>
      <c r="L38" s="436">
        <v>0.1</v>
      </c>
      <c r="M38" s="436">
        <v>0.3</v>
      </c>
      <c r="N38" s="436">
        <v>0.65</v>
      </c>
      <c r="O38" s="436">
        <v>0.65</v>
      </c>
      <c r="P38" s="436">
        <v>0.65</v>
      </c>
      <c r="Q38" s="436">
        <v>0.65</v>
      </c>
      <c r="R38" s="436">
        <v>0.65</v>
      </c>
      <c r="S38" s="436">
        <v>0.65</v>
      </c>
      <c r="T38" s="436">
        <v>0.65</v>
      </c>
      <c r="U38" s="436">
        <v>0.65</v>
      </c>
      <c r="V38" s="436">
        <v>0.65</v>
      </c>
      <c r="W38" s="436">
        <v>0.35</v>
      </c>
      <c r="X38" s="436">
        <v>0.3</v>
      </c>
      <c r="Y38" s="436">
        <v>0.3</v>
      </c>
      <c r="Z38" s="330">
        <v>0.2</v>
      </c>
      <c r="AA38" s="330">
        <v>0.2</v>
      </c>
      <c r="AB38" s="330">
        <v>0.1</v>
      </c>
      <c r="AC38" s="331">
        <v>0.05</v>
      </c>
      <c r="AD38" s="149"/>
      <c r="AE38" s="149"/>
      <c r="AF38" s="149"/>
      <c r="AG38" s="149"/>
      <c r="AH38" s="149"/>
      <c r="AI38" s="149"/>
      <c r="AJ38" s="149"/>
      <c r="AK38" s="149"/>
    </row>
    <row r="39" spans="1:39" ht="39.6" customHeight="1">
      <c r="A39" s="613"/>
      <c r="B39" s="596"/>
      <c r="C39" s="590"/>
      <c r="D39" s="601"/>
      <c r="E39" s="302" t="s">
        <v>483</v>
      </c>
      <c r="F39" s="332">
        <v>0.05</v>
      </c>
      <c r="G39" s="332">
        <v>0.05</v>
      </c>
      <c r="H39" s="332">
        <v>0.05</v>
      </c>
      <c r="I39" s="332">
        <v>0.05</v>
      </c>
      <c r="J39" s="332">
        <v>0.05</v>
      </c>
      <c r="K39" s="334">
        <v>0.05</v>
      </c>
      <c r="L39" s="334">
        <v>0.05</v>
      </c>
      <c r="M39" s="334">
        <v>0.05</v>
      </c>
      <c r="N39" s="334">
        <v>0.05</v>
      </c>
      <c r="O39" s="334">
        <v>0.05</v>
      </c>
      <c r="P39" s="334">
        <v>0.05</v>
      </c>
      <c r="Q39" s="334">
        <v>0.05</v>
      </c>
      <c r="R39" s="334">
        <v>0.05</v>
      </c>
      <c r="S39" s="334">
        <v>0.05</v>
      </c>
      <c r="T39" s="334">
        <v>0.05</v>
      </c>
      <c r="U39" s="334">
        <v>0.05</v>
      </c>
      <c r="V39" s="334">
        <v>0.05</v>
      </c>
      <c r="W39" s="332">
        <v>0.05</v>
      </c>
      <c r="X39" s="332">
        <v>0.05</v>
      </c>
      <c r="Y39" s="332">
        <v>0.05</v>
      </c>
      <c r="Z39" s="332">
        <v>0.05</v>
      </c>
      <c r="AA39" s="332">
        <v>0.05</v>
      </c>
      <c r="AB39" s="332">
        <v>0.05</v>
      </c>
      <c r="AC39" s="335">
        <v>0.05</v>
      </c>
      <c r="AD39" s="148"/>
      <c r="AE39" s="148"/>
      <c r="AF39" s="148"/>
      <c r="AG39" s="148"/>
      <c r="AH39" s="148"/>
      <c r="AI39" s="148"/>
      <c r="AJ39" s="148"/>
      <c r="AK39" s="148"/>
    </row>
    <row r="40" spans="1:39" ht="39.6" customHeight="1" thickBot="1">
      <c r="A40" s="614"/>
      <c r="B40" s="597"/>
      <c r="C40" s="599"/>
      <c r="D40" s="624"/>
      <c r="E40" s="313" t="s">
        <v>484</v>
      </c>
      <c r="F40" s="339">
        <v>0.05</v>
      </c>
      <c r="G40" s="339">
        <v>0.05</v>
      </c>
      <c r="H40" s="339">
        <v>0.05</v>
      </c>
      <c r="I40" s="339">
        <v>0.05</v>
      </c>
      <c r="J40" s="339">
        <v>0.05</v>
      </c>
      <c r="K40" s="339">
        <v>0.05</v>
      </c>
      <c r="L40" s="339">
        <v>0.05</v>
      </c>
      <c r="M40" s="339">
        <v>0.05</v>
      </c>
      <c r="N40" s="339">
        <v>0.05</v>
      </c>
      <c r="O40" s="339">
        <v>0.05</v>
      </c>
      <c r="P40" s="339">
        <v>0.05</v>
      </c>
      <c r="Q40" s="339">
        <v>0.05</v>
      </c>
      <c r="R40" s="339">
        <v>0.05</v>
      </c>
      <c r="S40" s="339">
        <v>0.05</v>
      </c>
      <c r="T40" s="339">
        <v>0.05</v>
      </c>
      <c r="U40" s="339">
        <v>0.05</v>
      </c>
      <c r="V40" s="339">
        <v>0.05</v>
      </c>
      <c r="W40" s="339">
        <v>0.05</v>
      </c>
      <c r="X40" s="339">
        <v>0.05</v>
      </c>
      <c r="Y40" s="339">
        <v>0.05</v>
      </c>
      <c r="Z40" s="339">
        <v>0.05</v>
      </c>
      <c r="AA40" s="339">
        <v>0.05</v>
      </c>
      <c r="AB40" s="339">
        <v>0.05</v>
      </c>
      <c r="AC40" s="340">
        <v>0.05</v>
      </c>
      <c r="AD40" s="148"/>
      <c r="AE40" s="148"/>
      <c r="AF40" s="148"/>
      <c r="AG40" s="148"/>
      <c r="AH40" s="148"/>
      <c r="AI40" s="148"/>
      <c r="AJ40" s="148"/>
      <c r="AK40" s="148"/>
    </row>
    <row r="41" spans="1:39" ht="39.6" customHeight="1">
      <c r="A41" s="612" t="s">
        <v>94</v>
      </c>
      <c r="B41" s="595" t="s">
        <v>94</v>
      </c>
      <c r="C41" s="589" t="s">
        <v>535</v>
      </c>
      <c r="D41" s="592" t="s">
        <v>546</v>
      </c>
      <c r="E41" s="338" t="s">
        <v>485</v>
      </c>
      <c r="F41" s="341">
        <v>0.45</v>
      </c>
      <c r="G41" s="341">
        <v>0.45</v>
      </c>
      <c r="H41" s="341">
        <v>0.45</v>
      </c>
      <c r="I41" s="341">
        <v>0.45</v>
      </c>
      <c r="J41" s="341">
        <v>0.45</v>
      </c>
      <c r="K41" s="341">
        <v>0.45</v>
      </c>
      <c r="L41" s="341">
        <v>0.45</v>
      </c>
      <c r="M41" s="341">
        <v>0.74</v>
      </c>
      <c r="N41" s="341">
        <v>0.87</v>
      </c>
      <c r="O41" s="341">
        <v>0.9</v>
      </c>
      <c r="P41" s="341">
        <v>0.9</v>
      </c>
      <c r="Q41" s="341">
        <v>0.9</v>
      </c>
      <c r="R41" s="341">
        <v>0.9</v>
      </c>
      <c r="S41" s="341">
        <v>0.9</v>
      </c>
      <c r="T41" s="341">
        <v>0.9</v>
      </c>
      <c r="U41" s="341">
        <v>0.9</v>
      </c>
      <c r="V41" s="341">
        <v>0.9</v>
      </c>
      <c r="W41" s="341">
        <v>0.7</v>
      </c>
      <c r="X41" s="341">
        <v>0.5</v>
      </c>
      <c r="Y41" s="341">
        <v>0.5</v>
      </c>
      <c r="Z41" s="341">
        <v>0.5</v>
      </c>
      <c r="AA41" s="341">
        <v>0.45</v>
      </c>
      <c r="AB41" s="341">
        <v>0.45</v>
      </c>
      <c r="AC41" s="342">
        <v>0.45</v>
      </c>
      <c r="AD41" s="148"/>
      <c r="AE41" s="148"/>
      <c r="AF41" s="148"/>
      <c r="AG41" s="148"/>
      <c r="AH41" s="148"/>
      <c r="AI41" s="148"/>
      <c r="AJ41" s="148"/>
      <c r="AK41" s="148"/>
    </row>
    <row r="42" spans="1:39" ht="39.6" customHeight="1">
      <c r="A42" s="613"/>
      <c r="B42" s="596"/>
      <c r="C42" s="590"/>
      <c r="D42" s="593"/>
      <c r="E42" s="302" t="s">
        <v>483</v>
      </c>
      <c r="F42" s="343">
        <v>0.43</v>
      </c>
      <c r="G42" s="343">
        <v>0.43</v>
      </c>
      <c r="H42" s="343">
        <v>0.43</v>
      </c>
      <c r="I42" s="343">
        <v>0.43</v>
      </c>
      <c r="J42" s="343">
        <v>0.43</v>
      </c>
      <c r="K42" s="343">
        <v>0.43</v>
      </c>
      <c r="L42" s="343">
        <v>0.43</v>
      </c>
      <c r="M42" s="343">
        <v>0.43</v>
      </c>
      <c r="N42" s="343">
        <v>0.43</v>
      </c>
      <c r="O42" s="343">
        <v>0.43</v>
      </c>
      <c r="P42" s="343">
        <v>0.43</v>
      </c>
      <c r="Q42" s="343">
        <v>0.43</v>
      </c>
      <c r="R42" s="343">
        <v>0.43</v>
      </c>
      <c r="S42" s="343">
        <v>0.43</v>
      </c>
      <c r="T42" s="343">
        <v>0.43</v>
      </c>
      <c r="U42" s="343">
        <v>0.43</v>
      </c>
      <c r="V42" s="343">
        <v>0.43</v>
      </c>
      <c r="W42" s="343">
        <v>0.43</v>
      </c>
      <c r="X42" s="343">
        <v>0.43</v>
      </c>
      <c r="Y42" s="343">
        <v>0.43</v>
      </c>
      <c r="Z42" s="343">
        <v>0.43</v>
      </c>
      <c r="AA42" s="343">
        <v>0.43</v>
      </c>
      <c r="AB42" s="343">
        <v>0.43</v>
      </c>
      <c r="AC42" s="344">
        <v>0.43</v>
      </c>
      <c r="AD42" s="148"/>
      <c r="AE42" s="148"/>
      <c r="AF42" s="148"/>
      <c r="AG42" s="148"/>
      <c r="AH42" s="148"/>
      <c r="AI42" s="148"/>
      <c r="AJ42" s="148"/>
      <c r="AK42" s="148"/>
    </row>
    <row r="43" spans="1:39" ht="39.6" customHeight="1" thickBot="1">
      <c r="A43" s="614"/>
      <c r="B43" s="597"/>
      <c r="C43" s="591"/>
      <c r="D43" s="594"/>
      <c r="E43" s="345" t="s">
        <v>484</v>
      </c>
      <c r="F43" s="346">
        <v>0.43</v>
      </c>
      <c r="G43" s="346">
        <v>0.43</v>
      </c>
      <c r="H43" s="346">
        <v>0.43</v>
      </c>
      <c r="I43" s="346">
        <v>0.43</v>
      </c>
      <c r="J43" s="346">
        <v>0.43</v>
      </c>
      <c r="K43" s="346">
        <v>0.43</v>
      </c>
      <c r="L43" s="346">
        <v>0.43</v>
      </c>
      <c r="M43" s="346">
        <v>0.43</v>
      </c>
      <c r="N43" s="346">
        <v>0.43</v>
      </c>
      <c r="O43" s="346">
        <v>0.43</v>
      </c>
      <c r="P43" s="346">
        <v>0.43</v>
      </c>
      <c r="Q43" s="346">
        <v>0.43</v>
      </c>
      <c r="R43" s="346">
        <v>0.43</v>
      </c>
      <c r="S43" s="346">
        <v>0.43</v>
      </c>
      <c r="T43" s="346">
        <v>0.43</v>
      </c>
      <c r="U43" s="346">
        <v>0.43</v>
      </c>
      <c r="V43" s="346">
        <v>0.43</v>
      </c>
      <c r="W43" s="346">
        <v>0.43</v>
      </c>
      <c r="X43" s="346">
        <v>0.43</v>
      </c>
      <c r="Y43" s="346">
        <v>0.43</v>
      </c>
      <c r="Z43" s="346">
        <v>0.43</v>
      </c>
      <c r="AA43" s="346">
        <v>0.43</v>
      </c>
      <c r="AB43" s="346">
        <v>0.43</v>
      </c>
      <c r="AC43" s="347">
        <v>0.43</v>
      </c>
      <c r="AD43" s="148"/>
      <c r="AE43" s="148"/>
      <c r="AF43" s="148"/>
      <c r="AG43" s="148"/>
      <c r="AH43" s="148"/>
      <c r="AI43" s="148"/>
      <c r="AJ43" s="148"/>
      <c r="AK43" s="148"/>
    </row>
    <row r="44" spans="1:39" ht="39.6" customHeight="1">
      <c r="A44" s="612" t="s">
        <v>94</v>
      </c>
      <c r="B44" s="595" t="s">
        <v>94</v>
      </c>
      <c r="C44" s="615" t="s">
        <v>540</v>
      </c>
      <c r="D44" s="600" t="s">
        <v>547</v>
      </c>
      <c r="E44" s="308" t="s">
        <v>485</v>
      </c>
      <c r="F44" s="348">
        <v>0</v>
      </c>
      <c r="G44" s="348">
        <v>0</v>
      </c>
      <c r="H44" s="348">
        <v>0</v>
      </c>
      <c r="I44" s="348">
        <v>0</v>
      </c>
      <c r="J44" s="348">
        <v>0</v>
      </c>
      <c r="K44" s="348">
        <v>1</v>
      </c>
      <c r="L44" s="348">
        <v>1</v>
      </c>
      <c r="M44" s="348">
        <v>1</v>
      </c>
      <c r="N44" s="348">
        <v>1</v>
      </c>
      <c r="O44" s="348">
        <v>1</v>
      </c>
      <c r="P44" s="348">
        <v>1</v>
      </c>
      <c r="Q44" s="348">
        <v>1</v>
      </c>
      <c r="R44" s="348">
        <v>1</v>
      </c>
      <c r="S44" s="348">
        <v>1</v>
      </c>
      <c r="T44" s="348">
        <v>1</v>
      </c>
      <c r="U44" s="348">
        <v>1</v>
      </c>
      <c r="V44" s="348">
        <v>1</v>
      </c>
      <c r="W44" s="348">
        <v>1</v>
      </c>
      <c r="X44" s="348">
        <v>1</v>
      </c>
      <c r="Y44" s="348">
        <v>1</v>
      </c>
      <c r="Z44" s="348">
        <v>1</v>
      </c>
      <c r="AA44" s="348">
        <v>1</v>
      </c>
      <c r="AB44" s="348">
        <v>1</v>
      </c>
      <c r="AC44" s="349">
        <v>1</v>
      </c>
      <c r="AD44" s="148"/>
      <c r="AE44" s="148"/>
      <c r="AF44" s="148"/>
      <c r="AG44" s="148"/>
      <c r="AH44" s="148"/>
      <c r="AI44" s="148"/>
      <c r="AJ44" s="148"/>
      <c r="AK44" s="148"/>
    </row>
    <row r="45" spans="1:39" ht="39.6" customHeight="1">
      <c r="A45" s="613"/>
      <c r="B45" s="596"/>
      <c r="C45" s="590"/>
      <c r="D45" s="601"/>
      <c r="E45" s="302" t="s">
        <v>483</v>
      </c>
      <c r="F45" s="332">
        <v>0</v>
      </c>
      <c r="G45" s="332">
        <v>0</v>
      </c>
      <c r="H45" s="332">
        <v>0</v>
      </c>
      <c r="I45" s="332">
        <v>0</v>
      </c>
      <c r="J45" s="332">
        <v>0</v>
      </c>
      <c r="K45" s="334">
        <v>0</v>
      </c>
      <c r="L45" s="334">
        <v>0</v>
      </c>
      <c r="M45" s="334">
        <v>0</v>
      </c>
      <c r="N45" s="334">
        <v>0</v>
      </c>
      <c r="O45" s="334">
        <v>0</v>
      </c>
      <c r="P45" s="334">
        <v>0</v>
      </c>
      <c r="Q45" s="334">
        <v>0</v>
      </c>
      <c r="R45" s="334">
        <v>0</v>
      </c>
      <c r="S45" s="334">
        <v>0</v>
      </c>
      <c r="T45" s="334">
        <v>0</v>
      </c>
      <c r="U45" s="334">
        <v>0</v>
      </c>
      <c r="V45" s="334">
        <v>0</v>
      </c>
      <c r="W45" s="334">
        <v>0</v>
      </c>
      <c r="X45" s="334">
        <v>0</v>
      </c>
      <c r="Y45" s="332">
        <v>0</v>
      </c>
      <c r="Z45" s="332">
        <v>0</v>
      </c>
      <c r="AA45" s="332">
        <v>0</v>
      </c>
      <c r="AB45" s="332">
        <v>0</v>
      </c>
      <c r="AC45" s="335">
        <v>0</v>
      </c>
      <c r="AD45" s="148"/>
      <c r="AE45" s="148"/>
      <c r="AF45" s="148"/>
      <c r="AG45" s="148"/>
      <c r="AH45" s="148"/>
      <c r="AI45" s="148"/>
      <c r="AJ45" s="148"/>
      <c r="AK45" s="148"/>
    </row>
    <row r="46" spans="1:39" ht="39.6" customHeight="1" thickBot="1">
      <c r="A46" s="614"/>
      <c r="B46" s="597"/>
      <c r="C46" s="591"/>
      <c r="D46" s="602"/>
      <c r="E46" s="345" t="s">
        <v>484</v>
      </c>
      <c r="F46" s="339">
        <v>0</v>
      </c>
      <c r="G46" s="339">
        <v>0</v>
      </c>
      <c r="H46" s="339">
        <v>0</v>
      </c>
      <c r="I46" s="339">
        <v>0</v>
      </c>
      <c r="J46" s="339">
        <v>0</v>
      </c>
      <c r="K46" s="339">
        <v>0</v>
      </c>
      <c r="L46" s="339">
        <v>0</v>
      </c>
      <c r="M46" s="339">
        <v>0</v>
      </c>
      <c r="N46" s="339">
        <v>0</v>
      </c>
      <c r="O46" s="339">
        <v>0</v>
      </c>
      <c r="P46" s="339">
        <v>0</v>
      </c>
      <c r="Q46" s="339">
        <v>0</v>
      </c>
      <c r="R46" s="339">
        <v>0</v>
      </c>
      <c r="S46" s="339">
        <v>0</v>
      </c>
      <c r="T46" s="339">
        <v>0</v>
      </c>
      <c r="U46" s="339">
        <v>0</v>
      </c>
      <c r="V46" s="339">
        <v>0</v>
      </c>
      <c r="W46" s="339">
        <v>0</v>
      </c>
      <c r="X46" s="339">
        <v>0</v>
      </c>
      <c r="Y46" s="339">
        <v>0</v>
      </c>
      <c r="Z46" s="339">
        <v>0</v>
      </c>
      <c r="AA46" s="339">
        <v>0</v>
      </c>
      <c r="AB46" s="339">
        <v>0</v>
      </c>
      <c r="AC46" s="340">
        <v>0</v>
      </c>
      <c r="AD46" s="148"/>
      <c r="AE46" s="148"/>
      <c r="AF46" s="148"/>
      <c r="AG46" s="148"/>
      <c r="AH46" s="148"/>
      <c r="AI46" s="148"/>
      <c r="AJ46" s="148"/>
      <c r="AK46" s="148"/>
    </row>
    <row r="47" spans="1:39" ht="39.6" customHeight="1">
      <c r="A47" s="612" t="s">
        <v>94</v>
      </c>
      <c r="B47" s="595" t="s">
        <v>94</v>
      </c>
      <c r="C47" s="615" t="s">
        <v>536</v>
      </c>
      <c r="D47" s="600" t="s">
        <v>545</v>
      </c>
      <c r="E47" s="308" t="s">
        <v>485</v>
      </c>
      <c r="F47" s="350">
        <v>0.05</v>
      </c>
      <c r="G47" s="350">
        <v>0.05</v>
      </c>
      <c r="H47" s="350">
        <v>0.05</v>
      </c>
      <c r="I47" s="350">
        <v>0.05</v>
      </c>
      <c r="J47" s="350">
        <v>0.05</v>
      </c>
      <c r="K47" s="350">
        <v>0.08</v>
      </c>
      <c r="L47" s="350">
        <v>7.0000000000000007E-2</v>
      </c>
      <c r="M47" s="350">
        <v>0.19</v>
      </c>
      <c r="N47" s="350">
        <v>0.35</v>
      </c>
      <c r="O47" s="350">
        <v>0.38</v>
      </c>
      <c r="P47" s="350">
        <v>0.39</v>
      </c>
      <c r="Q47" s="350">
        <v>0.47</v>
      </c>
      <c r="R47" s="350">
        <v>0.56999999999999995</v>
      </c>
      <c r="S47" s="350">
        <v>0.54</v>
      </c>
      <c r="T47" s="350">
        <v>0.34</v>
      </c>
      <c r="U47" s="350">
        <v>0.33</v>
      </c>
      <c r="V47" s="350">
        <v>0.44</v>
      </c>
      <c r="W47" s="350">
        <v>0.26</v>
      </c>
      <c r="X47" s="350">
        <v>0.21</v>
      </c>
      <c r="Y47" s="350">
        <v>0.15</v>
      </c>
      <c r="Z47" s="350">
        <v>0.17</v>
      </c>
      <c r="AA47" s="350">
        <v>0.08</v>
      </c>
      <c r="AB47" s="350">
        <v>0.05</v>
      </c>
      <c r="AC47" s="351">
        <v>0.05</v>
      </c>
      <c r="AD47" s="148"/>
      <c r="AE47" s="148"/>
      <c r="AF47" s="148"/>
      <c r="AG47" s="148"/>
      <c r="AH47" s="148"/>
      <c r="AI47" s="148"/>
      <c r="AJ47" s="148"/>
      <c r="AK47" s="148"/>
    </row>
    <row r="48" spans="1:39" ht="39.6" customHeight="1">
      <c r="A48" s="613"/>
      <c r="B48" s="596"/>
      <c r="C48" s="590"/>
      <c r="D48" s="601"/>
      <c r="E48" s="302" t="s">
        <v>483</v>
      </c>
      <c r="F48" s="352">
        <v>0.05</v>
      </c>
      <c r="G48" s="352">
        <v>0.05</v>
      </c>
      <c r="H48" s="352">
        <v>0.05</v>
      </c>
      <c r="I48" s="352">
        <v>0.05</v>
      </c>
      <c r="J48" s="352">
        <v>0.05</v>
      </c>
      <c r="K48" s="352">
        <v>0.08</v>
      </c>
      <c r="L48" s="352">
        <v>7.0000000000000007E-2</v>
      </c>
      <c r="M48" s="352">
        <v>0.11</v>
      </c>
      <c r="N48" s="352">
        <v>0.15</v>
      </c>
      <c r="O48" s="352">
        <v>0.21</v>
      </c>
      <c r="P48" s="352">
        <v>0.19</v>
      </c>
      <c r="Q48" s="352">
        <v>0.23</v>
      </c>
      <c r="R48" s="352">
        <v>0.2</v>
      </c>
      <c r="S48" s="352">
        <v>0.19</v>
      </c>
      <c r="T48" s="352">
        <v>0.15</v>
      </c>
      <c r="U48" s="352">
        <v>0.12</v>
      </c>
      <c r="V48" s="352">
        <v>0.14000000000000001</v>
      </c>
      <c r="W48" s="352">
        <v>7.0000000000000007E-2</v>
      </c>
      <c r="X48" s="352">
        <v>7.0000000000000007E-2</v>
      </c>
      <c r="Y48" s="352">
        <v>7.0000000000000007E-2</v>
      </c>
      <c r="Z48" s="352">
        <v>7.0000000000000007E-2</v>
      </c>
      <c r="AA48" s="352">
        <v>0.09</v>
      </c>
      <c r="AB48" s="352">
        <v>0.05</v>
      </c>
      <c r="AC48" s="353">
        <v>0.05</v>
      </c>
      <c r="AD48" s="148"/>
      <c r="AE48" s="148"/>
      <c r="AF48" s="148"/>
      <c r="AG48" s="148"/>
      <c r="AH48" s="148"/>
      <c r="AI48" s="148"/>
      <c r="AJ48" s="148"/>
      <c r="AK48" s="148"/>
    </row>
    <row r="49" spans="1:39" ht="39.6" customHeight="1" thickBot="1">
      <c r="A49" s="614"/>
      <c r="B49" s="597"/>
      <c r="C49" s="591"/>
      <c r="D49" s="602"/>
      <c r="E49" s="345" t="s">
        <v>484</v>
      </c>
      <c r="F49" s="354">
        <v>0.04</v>
      </c>
      <c r="G49" s="354">
        <v>0.04</v>
      </c>
      <c r="H49" s="354">
        <v>0.04</v>
      </c>
      <c r="I49" s="354">
        <v>0.04</v>
      </c>
      <c r="J49" s="354">
        <v>0.04</v>
      </c>
      <c r="K49" s="354">
        <v>7.0000000000000007E-2</v>
      </c>
      <c r="L49" s="354">
        <v>0.04</v>
      </c>
      <c r="M49" s="354">
        <v>0.04</v>
      </c>
      <c r="N49" s="354">
        <v>0.04</v>
      </c>
      <c r="O49" s="354">
        <v>0.04</v>
      </c>
      <c r="P49" s="354">
        <v>0.04</v>
      </c>
      <c r="Q49" s="354">
        <v>0.06</v>
      </c>
      <c r="R49" s="354">
        <v>0.06</v>
      </c>
      <c r="S49" s="354">
        <v>0.09</v>
      </c>
      <c r="T49" s="354">
        <v>0.06</v>
      </c>
      <c r="U49" s="354">
        <v>0.04</v>
      </c>
      <c r="V49" s="354">
        <v>0.04</v>
      </c>
      <c r="W49" s="354">
        <v>0.04</v>
      </c>
      <c r="X49" s="354">
        <v>0.04</v>
      </c>
      <c r="Y49" s="354">
        <v>0.04</v>
      </c>
      <c r="Z49" s="354">
        <v>0.04</v>
      </c>
      <c r="AA49" s="354">
        <v>7.0000000000000007E-2</v>
      </c>
      <c r="AB49" s="354">
        <v>0.04</v>
      </c>
      <c r="AC49" s="355">
        <v>0.04</v>
      </c>
      <c r="AD49" s="148"/>
      <c r="AE49" s="148"/>
      <c r="AF49" s="148"/>
      <c r="AG49" s="148"/>
      <c r="AH49" s="148"/>
      <c r="AI49" s="148"/>
      <c r="AJ49" s="148"/>
      <c r="AK49" s="148"/>
    </row>
    <row r="50" spans="1:39" ht="36" customHeight="1">
      <c r="A50" s="612" t="s">
        <v>94</v>
      </c>
      <c r="B50" s="595" t="s">
        <v>94</v>
      </c>
      <c r="C50" s="589" t="s">
        <v>286</v>
      </c>
      <c r="D50" s="600" t="s">
        <v>547</v>
      </c>
      <c r="E50" s="338" t="s">
        <v>485</v>
      </c>
      <c r="F50" s="348">
        <v>1</v>
      </c>
      <c r="G50" s="348">
        <v>1</v>
      </c>
      <c r="H50" s="348">
        <v>1</v>
      </c>
      <c r="I50" s="348">
        <v>1</v>
      </c>
      <c r="J50" s="348">
        <v>1</v>
      </c>
      <c r="K50" s="348">
        <v>0.25</v>
      </c>
      <c r="L50" s="348">
        <v>0.25</v>
      </c>
      <c r="M50" s="348">
        <v>0.25</v>
      </c>
      <c r="N50" s="348">
        <v>0.25</v>
      </c>
      <c r="O50" s="348">
        <v>0.25</v>
      </c>
      <c r="P50" s="348">
        <v>0.25</v>
      </c>
      <c r="Q50" s="348">
        <v>0.25</v>
      </c>
      <c r="R50" s="348">
        <v>0.25</v>
      </c>
      <c r="S50" s="348">
        <v>0.25</v>
      </c>
      <c r="T50" s="348">
        <v>0.25</v>
      </c>
      <c r="U50" s="348">
        <v>0.25</v>
      </c>
      <c r="V50" s="348">
        <v>0.25</v>
      </c>
      <c r="W50" s="348">
        <v>0.25</v>
      </c>
      <c r="X50" s="348">
        <v>0.25</v>
      </c>
      <c r="Y50" s="348">
        <v>0.25</v>
      </c>
      <c r="Z50" s="348">
        <v>0.25</v>
      </c>
      <c r="AA50" s="348">
        <v>0.25</v>
      </c>
      <c r="AB50" s="348">
        <v>0.25</v>
      </c>
      <c r="AC50" s="349">
        <v>0.25</v>
      </c>
      <c r="AD50" s="38"/>
      <c r="AE50" s="37"/>
      <c r="AF50" s="37"/>
      <c r="AG50" s="37"/>
      <c r="AH50" s="37"/>
      <c r="AI50" s="37"/>
      <c r="AJ50" s="37"/>
      <c r="AK50" s="37"/>
      <c r="AM50" s="49"/>
    </row>
    <row r="51" spans="1:39" ht="36" customHeight="1">
      <c r="A51" s="613"/>
      <c r="B51" s="596"/>
      <c r="C51" s="590"/>
      <c r="D51" s="601"/>
      <c r="E51" s="302" t="s">
        <v>483</v>
      </c>
      <c r="F51" s="332">
        <v>1</v>
      </c>
      <c r="G51" s="332">
        <v>1</v>
      </c>
      <c r="H51" s="332">
        <v>1</v>
      </c>
      <c r="I51" s="332">
        <v>1</v>
      </c>
      <c r="J51" s="332">
        <v>1</v>
      </c>
      <c r="K51" s="334">
        <v>1</v>
      </c>
      <c r="L51" s="334">
        <v>1</v>
      </c>
      <c r="M51" s="334">
        <v>1</v>
      </c>
      <c r="N51" s="334">
        <v>1</v>
      </c>
      <c r="O51" s="334">
        <v>1</v>
      </c>
      <c r="P51" s="334">
        <v>1</v>
      </c>
      <c r="Q51" s="334">
        <v>1</v>
      </c>
      <c r="R51" s="334">
        <v>1</v>
      </c>
      <c r="S51" s="334">
        <v>1</v>
      </c>
      <c r="T51" s="334">
        <v>1</v>
      </c>
      <c r="U51" s="334">
        <v>1</v>
      </c>
      <c r="V51" s="334">
        <v>1</v>
      </c>
      <c r="W51" s="334">
        <v>1</v>
      </c>
      <c r="X51" s="334">
        <v>1</v>
      </c>
      <c r="Y51" s="332">
        <v>1</v>
      </c>
      <c r="Z51" s="332">
        <v>1</v>
      </c>
      <c r="AA51" s="332">
        <v>1</v>
      </c>
      <c r="AB51" s="332">
        <v>1</v>
      </c>
      <c r="AC51" s="335">
        <v>1</v>
      </c>
      <c r="AD51" s="38"/>
      <c r="AE51" s="37"/>
      <c r="AF51" s="37"/>
      <c r="AG51" s="37"/>
      <c r="AH51" s="37"/>
      <c r="AI51" s="37"/>
      <c r="AJ51" s="37"/>
      <c r="AK51" s="37"/>
      <c r="AM51" s="49"/>
    </row>
    <row r="52" spans="1:39" ht="36" customHeight="1" thickBot="1">
      <c r="A52" s="614"/>
      <c r="B52" s="597"/>
      <c r="C52" s="599"/>
      <c r="D52" s="602"/>
      <c r="E52" s="313" t="s">
        <v>484</v>
      </c>
      <c r="F52" s="336">
        <v>1</v>
      </c>
      <c r="G52" s="336">
        <v>1</v>
      </c>
      <c r="H52" s="336">
        <v>1</v>
      </c>
      <c r="I52" s="336">
        <v>1</v>
      </c>
      <c r="J52" s="336">
        <v>1</v>
      </c>
      <c r="K52" s="336">
        <v>1</v>
      </c>
      <c r="L52" s="336">
        <v>1</v>
      </c>
      <c r="M52" s="336">
        <v>1</v>
      </c>
      <c r="N52" s="336">
        <v>1</v>
      </c>
      <c r="O52" s="336">
        <v>1</v>
      </c>
      <c r="P52" s="336">
        <v>1</v>
      </c>
      <c r="Q52" s="336">
        <v>1</v>
      </c>
      <c r="R52" s="336">
        <v>1</v>
      </c>
      <c r="S52" s="336">
        <v>1</v>
      </c>
      <c r="T52" s="336">
        <v>1</v>
      </c>
      <c r="U52" s="336">
        <v>1</v>
      </c>
      <c r="V52" s="336">
        <v>1</v>
      </c>
      <c r="W52" s="336">
        <v>1</v>
      </c>
      <c r="X52" s="336">
        <v>1</v>
      </c>
      <c r="Y52" s="336">
        <v>1</v>
      </c>
      <c r="Z52" s="336">
        <v>1</v>
      </c>
      <c r="AA52" s="336">
        <v>1</v>
      </c>
      <c r="AB52" s="336">
        <v>1</v>
      </c>
      <c r="AC52" s="337">
        <v>1</v>
      </c>
      <c r="AD52" s="38"/>
      <c r="AE52" s="37"/>
      <c r="AF52" s="37"/>
      <c r="AG52" s="37"/>
      <c r="AH52" s="37"/>
      <c r="AI52" s="37"/>
      <c r="AJ52" s="37"/>
      <c r="AK52" s="37"/>
      <c r="AM52" s="49"/>
    </row>
    <row r="53" spans="1:39" ht="36" customHeight="1">
      <c r="A53" s="612" t="s">
        <v>94</v>
      </c>
      <c r="B53" s="595" t="s">
        <v>94</v>
      </c>
      <c r="C53" s="628" t="s">
        <v>542</v>
      </c>
      <c r="D53" s="616" t="s">
        <v>548</v>
      </c>
      <c r="E53" s="321" t="s">
        <v>485</v>
      </c>
      <c r="F53" s="284">
        <f>IF((F44=1),Thermostat!$B$3,Thermostat!$B$4)</f>
        <v>70</v>
      </c>
      <c r="G53" s="284">
        <f>IF((G44=1),Thermostat!$B$3,Thermostat!$B$4)</f>
        <v>70</v>
      </c>
      <c r="H53" s="284">
        <f>IF((H44=1),Thermostat!$B$3,Thermostat!$B$4)</f>
        <v>70</v>
      </c>
      <c r="I53" s="284">
        <f>IF((I44=1),Thermostat!$B$3,Thermostat!$B$4)</f>
        <v>70</v>
      </c>
      <c r="J53" s="284">
        <f>IF((J44=1),Thermostat!$B$3,Thermostat!$B$4)</f>
        <v>70</v>
      </c>
      <c r="K53" s="284">
        <f>IF((K44=1),Thermostat!$B$3,Thermostat!$B$4)</f>
        <v>70</v>
      </c>
      <c r="L53" s="284">
        <f>IF((L44=1),Thermostat!$B$3,Thermostat!$B$4)</f>
        <v>70</v>
      </c>
      <c r="M53" s="284">
        <f>IF((M44=1),Thermostat!$B$3,Thermostat!$B$4)</f>
        <v>70</v>
      </c>
      <c r="N53" s="284">
        <f>IF((N44=1),Thermostat!$B$3,Thermostat!$B$4)</f>
        <v>70</v>
      </c>
      <c r="O53" s="284">
        <f>IF((O44=1),Thermostat!$B$3,Thermostat!$B$4)</f>
        <v>70</v>
      </c>
      <c r="P53" s="284">
        <f>IF((P44=1),Thermostat!$B$3,Thermostat!$B$4)</f>
        <v>70</v>
      </c>
      <c r="Q53" s="284">
        <f>IF((Q44=1),Thermostat!$B$3,Thermostat!$B$4)</f>
        <v>70</v>
      </c>
      <c r="R53" s="284">
        <f>IF((R44=1),Thermostat!$B$3,Thermostat!$B$4)</f>
        <v>70</v>
      </c>
      <c r="S53" s="284">
        <f>IF((S44=1),Thermostat!$B$3,Thermostat!$B$4)</f>
        <v>70</v>
      </c>
      <c r="T53" s="284">
        <f>IF((T44=1),Thermostat!$B$3,Thermostat!$B$4)</f>
        <v>70</v>
      </c>
      <c r="U53" s="284">
        <f>IF((U44=1),Thermostat!$B$3,Thermostat!$B$4)</f>
        <v>70</v>
      </c>
      <c r="V53" s="284">
        <f>IF((V44=1),Thermostat!$B$3,Thermostat!$B$4)</f>
        <v>70</v>
      </c>
      <c r="W53" s="284">
        <f>IF((W44=1),Thermostat!$B$3,Thermostat!$B$4)</f>
        <v>70</v>
      </c>
      <c r="X53" s="284">
        <f>IF((X44=1),Thermostat!$B$3,Thermostat!$B$4)</f>
        <v>70</v>
      </c>
      <c r="Y53" s="284">
        <f>IF((Y44=1),Thermostat!$B$3,Thermostat!$B$4)</f>
        <v>70</v>
      </c>
      <c r="Z53" s="284">
        <f>IF((Z44=1),Thermostat!$B$3,Thermostat!$B$4)</f>
        <v>70</v>
      </c>
      <c r="AA53" s="284">
        <f>IF((AA44=1),Thermostat!$B$3,Thermostat!$B$4)</f>
        <v>70</v>
      </c>
      <c r="AB53" s="284">
        <f>IF((AB44=1),Thermostat!$B$3,Thermostat!$B$4)</f>
        <v>70</v>
      </c>
      <c r="AC53" s="285">
        <f>IF((AC44=1),Thermostat!$B$3,Thermostat!$B$4)</f>
        <v>70</v>
      </c>
      <c r="AD53" s="38"/>
      <c r="AE53" s="37"/>
      <c r="AF53" s="37"/>
      <c r="AG53" s="37"/>
      <c r="AH53" s="37"/>
      <c r="AI53" s="37"/>
      <c r="AJ53" s="37"/>
      <c r="AK53" s="37"/>
      <c r="AM53" s="49"/>
    </row>
    <row r="54" spans="1:39" ht="36" customHeight="1">
      <c r="A54" s="613"/>
      <c r="B54" s="596"/>
      <c r="C54" s="622"/>
      <c r="D54" s="617"/>
      <c r="E54" s="322" t="s">
        <v>483</v>
      </c>
      <c r="F54" s="287">
        <f>IF((F45=1),Thermostat!$B$3,Thermostat!$B$4)</f>
        <v>70</v>
      </c>
      <c r="G54" s="287">
        <f>IF((G45=1),Thermostat!$B$3,Thermostat!$B$4)</f>
        <v>70</v>
      </c>
      <c r="H54" s="287">
        <f>IF((H45=1),Thermostat!$B$3,Thermostat!$B$4)</f>
        <v>70</v>
      </c>
      <c r="I54" s="287">
        <f>IF((I45=1),Thermostat!$B$3,Thermostat!$B$4)</f>
        <v>70</v>
      </c>
      <c r="J54" s="287">
        <f>IF((J45=1),Thermostat!$B$3,Thermostat!$B$4)</f>
        <v>70</v>
      </c>
      <c r="K54" s="287">
        <f>IF((K45=1),Thermostat!$B$3,Thermostat!$B$4)</f>
        <v>70</v>
      </c>
      <c r="L54" s="287">
        <f>IF((L45=1),Thermostat!$B$3,Thermostat!$B$4)</f>
        <v>70</v>
      </c>
      <c r="M54" s="287">
        <f>IF((M45=1),Thermostat!$B$3,Thermostat!$B$4)</f>
        <v>70</v>
      </c>
      <c r="N54" s="287">
        <f>IF((N45=1),Thermostat!$B$3,Thermostat!$B$4)</f>
        <v>70</v>
      </c>
      <c r="O54" s="287">
        <f>IF((O45=1),Thermostat!$B$3,Thermostat!$B$4)</f>
        <v>70</v>
      </c>
      <c r="P54" s="287">
        <f>IF((P45=1),Thermostat!$B$3,Thermostat!$B$4)</f>
        <v>70</v>
      </c>
      <c r="Q54" s="287">
        <f>IF((Q45=1),Thermostat!$B$3,Thermostat!$B$4)</f>
        <v>70</v>
      </c>
      <c r="R54" s="287">
        <f>IF((R45=1),Thermostat!$B$3,Thermostat!$B$4)</f>
        <v>70</v>
      </c>
      <c r="S54" s="287">
        <f>IF((S45=1),Thermostat!$B$3,Thermostat!$B$4)</f>
        <v>70</v>
      </c>
      <c r="T54" s="287">
        <f>IF((T45=1),Thermostat!$B$3,Thermostat!$B$4)</f>
        <v>70</v>
      </c>
      <c r="U54" s="287">
        <f>IF((U45=1),Thermostat!$B$3,Thermostat!$B$4)</f>
        <v>70</v>
      </c>
      <c r="V54" s="287">
        <f>IF((V45=1),Thermostat!$B$3,Thermostat!$B$4)</f>
        <v>70</v>
      </c>
      <c r="W54" s="287">
        <f>IF((W45=1),Thermostat!$B$3,Thermostat!$B$4)</f>
        <v>70</v>
      </c>
      <c r="X54" s="287">
        <f>IF((X45=1),Thermostat!$B$3,Thermostat!$B$4)</f>
        <v>70</v>
      </c>
      <c r="Y54" s="287">
        <f>IF((Y45=1),Thermostat!$B$3,Thermostat!$B$4)</f>
        <v>70</v>
      </c>
      <c r="Z54" s="287">
        <f>IF((Z45=1),Thermostat!$B$3,Thermostat!$B$4)</f>
        <v>70</v>
      </c>
      <c r="AA54" s="287">
        <f>IF((AA45=1),Thermostat!$B$3,Thermostat!$B$4)</f>
        <v>70</v>
      </c>
      <c r="AB54" s="287">
        <f>IF((AB45=1),Thermostat!$B$3,Thermostat!$B$4)</f>
        <v>70</v>
      </c>
      <c r="AC54" s="288">
        <f>IF((AC45=1),Thermostat!$B$3,Thermostat!$B$4)</f>
        <v>70</v>
      </c>
      <c r="AD54" s="38"/>
      <c r="AE54" s="37"/>
      <c r="AF54" s="37"/>
      <c r="AG54" s="37"/>
      <c r="AH54" s="37"/>
      <c r="AI54" s="37"/>
      <c r="AJ54" s="37"/>
      <c r="AK54" s="37"/>
      <c r="AM54" s="49"/>
    </row>
    <row r="55" spans="1:39" ht="36" customHeight="1" thickBot="1">
      <c r="A55" s="620"/>
      <c r="B55" s="597"/>
      <c r="C55" s="623"/>
      <c r="D55" s="618"/>
      <c r="E55" s="323" t="s">
        <v>484</v>
      </c>
      <c r="F55" s="290">
        <f>IF((F46=1),Thermostat!$B$3,Thermostat!$B$4)</f>
        <v>70</v>
      </c>
      <c r="G55" s="290">
        <f>IF((G46=1),Thermostat!$B$3,Thermostat!$B$4)</f>
        <v>70</v>
      </c>
      <c r="H55" s="290">
        <f>IF((H46=1),Thermostat!$B$3,Thermostat!$B$4)</f>
        <v>70</v>
      </c>
      <c r="I55" s="290">
        <f>IF((I46=1),Thermostat!$B$3,Thermostat!$B$4)</f>
        <v>70</v>
      </c>
      <c r="J55" s="290">
        <f>IF((J46=1),Thermostat!$B$3,Thermostat!$B$4)</f>
        <v>70</v>
      </c>
      <c r="K55" s="290">
        <f>IF((K46=1),Thermostat!$B$3,Thermostat!$B$4)</f>
        <v>70</v>
      </c>
      <c r="L55" s="290">
        <f>IF((L46=1),Thermostat!$B$3,Thermostat!$B$4)</f>
        <v>70</v>
      </c>
      <c r="M55" s="290">
        <f>IF((M46=1),Thermostat!$B$3,Thermostat!$B$4)</f>
        <v>70</v>
      </c>
      <c r="N55" s="290">
        <f>IF((N46=1),Thermostat!$B$3,Thermostat!$B$4)</f>
        <v>70</v>
      </c>
      <c r="O55" s="290">
        <f>IF((O46=1),Thermostat!$B$3,Thermostat!$B$4)</f>
        <v>70</v>
      </c>
      <c r="P55" s="290">
        <f>IF((P46=1),Thermostat!$B$3,Thermostat!$B$4)</f>
        <v>70</v>
      </c>
      <c r="Q55" s="290">
        <f>IF((Q46=1),Thermostat!$B$3,Thermostat!$B$4)</f>
        <v>70</v>
      </c>
      <c r="R55" s="290">
        <f>IF((R46=1),Thermostat!$B$3,Thermostat!$B$4)</f>
        <v>70</v>
      </c>
      <c r="S55" s="290">
        <f>IF((S46=1),Thermostat!$B$3,Thermostat!$B$4)</f>
        <v>70</v>
      </c>
      <c r="T55" s="290">
        <f>IF((T46=1),Thermostat!$B$3,Thermostat!$B$4)</f>
        <v>70</v>
      </c>
      <c r="U55" s="290">
        <f>IF((U46=1),Thermostat!$B$3,Thermostat!$B$4)</f>
        <v>70</v>
      </c>
      <c r="V55" s="290">
        <f>IF((V46=1),Thermostat!$B$3,Thermostat!$B$4)</f>
        <v>70</v>
      </c>
      <c r="W55" s="290">
        <f>IF((W46=1),Thermostat!$B$3,Thermostat!$B$4)</f>
        <v>70</v>
      </c>
      <c r="X55" s="290">
        <f>IF((X46=1),Thermostat!$B$3,Thermostat!$B$4)</f>
        <v>70</v>
      </c>
      <c r="Y55" s="290">
        <f>IF((Y46=1),Thermostat!$B$3,Thermostat!$B$4)</f>
        <v>70</v>
      </c>
      <c r="Z55" s="290">
        <f>IF((Z46=1),Thermostat!$B$3,Thermostat!$B$4)</f>
        <v>70</v>
      </c>
      <c r="AA55" s="290">
        <f>IF((AA46=1),Thermostat!$B$3,Thermostat!$B$4)</f>
        <v>70</v>
      </c>
      <c r="AB55" s="290">
        <f>IF((AB46=1),Thermostat!$B$3,Thermostat!$B$4)</f>
        <v>70</v>
      </c>
      <c r="AC55" s="291">
        <f>IF((AC46=1),Thermostat!$B$3,Thermostat!$B$4)</f>
        <v>70</v>
      </c>
      <c r="AD55" s="38"/>
      <c r="AE55" s="37"/>
      <c r="AF55" s="37"/>
      <c r="AG55" s="37"/>
      <c r="AH55" s="37"/>
      <c r="AI55" s="37"/>
      <c r="AJ55" s="37"/>
      <c r="AK55" s="37"/>
      <c r="AM55" s="49"/>
    </row>
    <row r="56" spans="1:39" ht="36" customHeight="1">
      <c r="A56" s="619" t="s">
        <v>94</v>
      </c>
      <c r="B56" s="595" t="s">
        <v>94</v>
      </c>
      <c r="C56" s="621" t="s">
        <v>543</v>
      </c>
      <c r="D56" s="657" t="s">
        <v>548</v>
      </c>
      <c r="E56" s="356" t="s">
        <v>485</v>
      </c>
      <c r="F56" s="293">
        <f>IF((F44=1),Thermostat!$B$5,Thermostat!$B$6)</f>
        <v>75</v>
      </c>
      <c r="G56" s="293">
        <f>IF((G44=1),Thermostat!$B$5,Thermostat!$B$6)</f>
        <v>75</v>
      </c>
      <c r="H56" s="293">
        <f>IF((H44=1),Thermostat!$B$5,Thermostat!$B$6)</f>
        <v>75</v>
      </c>
      <c r="I56" s="293">
        <f>IF((I44=1),Thermostat!$B$5,Thermostat!$B$6)</f>
        <v>75</v>
      </c>
      <c r="J56" s="293">
        <f>IF((J44=1),Thermostat!$B$5,Thermostat!$B$6)</f>
        <v>75</v>
      </c>
      <c r="K56" s="293">
        <f>IF((K44=1),Thermostat!$B$5,Thermostat!$B$6)</f>
        <v>75</v>
      </c>
      <c r="L56" s="293">
        <f>IF((L44=1),Thermostat!$B$5,Thermostat!$B$6)</f>
        <v>75</v>
      </c>
      <c r="M56" s="293">
        <f>IF((M44=1),Thermostat!$B$5,Thermostat!$B$6)</f>
        <v>75</v>
      </c>
      <c r="N56" s="293">
        <f>IF((N44=1),Thermostat!$B$5,Thermostat!$B$6)</f>
        <v>75</v>
      </c>
      <c r="O56" s="293">
        <f>IF((O44=1),Thermostat!$B$5,Thermostat!$B$6)</f>
        <v>75</v>
      </c>
      <c r="P56" s="293">
        <f>IF((P44=1),Thermostat!$B$5,Thermostat!$B$6)</f>
        <v>75</v>
      </c>
      <c r="Q56" s="293">
        <f>IF((Q44=1),Thermostat!$B$5,Thermostat!$B$6)</f>
        <v>75</v>
      </c>
      <c r="R56" s="293">
        <f>IF((R44=1),Thermostat!$B$5,Thermostat!$B$6)</f>
        <v>75</v>
      </c>
      <c r="S56" s="293">
        <f>IF((S44=1),Thermostat!$B$5,Thermostat!$B$6)</f>
        <v>75</v>
      </c>
      <c r="T56" s="293">
        <f>IF((T44=1),Thermostat!$B$5,Thermostat!$B$6)</f>
        <v>75</v>
      </c>
      <c r="U56" s="293">
        <f>IF((U44=1),Thermostat!$B$5,Thermostat!$B$6)</f>
        <v>75</v>
      </c>
      <c r="V56" s="293">
        <f>IF((V44=1),Thermostat!$B$5,Thermostat!$B$6)</f>
        <v>75</v>
      </c>
      <c r="W56" s="293">
        <f>IF((W44=1),Thermostat!$B$5,Thermostat!$B$6)</f>
        <v>75</v>
      </c>
      <c r="X56" s="293">
        <f>IF((X44=1),Thermostat!$B$5,Thermostat!$B$6)</f>
        <v>75</v>
      </c>
      <c r="Y56" s="293">
        <f>IF((Y44=1),Thermostat!$B$5,Thermostat!$B$6)</f>
        <v>75</v>
      </c>
      <c r="Z56" s="293">
        <f>IF((Z44=1),Thermostat!$B$5,Thermostat!$B$6)</f>
        <v>75</v>
      </c>
      <c r="AA56" s="293">
        <f>IF((AA44=1),Thermostat!$B$5,Thermostat!$B$6)</f>
        <v>75</v>
      </c>
      <c r="AB56" s="293">
        <f>IF((AB44=1),Thermostat!$B$5,Thermostat!$B$6)</f>
        <v>75</v>
      </c>
      <c r="AC56" s="294">
        <f>IF((AC44=1),Thermostat!$B$5,Thermostat!$B$6)</f>
        <v>75</v>
      </c>
      <c r="AD56" s="38"/>
      <c r="AE56" s="37"/>
      <c r="AF56" s="37"/>
      <c r="AG56" s="37"/>
      <c r="AH56" s="37"/>
      <c r="AI56" s="37"/>
      <c r="AJ56" s="37"/>
      <c r="AK56" s="37"/>
      <c r="AM56" s="49"/>
    </row>
    <row r="57" spans="1:39" ht="36" customHeight="1">
      <c r="A57" s="613"/>
      <c r="B57" s="596"/>
      <c r="C57" s="622"/>
      <c r="D57" s="617"/>
      <c r="E57" s="322" t="s">
        <v>483</v>
      </c>
      <c r="F57" s="287">
        <f>IF((F45=1),Thermostat!$B$5,Thermostat!$B$6)</f>
        <v>75</v>
      </c>
      <c r="G57" s="287">
        <f>IF((G45=1),Thermostat!$B$5,Thermostat!$B$6)</f>
        <v>75</v>
      </c>
      <c r="H57" s="287">
        <f>IF((H45=1),Thermostat!$B$5,Thermostat!$B$6)</f>
        <v>75</v>
      </c>
      <c r="I57" s="287">
        <f>IF((I45=1),Thermostat!$B$5,Thermostat!$B$6)</f>
        <v>75</v>
      </c>
      <c r="J57" s="287">
        <f>IF((J45=1),Thermostat!$B$5,Thermostat!$B$6)</f>
        <v>75</v>
      </c>
      <c r="K57" s="287">
        <f>IF((K45=1),Thermostat!$B$5,Thermostat!$B$6)</f>
        <v>75</v>
      </c>
      <c r="L57" s="287">
        <f>IF((L45=1),Thermostat!$B$5,Thermostat!$B$6)</f>
        <v>75</v>
      </c>
      <c r="M57" s="287">
        <f>IF((M45=1),Thermostat!$B$5,Thermostat!$B$6)</f>
        <v>75</v>
      </c>
      <c r="N57" s="287">
        <f>IF((N45=1),Thermostat!$B$5,Thermostat!$B$6)</f>
        <v>75</v>
      </c>
      <c r="O57" s="287">
        <f>IF((O45=1),Thermostat!$B$5,Thermostat!$B$6)</f>
        <v>75</v>
      </c>
      <c r="P57" s="287">
        <f>IF((P45=1),Thermostat!$B$5,Thermostat!$B$6)</f>
        <v>75</v>
      </c>
      <c r="Q57" s="287">
        <f>IF((Q45=1),Thermostat!$B$5,Thermostat!$B$6)</f>
        <v>75</v>
      </c>
      <c r="R57" s="287">
        <f>IF((R45=1),Thermostat!$B$5,Thermostat!$B$6)</f>
        <v>75</v>
      </c>
      <c r="S57" s="287">
        <f>IF((S45=1),Thermostat!$B$5,Thermostat!$B$6)</f>
        <v>75</v>
      </c>
      <c r="T57" s="287">
        <f>IF((T45=1),Thermostat!$B$5,Thermostat!$B$6)</f>
        <v>75</v>
      </c>
      <c r="U57" s="287">
        <f>IF((U45=1),Thermostat!$B$5,Thermostat!$B$6)</f>
        <v>75</v>
      </c>
      <c r="V57" s="287">
        <f>IF((V45=1),Thermostat!$B$5,Thermostat!$B$6)</f>
        <v>75</v>
      </c>
      <c r="W57" s="287">
        <f>IF((W45=1),Thermostat!$B$5,Thermostat!$B$6)</f>
        <v>75</v>
      </c>
      <c r="X57" s="287">
        <f>IF((X45=1),Thermostat!$B$5,Thermostat!$B$6)</f>
        <v>75</v>
      </c>
      <c r="Y57" s="287">
        <f>IF((Y45=1),Thermostat!$B$5,Thermostat!$B$6)</f>
        <v>75</v>
      </c>
      <c r="Z57" s="287">
        <f>IF((Z45=1),Thermostat!$B$5,Thermostat!$B$6)</f>
        <v>75</v>
      </c>
      <c r="AA57" s="287">
        <f>IF((AA45=1),Thermostat!$B$5,Thermostat!$B$6)</f>
        <v>75</v>
      </c>
      <c r="AB57" s="287">
        <f>IF((AB45=1),Thermostat!$B$5,Thermostat!$B$6)</f>
        <v>75</v>
      </c>
      <c r="AC57" s="288">
        <f>IF((AC45=1),Thermostat!$B$5,Thermostat!$B$6)</f>
        <v>75</v>
      </c>
      <c r="AD57" s="38"/>
      <c r="AE57" s="37"/>
      <c r="AF57" s="37"/>
      <c r="AG57" s="37"/>
      <c r="AH57" s="37"/>
      <c r="AI57" s="37"/>
      <c r="AJ57" s="37"/>
      <c r="AK57" s="37"/>
      <c r="AM57" s="49"/>
    </row>
    <row r="58" spans="1:39" ht="36" customHeight="1" thickBot="1">
      <c r="A58" s="620"/>
      <c r="B58" s="597"/>
      <c r="C58" s="623"/>
      <c r="D58" s="618"/>
      <c r="E58" s="323" t="s">
        <v>484</v>
      </c>
      <c r="F58" s="290">
        <f>IF((F46=1),Thermostat!$B$5,Thermostat!$B$6)</f>
        <v>75</v>
      </c>
      <c r="G58" s="290">
        <f>IF((G46=1),Thermostat!$B$5,Thermostat!$B$6)</f>
        <v>75</v>
      </c>
      <c r="H58" s="290">
        <f>IF((H46=1),Thermostat!$B$5,Thermostat!$B$6)</f>
        <v>75</v>
      </c>
      <c r="I58" s="290">
        <f>IF((I46=1),Thermostat!$B$5,Thermostat!$B$6)</f>
        <v>75</v>
      </c>
      <c r="J58" s="290">
        <f>IF((J46=1),Thermostat!$B$5,Thermostat!$B$6)</f>
        <v>75</v>
      </c>
      <c r="K58" s="290">
        <f>IF((K46=1),Thermostat!$B$5,Thermostat!$B$6)</f>
        <v>75</v>
      </c>
      <c r="L58" s="290">
        <f>IF((L46=1),Thermostat!$B$5,Thermostat!$B$6)</f>
        <v>75</v>
      </c>
      <c r="M58" s="290">
        <f>IF((M46=1),Thermostat!$B$5,Thermostat!$B$6)</f>
        <v>75</v>
      </c>
      <c r="N58" s="290">
        <f>IF((N46=1),Thermostat!$B$5,Thermostat!$B$6)</f>
        <v>75</v>
      </c>
      <c r="O58" s="290">
        <f>IF((O46=1),Thermostat!$B$5,Thermostat!$B$6)</f>
        <v>75</v>
      </c>
      <c r="P58" s="290">
        <f>IF((P46=1),Thermostat!$B$5,Thermostat!$B$6)</f>
        <v>75</v>
      </c>
      <c r="Q58" s="290">
        <f>IF((Q46=1),Thermostat!$B$5,Thermostat!$B$6)</f>
        <v>75</v>
      </c>
      <c r="R58" s="290">
        <f>IF((R46=1),Thermostat!$B$5,Thermostat!$B$6)</f>
        <v>75</v>
      </c>
      <c r="S58" s="290">
        <f>IF((S46=1),Thermostat!$B$5,Thermostat!$B$6)</f>
        <v>75</v>
      </c>
      <c r="T58" s="290">
        <f>IF((T46=1),Thermostat!$B$5,Thermostat!$B$6)</f>
        <v>75</v>
      </c>
      <c r="U58" s="290">
        <f>IF((U46=1),Thermostat!$B$5,Thermostat!$B$6)</f>
        <v>75</v>
      </c>
      <c r="V58" s="290">
        <f>IF((V46=1),Thermostat!$B$5,Thermostat!$B$6)</f>
        <v>75</v>
      </c>
      <c r="W58" s="290">
        <f>IF((W46=1),Thermostat!$B$5,Thermostat!$B$6)</f>
        <v>75</v>
      </c>
      <c r="X58" s="290">
        <f>IF((X46=1),Thermostat!$B$5,Thermostat!$B$6)</f>
        <v>75</v>
      </c>
      <c r="Y58" s="290">
        <f>IF((Y46=1),Thermostat!$B$5,Thermostat!$B$6)</f>
        <v>75</v>
      </c>
      <c r="Z58" s="290">
        <f>IF((Z46=1),Thermostat!$B$5,Thermostat!$B$6)</f>
        <v>75</v>
      </c>
      <c r="AA58" s="290">
        <f>IF((AA46=1),Thermostat!$B$5,Thermostat!$B$6)</f>
        <v>75</v>
      </c>
      <c r="AB58" s="290">
        <f>IF((AB46=1),Thermostat!$B$5,Thermostat!$B$6)</f>
        <v>75</v>
      </c>
      <c r="AC58" s="291">
        <f>IF((AC46=1),Thermostat!$B$5,Thermostat!$B$6)</f>
        <v>75</v>
      </c>
      <c r="AD58" s="38"/>
      <c r="AE58" s="37"/>
      <c r="AF58" s="37"/>
      <c r="AG58" s="37"/>
      <c r="AH58" s="37"/>
      <c r="AI58" s="37"/>
      <c r="AJ58" s="37"/>
      <c r="AK58" s="37"/>
      <c r="AM58" s="49"/>
    </row>
    <row r="59" spans="1:39" ht="22.15" customHeight="1" thickBot="1">
      <c r="A59" s="634" t="s">
        <v>18</v>
      </c>
      <c r="B59" s="634"/>
      <c r="C59" s="634" t="s">
        <v>18</v>
      </c>
      <c r="D59" s="634"/>
      <c r="E59" s="634"/>
      <c r="F59" s="634"/>
      <c r="G59" s="634"/>
      <c r="H59" s="634"/>
      <c r="I59" s="634"/>
      <c r="J59" s="634"/>
      <c r="K59" s="634"/>
      <c r="L59" s="634"/>
      <c r="M59" s="634"/>
      <c r="N59" s="634"/>
      <c r="O59" s="634"/>
      <c r="P59" s="634"/>
      <c r="Q59" s="634"/>
      <c r="R59" s="634"/>
      <c r="S59" s="634"/>
      <c r="T59" s="634"/>
      <c r="U59" s="634"/>
      <c r="V59" s="634"/>
      <c r="W59" s="634"/>
      <c r="X59" s="634"/>
      <c r="Y59" s="634"/>
      <c r="Z59" s="634"/>
      <c r="AA59" s="634"/>
      <c r="AB59" s="634"/>
      <c r="AC59" s="635"/>
    </row>
    <row r="60" spans="1:39" ht="36" customHeight="1">
      <c r="A60" s="625"/>
      <c r="B60" s="583" t="s">
        <v>549</v>
      </c>
      <c r="C60" s="583" t="s">
        <v>224</v>
      </c>
      <c r="D60" s="583" t="s">
        <v>533</v>
      </c>
      <c r="E60" s="233" t="s">
        <v>485</v>
      </c>
      <c r="F60" s="233">
        <v>0</v>
      </c>
      <c r="G60" s="233">
        <v>0</v>
      </c>
      <c r="H60" s="233">
        <v>0</v>
      </c>
      <c r="I60" s="233">
        <v>0</v>
      </c>
      <c r="J60" s="233">
        <v>0</v>
      </c>
      <c r="K60" s="233">
        <v>0</v>
      </c>
      <c r="L60" s="233">
        <v>0</v>
      </c>
      <c r="M60" s="233">
        <v>0.02</v>
      </c>
      <c r="N60" s="233">
        <v>0.75</v>
      </c>
      <c r="O60" s="233">
        <v>1</v>
      </c>
      <c r="P60" s="233">
        <v>1</v>
      </c>
      <c r="Q60" s="233">
        <v>1</v>
      </c>
      <c r="R60" s="233">
        <v>0.75</v>
      </c>
      <c r="S60" s="233">
        <v>1</v>
      </c>
      <c r="T60" s="233">
        <v>1</v>
      </c>
      <c r="U60" s="233">
        <v>1</v>
      </c>
      <c r="V60" s="233">
        <v>1</v>
      </c>
      <c r="W60" s="233">
        <v>1</v>
      </c>
      <c r="X60" s="233">
        <v>0.52</v>
      </c>
      <c r="Y60" s="233">
        <v>0.52</v>
      </c>
      <c r="Z60" s="233">
        <v>0.52</v>
      </c>
      <c r="AA60" s="233">
        <v>0.28000000000000003</v>
      </c>
      <c r="AB60" s="233">
        <v>0</v>
      </c>
      <c r="AC60" s="298">
        <v>0</v>
      </c>
      <c r="AD60" s="37"/>
      <c r="AE60" s="37"/>
      <c r="AF60" s="37"/>
      <c r="AG60" s="37"/>
      <c r="AH60" s="37"/>
      <c r="AI60" s="37"/>
      <c r="AJ60" s="37"/>
      <c r="AK60" s="37"/>
      <c r="AM60" s="49"/>
    </row>
    <row r="61" spans="1:39" ht="36" customHeight="1">
      <c r="A61" s="626"/>
      <c r="B61" s="529"/>
      <c r="C61" s="529"/>
      <c r="D61" s="529"/>
      <c r="E61" s="442" t="s">
        <v>483</v>
      </c>
      <c r="F61" s="442">
        <v>0</v>
      </c>
      <c r="G61" s="442">
        <v>0</v>
      </c>
      <c r="H61" s="442">
        <v>0</v>
      </c>
      <c r="I61" s="442">
        <v>0</v>
      </c>
      <c r="J61" s="442">
        <v>0</v>
      </c>
      <c r="K61" s="442">
        <v>0</v>
      </c>
      <c r="L61" s="442">
        <v>0</v>
      </c>
      <c r="M61" s="442">
        <v>0.02</v>
      </c>
      <c r="N61" s="442">
        <v>0.46</v>
      </c>
      <c r="O61" s="442">
        <v>0.7</v>
      </c>
      <c r="P61" s="442">
        <v>0.7</v>
      </c>
      <c r="Q61" s="442">
        <v>0.7</v>
      </c>
      <c r="R61" s="442">
        <v>0.51</v>
      </c>
      <c r="S61" s="442">
        <v>0.51</v>
      </c>
      <c r="T61" s="442">
        <v>0.51</v>
      </c>
      <c r="U61" s="442">
        <v>0.51</v>
      </c>
      <c r="V61" s="442">
        <v>0.51</v>
      </c>
      <c r="W61" s="442">
        <v>0.25</v>
      </c>
      <c r="X61" s="442">
        <v>0.02</v>
      </c>
      <c r="Y61" s="442">
        <v>0</v>
      </c>
      <c r="Z61" s="442">
        <v>0</v>
      </c>
      <c r="AA61" s="442">
        <v>0</v>
      </c>
      <c r="AB61" s="442">
        <v>0</v>
      </c>
      <c r="AC61" s="230">
        <v>0</v>
      </c>
      <c r="AD61" s="37"/>
      <c r="AE61" s="37"/>
      <c r="AF61" s="37"/>
      <c r="AG61" s="37"/>
      <c r="AH61" s="37"/>
      <c r="AI61" s="37"/>
      <c r="AJ61" s="37"/>
      <c r="AK61" s="37"/>
      <c r="AM61" s="49"/>
    </row>
    <row r="62" spans="1:39" ht="36" customHeight="1" thickBot="1">
      <c r="A62" s="627"/>
      <c r="B62" s="584"/>
      <c r="C62" s="584"/>
      <c r="D62" s="584"/>
      <c r="E62" s="231" t="s">
        <v>484</v>
      </c>
      <c r="F62" s="231">
        <v>0</v>
      </c>
      <c r="G62" s="231">
        <v>0</v>
      </c>
      <c r="H62" s="231">
        <v>0</v>
      </c>
      <c r="I62" s="231">
        <v>0</v>
      </c>
      <c r="J62" s="231">
        <v>0</v>
      </c>
      <c r="K62" s="231">
        <v>0</v>
      </c>
      <c r="L62" s="231">
        <v>0</v>
      </c>
      <c r="M62" s="231">
        <v>0</v>
      </c>
      <c r="N62" s="231">
        <v>0.02</v>
      </c>
      <c r="O62" s="231">
        <v>0.02</v>
      </c>
      <c r="P62" s="231">
        <v>0.02</v>
      </c>
      <c r="Q62" s="231">
        <v>0.02</v>
      </c>
      <c r="R62" s="231">
        <v>0.02</v>
      </c>
      <c r="S62" s="231">
        <v>0.02</v>
      </c>
      <c r="T62" s="231">
        <v>0.02</v>
      </c>
      <c r="U62" s="231">
        <v>0.02</v>
      </c>
      <c r="V62" s="231">
        <v>0</v>
      </c>
      <c r="W62" s="231">
        <v>0</v>
      </c>
      <c r="X62" s="231">
        <v>0</v>
      </c>
      <c r="Y62" s="231">
        <v>0</v>
      </c>
      <c r="Z62" s="231">
        <v>0</v>
      </c>
      <c r="AA62" s="231">
        <v>0</v>
      </c>
      <c r="AB62" s="231">
        <v>0</v>
      </c>
      <c r="AC62" s="232">
        <v>0</v>
      </c>
      <c r="AD62" s="37"/>
      <c r="AE62" s="37"/>
      <c r="AF62" s="37"/>
      <c r="AG62" s="37"/>
      <c r="AH62" s="37"/>
      <c r="AI62" s="37"/>
      <c r="AJ62" s="37"/>
      <c r="AK62" s="37"/>
      <c r="AM62" s="49"/>
    </row>
    <row r="63" spans="1:39" ht="29.45" customHeight="1">
      <c r="A63" s="658"/>
      <c r="B63" s="660" t="s">
        <v>549</v>
      </c>
      <c r="C63" s="662" t="s">
        <v>550</v>
      </c>
      <c r="D63" s="571" t="s">
        <v>551</v>
      </c>
      <c r="E63" s="299" t="s">
        <v>485</v>
      </c>
      <c r="F63" s="300">
        <v>1</v>
      </c>
      <c r="G63" s="300">
        <v>1</v>
      </c>
      <c r="H63" s="300">
        <v>1</v>
      </c>
      <c r="I63" s="300">
        <v>1</v>
      </c>
      <c r="J63" s="300">
        <v>1</v>
      </c>
      <c r="K63" s="300">
        <v>1</v>
      </c>
      <c r="L63" s="300">
        <v>1</v>
      </c>
      <c r="M63" s="300">
        <v>1</v>
      </c>
      <c r="N63" s="300">
        <v>1</v>
      </c>
      <c r="O63" s="300">
        <v>1</v>
      </c>
      <c r="P63" s="300">
        <v>1</v>
      </c>
      <c r="Q63" s="300">
        <v>1</v>
      </c>
      <c r="R63" s="300">
        <v>1</v>
      </c>
      <c r="S63" s="300">
        <v>1</v>
      </c>
      <c r="T63" s="300">
        <v>1</v>
      </c>
      <c r="U63" s="300">
        <v>1</v>
      </c>
      <c r="V63" s="300">
        <v>1</v>
      </c>
      <c r="W63" s="300">
        <v>1</v>
      </c>
      <c r="X63" s="300">
        <v>1</v>
      </c>
      <c r="Y63" s="300">
        <v>1</v>
      </c>
      <c r="Z63" s="300">
        <v>1</v>
      </c>
      <c r="AA63" s="300">
        <v>1</v>
      </c>
      <c r="AB63" s="300">
        <v>1</v>
      </c>
      <c r="AC63" s="301">
        <v>1</v>
      </c>
    </row>
    <row r="64" spans="1:39" ht="29.45" customHeight="1">
      <c r="A64" s="630"/>
      <c r="B64" s="631"/>
      <c r="C64" s="633"/>
      <c r="D64" s="572"/>
      <c r="E64" s="302" t="s">
        <v>483</v>
      </c>
      <c r="F64" s="303">
        <v>1</v>
      </c>
      <c r="G64" s="303">
        <v>1</v>
      </c>
      <c r="H64" s="303">
        <v>1</v>
      </c>
      <c r="I64" s="303">
        <v>1</v>
      </c>
      <c r="J64" s="303">
        <v>1</v>
      </c>
      <c r="K64" s="303">
        <v>1</v>
      </c>
      <c r="L64" s="303">
        <v>1</v>
      </c>
      <c r="M64" s="303">
        <v>1</v>
      </c>
      <c r="N64" s="303">
        <v>1</v>
      </c>
      <c r="O64" s="303">
        <v>1</v>
      </c>
      <c r="P64" s="303">
        <v>1</v>
      </c>
      <c r="Q64" s="303">
        <v>1</v>
      </c>
      <c r="R64" s="303">
        <v>1</v>
      </c>
      <c r="S64" s="303">
        <v>1</v>
      </c>
      <c r="T64" s="303">
        <v>1</v>
      </c>
      <c r="U64" s="303">
        <v>1</v>
      </c>
      <c r="V64" s="303">
        <v>1</v>
      </c>
      <c r="W64" s="303">
        <v>1</v>
      </c>
      <c r="X64" s="303">
        <v>1</v>
      </c>
      <c r="Y64" s="303">
        <v>1</v>
      </c>
      <c r="Z64" s="303">
        <v>1</v>
      </c>
      <c r="AA64" s="303">
        <v>1</v>
      </c>
      <c r="AB64" s="303">
        <v>1</v>
      </c>
      <c r="AC64" s="304">
        <v>1</v>
      </c>
    </row>
    <row r="65" spans="1:29" ht="29.45" customHeight="1" thickBot="1">
      <c r="A65" s="659"/>
      <c r="B65" s="661"/>
      <c r="C65" s="663"/>
      <c r="D65" s="573"/>
      <c r="E65" s="305" t="s">
        <v>484</v>
      </c>
      <c r="F65" s="306">
        <v>1</v>
      </c>
      <c r="G65" s="306">
        <v>1</v>
      </c>
      <c r="H65" s="306">
        <v>1</v>
      </c>
      <c r="I65" s="306">
        <v>1</v>
      </c>
      <c r="J65" s="306">
        <v>1</v>
      </c>
      <c r="K65" s="306">
        <v>1</v>
      </c>
      <c r="L65" s="306">
        <v>1</v>
      </c>
      <c r="M65" s="306">
        <v>1</v>
      </c>
      <c r="N65" s="306">
        <v>1</v>
      </c>
      <c r="O65" s="306">
        <v>1</v>
      </c>
      <c r="P65" s="306">
        <v>1</v>
      </c>
      <c r="Q65" s="306">
        <v>1</v>
      </c>
      <c r="R65" s="306">
        <v>1</v>
      </c>
      <c r="S65" s="306">
        <v>1</v>
      </c>
      <c r="T65" s="306">
        <v>1</v>
      </c>
      <c r="U65" s="306">
        <v>1</v>
      </c>
      <c r="V65" s="306">
        <v>1</v>
      </c>
      <c r="W65" s="306">
        <v>1</v>
      </c>
      <c r="X65" s="306">
        <v>1</v>
      </c>
      <c r="Y65" s="306">
        <v>1</v>
      </c>
      <c r="Z65" s="306">
        <v>1</v>
      </c>
      <c r="AA65" s="306">
        <v>1</v>
      </c>
      <c r="AB65" s="306">
        <v>1</v>
      </c>
      <c r="AC65" s="307">
        <v>1</v>
      </c>
    </row>
    <row r="66" spans="1:29" ht="29.45" customHeight="1">
      <c r="A66" s="629"/>
      <c r="B66" s="586" t="s">
        <v>549</v>
      </c>
      <c r="C66" s="632" t="s">
        <v>552</v>
      </c>
      <c r="D66" s="572" t="s">
        <v>553</v>
      </c>
      <c r="E66" s="308" t="s">
        <v>485</v>
      </c>
      <c r="F66" s="309">
        <v>0</v>
      </c>
      <c r="G66" s="309">
        <v>0</v>
      </c>
      <c r="H66" s="309">
        <v>0</v>
      </c>
      <c r="I66" s="309">
        <v>0</v>
      </c>
      <c r="J66" s="309">
        <v>0</v>
      </c>
      <c r="K66" s="309">
        <v>1</v>
      </c>
      <c r="L66" s="309">
        <v>1</v>
      </c>
      <c r="M66" s="309">
        <v>1</v>
      </c>
      <c r="N66" s="309">
        <v>1</v>
      </c>
      <c r="O66" s="309">
        <v>1</v>
      </c>
      <c r="P66" s="309">
        <v>1</v>
      </c>
      <c r="Q66" s="309">
        <v>1</v>
      </c>
      <c r="R66" s="309">
        <v>1</v>
      </c>
      <c r="S66" s="309">
        <v>1</v>
      </c>
      <c r="T66" s="309">
        <v>1</v>
      </c>
      <c r="U66" s="309">
        <v>1</v>
      </c>
      <c r="V66" s="309">
        <v>1</v>
      </c>
      <c r="W66" s="309">
        <v>1</v>
      </c>
      <c r="X66" s="309">
        <v>1</v>
      </c>
      <c r="Y66" s="309">
        <v>1</v>
      </c>
      <c r="Z66" s="309">
        <v>1</v>
      </c>
      <c r="AA66" s="309">
        <v>1</v>
      </c>
      <c r="AB66" s="309">
        <v>0</v>
      </c>
      <c r="AC66" s="310">
        <v>0</v>
      </c>
    </row>
    <row r="67" spans="1:29" ht="29.45" customHeight="1">
      <c r="A67" s="630"/>
      <c r="B67" s="631"/>
      <c r="C67" s="633"/>
      <c r="D67" s="572"/>
      <c r="E67" s="302" t="s">
        <v>483</v>
      </c>
      <c r="F67" s="311">
        <v>0</v>
      </c>
      <c r="G67" s="311">
        <v>0</v>
      </c>
      <c r="H67" s="311">
        <v>0</v>
      </c>
      <c r="I67" s="311">
        <v>0</v>
      </c>
      <c r="J67" s="311">
        <v>0</v>
      </c>
      <c r="K67" s="311">
        <v>1</v>
      </c>
      <c r="L67" s="311">
        <v>1</v>
      </c>
      <c r="M67" s="311">
        <v>1</v>
      </c>
      <c r="N67" s="311">
        <v>1</v>
      </c>
      <c r="O67" s="311">
        <v>1</v>
      </c>
      <c r="P67" s="311">
        <v>1</v>
      </c>
      <c r="Q67" s="311">
        <v>1</v>
      </c>
      <c r="R67" s="311">
        <v>1</v>
      </c>
      <c r="S67" s="311">
        <v>1</v>
      </c>
      <c r="T67" s="311">
        <v>1</v>
      </c>
      <c r="U67" s="311">
        <v>1</v>
      </c>
      <c r="V67" s="311">
        <v>1</v>
      </c>
      <c r="W67" s="311">
        <v>1</v>
      </c>
      <c r="X67" s="311">
        <v>1</v>
      </c>
      <c r="Y67" s="311">
        <v>1</v>
      </c>
      <c r="Z67" s="311">
        <v>1</v>
      </c>
      <c r="AA67" s="311">
        <v>1</v>
      </c>
      <c r="AB67" s="311">
        <v>1</v>
      </c>
      <c r="AC67" s="312">
        <v>1</v>
      </c>
    </row>
    <row r="68" spans="1:29" ht="29.45" customHeight="1" thickBot="1">
      <c r="A68" s="630"/>
      <c r="B68" s="631"/>
      <c r="C68" s="633"/>
      <c r="D68" s="572"/>
      <c r="E68" s="313" t="s">
        <v>484</v>
      </c>
      <c r="F68" s="314">
        <v>0</v>
      </c>
      <c r="G68" s="314">
        <v>0</v>
      </c>
      <c r="H68" s="314">
        <v>0</v>
      </c>
      <c r="I68" s="314">
        <v>0</v>
      </c>
      <c r="J68" s="314">
        <v>0</v>
      </c>
      <c r="K68" s="314">
        <v>1</v>
      </c>
      <c r="L68" s="314">
        <v>1</v>
      </c>
      <c r="M68" s="314">
        <v>1</v>
      </c>
      <c r="N68" s="314">
        <v>1</v>
      </c>
      <c r="O68" s="314">
        <v>1</v>
      </c>
      <c r="P68" s="314">
        <v>1</v>
      </c>
      <c r="Q68" s="314">
        <v>1</v>
      </c>
      <c r="R68" s="314">
        <v>1</v>
      </c>
      <c r="S68" s="314">
        <v>1</v>
      </c>
      <c r="T68" s="314">
        <v>1</v>
      </c>
      <c r="U68" s="314">
        <v>1</v>
      </c>
      <c r="V68" s="314">
        <v>1</v>
      </c>
      <c r="W68" s="314">
        <v>1</v>
      </c>
      <c r="X68" s="314">
        <v>1</v>
      </c>
      <c r="Y68" s="314">
        <v>1</v>
      </c>
      <c r="Z68" s="314">
        <v>1</v>
      </c>
      <c r="AA68" s="314">
        <v>1</v>
      </c>
      <c r="AB68" s="314">
        <v>1</v>
      </c>
      <c r="AC68" s="315">
        <v>1</v>
      </c>
    </row>
    <row r="69" spans="1:29" ht="27" customHeight="1">
      <c r="A69" s="577" t="s">
        <v>554</v>
      </c>
      <c r="B69" s="636" t="s">
        <v>549</v>
      </c>
      <c r="C69" s="636" t="s">
        <v>555</v>
      </c>
      <c r="D69" s="639" t="s">
        <v>556</v>
      </c>
      <c r="E69" s="283" t="s">
        <v>485</v>
      </c>
      <c r="F69" s="284">
        <v>131.9</v>
      </c>
      <c r="G69" s="284">
        <v>131.9</v>
      </c>
      <c r="H69" s="284">
        <v>131.9</v>
      </c>
      <c r="I69" s="284">
        <v>131.9</v>
      </c>
      <c r="J69" s="284">
        <v>131.9</v>
      </c>
      <c r="K69" s="284">
        <v>131.9</v>
      </c>
      <c r="L69" s="284">
        <v>131.9</v>
      </c>
      <c r="M69" s="284">
        <v>131.9</v>
      </c>
      <c r="N69" s="284">
        <v>131.9</v>
      </c>
      <c r="O69" s="284">
        <v>131.9</v>
      </c>
      <c r="P69" s="284">
        <v>131.9</v>
      </c>
      <c r="Q69" s="284">
        <v>131.9</v>
      </c>
      <c r="R69" s="284">
        <v>131.9</v>
      </c>
      <c r="S69" s="284">
        <v>131.9</v>
      </c>
      <c r="T69" s="284">
        <v>131.9</v>
      </c>
      <c r="U69" s="284">
        <v>131.9</v>
      </c>
      <c r="V69" s="284">
        <v>131.9</v>
      </c>
      <c r="W69" s="284">
        <v>131.9</v>
      </c>
      <c r="X69" s="284">
        <v>131.9</v>
      </c>
      <c r="Y69" s="284">
        <v>131.9</v>
      </c>
      <c r="Z69" s="284">
        <v>131.9</v>
      </c>
      <c r="AA69" s="284">
        <v>131.9</v>
      </c>
      <c r="AB69" s="284">
        <v>131.9</v>
      </c>
      <c r="AC69" s="285">
        <v>131.9</v>
      </c>
    </row>
    <row r="70" spans="1:29" ht="27" customHeight="1">
      <c r="A70" s="578"/>
      <c r="B70" s="637"/>
      <c r="C70" s="637"/>
      <c r="D70" s="640"/>
      <c r="E70" s="286" t="s">
        <v>483</v>
      </c>
      <c r="F70" s="287">
        <v>131.9</v>
      </c>
      <c r="G70" s="287">
        <v>131.9</v>
      </c>
      <c r="H70" s="287">
        <v>131.9</v>
      </c>
      <c r="I70" s="287">
        <v>131.9</v>
      </c>
      <c r="J70" s="287">
        <v>131.9</v>
      </c>
      <c r="K70" s="287">
        <v>131.9</v>
      </c>
      <c r="L70" s="287">
        <v>131.9</v>
      </c>
      <c r="M70" s="287">
        <v>131.9</v>
      </c>
      <c r="N70" s="287">
        <v>131.9</v>
      </c>
      <c r="O70" s="287">
        <v>131.9</v>
      </c>
      <c r="P70" s="287">
        <v>131.9</v>
      </c>
      <c r="Q70" s="287">
        <v>131.9</v>
      </c>
      <c r="R70" s="287">
        <v>131.9</v>
      </c>
      <c r="S70" s="287">
        <v>131.9</v>
      </c>
      <c r="T70" s="287">
        <v>131.9</v>
      </c>
      <c r="U70" s="287">
        <v>131.9</v>
      </c>
      <c r="V70" s="287">
        <v>131.9</v>
      </c>
      <c r="W70" s="287">
        <v>131.9</v>
      </c>
      <c r="X70" s="287">
        <v>131.9</v>
      </c>
      <c r="Y70" s="287">
        <v>131.9</v>
      </c>
      <c r="Z70" s="287">
        <v>131.9</v>
      </c>
      <c r="AA70" s="287">
        <v>131.9</v>
      </c>
      <c r="AB70" s="287">
        <v>131.9</v>
      </c>
      <c r="AC70" s="288">
        <v>131.9</v>
      </c>
    </row>
    <row r="71" spans="1:29" s="125" customFormat="1" ht="27" customHeight="1" thickBot="1">
      <c r="A71" s="579"/>
      <c r="B71" s="638"/>
      <c r="C71" s="638"/>
      <c r="D71" s="641"/>
      <c r="E71" s="289" t="s">
        <v>484</v>
      </c>
      <c r="F71" s="290">
        <v>131.9</v>
      </c>
      <c r="G71" s="290">
        <v>131.9</v>
      </c>
      <c r="H71" s="290">
        <v>131.9</v>
      </c>
      <c r="I71" s="290">
        <v>131.9</v>
      </c>
      <c r="J71" s="290">
        <v>131.9</v>
      </c>
      <c r="K71" s="290">
        <v>131.9</v>
      </c>
      <c r="L71" s="290">
        <v>131.9</v>
      </c>
      <c r="M71" s="290">
        <v>131.9</v>
      </c>
      <c r="N71" s="290">
        <v>131.9</v>
      </c>
      <c r="O71" s="290">
        <v>131.9</v>
      </c>
      <c r="P71" s="290">
        <v>131.9</v>
      </c>
      <c r="Q71" s="290">
        <v>131.9</v>
      </c>
      <c r="R71" s="290">
        <v>131.9</v>
      </c>
      <c r="S71" s="290">
        <v>131.9</v>
      </c>
      <c r="T71" s="290">
        <v>131.9</v>
      </c>
      <c r="U71" s="290">
        <v>131.9</v>
      </c>
      <c r="V71" s="290">
        <v>131.9</v>
      </c>
      <c r="W71" s="290">
        <v>131.9</v>
      </c>
      <c r="X71" s="290">
        <v>131.9</v>
      </c>
      <c r="Y71" s="290">
        <v>131.9</v>
      </c>
      <c r="Z71" s="290">
        <v>131.9</v>
      </c>
      <c r="AA71" s="290">
        <v>131.9</v>
      </c>
      <c r="AB71" s="290">
        <v>131.9</v>
      </c>
      <c r="AC71" s="291">
        <v>131.9</v>
      </c>
    </row>
    <row r="72" spans="1:29" ht="20.45" customHeight="1">
      <c r="A72" s="642" t="s">
        <v>557</v>
      </c>
      <c r="B72" s="643" t="s">
        <v>549</v>
      </c>
      <c r="C72" s="643" t="s">
        <v>558</v>
      </c>
      <c r="D72" s="644" t="s">
        <v>556</v>
      </c>
      <c r="E72" s="292" t="s">
        <v>485</v>
      </c>
      <c r="F72" s="293">
        <v>146.5</v>
      </c>
      <c r="G72" s="293">
        <v>146.5</v>
      </c>
      <c r="H72" s="293">
        <v>146.5</v>
      </c>
      <c r="I72" s="293">
        <v>146.5</v>
      </c>
      <c r="J72" s="293">
        <v>146.5</v>
      </c>
      <c r="K72" s="293">
        <v>146.5</v>
      </c>
      <c r="L72" s="293">
        <v>146.5</v>
      </c>
      <c r="M72" s="293">
        <v>146.5</v>
      </c>
      <c r="N72" s="293">
        <v>146.5</v>
      </c>
      <c r="O72" s="293">
        <v>146.5</v>
      </c>
      <c r="P72" s="293">
        <v>146.5</v>
      </c>
      <c r="Q72" s="293">
        <v>146.5</v>
      </c>
      <c r="R72" s="293">
        <v>146.5</v>
      </c>
      <c r="S72" s="293">
        <v>146.5</v>
      </c>
      <c r="T72" s="293">
        <v>146.5</v>
      </c>
      <c r="U72" s="293">
        <v>146.5</v>
      </c>
      <c r="V72" s="293">
        <v>146.5</v>
      </c>
      <c r="W72" s="293">
        <v>146.5</v>
      </c>
      <c r="X72" s="293">
        <v>146.5</v>
      </c>
      <c r="Y72" s="293">
        <v>146.5</v>
      </c>
      <c r="Z72" s="293">
        <v>146.5</v>
      </c>
      <c r="AA72" s="293">
        <v>146.5</v>
      </c>
      <c r="AB72" s="293">
        <v>146.5</v>
      </c>
      <c r="AC72" s="294">
        <v>146.5</v>
      </c>
    </row>
    <row r="73" spans="1:29" ht="20.45" customHeight="1">
      <c r="A73" s="578"/>
      <c r="B73" s="637"/>
      <c r="C73" s="637"/>
      <c r="D73" s="640"/>
      <c r="E73" s="286" t="s">
        <v>483</v>
      </c>
      <c r="F73" s="287">
        <v>146.5</v>
      </c>
      <c r="G73" s="287">
        <v>146.5</v>
      </c>
      <c r="H73" s="287">
        <v>146.5</v>
      </c>
      <c r="I73" s="287">
        <v>146.5</v>
      </c>
      <c r="J73" s="287">
        <v>146.5</v>
      </c>
      <c r="K73" s="287">
        <v>146.5</v>
      </c>
      <c r="L73" s="287">
        <v>146.5</v>
      </c>
      <c r="M73" s="287">
        <v>146.5</v>
      </c>
      <c r="N73" s="287">
        <v>146.5</v>
      </c>
      <c r="O73" s="287">
        <v>146.5</v>
      </c>
      <c r="P73" s="287">
        <v>146.5</v>
      </c>
      <c r="Q73" s="287">
        <v>146.5</v>
      </c>
      <c r="R73" s="287">
        <v>146.5</v>
      </c>
      <c r="S73" s="287">
        <v>146.5</v>
      </c>
      <c r="T73" s="287">
        <v>146.5</v>
      </c>
      <c r="U73" s="287">
        <v>146.5</v>
      </c>
      <c r="V73" s="287">
        <v>146.5</v>
      </c>
      <c r="W73" s="287">
        <v>146.5</v>
      </c>
      <c r="X73" s="287">
        <v>146.5</v>
      </c>
      <c r="Y73" s="287">
        <v>146.5</v>
      </c>
      <c r="Z73" s="287">
        <v>146.5</v>
      </c>
      <c r="AA73" s="287">
        <v>146.5</v>
      </c>
      <c r="AB73" s="287">
        <v>146.5</v>
      </c>
      <c r="AC73" s="288">
        <v>146.5</v>
      </c>
    </row>
    <row r="74" spans="1:29" ht="20.45" customHeight="1" thickBot="1">
      <c r="A74" s="645"/>
      <c r="B74" s="646"/>
      <c r="C74" s="646"/>
      <c r="D74" s="647"/>
      <c r="E74" s="295" t="s">
        <v>484</v>
      </c>
      <c r="F74" s="296">
        <v>146.5</v>
      </c>
      <c r="G74" s="296">
        <v>146.5</v>
      </c>
      <c r="H74" s="296">
        <v>146.5</v>
      </c>
      <c r="I74" s="296">
        <v>146.5</v>
      </c>
      <c r="J74" s="296">
        <v>146.5</v>
      </c>
      <c r="K74" s="296">
        <v>146.5</v>
      </c>
      <c r="L74" s="296">
        <v>146.5</v>
      </c>
      <c r="M74" s="296">
        <v>146.5</v>
      </c>
      <c r="N74" s="296">
        <v>146.5</v>
      </c>
      <c r="O74" s="296">
        <v>146.5</v>
      </c>
      <c r="P74" s="296">
        <v>146.5</v>
      </c>
      <c r="Q74" s="296">
        <v>146.5</v>
      </c>
      <c r="R74" s="296">
        <v>146.5</v>
      </c>
      <c r="S74" s="296">
        <v>146.5</v>
      </c>
      <c r="T74" s="296">
        <v>146.5</v>
      </c>
      <c r="U74" s="296">
        <v>146.5</v>
      </c>
      <c r="V74" s="296">
        <v>146.5</v>
      </c>
      <c r="W74" s="296">
        <v>146.5</v>
      </c>
      <c r="X74" s="296">
        <v>146.5</v>
      </c>
      <c r="Y74" s="296">
        <v>146.5</v>
      </c>
      <c r="Z74" s="296">
        <v>146.5</v>
      </c>
      <c r="AA74" s="296">
        <v>146.5</v>
      </c>
      <c r="AB74" s="296">
        <v>146.5</v>
      </c>
      <c r="AC74" s="297">
        <v>146.5</v>
      </c>
    </row>
    <row r="75" spans="1:29" ht="20.45" customHeight="1">
      <c r="A75" s="577" t="s">
        <v>559</v>
      </c>
      <c r="B75" s="636" t="s">
        <v>549</v>
      </c>
      <c r="C75" s="636" t="s">
        <v>560</v>
      </c>
      <c r="D75" s="639" t="s">
        <v>556</v>
      </c>
      <c r="E75" s="283" t="s">
        <v>485</v>
      </c>
      <c r="F75" s="284">
        <v>161.19999999999999</v>
      </c>
      <c r="G75" s="284">
        <v>161.19999999999999</v>
      </c>
      <c r="H75" s="284">
        <v>161.19999999999999</v>
      </c>
      <c r="I75" s="284">
        <v>161.19999999999999</v>
      </c>
      <c r="J75" s="284">
        <v>161.19999999999999</v>
      </c>
      <c r="K75" s="284">
        <v>161.19999999999999</v>
      </c>
      <c r="L75" s="284">
        <v>161.19999999999999</v>
      </c>
      <c r="M75" s="284">
        <v>161.19999999999999</v>
      </c>
      <c r="N75" s="284">
        <v>161.19999999999999</v>
      </c>
      <c r="O75" s="284">
        <v>161.19999999999999</v>
      </c>
      <c r="P75" s="284">
        <v>161.19999999999999</v>
      </c>
      <c r="Q75" s="284">
        <v>161.19999999999999</v>
      </c>
      <c r="R75" s="284">
        <v>161.19999999999999</v>
      </c>
      <c r="S75" s="284">
        <v>161.19999999999999</v>
      </c>
      <c r="T75" s="284">
        <v>161.19999999999999</v>
      </c>
      <c r="U75" s="284">
        <v>161.19999999999999</v>
      </c>
      <c r="V75" s="284">
        <v>161.19999999999999</v>
      </c>
      <c r="W75" s="284">
        <v>161.19999999999999</v>
      </c>
      <c r="X75" s="284">
        <v>161.19999999999999</v>
      </c>
      <c r="Y75" s="284">
        <v>161.19999999999999</v>
      </c>
      <c r="Z75" s="284">
        <v>161.19999999999999</v>
      </c>
      <c r="AA75" s="284">
        <v>161.19999999999999</v>
      </c>
      <c r="AB75" s="284">
        <v>161.19999999999999</v>
      </c>
      <c r="AC75" s="285">
        <v>161.19999999999999</v>
      </c>
    </row>
    <row r="76" spans="1:29" ht="20.45" customHeight="1">
      <c r="A76" s="578"/>
      <c r="B76" s="637"/>
      <c r="C76" s="637"/>
      <c r="D76" s="640"/>
      <c r="E76" s="286" t="s">
        <v>483</v>
      </c>
      <c r="F76" s="287">
        <v>161.19999999999999</v>
      </c>
      <c r="G76" s="287">
        <v>161.19999999999999</v>
      </c>
      <c r="H76" s="287">
        <v>161.19999999999999</v>
      </c>
      <c r="I76" s="287">
        <v>161.19999999999999</v>
      </c>
      <c r="J76" s="287">
        <v>161.19999999999999</v>
      </c>
      <c r="K76" s="287">
        <v>161.19999999999999</v>
      </c>
      <c r="L76" s="287">
        <v>161.19999999999999</v>
      </c>
      <c r="M76" s="287">
        <v>161.19999999999999</v>
      </c>
      <c r="N76" s="287">
        <v>161.19999999999999</v>
      </c>
      <c r="O76" s="287">
        <v>161.19999999999999</v>
      </c>
      <c r="P76" s="287">
        <v>161.19999999999999</v>
      </c>
      <c r="Q76" s="287">
        <v>161.19999999999999</v>
      </c>
      <c r="R76" s="287">
        <v>161.19999999999999</v>
      </c>
      <c r="S76" s="287">
        <v>161.19999999999999</v>
      </c>
      <c r="T76" s="287">
        <v>161.19999999999999</v>
      </c>
      <c r="U76" s="287">
        <v>161.19999999999999</v>
      </c>
      <c r="V76" s="287">
        <v>161.19999999999999</v>
      </c>
      <c r="W76" s="287">
        <v>161.19999999999999</v>
      </c>
      <c r="X76" s="287">
        <v>161.19999999999999</v>
      </c>
      <c r="Y76" s="287">
        <v>161.19999999999999</v>
      </c>
      <c r="Z76" s="287">
        <v>161.19999999999999</v>
      </c>
      <c r="AA76" s="287">
        <v>161.19999999999999</v>
      </c>
      <c r="AB76" s="287">
        <v>161.19999999999999</v>
      </c>
      <c r="AC76" s="288">
        <v>161.19999999999999</v>
      </c>
    </row>
    <row r="77" spans="1:29" ht="20.45" customHeight="1" thickBot="1">
      <c r="A77" s="579"/>
      <c r="B77" s="638"/>
      <c r="C77" s="638"/>
      <c r="D77" s="641"/>
      <c r="E77" s="289" t="s">
        <v>484</v>
      </c>
      <c r="F77" s="290">
        <v>161.19999999999999</v>
      </c>
      <c r="G77" s="290">
        <v>161.19999999999999</v>
      </c>
      <c r="H77" s="290">
        <v>161.19999999999999</v>
      </c>
      <c r="I77" s="290">
        <v>161.19999999999999</v>
      </c>
      <c r="J77" s="290">
        <v>161.19999999999999</v>
      </c>
      <c r="K77" s="290">
        <v>161.19999999999999</v>
      </c>
      <c r="L77" s="290">
        <v>161.19999999999999</v>
      </c>
      <c r="M77" s="290">
        <v>161.19999999999999</v>
      </c>
      <c r="N77" s="290">
        <v>161.19999999999999</v>
      </c>
      <c r="O77" s="290">
        <v>161.19999999999999</v>
      </c>
      <c r="P77" s="290">
        <v>161.19999999999999</v>
      </c>
      <c r="Q77" s="290">
        <v>161.19999999999999</v>
      </c>
      <c r="R77" s="290">
        <v>161.19999999999999</v>
      </c>
      <c r="S77" s="290">
        <v>161.19999999999999</v>
      </c>
      <c r="T77" s="290">
        <v>161.19999999999999</v>
      </c>
      <c r="U77" s="290">
        <v>161.19999999999999</v>
      </c>
      <c r="V77" s="290">
        <v>161.19999999999999</v>
      </c>
      <c r="W77" s="290">
        <v>161.19999999999999</v>
      </c>
      <c r="X77" s="290">
        <v>161.19999999999999</v>
      </c>
      <c r="Y77" s="290">
        <v>161.19999999999999</v>
      </c>
      <c r="Z77" s="290">
        <v>161.19999999999999</v>
      </c>
      <c r="AA77" s="290">
        <v>161.19999999999999</v>
      </c>
      <c r="AB77" s="290">
        <v>161.19999999999999</v>
      </c>
      <c r="AC77" s="291">
        <v>161.19999999999999</v>
      </c>
    </row>
    <row r="78" spans="1:29" ht="20.45" customHeight="1">
      <c r="A78" s="642" t="s">
        <v>561</v>
      </c>
      <c r="B78" s="643" t="s">
        <v>549</v>
      </c>
      <c r="C78" s="643" t="s">
        <v>562</v>
      </c>
      <c r="D78" s="644" t="s">
        <v>556</v>
      </c>
      <c r="E78" s="292" t="s">
        <v>485</v>
      </c>
      <c r="F78" s="293">
        <v>219.8</v>
      </c>
      <c r="G78" s="293">
        <v>219.8</v>
      </c>
      <c r="H78" s="293">
        <v>219.8</v>
      </c>
      <c r="I78" s="293">
        <v>219.8</v>
      </c>
      <c r="J78" s="293">
        <v>219.8</v>
      </c>
      <c r="K78" s="293">
        <v>219.8</v>
      </c>
      <c r="L78" s="293">
        <v>219.8</v>
      </c>
      <c r="M78" s="293">
        <v>219.8</v>
      </c>
      <c r="N78" s="293">
        <v>219.8</v>
      </c>
      <c r="O78" s="293">
        <v>219.8</v>
      </c>
      <c r="P78" s="293">
        <v>219.8</v>
      </c>
      <c r="Q78" s="293">
        <v>219.8</v>
      </c>
      <c r="R78" s="293">
        <v>219.8</v>
      </c>
      <c r="S78" s="293">
        <v>219.8</v>
      </c>
      <c r="T78" s="293">
        <v>219.8</v>
      </c>
      <c r="U78" s="293">
        <v>219.8</v>
      </c>
      <c r="V78" s="293">
        <v>219.8</v>
      </c>
      <c r="W78" s="293">
        <v>219.8</v>
      </c>
      <c r="X78" s="293">
        <v>219.8</v>
      </c>
      <c r="Y78" s="293">
        <v>219.8</v>
      </c>
      <c r="Z78" s="293">
        <v>219.8</v>
      </c>
      <c r="AA78" s="293">
        <v>219.8</v>
      </c>
      <c r="AB78" s="293">
        <v>219.8</v>
      </c>
      <c r="AC78" s="294">
        <v>219.8</v>
      </c>
    </row>
    <row r="79" spans="1:29" ht="20.45" customHeight="1">
      <c r="A79" s="578"/>
      <c r="B79" s="637"/>
      <c r="C79" s="637"/>
      <c r="D79" s="640"/>
      <c r="E79" s="286" t="s">
        <v>483</v>
      </c>
      <c r="F79" s="287">
        <v>219.8</v>
      </c>
      <c r="G79" s="287">
        <v>219.8</v>
      </c>
      <c r="H79" s="287">
        <v>219.8</v>
      </c>
      <c r="I79" s="287">
        <v>219.8</v>
      </c>
      <c r="J79" s="287">
        <v>219.8</v>
      </c>
      <c r="K79" s="287">
        <v>219.8</v>
      </c>
      <c r="L79" s="287">
        <v>219.8</v>
      </c>
      <c r="M79" s="287">
        <v>219.8</v>
      </c>
      <c r="N79" s="287">
        <v>219.8</v>
      </c>
      <c r="O79" s="287">
        <v>219.8</v>
      </c>
      <c r="P79" s="287">
        <v>219.8</v>
      </c>
      <c r="Q79" s="287">
        <v>219.8</v>
      </c>
      <c r="R79" s="287">
        <v>219.8</v>
      </c>
      <c r="S79" s="287">
        <v>219.8</v>
      </c>
      <c r="T79" s="287">
        <v>219.8</v>
      </c>
      <c r="U79" s="287">
        <v>219.8</v>
      </c>
      <c r="V79" s="287">
        <v>219.8</v>
      </c>
      <c r="W79" s="287">
        <v>219.8</v>
      </c>
      <c r="X79" s="287">
        <v>219.8</v>
      </c>
      <c r="Y79" s="287">
        <v>219.8</v>
      </c>
      <c r="Z79" s="287">
        <v>219.8</v>
      </c>
      <c r="AA79" s="287">
        <v>219.8</v>
      </c>
      <c r="AB79" s="287">
        <v>219.8</v>
      </c>
      <c r="AC79" s="288">
        <v>219.8</v>
      </c>
    </row>
    <row r="80" spans="1:29" ht="20.45" customHeight="1" thickBot="1">
      <c r="A80" s="579"/>
      <c r="B80" s="638"/>
      <c r="C80" s="638"/>
      <c r="D80" s="641"/>
      <c r="E80" s="289" t="s">
        <v>484</v>
      </c>
      <c r="F80" s="290">
        <v>219.8</v>
      </c>
      <c r="G80" s="290">
        <v>219.8</v>
      </c>
      <c r="H80" s="290">
        <v>219.8</v>
      </c>
      <c r="I80" s="290">
        <v>219.8</v>
      </c>
      <c r="J80" s="290">
        <v>219.8</v>
      </c>
      <c r="K80" s="290">
        <v>219.8</v>
      </c>
      <c r="L80" s="290">
        <v>219.8</v>
      </c>
      <c r="M80" s="290">
        <v>219.8</v>
      </c>
      <c r="N80" s="290">
        <v>219.8</v>
      </c>
      <c r="O80" s="290">
        <v>219.8</v>
      </c>
      <c r="P80" s="290">
        <v>219.8</v>
      </c>
      <c r="Q80" s="290">
        <v>219.8</v>
      </c>
      <c r="R80" s="290">
        <v>219.8</v>
      </c>
      <c r="S80" s="290">
        <v>219.8</v>
      </c>
      <c r="T80" s="290">
        <v>219.8</v>
      </c>
      <c r="U80" s="290">
        <v>219.8</v>
      </c>
      <c r="V80" s="290">
        <v>219.8</v>
      </c>
      <c r="W80" s="290">
        <v>219.8</v>
      </c>
      <c r="X80" s="290">
        <v>219.8</v>
      </c>
      <c r="Y80" s="290">
        <v>219.8</v>
      </c>
      <c r="Z80" s="290">
        <v>219.8</v>
      </c>
      <c r="AA80" s="290">
        <v>219.8</v>
      </c>
      <c r="AB80" s="290">
        <v>219.8</v>
      </c>
      <c r="AC80" s="291">
        <v>219.8</v>
      </c>
    </row>
    <row r="81" spans="1:37" ht="20.45" customHeight="1">
      <c r="A81" s="577" t="s">
        <v>563</v>
      </c>
      <c r="B81" s="636" t="s">
        <v>549</v>
      </c>
      <c r="C81" s="636" t="s">
        <v>564</v>
      </c>
      <c r="D81" s="639" t="s">
        <v>556</v>
      </c>
      <c r="E81" s="283" t="s">
        <v>485</v>
      </c>
      <c r="F81" s="284">
        <v>213.9</v>
      </c>
      <c r="G81" s="284">
        <v>213.9</v>
      </c>
      <c r="H81" s="284">
        <v>213.9</v>
      </c>
      <c r="I81" s="284">
        <v>213.9</v>
      </c>
      <c r="J81" s="284">
        <v>213.9</v>
      </c>
      <c r="K81" s="284">
        <v>213.9</v>
      </c>
      <c r="L81" s="284">
        <v>213.9</v>
      </c>
      <c r="M81" s="284">
        <v>213.9</v>
      </c>
      <c r="N81" s="284">
        <v>213.9</v>
      </c>
      <c r="O81" s="284">
        <v>213.9</v>
      </c>
      <c r="P81" s="284">
        <v>213.9</v>
      </c>
      <c r="Q81" s="284">
        <v>213.9</v>
      </c>
      <c r="R81" s="284">
        <v>213.9</v>
      </c>
      <c r="S81" s="284">
        <v>213.9</v>
      </c>
      <c r="T81" s="284">
        <v>213.9</v>
      </c>
      <c r="U81" s="284">
        <v>213.9</v>
      </c>
      <c r="V81" s="284">
        <v>213.9</v>
      </c>
      <c r="W81" s="284">
        <v>213.9</v>
      </c>
      <c r="X81" s="284">
        <v>213.9</v>
      </c>
      <c r="Y81" s="284">
        <v>213.9</v>
      </c>
      <c r="Z81" s="284">
        <v>213.9</v>
      </c>
      <c r="AA81" s="284">
        <v>213.9</v>
      </c>
      <c r="AB81" s="284">
        <v>213.9</v>
      </c>
      <c r="AC81" s="285">
        <v>213.9</v>
      </c>
    </row>
    <row r="82" spans="1:37" ht="20.45" customHeight="1">
      <c r="A82" s="578"/>
      <c r="B82" s="637"/>
      <c r="C82" s="637"/>
      <c r="D82" s="640"/>
      <c r="E82" s="286" t="s">
        <v>483</v>
      </c>
      <c r="F82" s="287">
        <v>213.9</v>
      </c>
      <c r="G82" s="287">
        <v>213.9</v>
      </c>
      <c r="H82" s="287">
        <v>213.9</v>
      </c>
      <c r="I82" s="287">
        <v>213.9</v>
      </c>
      <c r="J82" s="287">
        <v>213.9</v>
      </c>
      <c r="K82" s="287">
        <v>213.9</v>
      </c>
      <c r="L82" s="287">
        <v>213.9</v>
      </c>
      <c r="M82" s="287">
        <v>213.9</v>
      </c>
      <c r="N82" s="287">
        <v>213.9</v>
      </c>
      <c r="O82" s="287">
        <v>213.9</v>
      </c>
      <c r="P82" s="287">
        <v>213.9</v>
      </c>
      <c r="Q82" s="287">
        <v>213.9</v>
      </c>
      <c r="R82" s="287">
        <v>213.9</v>
      </c>
      <c r="S82" s="287">
        <v>213.9</v>
      </c>
      <c r="T82" s="287">
        <v>213.9</v>
      </c>
      <c r="U82" s="287">
        <v>213.9</v>
      </c>
      <c r="V82" s="287">
        <v>213.9</v>
      </c>
      <c r="W82" s="287">
        <v>213.9</v>
      </c>
      <c r="X82" s="287">
        <v>213.9</v>
      </c>
      <c r="Y82" s="287">
        <v>213.9</v>
      </c>
      <c r="Z82" s="287">
        <v>213.9</v>
      </c>
      <c r="AA82" s="287">
        <v>213.9</v>
      </c>
      <c r="AB82" s="287">
        <v>213.9</v>
      </c>
      <c r="AC82" s="288">
        <v>213.9</v>
      </c>
    </row>
    <row r="83" spans="1:37" ht="20.45" customHeight="1" thickBot="1">
      <c r="A83" s="579"/>
      <c r="B83" s="638"/>
      <c r="C83" s="638"/>
      <c r="D83" s="641"/>
      <c r="E83" s="289" t="s">
        <v>484</v>
      </c>
      <c r="F83" s="290">
        <v>213.9</v>
      </c>
      <c r="G83" s="290">
        <v>213.9</v>
      </c>
      <c r="H83" s="290">
        <v>213.9</v>
      </c>
      <c r="I83" s="290">
        <v>213.9</v>
      </c>
      <c r="J83" s="290">
        <v>213.9</v>
      </c>
      <c r="K83" s="290">
        <v>213.9</v>
      </c>
      <c r="L83" s="290">
        <v>213.9</v>
      </c>
      <c r="M83" s="290">
        <v>213.9</v>
      </c>
      <c r="N83" s="290">
        <v>213.9</v>
      </c>
      <c r="O83" s="290">
        <v>213.9</v>
      </c>
      <c r="P83" s="290">
        <v>213.9</v>
      </c>
      <c r="Q83" s="290">
        <v>213.9</v>
      </c>
      <c r="R83" s="290">
        <v>213.9</v>
      </c>
      <c r="S83" s="290">
        <v>213.9</v>
      </c>
      <c r="T83" s="290">
        <v>213.9</v>
      </c>
      <c r="U83" s="290">
        <v>213.9</v>
      </c>
      <c r="V83" s="290">
        <v>213.9</v>
      </c>
      <c r="W83" s="290">
        <v>213.9</v>
      </c>
      <c r="X83" s="290">
        <v>213.9</v>
      </c>
      <c r="Y83" s="290">
        <v>213.9</v>
      </c>
      <c r="Z83" s="290">
        <v>213.9</v>
      </c>
      <c r="AA83" s="290">
        <v>213.9</v>
      </c>
      <c r="AB83" s="290">
        <v>213.9</v>
      </c>
      <c r="AC83" s="291">
        <v>213.9</v>
      </c>
    </row>
    <row r="91" spans="1:37" s="48" customFormat="1" ht="21.6" customHeight="1">
      <c r="A91" s="457" t="s">
        <v>232</v>
      </c>
      <c r="C91" s="89"/>
      <c r="D91" s="89"/>
      <c r="E91" s="89"/>
      <c r="F91" s="89"/>
      <c r="G91" s="89"/>
    </row>
    <row r="95" spans="1:37" ht="24.6" customHeight="1" thickBot="1">
      <c r="A95" s="574" t="s">
        <v>565</v>
      </c>
      <c r="B95" s="575"/>
      <c r="C95" s="575"/>
      <c r="D95" s="575"/>
      <c r="E95" s="575"/>
      <c r="F95" s="575"/>
      <c r="G95" s="575"/>
      <c r="H95" s="575"/>
      <c r="I95" s="575"/>
      <c r="J95" s="575"/>
      <c r="K95" s="575"/>
      <c r="L95" s="575"/>
      <c r="M95" s="575"/>
      <c r="N95" s="575"/>
      <c r="O95" s="575"/>
      <c r="P95" s="575"/>
      <c r="Q95" s="575"/>
      <c r="R95" s="575"/>
      <c r="S95" s="575"/>
      <c r="T95" s="575"/>
      <c r="U95" s="575"/>
      <c r="V95" s="575"/>
      <c r="W95" s="575"/>
      <c r="X95" s="575"/>
      <c r="Y95" s="575"/>
      <c r="Z95" s="575"/>
      <c r="AA95" s="575"/>
      <c r="AB95" s="575"/>
      <c r="AC95" s="576"/>
      <c r="AD95" s="37"/>
      <c r="AE95" s="37"/>
      <c r="AF95" s="37"/>
      <c r="AG95" s="37"/>
      <c r="AH95" s="37"/>
      <c r="AI95" s="37"/>
      <c r="AJ95" s="37"/>
      <c r="AK95" s="37"/>
    </row>
    <row r="96" spans="1:37" ht="30.6" customHeight="1">
      <c r="A96" s="577" t="s">
        <v>566</v>
      </c>
      <c r="B96" s="568" t="s">
        <v>565</v>
      </c>
      <c r="C96" s="568" t="s">
        <v>532</v>
      </c>
      <c r="D96" s="571" t="s">
        <v>567</v>
      </c>
      <c r="E96" s="357" t="s">
        <v>485</v>
      </c>
      <c r="F96" s="358">
        <v>0.05</v>
      </c>
      <c r="G96" s="358">
        <v>0</v>
      </c>
      <c r="H96" s="358">
        <v>0</v>
      </c>
      <c r="I96" s="358">
        <v>0</v>
      </c>
      <c r="J96" s="358">
        <v>0</v>
      </c>
      <c r="K96" s="358">
        <v>0.05</v>
      </c>
      <c r="L96" s="358">
        <v>0.1</v>
      </c>
      <c r="M96" s="358">
        <v>0.4</v>
      </c>
      <c r="N96" s="358">
        <v>0.4</v>
      </c>
      <c r="O96" s="358">
        <v>0.4</v>
      </c>
      <c r="P96" s="358">
        <v>0.2</v>
      </c>
      <c r="Q96" s="358">
        <v>0.5</v>
      </c>
      <c r="R96" s="358">
        <v>0.8</v>
      </c>
      <c r="S96" s="358">
        <v>0.7</v>
      </c>
      <c r="T96" s="358">
        <v>0.4</v>
      </c>
      <c r="U96" s="358">
        <v>0.2</v>
      </c>
      <c r="V96" s="358">
        <v>0.25</v>
      </c>
      <c r="W96" s="358">
        <v>0.5</v>
      </c>
      <c r="X96" s="358">
        <v>0.8</v>
      </c>
      <c r="Y96" s="358">
        <v>0.8</v>
      </c>
      <c r="Z96" s="358">
        <v>0.8</v>
      </c>
      <c r="AA96" s="358">
        <v>0.5</v>
      </c>
      <c r="AB96" s="358">
        <v>0.35</v>
      </c>
      <c r="AC96" s="359">
        <v>0.2</v>
      </c>
      <c r="AD96" s="37"/>
      <c r="AE96" s="37"/>
      <c r="AF96" s="37"/>
      <c r="AG96" s="37"/>
      <c r="AH96" s="37"/>
      <c r="AI96" s="37"/>
      <c r="AJ96" s="37"/>
      <c r="AK96" s="37"/>
    </row>
    <row r="97" spans="1:37" ht="30.6" customHeight="1">
      <c r="A97" s="578"/>
      <c r="B97" s="569"/>
      <c r="C97" s="569"/>
      <c r="D97" s="572"/>
      <c r="E97" s="360" t="s">
        <v>483</v>
      </c>
      <c r="F97" s="361">
        <v>0.05</v>
      </c>
      <c r="G97" s="361">
        <v>0</v>
      </c>
      <c r="H97" s="361">
        <v>0</v>
      </c>
      <c r="I97" s="361">
        <v>0</v>
      </c>
      <c r="J97" s="361">
        <v>0</v>
      </c>
      <c r="K97" s="361">
        <v>0</v>
      </c>
      <c r="L97" s="361">
        <v>0.05</v>
      </c>
      <c r="M97" s="361">
        <v>0.5</v>
      </c>
      <c r="N97" s="361">
        <v>0.5</v>
      </c>
      <c r="O97" s="361">
        <v>0.4</v>
      </c>
      <c r="P97" s="361">
        <v>0.2</v>
      </c>
      <c r="Q97" s="361">
        <v>0.45</v>
      </c>
      <c r="R97" s="361">
        <v>0.5</v>
      </c>
      <c r="S97" s="361">
        <v>0.5</v>
      </c>
      <c r="T97" s="361">
        <v>0.35</v>
      </c>
      <c r="U97" s="361">
        <v>0.3</v>
      </c>
      <c r="V97" s="361">
        <v>0.3</v>
      </c>
      <c r="W97" s="361">
        <v>0.3</v>
      </c>
      <c r="X97" s="361">
        <v>0.7</v>
      </c>
      <c r="Y97" s="361">
        <v>0.9</v>
      </c>
      <c r="Z97" s="361">
        <v>0.7</v>
      </c>
      <c r="AA97" s="361">
        <v>0.65</v>
      </c>
      <c r="AB97" s="361">
        <v>0.55000000000000004</v>
      </c>
      <c r="AC97" s="362">
        <v>0.35</v>
      </c>
      <c r="AD97" s="37"/>
      <c r="AE97" s="37"/>
      <c r="AF97" s="37"/>
      <c r="AG97" s="37"/>
      <c r="AH97" s="37"/>
      <c r="AI97" s="37"/>
      <c r="AJ97" s="37"/>
      <c r="AK97" s="37"/>
    </row>
    <row r="98" spans="1:37" ht="30.6" customHeight="1" thickBot="1">
      <c r="A98" s="579"/>
      <c r="B98" s="570"/>
      <c r="C98" s="570"/>
      <c r="D98" s="573"/>
      <c r="E98" s="363" t="s">
        <v>484</v>
      </c>
      <c r="F98" s="364">
        <v>0.05</v>
      </c>
      <c r="G98" s="364">
        <v>0</v>
      </c>
      <c r="H98" s="364">
        <v>0</v>
      </c>
      <c r="I98" s="364">
        <v>0</v>
      </c>
      <c r="J98" s="364">
        <v>0</v>
      </c>
      <c r="K98" s="364">
        <v>0</v>
      </c>
      <c r="L98" s="364">
        <v>0.05</v>
      </c>
      <c r="M98" s="364">
        <v>0.5</v>
      </c>
      <c r="N98" s="364">
        <v>0.5</v>
      </c>
      <c r="O98" s="364">
        <v>0.2</v>
      </c>
      <c r="P98" s="364">
        <v>0.2</v>
      </c>
      <c r="Q98" s="364">
        <v>0.3</v>
      </c>
      <c r="R98" s="364">
        <v>0.5</v>
      </c>
      <c r="S98" s="364">
        <v>0.5</v>
      </c>
      <c r="T98" s="364">
        <v>0.3</v>
      </c>
      <c r="U98" s="364">
        <v>0.2</v>
      </c>
      <c r="V98" s="364">
        <v>0.25</v>
      </c>
      <c r="W98" s="364">
        <v>0.35</v>
      </c>
      <c r="X98" s="364">
        <v>0.55000000000000004</v>
      </c>
      <c r="Y98" s="364">
        <v>0.65</v>
      </c>
      <c r="Z98" s="364">
        <v>0.7</v>
      </c>
      <c r="AA98" s="364">
        <v>0.35</v>
      </c>
      <c r="AB98" s="364">
        <v>0.2</v>
      </c>
      <c r="AC98" s="365">
        <v>0.2</v>
      </c>
      <c r="AD98" s="37"/>
      <c r="AE98" s="37"/>
      <c r="AF98" s="37"/>
      <c r="AG98" s="37"/>
      <c r="AH98" s="37"/>
      <c r="AI98" s="37"/>
      <c r="AJ98" s="37"/>
      <c r="AK98" s="37"/>
    </row>
    <row r="99" spans="1:37" ht="30.6" customHeight="1">
      <c r="A99" s="577" t="str">
        <f>A96</f>
        <v>Dining and Café</v>
      </c>
      <c r="B99" s="568" t="s">
        <v>565</v>
      </c>
      <c r="C99" s="648" t="s">
        <v>534</v>
      </c>
      <c r="D99" s="571" t="s">
        <v>568</v>
      </c>
      <c r="E99" s="366" t="s">
        <v>485</v>
      </c>
      <c r="F99" s="367">
        <v>0.15</v>
      </c>
      <c r="G99" s="367">
        <v>0.15</v>
      </c>
      <c r="H99" s="367">
        <v>0.15</v>
      </c>
      <c r="I99" s="367">
        <v>0.15</v>
      </c>
      <c r="J99" s="367">
        <v>0.15</v>
      </c>
      <c r="K99" s="367">
        <v>0.2</v>
      </c>
      <c r="L99" s="368">
        <v>0.3</v>
      </c>
      <c r="M99" s="368">
        <f t="shared" ref="M99:AA101" si="2">M102-5%</f>
        <v>0.66999999999999993</v>
      </c>
      <c r="N99" s="368">
        <f t="shared" si="2"/>
        <v>0.73</v>
      </c>
      <c r="O99" s="368">
        <f t="shared" si="2"/>
        <v>0.75</v>
      </c>
      <c r="P99" s="368">
        <f t="shared" si="2"/>
        <v>0.85</v>
      </c>
      <c r="Q99" s="368">
        <f t="shared" si="2"/>
        <v>0.85</v>
      </c>
      <c r="R99" s="368">
        <f t="shared" si="2"/>
        <v>0.85</v>
      </c>
      <c r="S99" s="368">
        <f t="shared" si="2"/>
        <v>0.83</v>
      </c>
      <c r="T99" s="368">
        <f t="shared" si="2"/>
        <v>0.72</v>
      </c>
      <c r="U99" s="368">
        <f t="shared" si="2"/>
        <v>0.64999999999999991</v>
      </c>
      <c r="V99" s="368">
        <f t="shared" si="2"/>
        <v>0.66999999999999993</v>
      </c>
      <c r="W99" s="368">
        <f t="shared" si="2"/>
        <v>0.75</v>
      </c>
      <c r="X99" s="368">
        <f t="shared" si="2"/>
        <v>0.85</v>
      </c>
      <c r="Y99" s="368">
        <f t="shared" si="2"/>
        <v>0.85</v>
      </c>
      <c r="Z99" s="368">
        <f t="shared" si="2"/>
        <v>0.85</v>
      </c>
      <c r="AA99" s="368">
        <f t="shared" si="2"/>
        <v>0.75</v>
      </c>
      <c r="AB99" s="368">
        <f>AB102-5%</f>
        <v>0.56999999999999995</v>
      </c>
      <c r="AC99" s="369">
        <v>0.3</v>
      </c>
      <c r="AD99" s="37"/>
      <c r="AE99" s="37"/>
      <c r="AF99" s="37"/>
      <c r="AG99" s="37"/>
      <c r="AH99" s="37"/>
      <c r="AI99" s="37"/>
      <c r="AJ99" s="37"/>
      <c r="AK99" s="37"/>
    </row>
    <row r="100" spans="1:37" ht="30.6" customHeight="1">
      <c r="A100" s="578"/>
      <c r="B100" s="569"/>
      <c r="C100" s="649"/>
      <c r="D100" s="572"/>
      <c r="E100" s="370" t="s">
        <v>483</v>
      </c>
      <c r="F100" s="371">
        <f>F103</f>
        <v>0.15</v>
      </c>
      <c r="G100" s="361">
        <v>0.15</v>
      </c>
      <c r="H100" s="361">
        <v>0.15</v>
      </c>
      <c r="I100" s="361">
        <v>0.15</v>
      </c>
      <c r="J100" s="361">
        <v>0.15</v>
      </c>
      <c r="K100" s="371">
        <f>K103</f>
        <v>0.2</v>
      </c>
      <c r="L100" s="361">
        <v>0.3</v>
      </c>
      <c r="M100" s="371">
        <f t="shared" si="2"/>
        <v>0.66999999999999993</v>
      </c>
      <c r="N100" s="371">
        <f t="shared" si="2"/>
        <v>0.73</v>
      </c>
      <c r="O100" s="371">
        <f t="shared" si="2"/>
        <v>0.75</v>
      </c>
      <c r="P100" s="371">
        <f t="shared" si="2"/>
        <v>0.85</v>
      </c>
      <c r="Q100" s="371">
        <f t="shared" si="2"/>
        <v>0.85</v>
      </c>
      <c r="R100" s="371">
        <f t="shared" si="2"/>
        <v>0.85</v>
      </c>
      <c r="S100" s="371">
        <f t="shared" si="2"/>
        <v>0.83</v>
      </c>
      <c r="T100" s="371">
        <f t="shared" si="2"/>
        <v>0.72</v>
      </c>
      <c r="U100" s="371">
        <f t="shared" si="2"/>
        <v>0.64999999999999991</v>
      </c>
      <c r="V100" s="371">
        <f t="shared" si="2"/>
        <v>0.66999999999999993</v>
      </c>
      <c r="W100" s="371">
        <f t="shared" si="2"/>
        <v>0.75</v>
      </c>
      <c r="X100" s="371">
        <f t="shared" si="2"/>
        <v>0.85</v>
      </c>
      <c r="Y100" s="371">
        <f t="shared" si="2"/>
        <v>0.85</v>
      </c>
      <c r="Z100" s="371">
        <f t="shared" si="2"/>
        <v>0.85</v>
      </c>
      <c r="AA100" s="371">
        <f t="shared" si="2"/>
        <v>0.75</v>
      </c>
      <c r="AB100" s="371">
        <f>AB103-5%</f>
        <v>0.56999999999999995</v>
      </c>
      <c r="AC100" s="372">
        <v>0.3</v>
      </c>
      <c r="AD100" s="37"/>
      <c r="AE100" s="37"/>
      <c r="AF100" s="37"/>
      <c r="AG100" s="37"/>
      <c r="AH100" s="37"/>
      <c r="AI100" s="37"/>
      <c r="AJ100" s="37"/>
      <c r="AK100" s="37"/>
    </row>
    <row r="101" spans="1:37" ht="30.6" customHeight="1" thickBot="1">
      <c r="A101" s="579"/>
      <c r="B101" s="570"/>
      <c r="C101" s="650"/>
      <c r="D101" s="573"/>
      <c r="E101" s="373" t="s">
        <v>484</v>
      </c>
      <c r="F101" s="374">
        <v>0.2</v>
      </c>
      <c r="G101" s="374">
        <v>0.15</v>
      </c>
      <c r="H101" s="374">
        <v>0.15</v>
      </c>
      <c r="I101" s="374">
        <v>0.15</v>
      </c>
      <c r="J101" s="374">
        <v>0.15</v>
      </c>
      <c r="K101" s="374">
        <v>0.15</v>
      </c>
      <c r="L101" s="374">
        <v>0.3</v>
      </c>
      <c r="M101" s="375">
        <f t="shared" si="2"/>
        <v>0.66999999999999993</v>
      </c>
      <c r="N101" s="375">
        <f t="shared" si="2"/>
        <v>0.73</v>
      </c>
      <c r="O101" s="375">
        <f t="shared" si="2"/>
        <v>0.75</v>
      </c>
      <c r="P101" s="375">
        <f t="shared" si="2"/>
        <v>0.85</v>
      </c>
      <c r="Q101" s="375">
        <f t="shared" si="2"/>
        <v>0.85</v>
      </c>
      <c r="R101" s="375">
        <f t="shared" si="2"/>
        <v>0.85</v>
      </c>
      <c r="S101" s="375">
        <f t="shared" si="2"/>
        <v>0.83</v>
      </c>
      <c r="T101" s="375">
        <f t="shared" si="2"/>
        <v>0.72</v>
      </c>
      <c r="U101" s="375">
        <f t="shared" si="2"/>
        <v>0.64999999999999991</v>
      </c>
      <c r="V101" s="375">
        <f t="shared" si="2"/>
        <v>0.66999999999999993</v>
      </c>
      <c r="W101" s="375">
        <f t="shared" si="2"/>
        <v>0.75</v>
      </c>
      <c r="X101" s="375">
        <f t="shared" si="2"/>
        <v>0.85</v>
      </c>
      <c r="Y101" s="375">
        <f t="shared" si="2"/>
        <v>0.85</v>
      </c>
      <c r="Z101" s="375">
        <f t="shared" si="2"/>
        <v>0.85</v>
      </c>
      <c r="AA101" s="375">
        <f t="shared" si="2"/>
        <v>0.75</v>
      </c>
      <c r="AB101" s="375">
        <f>AB104-5%</f>
        <v>0.56999999999999995</v>
      </c>
      <c r="AC101" s="376">
        <v>0.3</v>
      </c>
      <c r="AD101" s="37"/>
      <c r="AE101" s="37"/>
      <c r="AF101" s="37"/>
      <c r="AG101" s="37"/>
      <c r="AH101" s="37"/>
      <c r="AI101" s="37"/>
      <c r="AJ101" s="37"/>
      <c r="AK101" s="37"/>
    </row>
    <row r="102" spans="1:37" ht="30.6" customHeight="1">
      <c r="A102" s="642" t="str">
        <f>A96</f>
        <v>Dining and Café</v>
      </c>
      <c r="B102" s="670" t="s">
        <v>565</v>
      </c>
      <c r="C102" s="648" t="s">
        <v>569</v>
      </c>
      <c r="D102" s="672" t="s">
        <v>495</v>
      </c>
      <c r="E102" s="377" t="s">
        <v>485</v>
      </c>
      <c r="F102" s="358">
        <v>0.15</v>
      </c>
      <c r="G102" s="358">
        <v>0.15</v>
      </c>
      <c r="H102" s="358">
        <v>0.15</v>
      </c>
      <c r="I102" s="358">
        <v>0.15</v>
      </c>
      <c r="J102" s="358">
        <v>0.15</v>
      </c>
      <c r="K102" s="358">
        <v>0.2</v>
      </c>
      <c r="L102" s="378">
        <v>0.3</v>
      </c>
      <c r="M102" s="378">
        <v>0.72</v>
      </c>
      <c r="N102" s="378">
        <v>0.78</v>
      </c>
      <c r="O102" s="378">
        <v>0.8</v>
      </c>
      <c r="P102" s="358">
        <v>0.9</v>
      </c>
      <c r="Q102" s="358">
        <v>0.9</v>
      </c>
      <c r="R102" s="358">
        <v>0.9</v>
      </c>
      <c r="S102" s="378">
        <v>0.88</v>
      </c>
      <c r="T102" s="378">
        <v>0.77</v>
      </c>
      <c r="U102" s="378">
        <v>0.7</v>
      </c>
      <c r="V102" s="378">
        <v>0.72</v>
      </c>
      <c r="W102" s="378">
        <v>0.8</v>
      </c>
      <c r="X102" s="358">
        <v>0.9</v>
      </c>
      <c r="Y102" s="358">
        <v>0.9</v>
      </c>
      <c r="Z102" s="358">
        <v>0.9</v>
      </c>
      <c r="AA102" s="378">
        <v>0.8</v>
      </c>
      <c r="AB102" s="378">
        <v>0.62</v>
      </c>
      <c r="AC102" s="359">
        <v>0.3</v>
      </c>
      <c r="AD102" s="37"/>
      <c r="AE102" s="37"/>
      <c r="AF102" s="37"/>
      <c r="AG102" s="37"/>
      <c r="AH102" s="37"/>
      <c r="AI102" s="37"/>
      <c r="AJ102" s="37"/>
      <c r="AK102" s="37"/>
    </row>
    <row r="103" spans="1:37" ht="30.6" customHeight="1">
      <c r="A103" s="578"/>
      <c r="B103" s="569"/>
      <c r="C103" s="649"/>
      <c r="D103" s="672"/>
      <c r="E103" s="379" t="s">
        <v>483</v>
      </c>
      <c r="F103" s="343">
        <v>0.15</v>
      </c>
      <c r="G103" s="361">
        <v>0.15</v>
      </c>
      <c r="H103" s="361">
        <v>0.15</v>
      </c>
      <c r="I103" s="361">
        <v>0.15</v>
      </c>
      <c r="J103" s="361">
        <v>0.15</v>
      </c>
      <c r="K103" s="343">
        <v>0.2</v>
      </c>
      <c r="L103" s="361">
        <v>0.3</v>
      </c>
      <c r="M103" s="343">
        <v>0.72</v>
      </c>
      <c r="N103" s="343">
        <v>0.78</v>
      </c>
      <c r="O103" s="343">
        <v>0.8</v>
      </c>
      <c r="P103" s="343">
        <v>0.9</v>
      </c>
      <c r="Q103" s="343">
        <v>0.9</v>
      </c>
      <c r="R103" s="343">
        <v>0.9</v>
      </c>
      <c r="S103" s="343">
        <v>0.88</v>
      </c>
      <c r="T103" s="343">
        <v>0.77</v>
      </c>
      <c r="U103" s="343">
        <v>0.7</v>
      </c>
      <c r="V103" s="343">
        <v>0.72</v>
      </c>
      <c r="W103" s="343">
        <v>0.8</v>
      </c>
      <c r="X103" s="361">
        <v>0.9</v>
      </c>
      <c r="Y103" s="361">
        <v>0.9</v>
      </c>
      <c r="Z103" s="361">
        <v>0.9</v>
      </c>
      <c r="AA103" s="343">
        <v>0.8</v>
      </c>
      <c r="AB103" s="343">
        <v>0.62</v>
      </c>
      <c r="AC103" s="362">
        <v>0.3</v>
      </c>
      <c r="AD103" s="37"/>
      <c r="AE103" s="37"/>
      <c r="AF103" s="37"/>
      <c r="AG103" s="37"/>
      <c r="AH103" s="37"/>
      <c r="AI103" s="37"/>
      <c r="AJ103" s="37"/>
      <c r="AK103" s="37"/>
    </row>
    <row r="104" spans="1:37" ht="30.6" customHeight="1" thickBot="1">
      <c r="A104" s="579"/>
      <c r="B104" s="570"/>
      <c r="C104" s="671"/>
      <c r="D104" s="673"/>
      <c r="E104" s="380" t="s">
        <v>484</v>
      </c>
      <c r="F104" s="381">
        <v>0.2</v>
      </c>
      <c r="G104" s="364">
        <v>0.15</v>
      </c>
      <c r="H104" s="364">
        <v>0.15</v>
      </c>
      <c r="I104" s="364">
        <v>0.15</v>
      </c>
      <c r="J104" s="364">
        <v>0.15</v>
      </c>
      <c r="K104" s="381">
        <v>0.15</v>
      </c>
      <c r="L104" s="364">
        <v>0.3</v>
      </c>
      <c r="M104" s="381">
        <v>0.72</v>
      </c>
      <c r="N104" s="381">
        <v>0.78</v>
      </c>
      <c r="O104" s="381">
        <v>0.8</v>
      </c>
      <c r="P104" s="381">
        <v>0.9</v>
      </c>
      <c r="Q104" s="381">
        <v>0.9</v>
      </c>
      <c r="R104" s="381">
        <v>0.9</v>
      </c>
      <c r="S104" s="381">
        <v>0.88</v>
      </c>
      <c r="T104" s="381">
        <v>0.77</v>
      </c>
      <c r="U104" s="381">
        <v>0.7</v>
      </c>
      <c r="V104" s="381">
        <v>0.72</v>
      </c>
      <c r="W104" s="381">
        <v>0.8</v>
      </c>
      <c r="X104" s="381">
        <v>0.9</v>
      </c>
      <c r="Y104" s="381">
        <v>0.9</v>
      </c>
      <c r="Z104" s="381">
        <v>0.9</v>
      </c>
      <c r="AA104" s="381">
        <v>0.8</v>
      </c>
      <c r="AB104" s="381">
        <v>0.62</v>
      </c>
      <c r="AC104" s="365">
        <v>0.3</v>
      </c>
      <c r="AD104" s="37"/>
      <c r="AE104" s="37"/>
      <c r="AF104" s="37"/>
      <c r="AG104" s="37"/>
      <c r="AH104" s="37"/>
      <c r="AI104" s="37"/>
      <c r="AJ104" s="37"/>
      <c r="AK104" s="37"/>
    </row>
    <row r="105" spans="1:37" ht="30.6" customHeight="1">
      <c r="A105" s="577" t="str">
        <f>A96</f>
        <v>Dining and Café</v>
      </c>
      <c r="B105" s="568" t="s">
        <v>565</v>
      </c>
      <c r="C105" s="674" t="s">
        <v>540</v>
      </c>
      <c r="D105" s="667" t="s">
        <v>570</v>
      </c>
      <c r="E105" s="377" t="s">
        <v>485</v>
      </c>
      <c r="F105" s="358">
        <v>1</v>
      </c>
      <c r="G105" s="382">
        <v>0</v>
      </c>
      <c r="H105" s="382">
        <v>0</v>
      </c>
      <c r="I105" s="358">
        <v>0</v>
      </c>
      <c r="J105" s="382">
        <v>1</v>
      </c>
      <c r="K105" s="382">
        <v>1</v>
      </c>
      <c r="L105" s="358">
        <v>1</v>
      </c>
      <c r="M105" s="358">
        <v>1</v>
      </c>
      <c r="N105" s="358">
        <v>1</v>
      </c>
      <c r="O105" s="358">
        <v>1</v>
      </c>
      <c r="P105" s="358">
        <v>1</v>
      </c>
      <c r="Q105" s="358">
        <v>1</v>
      </c>
      <c r="R105" s="358">
        <v>1</v>
      </c>
      <c r="S105" s="358">
        <v>1</v>
      </c>
      <c r="T105" s="358">
        <v>1</v>
      </c>
      <c r="U105" s="358">
        <v>1</v>
      </c>
      <c r="V105" s="358">
        <v>1</v>
      </c>
      <c r="W105" s="358">
        <v>1</v>
      </c>
      <c r="X105" s="358">
        <v>1</v>
      </c>
      <c r="Y105" s="358">
        <v>1</v>
      </c>
      <c r="Z105" s="358">
        <v>1</v>
      </c>
      <c r="AA105" s="358">
        <v>1</v>
      </c>
      <c r="AB105" s="358">
        <v>1</v>
      </c>
      <c r="AC105" s="359">
        <v>1</v>
      </c>
      <c r="AD105" s="37"/>
      <c r="AE105" s="37"/>
      <c r="AF105" s="37"/>
      <c r="AG105" s="37"/>
      <c r="AH105" s="37"/>
      <c r="AI105" s="37"/>
      <c r="AJ105" s="37"/>
      <c r="AK105" s="37"/>
    </row>
    <row r="106" spans="1:37" ht="30.6" customHeight="1">
      <c r="A106" s="578"/>
      <c r="B106" s="569"/>
      <c r="C106" s="665"/>
      <c r="D106" s="668"/>
      <c r="E106" s="379" t="s">
        <v>483</v>
      </c>
      <c r="F106" s="361">
        <v>1</v>
      </c>
      <c r="G106" s="368">
        <v>0</v>
      </c>
      <c r="H106" s="368">
        <v>0</v>
      </c>
      <c r="I106" s="361">
        <v>0</v>
      </c>
      <c r="J106" s="361">
        <v>0</v>
      </c>
      <c r="K106" s="371">
        <v>1</v>
      </c>
      <c r="L106" s="371">
        <v>1</v>
      </c>
      <c r="M106" s="371">
        <v>1</v>
      </c>
      <c r="N106" s="361">
        <v>1</v>
      </c>
      <c r="O106" s="361">
        <v>1</v>
      </c>
      <c r="P106" s="361">
        <v>1</v>
      </c>
      <c r="Q106" s="361">
        <v>1</v>
      </c>
      <c r="R106" s="361">
        <v>1</v>
      </c>
      <c r="S106" s="361">
        <v>1</v>
      </c>
      <c r="T106" s="361">
        <v>1</v>
      </c>
      <c r="U106" s="361">
        <v>1</v>
      </c>
      <c r="V106" s="361">
        <v>1</v>
      </c>
      <c r="W106" s="361">
        <v>1</v>
      </c>
      <c r="X106" s="361">
        <v>1</v>
      </c>
      <c r="Y106" s="361">
        <v>1</v>
      </c>
      <c r="Z106" s="361">
        <v>1</v>
      </c>
      <c r="AA106" s="361">
        <v>1</v>
      </c>
      <c r="AB106" s="361">
        <v>1</v>
      </c>
      <c r="AC106" s="362">
        <v>1</v>
      </c>
      <c r="AD106" s="37"/>
      <c r="AE106" s="37"/>
      <c r="AF106" s="37"/>
      <c r="AG106" s="37"/>
      <c r="AH106" s="37"/>
      <c r="AI106" s="37"/>
      <c r="AJ106" s="37"/>
      <c r="AK106" s="37"/>
    </row>
    <row r="107" spans="1:37" ht="30.6" customHeight="1" thickBot="1">
      <c r="A107" s="579"/>
      <c r="B107" s="570"/>
      <c r="C107" s="666"/>
      <c r="D107" s="669"/>
      <c r="E107" s="380" t="s">
        <v>484</v>
      </c>
      <c r="F107" s="364">
        <v>1</v>
      </c>
      <c r="G107" s="383">
        <v>0</v>
      </c>
      <c r="H107" s="383">
        <v>0</v>
      </c>
      <c r="I107" s="364">
        <v>0</v>
      </c>
      <c r="J107" s="364">
        <v>0</v>
      </c>
      <c r="K107" s="384">
        <v>1</v>
      </c>
      <c r="L107" s="384">
        <v>1</v>
      </c>
      <c r="M107" s="384">
        <v>1</v>
      </c>
      <c r="N107" s="384">
        <v>1</v>
      </c>
      <c r="O107" s="364">
        <v>1</v>
      </c>
      <c r="P107" s="364">
        <v>1</v>
      </c>
      <c r="Q107" s="364">
        <v>1</v>
      </c>
      <c r="R107" s="364">
        <v>1</v>
      </c>
      <c r="S107" s="364">
        <v>1</v>
      </c>
      <c r="T107" s="364">
        <v>1</v>
      </c>
      <c r="U107" s="364">
        <v>1</v>
      </c>
      <c r="V107" s="364">
        <v>1</v>
      </c>
      <c r="W107" s="364">
        <v>1</v>
      </c>
      <c r="X107" s="364">
        <v>1</v>
      </c>
      <c r="Y107" s="364">
        <v>1</v>
      </c>
      <c r="Z107" s="364">
        <v>1</v>
      </c>
      <c r="AA107" s="364">
        <v>1</v>
      </c>
      <c r="AB107" s="364">
        <v>1</v>
      </c>
      <c r="AC107" s="365">
        <v>1</v>
      </c>
      <c r="AD107" s="37"/>
      <c r="AE107" s="37"/>
      <c r="AF107" s="37"/>
      <c r="AG107" s="37"/>
      <c r="AH107" s="37"/>
      <c r="AI107" s="37"/>
      <c r="AJ107" s="37"/>
      <c r="AK107" s="37"/>
    </row>
    <row r="108" spans="1:37" ht="30.6" customHeight="1">
      <c r="A108" s="577" t="str">
        <f>A96</f>
        <v>Dining and Café</v>
      </c>
      <c r="B108" s="568" t="s">
        <v>565</v>
      </c>
      <c r="C108" s="664" t="s">
        <v>536</v>
      </c>
      <c r="D108" s="571" t="s">
        <v>571</v>
      </c>
      <c r="E108" s="366" t="s">
        <v>485</v>
      </c>
      <c r="F108" s="367">
        <v>0.2</v>
      </c>
      <c r="G108" s="368">
        <v>0</v>
      </c>
      <c r="H108" s="368">
        <v>0</v>
      </c>
      <c r="I108" s="367">
        <v>0</v>
      </c>
      <c r="J108" s="367">
        <v>0</v>
      </c>
      <c r="K108" s="368">
        <v>0.6</v>
      </c>
      <c r="L108" s="368">
        <v>0.6</v>
      </c>
      <c r="M108" s="367">
        <v>0.6</v>
      </c>
      <c r="N108" s="367">
        <v>0.55000000000000004</v>
      </c>
      <c r="O108" s="367">
        <v>0.45</v>
      </c>
      <c r="P108" s="367">
        <v>0.4</v>
      </c>
      <c r="Q108" s="367">
        <v>0.45</v>
      </c>
      <c r="R108" s="367">
        <v>0.4</v>
      </c>
      <c r="S108" s="367">
        <v>0.35</v>
      </c>
      <c r="T108" s="367">
        <v>0.3</v>
      </c>
      <c r="U108" s="367">
        <v>0.3</v>
      </c>
      <c r="V108" s="367">
        <v>0.3</v>
      </c>
      <c r="W108" s="367">
        <v>0.4</v>
      </c>
      <c r="X108" s="367">
        <v>0.55000000000000004</v>
      </c>
      <c r="Y108" s="367">
        <v>0.6</v>
      </c>
      <c r="Z108" s="367">
        <v>0.5</v>
      </c>
      <c r="AA108" s="367">
        <v>0.55000000000000004</v>
      </c>
      <c r="AB108" s="367">
        <v>0.45</v>
      </c>
      <c r="AC108" s="369">
        <v>0.25</v>
      </c>
      <c r="AD108" s="37"/>
      <c r="AE108" s="37"/>
      <c r="AF108" s="37"/>
      <c r="AG108" s="37"/>
      <c r="AH108" s="37"/>
      <c r="AI108" s="37"/>
      <c r="AJ108" s="37"/>
      <c r="AK108" s="37"/>
    </row>
    <row r="109" spans="1:37" ht="30.6" customHeight="1">
      <c r="A109" s="578"/>
      <c r="B109" s="569"/>
      <c r="C109" s="665"/>
      <c r="D109" s="572"/>
      <c r="E109" s="370" t="s">
        <v>483</v>
      </c>
      <c r="F109" s="361">
        <v>0.2</v>
      </c>
      <c r="G109" s="371">
        <v>0</v>
      </c>
      <c r="H109" s="371">
        <v>0</v>
      </c>
      <c r="I109" s="361">
        <v>0</v>
      </c>
      <c r="J109" s="361">
        <v>0</v>
      </c>
      <c r="K109" s="361">
        <v>0</v>
      </c>
      <c r="L109" s="371">
        <v>0.5</v>
      </c>
      <c r="M109" s="371">
        <v>0.5</v>
      </c>
      <c r="N109" s="371">
        <v>0.5</v>
      </c>
      <c r="O109" s="361">
        <v>0.5</v>
      </c>
      <c r="P109" s="361">
        <v>0.45</v>
      </c>
      <c r="Q109" s="361">
        <v>0.5</v>
      </c>
      <c r="R109" s="361">
        <v>0.5</v>
      </c>
      <c r="S109" s="361">
        <v>0.45</v>
      </c>
      <c r="T109" s="361">
        <v>0.4</v>
      </c>
      <c r="U109" s="361">
        <v>0.4</v>
      </c>
      <c r="V109" s="361">
        <v>0.35</v>
      </c>
      <c r="W109" s="361">
        <v>0.4</v>
      </c>
      <c r="X109" s="361">
        <v>0.55000000000000004</v>
      </c>
      <c r="Y109" s="361">
        <v>0.55000000000000004</v>
      </c>
      <c r="Z109" s="361">
        <v>0.5</v>
      </c>
      <c r="AA109" s="361">
        <v>0.55000000000000004</v>
      </c>
      <c r="AB109" s="361">
        <v>0.4</v>
      </c>
      <c r="AC109" s="372">
        <v>0.3</v>
      </c>
      <c r="AD109" s="37"/>
      <c r="AE109" s="37"/>
      <c r="AF109" s="37"/>
      <c r="AG109" s="37"/>
      <c r="AH109" s="37"/>
      <c r="AI109" s="37"/>
      <c r="AJ109" s="37"/>
      <c r="AK109" s="37"/>
    </row>
    <row r="110" spans="1:37" ht="30.6" customHeight="1" thickBot="1">
      <c r="A110" s="579"/>
      <c r="B110" s="570"/>
      <c r="C110" s="666"/>
      <c r="D110" s="573"/>
      <c r="E110" s="373" t="s">
        <v>484</v>
      </c>
      <c r="F110" s="374">
        <v>0.25</v>
      </c>
      <c r="G110" s="375">
        <v>0</v>
      </c>
      <c r="H110" s="375">
        <v>0</v>
      </c>
      <c r="I110" s="374">
        <v>0</v>
      </c>
      <c r="J110" s="374">
        <v>0</v>
      </c>
      <c r="K110" s="374">
        <v>0</v>
      </c>
      <c r="L110" s="375">
        <v>0.5</v>
      </c>
      <c r="M110" s="375">
        <v>0.5</v>
      </c>
      <c r="N110" s="375">
        <v>0.5</v>
      </c>
      <c r="O110" s="375">
        <v>0.5</v>
      </c>
      <c r="P110" s="374">
        <v>0.5</v>
      </c>
      <c r="Q110" s="374">
        <v>0.5</v>
      </c>
      <c r="R110" s="374">
        <v>0.4</v>
      </c>
      <c r="S110" s="374">
        <v>0.4</v>
      </c>
      <c r="T110" s="374">
        <v>0.3</v>
      </c>
      <c r="U110" s="374">
        <v>0.3</v>
      </c>
      <c r="V110" s="374">
        <v>0.3</v>
      </c>
      <c r="W110" s="374">
        <v>0.4</v>
      </c>
      <c r="X110" s="374">
        <v>0.5</v>
      </c>
      <c r="Y110" s="374">
        <v>0.5</v>
      </c>
      <c r="Z110" s="374">
        <v>0.4</v>
      </c>
      <c r="AA110" s="374">
        <v>0.5</v>
      </c>
      <c r="AB110" s="374">
        <v>0.4</v>
      </c>
      <c r="AC110" s="376">
        <v>0.2</v>
      </c>
      <c r="AD110" s="37"/>
      <c r="AE110" s="37"/>
      <c r="AF110" s="37"/>
      <c r="AG110" s="37"/>
      <c r="AH110" s="37"/>
      <c r="AI110" s="37"/>
      <c r="AJ110" s="37"/>
      <c r="AK110" s="37"/>
    </row>
    <row r="111" spans="1:37" ht="30.6" customHeight="1">
      <c r="A111" s="577" t="str">
        <f>A96</f>
        <v>Dining and Café</v>
      </c>
      <c r="B111" s="568" t="s">
        <v>565</v>
      </c>
      <c r="C111" s="664" t="s">
        <v>286</v>
      </c>
      <c r="D111" s="667" t="s">
        <v>572</v>
      </c>
      <c r="E111" s="377" t="s">
        <v>485</v>
      </c>
      <c r="F111" s="382">
        <v>0.25</v>
      </c>
      <c r="G111" s="382">
        <v>0</v>
      </c>
      <c r="H111" s="382">
        <v>0</v>
      </c>
      <c r="I111" s="358">
        <v>1</v>
      </c>
      <c r="J111" s="382">
        <v>0.25</v>
      </c>
      <c r="K111" s="385">
        <v>0.25</v>
      </c>
      <c r="L111" s="386">
        <v>0.25</v>
      </c>
      <c r="M111" s="386">
        <v>0.25</v>
      </c>
      <c r="N111" s="386">
        <v>0.25</v>
      </c>
      <c r="O111" s="358">
        <v>0.25</v>
      </c>
      <c r="P111" s="358">
        <v>0.25</v>
      </c>
      <c r="Q111" s="358">
        <v>0.25</v>
      </c>
      <c r="R111" s="358">
        <v>0.25</v>
      </c>
      <c r="S111" s="358">
        <v>0.25</v>
      </c>
      <c r="T111" s="358">
        <v>0.25</v>
      </c>
      <c r="U111" s="358">
        <v>0.25</v>
      </c>
      <c r="V111" s="382">
        <v>0.25</v>
      </c>
      <c r="W111" s="358">
        <v>0.25</v>
      </c>
      <c r="X111" s="358">
        <v>0.25</v>
      </c>
      <c r="Y111" s="358">
        <v>0.25</v>
      </c>
      <c r="Z111" s="358">
        <v>0.25</v>
      </c>
      <c r="AA111" s="358">
        <v>0.25</v>
      </c>
      <c r="AB111" s="358">
        <v>0.25</v>
      </c>
      <c r="AC111" s="359">
        <v>0.25</v>
      </c>
      <c r="AD111" s="37"/>
      <c r="AE111" s="37"/>
      <c r="AF111" s="37"/>
      <c r="AG111" s="37"/>
      <c r="AH111" s="37"/>
      <c r="AI111" s="37"/>
      <c r="AJ111" s="37"/>
      <c r="AK111" s="37"/>
    </row>
    <row r="112" spans="1:37" ht="30.6" customHeight="1">
      <c r="A112" s="578"/>
      <c r="B112" s="569"/>
      <c r="C112" s="665"/>
      <c r="D112" s="668"/>
      <c r="E112" s="379" t="s">
        <v>483</v>
      </c>
      <c r="F112" s="371">
        <v>0.25</v>
      </c>
      <c r="G112" s="371">
        <v>0</v>
      </c>
      <c r="H112" s="361">
        <v>0</v>
      </c>
      <c r="I112" s="361">
        <v>1</v>
      </c>
      <c r="J112" s="361">
        <v>1</v>
      </c>
      <c r="K112" s="371">
        <v>0.25</v>
      </c>
      <c r="L112" s="371">
        <v>0.25</v>
      </c>
      <c r="M112" s="371">
        <v>0.25</v>
      </c>
      <c r="N112" s="361">
        <v>0.25</v>
      </c>
      <c r="O112" s="361">
        <v>0.25</v>
      </c>
      <c r="P112" s="361">
        <v>0.25</v>
      </c>
      <c r="Q112" s="361">
        <v>0.25</v>
      </c>
      <c r="R112" s="361">
        <v>0.25</v>
      </c>
      <c r="S112" s="361">
        <v>0.25</v>
      </c>
      <c r="T112" s="361">
        <v>0.25</v>
      </c>
      <c r="U112" s="361">
        <v>0.25</v>
      </c>
      <c r="V112" s="361">
        <v>0.25</v>
      </c>
      <c r="W112" s="361">
        <v>0.25</v>
      </c>
      <c r="X112" s="361">
        <v>0.25</v>
      </c>
      <c r="Y112" s="361">
        <v>0.25</v>
      </c>
      <c r="Z112" s="361">
        <v>0.25</v>
      </c>
      <c r="AA112" s="361">
        <v>0.25</v>
      </c>
      <c r="AB112" s="361">
        <v>0.25</v>
      </c>
      <c r="AC112" s="362">
        <v>0.25</v>
      </c>
      <c r="AD112" s="37"/>
      <c r="AE112" s="37"/>
      <c r="AF112" s="37"/>
      <c r="AG112" s="37"/>
      <c r="AH112" s="37"/>
      <c r="AI112" s="37"/>
      <c r="AJ112" s="37"/>
      <c r="AK112" s="37"/>
    </row>
    <row r="113" spans="1:37" ht="30.6" customHeight="1" thickBot="1">
      <c r="A113" s="579"/>
      <c r="B113" s="570"/>
      <c r="C113" s="666"/>
      <c r="D113" s="669"/>
      <c r="E113" s="405" t="s">
        <v>484</v>
      </c>
      <c r="F113" s="375">
        <v>0.25</v>
      </c>
      <c r="G113" s="375">
        <v>0</v>
      </c>
      <c r="H113" s="375">
        <v>0</v>
      </c>
      <c r="I113" s="374">
        <v>1</v>
      </c>
      <c r="J113" s="374">
        <v>1</v>
      </c>
      <c r="K113" s="403">
        <v>0.25</v>
      </c>
      <c r="L113" s="403">
        <v>0.25</v>
      </c>
      <c r="M113" s="403">
        <v>0.25</v>
      </c>
      <c r="N113" s="403">
        <v>0.25</v>
      </c>
      <c r="O113" s="374">
        <v>0.25</v>
      </c>
      <c r="P113" s="374">
        <v>0.25</v>
      </c>
      <c r="Q113" s="374">
        <v>0.25</v>
      </c>
      <c r="R113" s="374">
        <v>0.25</v>
      </c>
      <c r="S113" s="374">
        <v>0.25</v>
      </c>
      <c r="T113" s="374">
        <v>0.25</v>
      </c>
      <c r="U113" s="374">
        <v>0.25</v>
      </c>
      <c r="V113" s="374">
        <v>0.25</v>
      </c>
      <c r="W113" s="374">
        <v>0.25</v>
      </c>
      <c r="X113" s="374">
        <v>0.25</v>
      </c>
      <c r="Y113" s="374">
        <v>0.25</v>
      </c>
      <c r="Z113" s="374">
        <v>0.25</v>
      </c>
      <c r="AA113" s="374">
        <v>0.25</v>
      </c>
      <c r="AB113" s="374">
        <v>0.25</v>
      </c>
      <c r="AC113" s="404">
        <v>0.25</v>
      </c>
      <c r="AD113" s="37"/>
      <c r="AE113" s="37"/>
      <c r="AF113" s="37"/>
      <c r="AG113" s="37"/>
      <c r="AH113" s="37"/>
      <c r="AI113" s="37"/>
      <c r="AJ113" s="37"/>
      <c r="AK113" s="37"/>
    </row>
    <row r="114" spans="1:37" ht="30.6" customHeight="1">
      <c r="A114" s="675" t="str">
        <f>A96</f>
        <v>Dining and Café</v>
      </c>
      <c r="B114" s="678" t="str">
        <f>B108</f>
        <v>Restaurant</v>
      </c>
      <c r="C114" s="615" t="s">
        <v>542</v>
      </c>
      <c r="D114" s="681" t="s">
        <v>573</v>
      </c>
      <c r="E114" s="406" t="s">
        <v>485</v>
      </c>
      <c r="F114" s="284">
        <f>IF(F105=1,Thermostat!$B$3,Thermostat!$B$4)</f>
        <v>70</v>
      </c>
      <c r="G114" s="284">
        <f>IF(G105=1,Thermostat!$B$3,Thermostat!$B$4)</f>
        <v>70</v>
      </c>
      <c r="H114" s="284">
        <f>IF(H105=1,Thermostat!$B$3,Thermostat!$B$4)</f>
        <v>70</v>
      </c>
      <c r="I114" s="284">
        <f>IF(I105=1,Thermostat!$B$3,Thermostat!$B$4)</f>
        <v>70</v>
      </c>
      <c r="J114" s="284">
        <f>IF(J105=1,Thermostat!$B$3,Thermostat!$B$4)</f>
        <v>70</v>
      </c>
      <c r="K114" s="284">
        <f>IF(K105=1,Thermostat!$B$3,Thermostat!$B$4)</f>
        <v>70</v>
      </c>
      <c r="L114" s="284">
        <f>IF(L105=1,Thermostat!$B$3,Thermostat!$B$4)</f>
        <v>70</v>
      </c>
      <c r="M114" s="284">
        <f>IF(M105=1,Thermostat!$B$3,Thermostat!$B$4)</f>
        <v>70</v>
      </c>
      <c r="N114" s="284">
        <f>IF(N105=1,Thermostat!$B$3,Thermostat!$B$4)</f>
        <v>70</v>
      </c>
      <c r="O114" s="284">
        <f>IF(O105=1,Thermostat!$B$3,Thermostat!$B$4)</f>
        <v>70</v>
      </c>
      <c r="P114" s="284">
        <f>IF(P105=1,Thermostat!$B$3,Thermostat!$B$4)</f>
        <v>70</v>
      </c>
      <c r="Q114" s="284">
        <f>IF(Q105=1,Thermostat!$B$3,Thermostat!$B$4)</f>
        <v>70</v>
      </c>
      <c r="R114" s="284">
        <f>IF(R105=1,Thermostat!$B$3,Thermostat!$B$4)</f>
        <v>70</v>
      </c>
      <c r="S114" s="284">
        <f>IF(S105=1,Thermostat!$B$3,Thermostat!$B$4)</f>
        <v>70</v>
      </c>
      <c r="T114" s="284">
        <f>IF(T105=1,Thermostat!$B$3,Thermostat!$B$4)</f>
        <v>70</v>
      </c>
      <c r="U114" s="284">
        <f>IF(U105=1,Thermostat!$B$3,Thermostat!$B$4)</f>
        <v>70</v>
      </c>
      <c r="V114" s="284">
        <f>IF(V105=1,Thermostat!$B$3,Thermostat!$B$4)</f>
        <v>70</v>
      </c>
      <c r="W114" s="284">
        <f>IF(W105=1,Thermostat!$B$3,Thermostat!$B$4)</f>
        <v>70</v>
      </c>
      <c r="X114" s="284">
        <f>IF(X105=1,Thermostat!$B$3,Thermostat!$B$4)</f>
        <v>70</v>
      </c>
      <c r="Y114" s="284">
        <f>IF(Y105=1,Thermostat!$B$3,Thermostat!$B$4)</f>
        <v>70</v>
      </c>
      <c r="Z114" s="284">
        <f>IF(Z105=1,Thermostat!$B$3,Thermostat!$B$4)</f>
        <v>70</v>
      </c>
      <c r="AA114" s="284">
        <f>IF(AA105=1,Thermostat!$B$3,Thermostat!$B$4)</f>
        <v>70</v>
      </c>
      <c r="AB114" s="284">
        <f>IF(AB105=1,Thermostat!$B$3,Thermostat!$B$4)</f>
        <v>70</v>
      </c>
      <c r="AC114" s="285">
        <f>IF(AC105=1,Thermostat!$B$3,Thermostat!$B$4)</f>
        <v>70</v>
      </c>
      <c r="AD114" s="37"/>
      <c r="AE114" s="37"/>
      <c r="AF114" s="37"/>
      <c r="AG114" s="37"/>
      <c r="AH114" s="37"/>
      <c r="AI114" s="37"/>
      <c r="AJ114" s="37"/>
      <c r="AK114" s="37"/>
    </row>
    <row r="115" spans="1:37" ht="30.6" customHeight="1">
      <c r="A115" s="676"/>
      <c r="B115" s="679"/>
      <c r="C115" s="590"/>
      <c r="D115" s="682"/>
      <c r="E115" s="407" t="s">
        <v>483</v>
      </c>
      <c r="F115" s="287">
        <f>IF(F106=1,Thermostat!$B$3,Thermostat!$B$4)</f>
        <v>70</v>
      </c>
      <c r="G115" s="287">
        <f>IF(G106=1,Thermostat!$B$3,Thermostat!$B$4)</f>
        <v>70</v>
      </c>
      <c r="H115" s="287">
        <f>IF(H106=1,Thermostat!$B$3,Thermostat!$B$4)</f>
        <v>70</v>
      </c>
      <c r="I115" s="287">
        <f>IF(I106=1,Thermostat!$B$3,Thermostat!$B$4)</f>
        <v>70</v>
      </c>
      <c r="J115" s="287">
        <f>IF(J106=1,Thermostat!$B$3,Thermostat!$B$4)</f>
        <v>70</v>
      </c>
      <c r="K115" s="287">
        <f>IF(K106=1,Thermostat!$B$3,Thermostat!$B$4)</f>
        <v>70</v>
      </c>
      <c r="L115" s="287">
        <f>IF(L106=1,Thermostat!$B$3,Thermostat!$B$4)</f>
        <v>70</v>
      </c>
      <c r="M115" s="287">
        <f>IF(M106=1,Thermostat!$B$3,Thermostat!$B$4)</f>
        <v>70</v>
      </c>
      <c r="N115" s="287">
        <f>IF(N106=1,Thermostat!$B$3,Thermostat!$B$4)</f>
        <v>70</v>
      </c>
      <c r="O115" s="287">
        <f>IF(O106=1,Thermostat!$B$3,Thermostat!$B$4)</f>
        <v>70</v>
      </c>
      <c r="P115" s="287">
        <f>IF(P106=1,Thermostat!$B$3,Thermostat!$B$4)</f>
        <v>70</v>
      </c>
      <c r="Q115" s="287">
        <f>IF(Q106=1,Thermostat!$B$3,Thermostat!$B$4)</f>
        <v>70</v>
      </c>
      <c r="R115" s="287">
        <f>IF(R106=1,Thermostat!$B$3,Thermostat!$B$4)</f>
        <v>70</v>
      </c>
      <c r="S115" s="287">
        <f>IF(S106=1,Thermostat!$B$3,Thermostat!$B$4)</f>
        <v>70</v>
      </c>
      <c r="T115" s="287">
        <f>IF(T106=1,Thermostat!$B$3,Thermostat!$B$4)</f>
        <v>70</v>
      </c>
      <c r="U115" s="287">
        <f>IF(U106=1,Thermostat!$B$3,Thermostat!$B$4)</f>
        <v>70</v>
      </c>
      <c r="V115" s="287">
        <f>IF(V106=1,Thermostat!$B$3,Thermostat!$B$4)</f>
        <v>70</v>
      </c>
      <c r="W115" s="287">
        <f>IF(W106=1,Thermostat!$B$3,Thermostat!$B$4)</f>
        <v>70</v>
      </c>
      <c r="X115" s="287">
        <f>IF(X106=1,Thermostat!$B$3,Thermostat!$B$4)</f>
        <v>70</v>
      </c>
      <c r="Y115" s="287">
        <f>IF(Y106=1,Thermostat!$B$3,Thermostat!$B$4)</f>
        <v>70</v>
      </c>
      <c r="Z115" s="287">
        <f>IF(Z106=1,Thermostat!$B$3,Thermostat!$B$4)</f>
        <v>70</v>
      </c>
      <c r="AA115" s="287">
        <f>IF(AA106=1,Thermostat!$B$3,Thermostat!$B$4)</f>
        <v>70</v>
      </c>
      <c r="AB115" s="287">
        <f>IF(AB106=1,Thermostat!$B$3,Thermostat!$B$4)</f>
        <v>70</v>
      </c>
      <c r="AC115" s="288">
        <f>IF(AC106=1,Thermostat!$B$3,Thermostat!$B$4)</f>
        <v>70</v>
      </c>
      <c r="AD115" s="37"/>
      <c r="AE115" s="37"/>
      <c r="AF115" s="37"/>
      <c r="AG115" s="37"/>
      <c r="AH115" s="37"/>
      <c r="AI115" s="37"/>
      <c r="AJ115" s="37"/>
      <c r="AK115" s="37"/>
    </row>
    <row r="116" spans="1:37" ht="30.6" customHeight="1" thickBot="1">
      <c r="A116" s="677"/>
      <c r="B116" s="680"/>
      <c r="C116" s="599"/>
      <c r="D116" s="683"/>
      <c r="E116" s="408" t="s">
        <v>484</v>
      </c>
      <c r="F116" s="290">
        <f>IF(F107=1,Thermostat!$B$3,Thermostat!$B$4)</f>
        <v>70</v>
      </c>
      <c r="G116" s="290">
        <f>IF(G107=1,Thermostat!$B$3,Thermostat!$B$4)</f>
        <v>70</v>
      </c>
      <c r="H116" s="290">
        <f>IF(H107=1,Thermostat!$B$3,Thermostat!$B$4)</f>
        <v>70</v>
      </c>
      <c r="I116" s="290">
        <f>IF(I107=1,Thermostat!$B$3,Thermostat!$B$4)</f>
        <v>70</v>
      </c>
      <c r="J116" s="290">
        <f>IF(J107=1,Thermostat!$B$3,Thermostat!$B$4)</f>
        <v>70</v>
      </c>
      <c r="K116" s="290">
        <f>IF(K107=1,Thermostat!$B$3,Thermostat!$B$4)</f>
        <v>70</v>
      </c>
      <c r="L116" s="290">
        <f>IF(L107=1,Thermostat!$B$3,Thermostat!$B$4)</f>
        <v>70</v>
      </c>
      <c r="M116" s="290">
        <f>IF(M107=1,Thermostat!$B$3,Thermostat!$B$4)</f>
        <v>70</v>
      </c>
      <c r="N116" s="290">
        <f>IF(N107=1,Thermostat!$B$3,Thermostat!$B$4)</f>
        <v>70</v>
      </c>
      <c r="O116" s="290">
        <f>IF(O107=1,Thermostat!$B$3,Thermostat!$B$4)</f>
        <v>70</v>
      </c>
      <c r="P116" s="290">
        <f>IF(P107=1,Thermostat!$B$3,Thermostat!$B$4)</f>
        <v>70</v>
      </c>
      <c r="Q116" s="290">
        <f>IF(Q107=1,Thermostat!$B$3,Thermostat!$B$4)</f>
        <v>70</v>
      </c>
      <c r="R116" s="290">
        <f>IF(R107=1,Thermostat!$B$3,Thermostat!$B$4)</f>
        <v>70</v>
      </c>
      <c r="S116" s="290">
        <f>IF(S107=1,Thermostat!$B$3,Thermostat!$B$4)</f>
        <v>70</v>
      </c>
      <c r="T116" s="290">
        <f>IF(T107=1,Thermostat!$B$3,Thermostat!$B$4)</f>
        <v>70</v>
      </c>
      <c r="U116" s="290">
        <f>IF(U107=1,Thermostat!$B$3,Thermostat!$B$4)</f>
        <v>70</v>
      </c>
      <c r="V116" s="290">
        <f>IF(V107=1,Thermostat!$B$3,Thermostat!$B$4)</f>
        <v>70</v>
      </c>
      <c r="W116" s="290">
        <f>IF(W107=1,Thermostat!$B$3,Thermostat!$B$4)</f>
        <v>70</v>
      </c>
      <c r="X116" s="290">
        <f>IF(X107=1,Thermostat!$B$3,Thermostat!$B$4)</f>
        <v>70</v>
      </c>
      <c r="Y116" s="290">
        <f>IF(Y107=1,Thermostat!$B$3,Thermostat!$B$4)</f>
        <v>70</v>
      </c>
      <c r="Z116" s="290">
        <f>IF(Z107=1,Thermostat!$B$3,Thermostat!$B$4)</f>
        <v>70</v>
      </c>
      <c r="AA116" s="290">
        <f>IF(AA107=1,Thermostat!$B$3,Thermostat!$B$4)</f>
        <v>70</v>
      </c>
      <c r="AB116" s="290">
        <f>IF(AB107=1,Thermostat!$B$3,Thermostat!$B$4)</f>
        <v>70</v>
      </c>
      <c r="AC116" s="291">
        <f>IF(AC107=1,Thermostat!$B$3,Thermostat!$B$4)</f>
        <v>70</v>
      </c>
      <c r="AD116" s="37"/>
      <c r="AE116" s="37"/>
      <c r="AF116" s="37"/>
      <c r="AG116" s="37"/>
      <c r="AH116" s="37"/>
      <c r="AI116" s="37"/>
      <c r="AJ116" s="37"/>
      <c r="AK116" s="37"/>
    </row>
    <row r="117" spans="1:37" ht="30.6" customHeight="1">
      <c r="A117" s="612" t="str">
        <f>A96</f>
        <v>Dining and Café</v>
      </c>
      <c r="B117" s="684" t="str">
        <f>B111</f>
        <v>Restaurant</v>
      </c>
      <c r="C117" s="598" t="s">
        <v>543</v>
      </c>
      <c r="D117" s="600" t="s">
        <v>573</v>
      </c>
      <c r="E117" s="409" t="s">
        <v>485</v>
      </c>
      <c r="F117" s="293">
        <f>IF(F105=1,Thermostat!$B$5,Thermostat!$B$6)</f>
        <v>75</v>
      </c>
      <c r="G117" s="293">
        <f>IF(G105=1,Thermostat!$B$5,Thermostat!$B$6)</f>
        <v>75</v>
      </c>
      <c r="H117" s="293">
        <f>IF(H105=1,Thermostat!$B$5,Thermostat!$B$6)</f>
        <v>75</v>
      </c>
      <c r="I117" s="293">
        <f>IF(I105=1,Thermostat!$B$5,Thermostat!$B$6)</f>
        <v>75</v>
      </c>
      <c r="J117" s="293">
        <f>IF(J105=1,Thermostat!$B$5,Thermostat!$B$6)</f>
        <v>75</v>
      </c>
      <c r="K117" s="293">
        <f>IF(K105=1,Thermostat!$B$5,Thermostat!$B$6)</f>
        <v>75</v>
      </c>
      <c r="L117" s="293">
        <f>IF(L105=1,Thermostat!$B$5,Thermostat!$B$6)</f>
        <v>75</v>
      </c>
      <c r="M117" s="293">
        <f>IF(M105=1,Thermostat!$B$5,Thermostat!$B$6)</f>
        <v>75</v>
      </c>
      <c r="N117" s="293">
        <f>IF(N105=1,Thermostat!$B$5,Thermostat!$B$6)</f>
        <v>75</v>
      </c>
      <c r="O117" s="293">
        <f>IF(O105=1,Thermostat!$B$5,Thermostat!$B$6)</f>
        <v>75</v>
      </c>
      <c r="P117" s="293">
        <f>IF(P105=1,Thermostat!$B$5,Thermostat!$B$6)</f>
        <v>75</v>
      </c>
      <c r="Q117" s="293">
        <f>IF(Q105=1,Thermostat!$B$5,Thermostat!$B$6)</f>
        <v>75</v>
      </c>
      <c r="R117" s="293">
        <f>IF(R105=1,Thermostat!$B$5,Thermostat!$B$6)</f>
        <v>75</v>
      </c>
      <c r="S117" s="293">
        <f>IF(S105=1,Thermostat!$B$5,Thermostat!$B$6)</f>
        <v>75</v>
      </c>
      <c r="T117" s="293">
        <f>IF(T105=1,Thermostat!$B$5,Thermostat!$B$6)</f>
        <v>75</v>
      </c>
      <c r="U117" s="293">
        <f>IF(U105=1,Thermostat!$B$5,Thermostat!$B$6)</f>
        <v>75</v>
      </c>
      <c r="V117" s="293">
        <f>IF(V105=1,Thermostat!$B$5,Thermostat!$B$6)</f>
        <v>75</v>
      </c>
      <c r="W117" s="293">
        <f>IF(W105=1,Thermostat!$B$5,Thermostat!$B$6)</f>
        <v>75</v>
      </c>
      <c r="X117" s="293">
        <f>IF(X105=1,Thermostat!$B$5,Thermostat!$B$6)</f>
        <v>75</v>
      </c>
      <c r="Y117" s="293">
        <f>IF(Y105=1,Thermostat!$B$5,Thermostat!$B$6)</f>
        <v>75</v>
      </c>
      <c r="Z117" s="293">
        <f>IF(Z105=1,Thermostat!$B$5,Thermostat!$B$6)</f>
        <v>75</v>
      </c>
      <c r="AA117" s="293">
        <f>IF(AA105=1,Thermostat!$B$5,Thermostat!$B$6)</f>
        <v>75</v>
      </c>
      <c r="AB117" s="293">
        <f>IF(AB105=1,Thermostat!$B$5,Thermostat!$B$6)</f>
        <v>75</v>
      </c>
      <c r="AC117" s="294">
        <f>IF(AC105=1,Thermostat!$B$5,Thermostat!$B$6)</f>
        <v>75</v>
      </c>
      <c r="AD117" s="37"/>
      <c r="AE117" s="37"/>
      <c r="AF117" s="37"/>
      <c r="AG117" s="37"/>
      <c r="AH117" s="37"/>
      <c r="AI117" s="37"/>
      <c r="AJ117" s="37"/>
      <c r="AK117" s="37"/>
    </row>
    <row r="118" spans="1:37" ht="30.6" customHeight="1">
      <c r="A118" s="613"/>
      <c r="B118" s="679"/>
      <c r="C118" s="590"/>
      <c r="D118" s="601"/>
      <c r="E118" s="407" t="s">
        <v>483</v>
      </c>
      <c r="F118" s="287">
        <f>IF(F106=1,Thermostat!$B$5,Thermostat!$B$6)</f>
        <v>75</v>
      </c>
      <c r="G118" s="287">
        <f>IF(G106=1,Thermostat!$B$5,Thermostat!$B$6)</f>
        <v>75</v>
      </c>
      <c r="H118" s="287">
        <f>IF(H106=1,Thermostat!$B$5,Thermostat!$B$6)</f>
        <v>75</v>
      </c>
      <c r="I118" s="287">
        <f>IF(I106=1,Thermostat!$B$5,Thermostat!$B$6)</f>
        <v>75</v>
      </c>
      <c r="J118" s="287">
        <f>IF(J106=1,Thermostat!$B$5,Thermostat!$B$6)</f>
        <v>75</v>
      </c>
      <c r="K118" s="287">
        <f>IF(K106=1,Thermostat!$B$5,Thermostat!$B$6)</f>
        <v>75</v>
      </c>
      <c r="L118" s="287">
        <f>IF(L106=1,Thermostat!$B$5,Thermostat!$B$6)</f>
        <v>75</v>
      </c>
      <c r="M118" s="287">
        <f>IF(M106=1,Thermostat!$B$5,Thermostat!$B$6)</f>
        <v>75</v>
      </c>
      <c r="N118" s="287">
        <f>IF(N106=1,Thermostat!$B$5,Thermostat!$B$6)</f>
        <v>75</v>
      </c>
      <c r="O118" s="287">
        <f>IF(O106=1,Thermostat!$B$5,Thermostat!$B$6)</f>
        <v>75</v>
      </c>
      <c r="P118" s="287">
        <f>IF(P106=1,Thermostat!$B$5,Thermostat!$B$6)</f>
        <v>75</v>
      </c>
      <c r="Q118" s="287">
        <f>IF(Q106=1,Thermostat!$B$5,Thermostat!$B$6)</f>
        <v>75</v>
      </c>
      <c r="R118" s="287">
        <f>IF(R106=1,Thermostat!$B$5,Thermostat!$B$6)</f>
        <v>75</v>
      </c>
      <c r="S118" s="287">
        <f>IF(S106=1,Thermostat!$B$5,Thermostat!$B$6)</f>
        <v>75</v>
      </c>
      <c r="T118" s="287">
        <f>IF(T106=1,Thermostat!$B$5,Thermostat!$B$6)</f>
        <v>75</v>
      </c>
      <c r="U118" s="287">
        <f>IF(U106=1,Thermostat!$B$5,Thermostat!$B$6)</f>
        <v>75</v>
      </c>
      <c r="V118" s="287">
        <f>IF(V106=1,Thermostat!$B$5,Thermostat!$B$6)</f>
        <v>75</v>
      </c>
      <c r="W118" s="287">
        <f>IF(W106=1,Thermostat!$B$5,Thermostat!$B$6)</f>
        <v>75</v>
      </c>
      <c r="X118" s="287">
        <f>IF(X106=1,Thermostat!$B$5,Thermostat!$B$6)</f>
        <v>75</v>
      </c>
      <c r="Y118" s="287">
        <f>IF(Y106=1,Thermostat!$B$5,Thermostat!$B$6)</f>
        <v>75</v>
      </c>
      <c r="Z118" s="287">
        <f>IF(Z106=1,Thermostat!$B$5,Thermostat!$B$6)</f>
        <v>75</v>
      </c>
      <c r="AA118" s="287">
        <f>IF(AA106=1,Thermostat!$B$5,Thermostat!$B$6)</f>
        <v>75</v>
      </c>
      <c r="AB118" s="287">
        <f>IF(AB106=1,Thermostat!$B$5,Thermostat!$B$6)</f>
        <v>75</v>
      </c>
      <c r="AC118" s="288">
        <f>IF(AC106=1,Thermostat!$B$5,Thermostat!$B$6)</f>
        <v>75</v>
      </c>
      <c r="AD118" s="37"/>
      <c r="AE118" s="37"/>
      <c r="AF118" s="37"/>
      <c r="AG118" s="37"/>
      <c r="AH118" s="37"/>
      <c r="AI118" s="37"/>
      <c r="AJ118" s="37"/>
      <c r="AK118" s="37"/>
    </row>
    <row r="119" spans="1:37" ht="30.6" customHeight="1" thickBot="1">
      <c r="A119" s="620"/>
      <c r="B119" s="685"/>
      <c r="C119" s="686"/>
      <c r="D119" s="602"/>
      <c r="E119" s="408" t="s">
        <v>484</v>
      </c>
      <c r="F119" s="290">
        <f>IF(F107=1,Thermostat!$B$5,Thermostat!$B$6)</f>
        <v>75</v>
      </c>
      <c r="G119" s="290">
        <f>IF(G107=1,Thermostat!$B$5,Thermostat!$B$6)</f>
        <v>75</v>
      </c>
      <c r="H119" s="290">
        <f>IF(H107=1,Thermostat!$B$5,Thermostat!$B$6)</f>
        <v>75</v>
      </c>
      <c r="I119" s="290">
        <f>IF(I107=1,Thermostat!$B$5,Thermostat!$B$6)</f>
        <v>75</v>
      </c>
      <c r="J119" s="290">
        <f>IF(J107=1,Thermostat!$B$5,Thermostat!$B$6)</f>
        <v>75</v>
      </c>
      <c r="K119" s="290">
        <f>IF(K107=1,Thermostat!$B$5,Thermostat!$B$6)</f>
        <v>75</v>
      </c>
      <c r="L119" s="290">
        <f>IF(L107=1,Thermostat!$B$5,Thermostat!$B$6)</f>
        <v>75</v>
      </c>
      <c r="M119" s="290">
        <f>IF(M107=1,Thermostat!$B$5,Thermostat!$B$6)</f>
        <v>75</v>
      </c>
      <c r="N119" s="290">
        <f>IF(N107=1,Thermostat!$B$5,Thermostat!$B$6)</f>
        <v>75</v>
      </c>
      <c r="O119" s="290">
        <f>IF(O107=1,Thermostat!$B$5,Thermostat!$B$6)</f>
        <v>75</v>
      </c>
      <c r="P119" s="290">
        <f>IF(P107=1,Thermostat!$B$5,Thermostat!$B$6)</f>
        <v>75</v>
      </c>
      <c r="Q119" s="290">
        <f>IF(Q107=1,Thermostat!$B$5,Thermostat!$B$6)</f>
        <v>75</v>
      </c>
      <c r="R119" s="290">
        <f>IF(R107=1,Thermostat!$B$5,Thermostat!$B$6)</f>
        <v>75</v>
      </c>
      <c r="S119" s="290">
        <f>IF(S107=1,Thermostat!$B$5,Thermostat!$B$6)</f>
        <v>75</v>
      </c>
      <c r="T119" s="290">
        <f>IF(T107=1,Thermostat!$B$5,Thermostat!$B$6)</f>
        <v>75</v>
      </c>
      <c r="U119" s="290">
        <f>IF(U107=1,Thermostat!$B$5,Thermostat!$B$6)</f>
        <v>75</v>
      </c>
      <c r="V119" s="290">
        <f>IF(V107=1,Thermostat!$B$5,Thermostat!$B$6)</f>
        <v>75</v>
      </c>
      <c r="W119" s="290">
        <f>IF(W107=1,Thermostat!$B$5,Thermostat!$B$6)</f>
        <v>75</v>
      </c>
      <c r="X119" s="290">
        <f>IF(X107=1,Thermostat!$B$5,Thermostat!$B$6)</f>
        <v>75</v>
      </c>
      <c r="Y119" s="290">
        <f>IF(Y107=1,Thermostat!$B$5,Thermostat!$B$6)</f>
        <v>75</v>
      </c>
      <c r="Z119" s="290">
        <f>IF(Z107=1,Thermostat!$B$5,Thermostat!$B$6)</f>
        <v>75</v>
      </c>
      <c r="AA119" s="290">
        <f>IF(AA107=1,Thermostat!$B$5,Thermostat!$B$6)</f>
        <v>75</v>
      </c>
      <c r="AB119" s="290">
        <f>IF(AB107=1,Thermostat!$B$5,Thermostat!$B$6)</f>
        <v>75</v>
      </c>
      <c r="AC119" s="291">
        <f>IF(AC107=1,Thermostat!$B$5,Thermostat!$B$6)</f>
        <v>75</v>
      </c>
      <c r="AD119" s="37"/>
      <c r="AE119" s="37"/>
      <c r="AF119" s="37"/>
      <c r="AG119" s="37"/>
      <c r="AH119" s="37"/>
      <c r="AI119" s="37"/>
      <c r="AJ119" s="37"/>
      <c r="AK119" s="37"/>
    </row>
    <row r="120" spans="1:37" ht="30.6" customHeight="1" thickBot="1">
      <c r="A120" s="574" t="s">
        <v>561</v>
      </c>
      <c r="B120" s="575"/>
      <c r="C120" s="575"/>
      <c r="D120" s="575"/>
      <c r="E120" s="575"/>
      <c r="F120" s="575"/>
      <c r="G120" s="575"/>
      <c r="H120" s="575"/>
      <c r="I120" s="575"/>
      <c r="J120" s="575"/>
      <c r="K120" s="575"/>
      <c r="L120" s="575"/>
      <c r="M120" s="575"/>
      <c r="N120" s="575"/>
      <c r="O120" s="575"/>
      <c r="P120" s="575"/>
      <c r="Q120" s="575"/>
      <c r="R120" s="575"/>
      <c r="S120" s="575"/>
      <c r="T120" s="575"/>
      <c r="U120" s="575"/>
      <c r="V120" s="575"/>
      <c r="W120" s="575"/>
      <c r="X120" s="575"/>
      <c r="Y120" s="575"/>
      <c r="Z120" s="575"/>
      <c r="AA120" s="575"/>
      <c r="AB120" s="575"/>
      <c r="AC120" s="576"/>
      <c r="AD120" s="37"/>
      <c r="AE120" s="37"/>
      <c r="AF120" s="37"/>
      <c r="AG120" s="37"/>
      <c r="AH120" s="37"/>
      <c r="AI120" s="37"/>
      <c r="AJ120" s="37"/>
      <c r="AK120" s="37"/>
    </row>
    <row r="121" spans="1:37" ht="30.6" customHeight="1">
      <c r="A121" s="577" t="s">
        <v>561</v>
      </c>
      <c r="B121" s="568" t="s">
        <v>561</v>
      </c>
      <c r="C121" s="568" t="s">
        <v>574</v>
      </c>
      <c r="D121" s="571" t="s">
        <v>567</v>
      </c>
      <c r="E121" s="357" t="s">
        <v>485</v>
      </c>
      <c r="F121" s="358">
        <v>0.05</v>
      </c>
      <c r="G121" s="358">
        <v>0</v>
      </c>
      <c r="H121" s="358">
        <v>0</v>
      </c>
      <c r="I121" s="358">
        <v>0</v>
      </c>
      <c r="J121" s="358">
        <v>0</v>
      </c>
      <c r="K121" s="358">
        <v>0.05</v>
      </c>
      <c r="L121" s="358">
        <v>0.1</v>
      </c>
      <c r="M121" s="358">
        <v>0.4</v>
      </c>
      <c r="N121" s="358">
        <v>0.4</v>
      </c>
      <c r="O121" s="358">
        <v>0.4</v>
      </c>
      <c r="P121" s="358">
        <v>0.2</v>
      </c>
      <c r="Q121" s="358">
        <v>0.5</v>
      </c>
      <c r="R121" s="358">
        <v>0.8</v>
      </c>
      <c r="S121" s="358">
        <v>0.7</v>
      </c>
      <c r="T121" s="358">
        <v>0.4</v>
      </c>
      <c r="U121" s="358">
        <v>0.2</v>
      </c>
      <c r="V121" s="358">
        <v>0.25</v>
      </c>
      <c r="W121" s="358">
        <v>0.5</v>
      </c>
      <c r="X121" s="358">
        <v>0.8</v>
      </c>
      <c r="Y121" s="358">
        <v>0.8</v>
      </c>
      <c r="Z121" s="358">
        <v>0.8</v>
      </c>
      <c r="AA121" s="358">
        <v>0.5</v>
      </c>
      <c r="AB121" s="358">
        <v>0.35</v>
      </c>
      <c r="AC121" s="359">
        <v>0.2</v>
      </c>
      <c r="AD121" s="37"/>
      <c r="AE121" s="37"/>
      <c r="AF121" s="37"/>
      <c r="AG121" s="37"/>
      <c r="AH121" s="37"/>
      <c r="AI121" s="37"/>
      <c r="AJ121" s="37"/>
      <c r="AK121" s="37"/>
    </row>
    <row r="122" spans="1:37" ht="30.6" customHeight="1">
      <c r="A122" s="578"/>
      <c r="B122" s="569"/>
      <c r="C122" s="569"/>
      <c r="D122" s="572"/>
      <c r="E122" s="360" t="s">
        <v>483</v>
      </c>
      <c r="F122" s="361">
        <v>0.05</v>
      </c>
      <c r="G122" s="361">
        <v>0</v>
      </c>
      <c r="H122" s="361">
        <v>0</v>
      </c>
      <c r="I122" s="361">
        <v>0</v>
      </c>
      <c r="J122" s="361">
        <v>0</v>
      </c>
      <c r="K122" s="361">
        <v>0</v>
      </c>
      <c r="L122" s="361">
        <v>0.05</v>
      </c>
      <c r="M122" s="361">
        <v>0.5</v>
      </c>
      <c r="N122" s="361">
        <v>0.5</v>
      </c>
      <c r="O122" s="361">
        <v>0.4</v>
      </c>
      <c r="P122" s="361">
        <v>0.2</v>
      </c>
      <c r="Q122" s="361">
        <v>0.45</v>
      </c>
      <c r="R122" s="361">
        <v>0.5</v>
      </c>
      <c r="S122" s="361">
        <v>0.5</v>
      </c>
      <c r="T122" s="361">
        <v>0.35</v>
      </c>
      <c r="U122" s="361">
        <v>0.3</v>
      </c>
      <c r="V122" s="361">
        <v>0.3</v>
      </c>
      <c r="W122" s="361">
        <v>0.3</v>
      </c>
      <c r="X122" s="361">
        <v>0.7</v>
      </c>
      <c r="Y122" s="361">
        <v>0.9</v>
      </c>
      <c r="Z122" s="361">
        <v>0.7</v>
      </c>
      <c r="AA122" s="361">
        <v>0.65</v>
      </c>
      <c r="AB122" s="361">
        <v>0.55000000000000004</v>
      </c>
      <c r="AC122" s="362">
        <v>0.35</v>
      </c>
      <c r="AD122" s="37"/>
      <c r="AE122" s="37"/>
      <c r="AF122" s="37"/>
      <c r="AG122" s="37"/>
      <c r="AH122" s="37"/>
      <c r="AI122" s="37"/>
      <c r="AJ122" s="37"/>
      <c r="AK122" s="37"/>
    </row>
    <row r="123" spans="1:37" ht="30.6" customHeight="1" thickBot="1">
      <c r="A123" s="579"/>
      <c r="B123" s="570"/>
      <c r="C123" s="570"/>
      <c r="D123" s="573"/>
      <c r="E123" s="363" t="s">
        <v>484</v>
      </c>
      <c r="F123" s="364">
        <v>0.05</v>
      </c>
      <c r="G123" s="364">
        <v>0</v>
      </c>
      <c r="H123" s="364">
        <v>0</v>
      </c>
      <c r="I123" s="364">
        <v>0</v>
      </c>
      <c r="J123" s="364">
        <v>0</v>
      </c>
      <c r="K123" s="364">
        <v>0</v>
      </c>
      <c r="L123" s="364">
        <v>0.05</v>
      </c>
      <c r="M123" s="364">
        <v>0.5</v>
      </c>
      <c r="N123" s="364">
        <v>0.5</v>
      </c>
      <c r="O123" s="364">
        <v>0.2</v>
      </c>
      <c r="P123" s="364">
        <v>0.2</v>
      </c>
      <c r="Q123" s="364">
        <v>0.3</v>
      </c>
      <c r="R123" s="364">
        <v>0.5</v>
      </c>
      <c r="S123" s="364">
        <v>0.5</v>
      </c>
      <c r="T123" s="364">
        <v>0.3</v>
      </c>
      <c r="U123" s="364">
        <v>0.2</v>
      </c>
      <c r="V123" s="364">
        <v>0.25</v>
      </c>
      <c r="W123" s="364">
        <v>0.35</v>
      </c>
      <c r="X123" s="364">
        <v>0.55000000000000004</v>
      </c>
      <c r="Y123" s="364">
        <v>0.65</v>
      </c>
      <c r="Z123" s="364">
        <v>0.7</v>
      </c>
      <c r="AA123" s="364">
        <v>0.35</v>
      </c>
      <c r="AB123" s="364">
        <v>0.2</v>
      </c>
      <c r="AC123" s="365">
        <v>0.2</v>
      </c>
      <c r="AD123" s="37"/>
      <c r="AE123" s="37"/>
      <c r="AF123" s="37"/>
      <c r="AG123" s="37"/>
      <c r="AH123" s="37"/>
      <c r="AI123" s="37"/>
      <c r="AJ123" s="37"/>
      <c r="AK123" s="37"/>
    </row>
    <row r="124" spans="1:37" ht="30.6" customHeight="1">
      <c r="A124" s="577" t="s">
        <v>561</v>
      </c>
      <c r="B124" s="568" t="s">
        <v>561</v>
      </c>
      <c r="C124" s="688" t="s">
        <v>534</v>
      </c>
      <c r="D124" s="571" t="s">
        <v>575</v>
      </c>
      <c r="E124" s="366" t="s">
        <v>485</v>
      </c>
      <c r="F124" s="367">
        <v>0.15</v>
      </c>
      <c r="G124" s="367">
        <v>0.15</v>
      </c>
      <c r="H124" s="367">
        <v>0.15</v>
      </c>
      <c r="I124" s="367">
        <v>0.15</v>
      </c>
      <c r="J124" s="367">
        <v>0.15</v>
      </c>
      <c r="K124" s="367">
        <v>0.2</v>
      </c>
      <c r="L124" s="368">
        <v>0.3</v>
      </c>
      <c r="M124" s="368">
        <f t="shared" ref="M124:AA126" si="3">M127-5%</f>
        <v>0.66999999999999993</v>
      </c>
      <c r="N124" s="368">
        <f t="shared" si="3"/>
        <v>0.73</v>
      </c>
      <c r="O124" s="368">
        <f t="shared" si="3"/>
        <v>0.75</v>
      </c>
      <c r="P124" s="368">
        <f t="shared" si="3"/>
        <v>0.85</v>
      </c>
      <c r="Q124" s="368">
        <f t="shared" si="3"/>
        <v>0.85</v>
      </c>
      <c r="R124" s="368">
        <f t="shared" si="3"/>
        <v>0.85</v>
      </c>
      <c r="S124" s="368">
        <f t="shared" si="3"/>
        <v>0.83</v>
      </c>
      <c r="T124" s="368">
        <f t="shared" si="3"/>
        <v>0.72</v>
      </c>
      <c r="U124" s="368">
        <f t="shared" si="3"/>
        <v>0.64999999999999991</v>
      </c>
      <c r="V124" s="368">
        <f t="shared" si="3"/>
        <v>0.66999999999999993</v>
      </c>
      <c r="W124" s="368">
        <f t="shared" si="3"/>
        <v>0.75</v>
      </c>
      <c r="X124" s="368">
        <f t="shared" si="3"/>
        <v>0.85</v>
      </c>
      <c r="Y124" s="368">
        <f t="shared" si="3"/>
        <v>0.85</v>
      </c>
      <c r="Z124" s="368">
        <f t="shared" si="3"/>
        <v>0.85</v>
      </c>
      <c r="AA124" s="368">
        <f t="shared" si="3"/>
        <v>0.75</v>
      </c>
      <c r="AB124" s="368">
        <f>AB127-5%</f>
        <v>0.56999999999999995</v>
      </c>
      <c r="AC124" s="369">
        <v>0.3</v>
      </c>
      <c r="AD124" s="37"/>
      <c r="AE124" s="37"/>
      <c r="AF124" s="37"/>
      <c r="AG124" s="37"/>
      <c r="AH124" s="37"/>
      <c r="AI124" s="37"/>
      <c r="AJ124" s="37"/>
      <c r="AK124" s="37"/>
    </row>
    <row r="125" spans="1:37" ht="30.6" customHeight="1">
      <c r="A125" s="578"/>
      <c r="B125" s="569"/>
      <c r="C125" s="649"/>
      <c r="D125" s="572"/>
      <c r="E125" s="370" t="s">
        <v>483</v>
      </c>
      <c r="F125" s="371">
        <f>F128</f>
        <v>0.15</v>
      </c>
      <c r="G125" s="361">
        <v>0.15</v>
      </c>
      <c r="H125" s="361">
        <v>0.15</v>
      </c>
      <c r="I125" s="361">
        <v>0.15</v>
      </c>
      <c r="J125" s="361">
        <v>0.15</v>
      </c>
      <c r="K125" s="371">
        <f>K128</f>
        <v>0.2</v>
      </c>
      <c r="L125" s="361">
        <v>0.3</v>
      </c>
      <c r="M125" s="371">
        <f t="shared" si="3"/>
        <v>0.66999999999999993</v>
      </c>
      <c r="N125" s="371">
        <f t="shared" si="3"/>
        <v>0.73</v>
      </c>
      <c r="O125" s="371">
        <f t="shared" si="3"/>
        <v>0.75</v>
      </c>
      <c r="P125" s="371">
        <f t="shared" si="3"/>
        <v>0.85</v>
      </c>
      <c r="Q125" s="371">
        <f t="shared" si="3"/>
        <v>0.85</v>
      </c>
      <c r="R125" s="371">
        <f t="shared" si="3"/>
        <v>0.85</v>
      </c>
      <c r="S125" s="371">
        <f t="shared" si="3"/>
        <v>0.83</v>
      </c>
      <c r="T125" s="371">
        <f t="shared" si="3"/>
        <v>0.72</v>
      </c>
      <c r="U125" s="371">
        <f t="shared" si="3"/>
        <v>0.64999999999999991</v>
      </c>
      <c r="V125" s="371">
        <f t="shared" si="3"/>
        <v>0.66999999999999993</v>
      </c>
      <c r="W125" s="371">
        <f t="shared" si="3"/>
        <v>0.75</v>
      </c>
      <c r="X125" s="371">
        <f t="shared" si="3"/>
        <v>0.85</v>
      </c>
      <c r="Y125" s="371">
        <f t="shared" si="3"/>
        <v>0.85</v>
      </c>
      <c r="Z125" s="371">
        <f t="shared" si="3"/>
        <v>0.85</v>
      </c>
      <c r="AA125" s="371">
        <f t="shared" si="3"/>
        <v>0.75</v>
      </c>
      <c r="AB125" s="371">
        <f>AB128-5%</f>
        <v>0.56999999999999995</v>
      </c>
      <c r="AC125" s="372">
        <v>0.3</v>
      </c>
      <c r="AD125" s="37"/>
      <c r="AE125" s="37"/>
      <c r="AF125" s="37"/>
      <c r="AG125" s="37"/>
      <c r="AH125" s="37"/>
      <c r="AI125" s="37"/>
      <c r="AJ125" s="37"/>
      <c r="AK125" s="37"/>
    </row>
    <row r="126" spans="1:37" ht="30.6" customHeight="1" thickBot="1">
      <c r="A126" s="579"/>
      <c r="B126" s="570"/>
      <c r="C126" s="650"/>
      <c r="D126" s="573"/>
      <c r="E126" s="373" t="s">
        <v>484</v>
      </c>
      <c r="F126" s="374">
        <v>0.2</v>
      </c>
      <c r="G126" s="374">
        <v>0.15</v>
      </c>
      <c r="H126" s="374">
        <v>0.15</v>
      </c>
      <c r="I126" s="374">
        <v>0.15</v>
      </c>
      <c r="J126" s="374">
        <v>0.15</v>
      </c>
      <c r="K126" s="374">
        <v>0.15</v>
      </c>
      <c r="L126" s="374">
        <v>0.3</v>
      </c>
      <c r="M126" s="375">
        <f t="shared" si="3"/>
        <v>0.66999999999999993</v>
      </c>
      <c r="N126" s="375">
        <f t="shared" si="3"/>
        <v>0.73</v>
      </c>
      <c r="O126" s="375">
        <f t="shared" si="3"/>
        <v>0.75</v>
      </c>
      <c r="P126" s="375">
        <f t="shared" si="3"/>
        <v>0.85</v>
      </c>
      <c r="Q126" s="375">
        <f t="shared" si="3"/>
        <v>0.85</v>
      </c>
      <c r="R126" s="375">
        <f t="shared" si="3"/>
        <v>0.85</v>
      </c>
      <c r="S126" s="375">
        <f t="shared" si="3"/>
        <v>0.83</v>
      </c>
      <c r="T126" s="375">
        <f t="shared" si="3"/>
        <v>0.72</v>
      </c>
      <c r="U126" s="375">
        <f t="shared" si="3"/>
        <v>0.64999999999999991</v>
      </c>
      <c r="V126" s="375">
        <f t="shared" si="3"/>
        <v>0.66999999999999993</v>
      </c>
      <c r="W126" s="375">
        <f t="shared" si="3"/>
        <v>0.75</v>
      </c>
      <c r="X126" s="375">
        <f t="shared" si="3"/>
        <v>0.85</v>
      </c>
      <c r="Y126" s="375">
        <f t="shared" si="3"/>
        <v>0.85</v>
      </c>
      <c r="Z126" s="375">
        <f t="shared" si="3"/>
        <v>0.85</v>
      </c>
      <c r="AA126" s="375">
        <f t="shared" si="3"/>
        <v>0.75</v>
      </c>
      <c r="AB126" s="375">
        <f>AB129-5%</f>
        <v>0.56999999999999995</v>
      </c>
      <c r="AC126" s="376">
        <v>0.3</v>
      </c>
      <c r="AD126" s="37"/>
      <c r="AE126" s="37"/>
      <c r="AF126" s="37"/>
      <c r="AG126" s="37"/>
      <c r="AH126" s="37"/>
      <c r="AI126" s="37"/>
      <c r="AJ126" s="37"/>
      <c r="AK126" s="37"/>
    </row>
    <row r="127" spans="1:37" ht="30.6" customHeight="1">
      <c r="A127" s="642" t="s">
        <v>561</v>
      </c>
      <c r="B127" s="670" t="s">
        <v>561</v>
      </c>
      <c r="C127" s="648" t="s">
        <v>576</v>
      </c>
      <c r="D127" s="672" t="s">
        <v>495</v>
      </c>
      <c r="E127" s="377" t="s">
        <v>485</v>
      </c>
      <c r="F127" s="358">
        <v>0.15</v>
      </c>
      <c r="G127" s="358">
        <v>0.15</v>
      </c>
      <c r="H127" s="358">
        <v>0.15</v>
      </c>
      <c r="I127" s="358">
        <v>0.15</v>
      </c>
      <c r="J127" s="358">
        <v>0.15</v>
      </c>
      <c r="K127" s="358">
        <v>0.2</v>
      </c>
      <c r="L127" s="378">
        <v>0.3</v>
      </c>
      <c r="M127" s="378">
        <v>0.72</v>
      </c>
      <c r="N127" s="378">
        <v>0.78</v>
      </c>
      <c r="O127" s="378">
        <v>0.8</v>
      </c>
      <c r="P127" s="358">
        <v>0.9</v>
      </c>
      <c r="Q127" s="358">
        <v>0.9</v>
      </c>
      <c r="R127" s="358">
        <v>0.9</v>
      </c>
      <c r="S127" s="378">
        <v>0.88</v>
      </c>
      <c r="T127" s="378">
        <v>0.77</v>
      </c>
      <c r="U127" s="378">
        <v>0.7</v>
      </c>
      <c r="V127" s="378">
        <v>0.72</v>
      </c>
      <c r="W127" s="378">
        <v>0.8</v>
      </c>
      <c r="X127" s="358">
        <v>0.9</v>
      </c>
      <c r="Y127" s="358">
        <v>0.9</v>
      </c>
      <c r="Z127" s="358">
        <v>0.9</v>
      </c>
      <c r="AA127" s="378">
        <v>0.8</v>
      </c>
      <c r="AB127" s="378">
        <v>0.62</v>
      </c>
      <c r="AC127" s="359">
        <v>0.3</v>
      </c>
      <c r="AD127" s="37"/>
      <c r="AE127" s="37"/>
      <c r="AF127" s="37"/>
      <c r="AG127" s="37"/>
      <c r="AH127" s="37"/>
      <c r="AI127" s="37"/>
      <c r="AJ127" s="37"/>
      <c r="AK127" s="37"/>
    </row>
    <row r="128" spans="1:37" ht="30.6" customHeight="1">
      <c r="A128" s="578"/>
      <c r="B128" s="569"/>
      <c r="C128" s="649"/>
      <c r="D128" s="672"/>
      <c r="E128" s="379" t="s">
        <v>483</v>
      </c>
      <c r="F128" s="343">
        <v>0.15</v>
      </c>
      <c r="G128" s="361">
        <v>0.15</v>
      </c>
      <c r="H128" s="361">
        <v>0.15</v>
      </c>
      <c r="I128" s="361">
        <v>0.15</v>
      </c>
      <c r="J128" s="361">
        <v>0.15</v>
      </c>
      <c r="K128" s="343">
        <v>0.2</v>
      </c>
      <c r="L128" s="361">
        <v>0.3</v>
      </c>
      <c r="M128" s="343">
        <v>0.72</v>
      </c>
      <c r="N128" s="343">
        <v>0.78</v>
      </c>
      <c r="O128" s="343">
        <v>0.8</v>
      </c>
      <c r="P128" s="343">
        <v>0.9</v>
      </c>
      <c r="Q128" s="343">
        <v>0.9</v>
      </c>
      <c r="R128" s="343">
        <v>0.9</v>
      </c>
      <c r="S128" s="343">
        <v>0.88</v>
      </c>
      <c r="T128" s="343">
        <v>0.77</v>
      </c>
      <c r="U128" s="343">
        <v>0.7</v>
      </c>
      <c r="V128" s="343">
        <v>0.72</v>
      </c>
      <c r="W128" s="343">
        <v>0.8</v>
      </c>
      <c r="X128" s="361">
        <v>0.9</v>
      </c>
      <c r="Y128" s="361">
        <v>0.9</v>
      </c>
      <c r="Z128" s="361">
        <v>0.9</v>
      </c>
      <c r="AA128" s="343">
        <v>0.8</v>
      </c>
      <c r="AB128" s="343">
        <v>0.62</v>
      </c>
      <c r="AC128" s="362">
        <v>0.3</v>
      </c>
      <c r="AD128" s="37"/>
      <c r="AE128" s="37"/>
      <c r="AF128" s="37"/>
      <c r="AG128" s="37"/>
      <c r="AH128" s="37"/>
      <c r="AI128" s="37"/>
      <c r="AJ128" s="37"/>
      <c r="AK128" s="37"/>
    </row>
    <row r="129" spans="1:37" ht="30.6" customHeight="1" thickBot="1">
      <c r="A129" s="579"/>
      <c r="B129" s="570"/>
      <c r="C129" s="671"/>
      <c r="D129" s="673"/>
      <c r="E129" s="380" t="s">
        <v>484</v>
      </c>
      <c r="F129" s="381">
        <v>0.2</v>
      </c>
      <c r="G129" s="364">
        <v>0.15</v>
      </c>
      <c r="H129" s="364">
        <v>0.15</v>
      </c>
      <c r="I129" s="364">
        <v>0.15</v>
      </c>
      <c r="J129" s="364">
        <v>0.15</v>
      </c>
      <c r="K129" s="381">
        <v>0.15</v>
      </c>
      <c r="L129" s="364">
        <v>0.3</v>
      </c>
      <c r="M129" s="381">
        <v>0.72</v>
      </c>
      <c r="N129" s="381">
        <v>0.78</v>
      </c>
      <c r="O129" s="381">
        <v>0.8</v>
      </c>
      <c r="P129" s="381">
        <v>0.9</v>
      </c>
      <c r="Q129" s="381">
        <v>0.9</v>
      </c>
      <c r="R129" s="381">
        <v>0.9</v>
      </c>
      <c r="S129" s="381">
        <v>0.88</v>
      </c>
      <c r="T129" s="381">
        <v>0.77</v>
      </c>
      <c r="U129" s="381">
        <v>0.7</v>
      </c>
      <c r="V129" s="381">
        <v>0.72</v>
      </c>
      <c r="W129" s="381">
        <v>0.8</v>
      </c>
      <c r="X129" s="381">
        <v>0.9</v>
      </c>
      <c r="Y129" s="381">
        <v>0.9</v>
      </c>
      <c r="Z129" s="381">
        <v>0.9</v>
      </c>
      <c r="AA129" s="381">
        <v>0.8</v>
      </c>
      <c r="AB129" s="381">
        <v>0.62</v>
      </c>
      <c r="AC129" s="365">
        <v>0.3</v>
      </c>
      <c r="AD129" s="37"/>
      <c r="AE129" s="37"/>
      <c r="AF129" s="37"/>
      <c r="AG129" s="37"/>
      <c r="AH129" s="37"/>
      <c r="AI129" s="37"/>
      <c r="AJ129" s="37"/>
      <c r="AK129" s="37"/>
    </row>
    <row r="130" spans="1:37" ht="30.6" customHeight="1">
      <c r="A130" s="577" t="s">
        <v>561</v>
      </c>
      <c r="B130" s="568" t="s">
        <v>561</v>
      </c>
      <c r="C130" s="674" t="s">
        <v>540</v>
      </c>
      <c r="D130" s="667" t="s">
        <v>577</v>
      </c>
      <c r="E130" s="377" t="s">
        <v>485</v>
      </c>
      <c r="F130" s="358">
        <v>1</v>
      </c>
      <c r="G130" s="382">
        <v>0</v>
      </c>
      <c r="H130" s="382">
        <v>0</v>
      </c>
      <c r="I130" s="358">
        <v>0</v>
      </c>
      <c r="J130" s="382">
        <v>1</v>
      </c>
      <c r="K130" s="382">
        <v>1</v>
      </c>
      <c r="L130" s="358">
        <v>1</v>
      </c>
      <c r="M130" s="358">
        <v>1</v>
      </c>
      <c r="N130" s="358">
        <v>1</v>
      </c>
      <c r="O130" s="358">
        <v>1</v>
      </c>
      <c r="P130" s="358">
        <v>1</v>
      </c>
      <c r="Q130" s="358">
        <v>1</v>
      </c>
      <c r="R130" s="358">
        <v>1</v>
      </c>
      <c r="S130" s="358">
        <v>1</v>
      </c>
      <c r="T130" s="358">
        <v>1</v>
      </c>
      <c r="U130" s="358">
        <v>1</v>
      </c>
      <c r="V130" s="358">
        <v>1</v>
      </c>
      <c r="W130" s="358">
        <v>1</v>
      </c>
      <c r="X130" s="358">
        <v>1</v>
      </c>
      <c r="Y130" s="358">
        <v>1</v>
      </c>
      <c r="Z130" s="358">
        <v>1</v>
      </c>
      <c r="AA130" s="358">
        <v>1</v>
      </c>
      <c r="AB130" s="358">
        <v>1</v>
      </c>
      <c r="AC130" s="359">
        <v>1</v>
      </c>
      <c r="AD130" s="37"/>
      <c r="AE130" s="37"/>
      <c r="AF130" s="37"/>
      <c r="AG130" s="37"/>
      <c r="AH130" s="37"/>
      <c r="AI130" s="37"/>
      <c r="AJ130" s="37"/>
      <c r="AK130" s="37"/>
    </row>
    <row r="131" spans="1:37" ht="30.6" customHeight="1">
      <c r="A131" s="578"/>
      <c r="B131" s="569"/>
      <c r="C131" s="665"/>
      <c r="D131" s="668"/>
      <c r="E131" s="379" t="s">
        <v>483</v>
      </c>
      <c r="F131" s="361">
        <v>1</v>
      </c>
      <c r="G131" s="368">
        <v>0</v>
      </c>
      <c r="H131" s="368">
        <v>0</v>
      </c>
      <c r="I131" s="361">
        <v>0</v>
      </c>
      <c r="J131" s="361">
        <v>0</v>
      </c>
      <c r="K131" s="371">
        <v>1</v>
      </c>
      <c r="L131" s="371">
        <v>1</v>
      </c>
      <c r="M131" s="371">
        <v>1</v>
      </c>
      <c r="N131" s="361">
        <v>1</v>
      </c>
      <c r="O131" s="361">
        <v>1</v>
      </c>
      <c r="P131" s="361">
        <v>1</v>
      </c>
      <c r="Q131" s="361">
        <v>1</v>
      </c>
      <c r="R131" s="361">
        <v>1</v>
      </c>
      <c r="S131" s="361">
        <v>1</v>
      </c>
      <c r="T131" s="361">
        <v>1</v>
      </c>
      <c r="U131" s="361">
        <v>1</v>
      </c>
      <c r="V131" s="361">
        <v>1</v>
      </c>
      <c r="W131" s="361">
        <v>1</v>
      </c>
      <c r="X131" s="361">
        <v>1</v>
      </c>
      <c r="Y131" s="361">
        <v>1</v>
      </c>
      <c r="Z131" s="361">
        <v>1</v>
      </c>
      <c r="AA131" s="361">
        <v>1</v>
      </c>
      <c r="AB131" s="361">
        <v>1</v>
      </c>
      <c r="AC131" s="362">
        <v>1</v>
      </c>
      <c r="AD131" s="37"/>
      <c r="AE131" s="37"/>
      <c r="AF131" s="37"/>
      <c r="AG131" s="37"/>
      <c r="AH131" s="37"/>
      <c r="AI131" s="37"/>
      <c r="AJ131" s="37"/>
      <c r="AK131" s="37"/>
    </row>
    <row r="132" spans="1:37" ht="30.6" customHeight="1" thickBot="1">
      <c r="A132" s="579"/>
      <c r="B132" s="570"/>
      <c r="C132" s="666"/>
      <c r="D132" s="669"/>
      <c r="E132" s="380" t="s">
        <v>484</v>
      </c>
      <c r="F132" s="364">
        <v>1</v>
      </c>
      <c r="G132" s="383">
        <v>0</v>
      </c>
      <c r="H132" s="383">
        <v>0</v>
      </c>
      <c r="I132" s="364">
        <v>0</v>
      </c>
      <c r="J132" s="364">
        <v>0</v>
      </c>
      <c r="K132" s="384">
        <v>1</v>
      </c>
      <c r="L132" s="384">
        <v>1</v>
      </c>
      <c r="M132" s="384">
        <v>1</v>
      </c>
      <c r="N132" s="384">
        <v>1</v>
      </c>
      <c r="O132" s="364">
        <v>1</v>
      </c>
      <c r="P132" s="364">
        <v>1</v>
      </c>
      <c r="Q132" s="364">
        <v>1</v>
      </c>
      <c r="R132" s="364">
        <v>1</v>
      </c>
      <c r="S132" s="364">
        <v>1</v>
      </c>
      <c r="T132" s="364">
        <v>1</v>
      </c>
      <c r="U132" s="364">
        <v>1</v>
      </c>
      <c r="V132" s="364">
        <v>1</v>
      </c>
      <c r="W132" s="364">
        <v>1</v>
      </c>
      <c r="X132" s="364">
        <v>1</v>
      </c>
      <c r="Y132" s="364">
        <v>1</v>
      </c>
      <c r="Z132" s="364">
        <v>1</v>
      </c>
      <c r="AA132" s="364">
        <v>1</v>
      </c>
      <c r="AB132" s="364">
        <v>1</v>
      </c>
      <c r="AC132" s="365">
        <v>1</v>
      </c>
      <c r="AD132" s="37"/>
      <c r="AE132" s="37"/>
      <c r="AF132" s="37"/>
      <c r="AG132" s="37"/>
      <c r="AH132" s="37"/>
      <c r="AI132" s="37"/>
      <c r="AJ132" s="37"/>
      <c r="AK132" s="37"/>
    </row>
    <row r="133" spans="1:37" ht="30.6" customHeight="1">
      <c r="A133" s="577" t="s">
        <v>561</v>
      </c>
      <c r="B133" s="568" t="s">
        <v>561</v>
      </c>
      <c r="C133" s="664" t="s">
        <v>536</v>
      </c>
      <c r="D133" s="571" t="s">
        <v>571</v>
      </c>
      <c r="E133" s="366" t="s">
        <v>485</v>
      </c>
      <c r="F133" s="367">
        <v>0.2</v>
      </c>
      <c r="G133" s="368">
        <v>0</v>
      </c>
      <c r="H133" s="368">
        <v>0</v>
      </c>
      <c r="I133" s="367">
        <v>0</v>
      </c>
      <c r="J133" s="367">
        <v>0</v>
      </c>
      <c r="K133" s="368">
        <v>0.6</v>
      </c>
      <c r="L133" s="368">
        <v>0.6</v>
      </c>
      <c r="M133" s="367">
        <v>0.6</v>
      </c>
      <c r="N133" s="367">
        <v>0.55000000000000004</v>
      </c>
      <c r="O133" s="367">
        <v>0.45</v>
      </c>
      <c r="P133" s="367">
        <v>0.4</v>
      </c>
      <c r="Q133" s="367">
        <v>0.45</v>
      </c>
      <c r="R133" s="367">
        <v>0.4</v>
      </c>
      <c r="S133" s="367">
        <v>0.35</v>
      </c>
      <c r="T133" s="367">
        <v>0.3</v>
      </c>
      <c r="U133" s="367">
        <v>0.3</v>
      </c>
      <c r="V133" s="367">
        <v>0.3</v>
      </c>
      <c r="W133" s="367">
        <v>0.4</v>
      </c>
      <c r="X133" s="367">
        <v>0.55000000000000004</v>
      </c>
      <c r="Y133" s="367">
        <v>0.6</v>
      </c>
      <c r="Z133" s="367">
        <v>0.5</v>
      </c>
      <c r="AA133" s="367">
        <v>0.55000000000000004</v>
      </c>
      <c r="AB133" s="367">
        <v>0.45</v>
      </c>
      <c r="AC133" s="369">
        <v>0.25</v>
      </c>
      <c r="AD133" s="37"/>
      <c r="AE133" s="37"/>
      <c r="AF133" s="37"/>
      <c r="AG133" s="37"/>
      <c r="AH133" s="37"/>
      <c r="AI133" s="37"/>
      <c r="AJ133" s="37"/>
      <c r="AK133" s="37"/>
    </row>
    <row r="134" spans="1:37" ht="30.6" customHeight="1">
      <c r="A134" s="578"/>
      <c r="B134" s="569"/>
      <c r="C134" s="665"/>
      <c r="D134" s="572"/>
      <c r="E134" s="370" t="s">
        <v>483</v>
      </c>
      <c r="F134" s="361">
        <v>0.2</v>
      </c>
      <c r="G134" s="371">
        <v>0</v>
      </c>
      <c r="H134" s="371">
        <v>0</v>
      </c>
      <c r="I134" s="361">
        <v>0</v>
      </c>
      <c r="J134" s="361">
        <v>0</v>
      </c>
      <c r="K134" s="361">
        <v>0</v>
      </c>
      <c r="L134" s="371">
        <v>0.5</v>
      </c>
      <c r="M134" s="371">
        <v>0.5</v>
      </c>
      <c r="N134" s="371">
        <v>0.5</v>
      </c>
      <c r="O134" s="361">
        <v>0.5</v>
      </c>
      <c r="P134" s="361">
        <v>0.45</v>
      </c>
      <c r="Q134" s="361">
        <v>0.5</v>
      </c>
      <c r="R134" s="361">
        <v>0.5</v>
      </c>
      <c r="S134" s="361">
        <v>0.45</v>
      </c>
      <c r="T134" s="361">
        <v>0.4</v>
      </c>
      <c r="U134" s="361">
        <v>0.4</v>
      </c>
      <c r="V134" s="361">
        <v>0.35</v>
      </c>
      <c r="W134" s="361">
        <v>0.4</v>
      </c>
      <c r="X134" s="361">
        <v>0.55000000000000004</v>
      </c>
      <c r="Y134" s="361">
        <v>0.55000000000000004</v>
      </c>
      <c r="Z134" s="361">
        <v>0.5</v>
      </c>
      <c r="AA134" s="361">
        <v>0.55000000000000004</v>
      </c>
      <c r="AB134" s="361">
        <v>0.4</v>
      </c>
      <c r="AC134" s="372">
        <v>0.3</v>
      </c>
      <c r="AD134" s="37"/>
      <c r="AE134" s="37"/>
      <c r="AF134" s="37"/>
      <c r="AG134" s="37"/>
      <c r="AH134" s="37"/>
      <c r="AI134" s="37"/>
      <c r="AJ134" s="37"/>
      <c r="AK134" s="37"/>
    </row>
    <row r="135" spans="1:37" ht="30.6" customHeight="1" thickBot="1">
      <c r="A135" s="579"/>
      <c r="B135" s="570"/>
      <c r="C135" s="687"/>
      <c r="D135" s="573"/>
      <c r="E135" s="373" t="s">
        <v>484</v>
      </c>
      <c r="F135" s="374">
        <v>0.25</v>
      </c>
      <c r="G135" s="375">
        <v>0</v>
      </c>
      <c r="H135" s="375">
        <v>0</v>
      </c>
      <c r="I135" s="374">
        <v>0</v>
      </c>
      <c r="J135" s="374">
        <v>0</v>
      </c>
      <c r="K135" s="374">
        <v>0</v>
      </c>
      <c r="L135" s="375">
        <v>0.5</v>
      </c>
      <c r="M135" s="375">
        <v>0.5</v>
      </c>
      <c r="N135" s="375">
        <v>0.5</v>
      </c>
      <c r="O135" s="375">
        <v>0.5</v>
      </c>
      <c r="P135" s="374">
        <v>0.5</v>
      </c>
      <c r="Q135" s="374">
        <v>0.5</v>
      </c>
      <c r="R135" s="374">
        <v>0.4</v>
      </c>
      <c r="S135" s="374">
        <v>0.4</v>
      </c>
      <c r="T135" s="374">
        <v>0.3</v>
      </c>
      <c r="U135" s="374">
        <v>0.3</v>
      </c>
      <c r="V135" s="374">
        <v>0.3</v>
      </c>
      <c r="W135" s="374">
        <v>0.4</v>
      </c>
      <c r="X135" s="374">
        <v>0.5</v>
      </c>
      <c r="Y135" s="374">
        <v>0.5</v>
      </c>
      <c r="Z135" s="374">
        <v>0.4</v>
      </c>
      <c r="AA135" s="374">
        <v>0.5</v>
      </c>
      <c r="AB135" s="374">
        <v>0.4</v>
      </c>
      <c r="AC135" s="376">
        <v>0.2</v>
      </c>
      <c r="AD135" s="37"/>
      <c r="AE135" s="37"/>
      <c r="AF135" s="37"/>
      <c r="AG135" s="37"/>
      <c r="AH135" s="37"/>
      <c r="AI135" s="37"/>
      <c r="AJ135" s="37"/>
      <c r="AK135" s="37"/>
    </row>
    <row r="136" spans="1:37" ht="30.6" customHeight="1">
      <c r="A136" s="577" t="s">
        <v>561</v>
      </c>
      <c r="B136" s="568" t="s">
        <v>561</v>
      </c>
      <c r="C136" s="664" t="s">
        <v>286</v>
      </c>
      <c r="D136" s="571" t="s">
        <v>578</v>
      </c>
      <c r="E136" s="387" t="s">
        <v>485</v>
      </c>
      <c r="F136" s="382">
        <v>0.25</v>
      </c>
      <c r="G136" s="382">
        <v>0</v>
      </c>
      <c r="H136" s="382">
        <v>0</v>
      </c>
      <c r="I136" s="358">
        <v>1</v>
      </c>
      <c r="J136" s="382">
        <v>0.25</v>
      </c>
      <c r="K136" s="385">
        <v>0.25</v>
      </c>
      <c r="L136" s="386">
        <v>0.25</v>
      </c>
      <c r="M136" s="386">
        <v>0.25</v>
      </c>
      <c r="N136" s="386">
        <v>0.25</v>
      </c>
      <c r="O136" s="358">
        <v>0.25</v>
      </c>
      <c r="P136" s="358">
        <v>0.25</v>
      </c>
      <c r="Q136" s="358">
        <v>0.25</v>
      </c>
      <c r="R136" s="358">
        <v>0.25</v>
      </c>
      <c r="S136" s="358">
        <v>0.25</v>
      </c>
      <c r="T136" s="358">
        <v>0.25</v>
      </c>
      <c r="U136" s="358">
        <v>0.25</v>
      </c>
      <c r="V136" s="382">
        <v>0.25</v>
      </c>
      <c r="W136" s="358">
        <v>0.25</v>
      </c>
      <c r="X136" s="358">
        <v>0.25</v>
      </c>
      <c r="Y136" s="358">
        <v>0.25</v>
      </c>
      <c r="Z136" s="358">
        <v>0.25</v>
      </c>
      <c r="AA136" s="358">
        <v>0.25</v>
      </c>
      <c r="AB136" s="358">
        <v>0.25</v>
      </c>
      <c r="AC136" s="359">
        <v>0.25</v>
      </c>
      <c r="AD136" s="37"/>
      <c r="AE136" s="37"/>
      <c r="AF136" s="37"/>
      <c r="AG136" s="37"/>
      <c r="AH136" s="37"/>
      <c r="AI136" s="37"/>
      <c r="AJ136" s="37"/>
      <c r="AK136" s="37"/>
    </row>
    <row r="137" spans="1:37" ht="30.6" customHeight="1">
      <c r="A137" s="578"/>
      <c r="B137" s="569"/>
      <c r="C137" s="665"/>
      <c r="D137" s="572"/>
      <c r="E137" s="370" t="s">
        <v>483</v>
      </c>
      <c r="F137" s="371">
        <v>0.25</v>
      </c>
      <c r="G137" s="371">
        <v>0</v>
      </c>
      <c r="H137" s="361">
        <v>0</v>
      </c>
      <c r="I137" s="361">
        <v>1</v>
      </c>
      <c r="J137" s="361">
        <v>1</v>
      </c>
      <c r="K137" s="371">
        <v>0.25</v>
      </c>
      <c r="L137" s="371">
        <v>0.25</v>
      </c>
      <c r="M137" s="371">
        <v>0.25</v>
      </c>
      <c r="N137" s="361">
        <v>0.25</v>
      </c>
      <c r="O137" s="361">
        <v>0.25</v>
      </c>
      <c r="P137" s="361">
        <v>0.25</v>
      </c>
      <c r="Q137" s="361">
        <v>0.25</v>
      </c>
      <c r="R137" s="361">
        <v>0.25</v>
      </c>
      <c r="S137" s="361">
        <v>0.25</v>
      </c>
      <c r="T137" s="361">
        <v>0.25</v>
      </c>
      <c r="U137" s="361">
        <v>0.25</v>
      </c>
      <c r="V137" s="361">
        <v>0.25</v>
      </c>
      <c r="W137" s="361">
        <v>0.25</v>
      </c>
      <c r="X137" s="361">
        <v>0.25</v>
      </c>
      <c r="Y137" s="361">
        <v>0.25</v>
      </c>
      <c r="Z137" s="361">
        <v>0.25</v>
      </c>
      <c r="AA137" s="361">
        <v>0.25</v>
      </c>
      <c r="AB137" s="361">
        <v>0.25</v>
      </c>
      <c r="AC137" s="362">
        <v>0.25</v>
      </c>
      <c r="AD137" s="37"/>
      <c r="AE137" s="37"/>
      <c r="AF137" s="37"/>
      <c r="AG137" s="37"/>
      <c r="AH137" s="37"/>
      <c r="AI137" s="37"/>
      <c r="AJ137" s="37"/>
      <c r="AK137" s="37"/>
    </row>
    <row r="138" spans="1:37" ht="30.6" customHeight="1" thickBot="1">
      <c r="A138" s="579"/>
      <c r="B138" s="570"/>
      <c r="C138" s="666"/>
      <c r="D138" s="573"/>
      <c r="E138" s="388" t="s">
        <v>484</v>
      </c>
      <c r="F138" s="384">
        <v>0.25</v>
      </c>
      <c r="G138" s="384">
        <v>0</v>
      </c>
      <c r="H138" s="384">
        <v>0</v>
      </c>
      <c r="I138" s="364">
        <v>1</v>
      </c>
      <c r="J138" s="364">
        <v>1</v>
      </c>
      <c r="K138" s="383">
        <v>0.25</v>
      </c>
      <c r="L138" s="383">
        <v>0.25</v>
      </c>
      <c r="M138" s="383">
        <v>0.25</v>
      </c>
      <c r="N138" s="383">
        <v>0.25</v>
      </c>
      <c r="O138" s="364">
        <v>0.25</v>
      </c>
      <c r="P138" s="364">
        <v>0.25</v>
      </c>
      <c r="Q138" s="364">
        <v>0.25</v>
      </c>
      <c r="R138" s="364">
        <v>0.25</v>
      </c>
      <c r="S138" s="364">
        <v>0.25</v>
      </c>
      <c r="T138" s="364">
        <v>0.25</v>
      </c>
      <c r="U138" s="364">
        <v>0.25</v>
      </c>
      <c r="V138" s="364">
        <v>0.25</v>
      </c>
      <c r="W138" s="364">
        <v>0.25</v>
      </c>
      <c r="X138" s="364">
        <v>0.25</v>
      </c>
      <c r="Y138" s="364">
        <v>0.25</v>
      </c>
      <c r="Z138" s="364">
        <v>0.25</v>
      </c>
      <c r="AA138" s="364">
        <v>0.25</v>
      </c>
      <c r="AB138" s="364">
        <v>0.25</v>
      </c>
      <c r="AC138" s="365">
        <v>0.25</v>
      </c>
      <c r="AD138" s="37"/>
      <c r="AE138" s="37"/>
      <c r="AF138" s="37"/>
      <c r="AG138" s="37"/>
      <c r="AH138" s="37"/>
      <c r="AI138" s="37"/>
      <c r="AJ138" s="37"/>
      <c r="AK138" s="37"/>
    </row>
    <row r="139" spans="1:37" ht="30.6" customHeight="1">
      <c r="A139" s="577" t="s">
        <v>561</v>
      </c>
      <c r="B139" s="568" t="s">
        <v>561</v>
      </c>
      <c r="C139" s="636" t="s">
        <v>579</v>
      </c>
      <c r="D139" s="571" t="s">
        <v>580</v>
      </c>
      <c r="E139" s="283" t="s">
        <v>485</v>
      </c>
      <c r="F139" s="330">
        <v>0</v>
      </c>
      <c r="G139" s="330">
        <v>0</v>
      </c>
      <c r="H139" s="330">
        <v>0</v>
      </c>
      <c r="I139" s="330">
        <v>0</v>
      </c>
      <c r="J139" s="330">
        <v>0</v>
      </c>
      <c r="K139" s="389">
        <v>1</v>
      </c>
      <c r="L139" s="330">
        <v>1</v>
      </c>
      <c r="M139" s="330">
        <v>1</v>
      </c>
      <c r="N139" s="330">
        <v>1</v>
      </c>
      <c r="O139" s="330">
        <v>1</v>
      </c>
      <c r="P139" s="330">
        <v>1</v>
      </c>
      <c r="Q139" s="330">
        <v>1</v>
      </c>
      <c r="R139" s="330">
        <v>1</v>
      </c>
      <c r="S139" s="330">
        <v>1</v>
      </c>
      <c r="T139" s="330">
        <v>1</v>
      </c>
      <c r="U139" s="330">
        <v>1</v>
      </c>
      <c r="V139" s="330">
        <v>1</v>
      </c>
      <c r="W139" s="330">
        <v>1</v>
      </c>
      <c r="X139" s="330">
        <v>1</v>
      </c>
      <c r="Y139" s="330">
        <v>0</v>
      </c>
      <c r="Z139" s="330">
        <v>0</v>
      </c>
      <c r="AA139" s="330">
        <v>0</v>
      </c>
      <c r="AB139" s="330">
        <v>0</v>
      </c>
      <c r="AC139" s="331">
        <v>0</v>
      </c>
      <c r="AD139" s="37"/>
      <c r="AE139" s="37"/>
      <c r="AF139" s="37"/>
      <c r="AG139" s="37"/>
      <c r="AH139" s="37"/>
      <c r="AI139" s="37"/>
      <c r="AJ139" s="37"/>
      <c r="AK139" s="37"/>
    </row>
    <row r="140" spans="1:37" ht="30.6" customHeight="1">
      <c r="A140" s="578"/>
      <c r="B140" s="569"/>
      <c r="C140" s="637"/>
      <c r="D140" s="572"/>
      <c r="E140" s="286" t="s">
        <v>483</v>
      </c>
      <c r="F140" s="332">
        <v>0</v>
      </c>
      <c r="G140" s="332">
        <v>0</v>
      </c>
      <c r="H140" s="332">
        <v>0</v>
      </c>
      <c r="I140" s="332">
        <v>0</v>
      </c>
      <c r="J140" s="332">
        <v>0</v>
      </c>
      <c r="K140" s="332">
        <v>0</v>
      </c>
      <c r="L140" s="390">
        <v>1</v>
      </c>
      <c r="M140" s="390">
        <v>1</v>
      </c>
      <c r="N140" s="332">
        <v>1</v>
      </c>
      <c r="O140" s="332">
        <v>1</v>
      </c>
      <c r="P140" s="332">
        <v>1</v>
      </c>
      <c r="Q140" s="332">
        <v>1</v>
      </c>
      <c r="R140" s="332">
        <v>1</v>
      </c>
      <c r="S140" s="332">
        <v>1</v>
      </c>
      <c r="T140" s="332">
        <v>1</v>
      </c>
      <c r="U140" s="332">
        <v>1</v>
      </c>
      <c r="V140" s="332">
        <v>1</v>
      </c>
      <c r="W140" s="332">
        <v>1</v>
      </c>
      <c r="X140" s="332">
        <v>1</v>
      </c>
      <c r="Y140" s="332">
        <v>0</v>
      </c>
      <c r="Z140" s="332">
        <v>0</v>
      </c>
      <c r="AA140" s="332">
        <v>0</v>
      </c>
      <c r="AB140" s="332">
        <v>0</v>
      </c>
      <c r="AC140" s="335">
        <v>0</v>
      </c>
      <c r="AD140" s="37"/>
      <c r="AE140" s="37"/>
      <c r="AF140" s="37"/>
      <c r="AG140" s="37"/>
      <c r="AH140" s="37"/>
      <c r="AI140" s="37"/>
      <c r="AJ140" s="37"/>
      <c r="AK140" s="37"/>
    </row>
    <row r="141" spans="1:37" ht="30.6" customHeight="1" thickBot="1">
      <c r="A141" s="579"/>
      <c r="B141" s="570"/>
      <c r="C141" s="646"/>
      <c r="D141" s="573"/>
      <c r="E141" s="295" t="s">
        <v>484</v>
      </c>
      <c r="F141" s="336">
        <v>0</v>
      </c>
      <c r="G141" s="336">
        <v>0</v>
      </c>
      <c r="H141" s="336">
        <v>0</v>
      </c>
      <c r="I141" s="336">
        <v>0</v>
      </c>
      <c r="J141" s="336">
        <v>0</v>
      </c>
      <c r="K141" s="336">
        <v>0</v>
      </c>
      <c r="L141" s="391">
        <v>1</v>
      </c>
      <c r="M141" s="391">
        <v>1</v>
      </c>
      <c r="N141" s="391">
        <v>1</v>
      </c>
      <c r="O141" s="336">
        <v>1</v>
      </c>
      <c r="P141" s="336">
        <v>1</v>
      </c>
      <c r="Q141" s="336">
        <v>1</v>
      </c>
      <c r="R141" s="336">
        <v>1</v>
      </c>
      <c r="S141" s="336">
        <v>1</v>
      </c>
      <c r="T141" s="336">
        <v>1</v>
      </c>
      <c r="U141" s="336">
        <v>1</v>
      </c>
      <c r="V141" s="336">
        <v>1</v>
      </c>
      <c r="W141" s="336">
        <v>1</v>
      </c>
      <c r="X141" s="336">
        <v>1</v>
      </c>
      <c r="Y141" s="336">
        <v>0</v>
      </c>
      <c r="Z141" s="336">
        <v>0</v>
      </c>
      <c r="AA141" s="336">
        <v>0</v>
      </c>
      <c r="AB141" s="336">
        <v>0</v>
      </c>
      <c r="AC141" s="337">
        <v>0</v>
      </c>
      <c r="AD141" s="37"/>
      <c r="AE141" s="37"/>
      <c r="AF141" s="37"/>
      <c r="AG141" s="37"/>
      <c r="AH141" s="37"/>
      <c r="AI141" s="37"/>
      <c r="AJ141" s="37"/>
      <c r="AK141" s="37"/>
    </row>
    <row r="142" spans="1:37" ht="30.6" customHeight="1">
      <c r="A142" s="577" t="s">
        <v>561</v>
      </c>
      <c r="B142" s="568" t="s">
        <v>561</v>
      </c>
      <c r="C142" s="664" t="s">
        <v>581</v>
      </c>
      <c r="D142" s="571" t="s">
        <v>582</v>
      </c>
      <c r="E142" s="392" t="s">
        <v>485</v>
      </c>
      <c r="F142" s="393">
        <v>0</v>
      </c>
      <c r="G142" s="393">
        <v>0</v>
      </c>
      <c r="H142" s="393">
        <v>0</v>
      </c>
      <c r="I142" s="393">
        <v>0</v>
      </c>
      <c r="J142" s="393">
        <v>0</v>
      </c>
      <c r="K142" s="394">
        <v>1</v>
      </c>
      <c r="L142" s="393">
        <v>0.5</v>
      </c>
      <c r="M142" s="393">
        <v>1</v>
      </c>
      <c r="N142" s="393">
        <v>0.5</v>
      </c>
      <c r="O142" s="393">
        <v>1</v>
      </c>
      <c r="P142" s="393">
        <v>0.5</v>
      </c>
      <c r="Q142" s="393">
        <v>1</v>
      </c>
      <c r="R142" s="393">
        <v>0.5</v>
      </c>
      <c r="S142" s="393">
        <v>1</v>
      </c>
      <c r="T142" s="393">
        <v>0.5</v>
      </c>
      <c r="U142" s="393">
        <v>1</v>
      </c>
      <c r="V142" s="393">
        <v>0.5</v>
      </c>
      <c r="W142" s="393">
        <v>1</v>
      </c>
      <c r="X142" s="393">
        <v>0.5</v>
      </c>
      <c r="Y142" s="393">
        <v>0</v>
      </c>
      <c r="Z142" s="393">
        <v>0</v>
      </c>
      <c r="AA142" s="393">
        <v>0</v>
      </c>
      <c r="AB142" s="393">
        <v>0</v>
      </c>
      <c r="AC142" s="395">
        <v>0</v>
      </c>
      <c r="AD142" s="37"/>
      <c r="AE142" s="37"/>
      <c r="AF142" s="37"/>
      <c r="AG142" s="37"/>
      <c r="AH142" s="37"/>
      <c r="AI142" s="37"/>
      <c r="AJ142" s="37"/>
      <c r="AK142" s="37"/>
    </row>
    <row r="143" spans="1:37" ht="30.6" customHeight="1">
      <c r="A143" s="578"/>
      <c r="B143" s="569"/>
      <c r="C143" s="665"/>
      <c r="D143" s="572"/>
      <c r="E143" s="370" t="s">
        <v>483</v>
      </c>
      <c r="F143" s="396">
        <v>0</v>
      </c>
      <c r="G143" s="396">
        <v>0</v>
      </c>
      <c r="H143" s="396">
        <v>0</v>
      </c>
      <c r="I143" s="396">
        <v>0</v>
      </c>
      <c r="J143" s="396">
        <v>0</v>
      </c>
      <c r="K143" s="396">
        <v>0</v>
      </c>
      <c r="L143" s="368">
        <v>0.5</v>
      </c>
      <c r="M143" s="371">
        <v>1</v>
      </c>
      <c r="N143" s="371">
        <v>0.5</v>
      </c>
      <c r="O143" s="396">
        <v>1</v>
      </c>
      <c r="P143" s="396">
        <v>0.5</v>
      </c>
      <c r="Q143" s="396">
        <v>1</v>
      </c>
      <c r="R143" s="396">
        <v>0.5</v>
      </c>
      <c r="S143" s="396">
        <v>1</v>
      </c>
      <c r="T143" s="396">
        <v>0.5</v>
      </c>
      <c r="U143" s="396">
        <v>1</v>
      </c>
      <c r="V143" s="396">
        <v>0.5</v>
      </c>
      <c r="W143" s="396">
        <v>1</v>
      </c>
      <c r="X143" s="396">
        <v>0.5</v>
      </c>
      <c r="Y143" s="396">
        <v>0</v>
      </c>
      <c r="Z143" s="396">
        <v>0</v>
      </c>
      <c r="AA143" s="396">
        <v>0</v>
      </c>
      <c r="AB143" s="396">
        <v>0</v>
      </c>
      <c r="AC143" s="397">
        <v>0</v>
      </c>
      <c r="AD143" s="37"/>
      <c r="AE143" s="37"/>
      <c r="AF143" s="37"/>
      <c r="AG143" s="37"/>
      <c r="AH143" s="37"/>
      <c r="AI143" s="37"/>
      <c r="AJ143" s="37"/>
      <c r="AK143" s="37"/>
    </row>
    <row r="144" spans="1:37" ht="30.6" customHeight="1" thickBot="1">
      <c r="A144" s="579"/>
      <c r="B144" s="570"/>
      <c r="C144" s="666"/>
      <c r="D144" s="573"/>
      <c r="E144" s="398" t="s">
        <v>484</v>
      </c>
      <c r="F144" s="399">
        <v>0</v>
      </c>
      <c r="G144" s="399">
        <v>0</v>
      </c>
      <c r="H144" s="399">
        <v>0</v>
      </c>
      <c r="I144" s="399">
        <v>0</v>
      </c>
      <c r="J144" s="399">
        <v>0</v>
      </c>
      <c r="K144" s="399">
        <v>0</v>
      </c>
      <c r="L144" s="400">
        <v>0.5</v>
      </c>
      <c r="M144" s="400">
        <v>1</v>
      </c>
      <c r="N144" s="400">
        <v>0.5</v>
      </c>
      <c r="O144" s="399">
        <v>1</v>
      </c>
      <c r="P144" s="399">
        <v>0.5</v>
      </c>
      <c r="Q144" s="399">
        <v>1</v>
      </c>
      <c r="R144" s="399">
        <v>0.5</v>
      </c>
      <c r="S144" s="399">
        <v>1</v>
      </c>
      <c r="T144" s="399">
        <v>0.5</v>
      </c>
      <c r="U144" s="399">
        <v>1</v>
      </c>
      <c r="V144" s="399">
        <v>0.5</v>
      </c>
      <c r="W144" s="399">
        <v>1</v>
      </c>
      <c r="X144" s="399">
        <v>0.5</v>
      </c>
      <c r="Y144" s="399">
        <v>0</v>
      </c>
      <c r="Z144" s="399">
        <v>0</v>
      </c>
      <c r="AA144" s="399">
        <v>0</v>
      </c>
      <c r="AB144" s="399">
        <v>0</v>
      </c>
      <c r="AC144" s="401">
        <v>0</v>
      </c>
      <c r="AD144" s="37"/>
      <c r="AE144" s="37"/>
      <c r="AF144" s="37"/>
      <c r="AG144" s="37"/>
      <c r="AH144" s="37"/>
      <c r="AI144" s="37"/>
      <c r="AJ144" s="37"/>
      <c r="AK144" s="37"/>
    </row>
    <row r="145" spans="1:37" ht="30.6" customHeight="1">
      <c r="A145" s="577" t="s">
        <v>561</v>
      </c>
      <c r="B145" s="568" t="s">
        <v>561</v>
      </c>
      <c r="C145" s="636" t="s">
        <v>538</v>
      </c>
      <c r="D145" s="571" t="s">
        <v>573</v>
      </c>
      <c r="E145" s="283" t="s">
        <v>485</v>
      </c>
      <c r="F145" s="330">
        <v>0.9</v>
      </c>
      <c r="G145" s="330">
        <v>0.9</v>
      </c>
      <c r="H145" s="330">
        <v>0.9</v>
      </c>
      <c r="I145" s="330">
        <v>0.9</v>
      </c>
      <c r="J145" s="330">
        <v>0.9</v>
      </c>
      <c r="K145" s="330">
        <v>0.9</v>
      </c>
      <c r="L145" s="330">
        <v>0.9</v>
      </c>
      <c r="M145" s="330">
        <v>0.9</v>
      </c>
      <c r="N145" s="330">
        <v>0.9</v>
      </c>
      <c r="O145" s="330">
        <v>0.9</v>
      </c>
      <c r="P145" s="330">
        <v>0.9</v>
      </c>
      <c r="Q145" s="330">
        <v>0.9</v>
      </c>
      <c r="R145" s="330">
        <v>0.9</v>
      </c>
      <c r="S145" s="330">
        <v>0.9</v>
      </c>
      <c r="T145" s="330">
        <v>0.9</v>
      </c>
      <c r="U145" s="330">
        <v>0.9</v>
      </c>
      <c r="V145" s="330">
        <v>0.9</v>
      </c>
      <c r="W145" s="330">
        <v>0.9</v>
      </c>
      <c r="X145" s="330">
        <v>0.9</v>
      </c>
      <c r="Y145" s="330">
        <v>0.9</v>
      </c>
      <c r="Z145" s="330">
        <v>0.9</v>
      </c>
      <c r="AA145" s="330">
        <v>0.9</v>
      </c>
      <c r="AB145" s="330">
        <v>0.9</v>
      </c>
      <c r="AC145" s="331">
        <v>0.9</v>
      </c>
      <c r="AD145" s="37"/>
      <c r="AE145" s="37"/>
      <c r="AF145" s="37"/>
      <c r="AG145" s="37"/>
      <c r="AH145" s="37"/>
      <c r="AI145" s="37"/>
      <c r="AJ145" s="37"/>
      <c r="AK145" s="37"/>
    </row>
    <row r="146" spans="1:37" ht="30.6" customHeight="1">
      <c r="A146" s="578"/>
      <c r="B146" s="569"/>
      <c r="C146" s="637"/>
      <c r="D146" s="572"/>
      <c r="E146" s="286" t="s">
        <v>483</v>
      </c>
      <c r="F146" s="332">
        <v>0.9</v>
      </c>
      <c r="G146" s="332">
        <v>0.9</v>
      </c>
      <c r="H146" s="332">
        <v>0.9</v>
      </c>
      <c r="I146" s="332">
        <v>0.9</v>
      </c>
      <c r="J146" s="332">
        <v>0.9</v>
      </c>
      <c r="K146" s="332">
        <v>0.9</v>
      </c>
      <c r="L146" s="332">
        <v>0.9</v>
      </c>
      <c r="M146" s="332">
        <v>0.9</v>
      </c>
      <c r="N146" s="332">
        <v>0.9</v>
      </c>
      <c r="O146" s="332">
        <v>0.9</v>
      </c>
      <c r="P146" s="332">
        <v>0.9</v>
      </c>
      <c r="Q146" s="332">
        <v>0.9</v>
      </c>
      <c r="R146" s="332">
        <v>0.9</v>
      </c>
      <c r="S146" s="332">
        <v>0.9</v>
      </c>
      <c r="T146" s="332">
        <v>0.9</v>
      </c>
      <c r="U146" s="332">
        <v>0.9</v>
      </c>
      <c r="V146" s="332">
        <v>0.9</v>
      </c>
      <c r="W146" s="332">
        <v>0.9</v>
      </c>
      <c r="X146" s="332">
        <v>0.9</v>
      </c>
      <c r="Y146" s="332">
        <v>0.9</v>
      </c>
      <c r="Z146" s="332">
        <v>0.9</v>
      </c>
      <c r="AA146" s="332">
        <v>0.9</v>
      </c>
      <c r="AB146" s="332">
        <v>0.9</v>
      </c>
      <c r="AC146" s="335">
        <v>0.9</v>
      </c>
      <c r="AD146" s="37"/>
      <c r="AE146" s="37"/>
      <c r="AF146" s="37"/>
      <c r="AG146" s="37"/>
      <c r="AH146" s="37"/>
      <c r="AI146" s="37"/>
      <c r="AJ146" s="37"/>
      <c r="AK146" s="37"/>
    </row>
    <row r="147" spans="1:37" ht="30.6" customHeight="1" thickBot="1">
      <c r="A147" s="579"/>
      <c r="B147" s="570"/>
      <c r="C147" s="638"/>
      <c r="D147" s="573"/>
      <c r="E147" s="289" t="s">
        <v>484</v>
      </c>
      <c r="F147" s="339">
        <v>0.9</v>
      </c>
      <c r="G147" s="339">
        <v>0.9</v>
      </c>
      <c r="H147" s="339">
        <v>0.9</v>
      </c>
      <c r="I147" s="339">
        <v>0.9</v>
      </c>
      <c r="J147" s="339">
        <v>0.9</v>
      </c>
      <c r="K147" s="339">
        <v>0.9</v>
      </c>
      <c r="L147" s="339">
        <v>0.9</v>
      </c>
      <c r="M147" s="339">
        <v>0.9</v>
      </c>
      <c r="N147" s="339">
        <v>0.9</v>
      </c>
      <c r="O147" s="339">
        <v>0.9</v>
      </c>
      <c r="P147" s="339">
        <v>0.9</v>
      </c>
      <c r="Q147" s="339">
        <v>0.9</v>
      </c>
      <c r="R147" s="339">
        <v>0.9</v>
      </c>
      <c r="S147" s="339">
        <v>0.9</v>
      </c>
      <c r="T147" s="339">
        <v>0.9</v>
      </c>
      <c r="U147" s="339">
        <v>0.9</v>
      </c>
      <c r="V147" s="339">
        <v>0.9</v>
      </c>
      <c r="W147" s="339">
        <v>0.9</v>
      </c>
      <c r="X147" s="339">
        <v>0.9</v>
      </c>
      <c r="Y147" s="339">
        <v>0.9</v>
      </c>
      <c r="Z147" s="339">
        <v>0.9</v>
      </c>
      <c r="AA147" s="339">
        <v>0.9</v>
      </c>
      <c r="AB147" s="339">
        <v>0.9</v>
      </c>
      <c r="AC147" s="340">
        <v>0.9</v>
      </c>
      <c r="AD147" s="37"/>
      <c r="AE147" s="37"/>
      <c r="AF147" s="37"/>
      <c r="AG147" s="37"/>
      <c r="AH147" s="37"/>
      <c r="AI147" s="37"/>
      <c r="AJ147" s="37"/>
      <c r="AK147" s="37"/>
    </row>
    <row r="148" spans="1:37" ht="30.6" customHeight="1">
      <c r="A148" s="577" t="s">
        <v>561</v>
      </c>
      <c r="B148" s="568" t="s">
        <v>561</v>
      </c>
      <c r="C148" s="643" t="s">
        <v>537</v>
      </c>
      <c r="D148" s="571" t="s">
        <v>583</v>
      </c>
      <c r="E148" s="292" t="s">
        <v>485</v>
      </c>
      <c r="F148" s="348">
        <v>0.5</v>
      </c>
      <c r="G148" s="348">
        <v>0</v>
      </c>
      <c r="H148" s="348">
        <v>0</v>
      </c>
      <c r="I148" s="348">
        <v>0</v>
      </c>
      <c r="J148" s="348">
        <v>0</v>
      </c>
      <c r="K148" s="348">
        <v>0</v>
      </c>
      <c r="L148" s="402">
        <v>0.5</v>
      </c>
      <c r="M148" s="402">
        <v>0.9</v>
      </c>
      <c r="N148" s="402">
        <v>0.9</v>
      </c>
      <c r="O148" s="402">
        <v>0.9</v>
      </c>
      <c r="P148" s="348">
        <v>0.9</v>
      </c>
      <c r="Q148" s="348">
        <v>0.9</v>
      </c>
      <c r="R148" s="348">
        <v>0.9</v>
      </c>
      <c r="S148" s="348">
        <v>0.9</v>
      </c>
      <c r="T148" s="348">
        <v>0.75</v>
      </c>
      <c r="U148" s="348">
        <v>0.75</v>
      </c>
      <c r="V148" s="348">
        <v>0.75</v>
      </c>
      <c r="W148" s="348">
        <v>0.9</v>
      </c>
      <c r="X148" s="348">
        <v>0.9</v>
      </c>
      <c r="Y148" s="348">
        <v>0.9</v>
      </c>
      <c r="Z148" s="348">
        <v>0.9</v>
      </c>
      <c r="AA148" s="348">
        <v>0.75</v>
      </c>
      <c r="AB148" s="348">
        <v>0.5</v>
      </c>
      <c r="AC148" s="349">
        <v>0.5</v>
      </c>
      <c r="AD148" s="37"/>
      <c r="AE148" s="37"/>
      <c r="AF148" s="37"/>
      <c r="AG148" s="37"/>
      <c r="AH148" s="37"/>
      <c r="AI148" s="37"/>
      <c r="AJ148" s="37"/>
      <c r="AK148" s="37"/>
    </row>
    <row r="149" spans="1:37" ht="30.6" customHeight="1">
      <c r="A149" s="578"/>
      <c r="B149" s="569"/>
      <c r="C149" s="637"/>
      <c r="D149" s="572"/>
      <c r="E149" s="286" t="s">
        <v>483</v>
      </c>
      <c r="F149" s="332">
        <v>0.5</v>
      </c>
      <c r="G149" s="332">
        <v>0</v>
      </c>
      <c r="H149" s="332">
        <v>0</v>
      </c>
      <c r="I149" s="332">
        <v>0</v>
      </c>
      <c r="J149" s="332">
        <v>0</v>
      </c>
      <c r="K149" s="332">
        <v>0</v>
      </c>
      <c r="L149" s="390">
        <v>0.5</v>
      </c>
      <c r="M149" s="390">
        <v>0.9</v>
      </c>
      <c r="N149" s="390">
        <v>0.9</v>
      </c>
      <c r="O149" s="390">
        <v>0.9</v>
      </c>
      <c r="P149" s="332">
        <v>0.9</v>
      </c>
      <c r="Q149" s="332">
        <v>0.9</v>
      </c>
      <c r="R149" s="332">
        <v>0.9</v>
      </c>
      <c r="S149" s="332">
        <v>0.9</v>
      </c>
      <c r="T149" s="332">
        <v>0.75</v>
      </c>
      <c r="U149" s="332">
        <v>0.75</v>
      </c>
      <c r="V149" s="332">
        <v>0.75</v>
      </c>
      <c r="W149" s="332">
        <v>0.9</v>
      </c>
      <c r="X149" s="332">
        <v>0.9</v>
      </c>
      <c r="Y149" s="332">
        <v>0.9</v>
      </c>
      <c r="Z149" s="332">
        <v>0.9</v>
      </c>
      <c r="AA149" s="332">
        <v>0.75</v>
      </c>
      <c r="AB149" s="332">
        <v>0.75</v>
      </c>
      <c r="AC149" s="335">
        <v>0.5</v>
      </c>
      <c r="AD149" s="37"/>
      <c r="AE149" s="37"/>
      <c r="AF149" s="37"/>
      <c r="AG149" s="37"/>
      <c r="AH149" s="37"/>
      <c r="AI149" s="37"/>
      <c r="AJ149" s="37"/>
      <c r="AK149" s="37"/>
    </row>
    <row r="150" spans="1:37" ht="30.6" customHeight="1" thickBot="1">
      <c r="A150" s="579"/>
      <c r="B150" s="570"/>
      <c r="C150" s="638"/>
      <c r="D150" s="573"/>
      <c r="E150" s="295" t="s">
        <v>484</v>
      </c>
      <c r="F150" s="336">
        <v>0.5</v>
      </c>
      <c r="G150" s="336">
        <v>0</v>
      </c>
      <c r="H150" s="336">
        <v>0</v>
      </c>
      <c r="I150" s="336">
        <v>0</v>
      </c>
      <c r="J150" s="336">
        <v>0</v>
      </c>
      <c r="K150" s="336">
        <v>0</v>
      </c>
      <c r="L150" s="391">
        <v>0.5</v>
      </c>
      <c r="M150" s="391">
        <v>0.9</v>
      </c>
      <c r="N150" s="391">
        <v>0.9</v>
      </c>
      <c r="O150" s="391">
        <v>0.9</v>
      </c>
      <c r="P150" s="336">
        <v>0.9</v>
      </c>
      <c r="Q150" s="336">
        <v>0.9</v>
      </c>
      <c r="R150" s="336">
        <v>0.9</v>
      </c>
      <c r="S150" s="336">
        <v>0.9</v>
      </c>
      <c r="T150" s="336">
        <v>0.75</v>
      </c>
      <c r="U150" s="336">
        <v>0.75</v>
      </c>
      <c r="V150" s="336">
        <v>0.75</v>
      </c>
      <c r="W150" s="336">
        <v>0.9</v>
      </c>
      <c r="X150" s="336">
        <v>0.9</v>
      </c>
      <c r="Y150" s="336">
        <v>0.9</v>
      </c>
      <c r="Z150" s="336">
        <v>0.9</v>
      </c>
      <c r="AA150" s="336">
        <v>0.75</v>
      </c>
      <c r="AB150" s="336">
        <v>0.5</v>
      </c>
      <c r="AC150" s="337">
        <v>0.5</v>
      </c>
      <c r="AD150" s="37"/>
      <c r="AE150" s="37"/>
      <c r="AF150" s="37"/>
      <c r="AG150" s="37"/>
      <c r="AH150" s="37"/>
      <c r="AI150" s="37"/>
      <c r="AJ150" s="37"/>
      <c r="AK150" s="37"/>
    </row>
    <row r="151" spans="1:37" ht="30.6" customHeight="1">
      <c r="A151" s="612" t="str">
        <f>A145</f>
        <v>Kitchen</v>
      </c>
      <c r="B151" s="684" t="str">
        <f>B145</f>
        <v>Kitchen</v>
      </c>
      <c r="C151" s="598" t="s">
        <v>542</v>
      </c>
      <c r="D151" s="690" t="s">
        <v>584</v>
      </c>
      <c r="E151" s="414" t="s">
        <v>485</v>
      </c>
      <c r="F151" s="284">
        <f>IF(F142=1,Thermostat!$B$7,Thermostat!$B$8)</f>
        <v>60</v>
      </c>
      <c r="G151" s="284">
        <f>IF(G142=1,Thermostat!$B$7,Thermostat!$B$8)</f>
        <v>60</v>
      </c>
      <c r="H151" s="284">
        <f>IF(H142=1,Thermostat!$B$7,Thermostat!$B$8)</f>
        <v>60</v>
      </c>
      <c r="I151" s="284">
        <f>IF(I142=1,Thermostat!$B$7,Thermostat!$B$8)</f>
        <v>60</v>
      </c>
      <c r="J151" s="284">
        <f>IF(J142=1,Thermostat!$B$7,Thermostat!$B$8)</f>
        <v>60</v>
      </c>
      <c r="K151" s="284">
        <f>IF(K142=1,Thermostat!$B$7,Thermostat!$B$8)</f>
        <v>66</v>
      </c>
      <c r="L151" s="284">
        <f>IF(L142=1,Thermostat!$B$7,Thermostat!$B$8)</f>
        <v>60</v>
      </c>
      <c r="M151" s="284">
        <f>IF(M142=1,Thermostat!$B$7,Thermostat!$B$8)</f>
        <v>66</v>
      </c>
      <c r="N151" s="284">
        <f>IF(N142=1,Thermostat!$B$7,Thermostat!$B$8)</f>
        <v>60</v>
      </c>
      <c r="O151" s="284">
        <f>IF(O142=1,Thermostat!$B$7,Thermostat!$B$8)</f>
        <v>66</v>
      </c>
      <c r="P151" s="284">
        <f>IF(P142=1,Thermostat!$B$7,Thermostat!$B$8)</f>
        <v>60</v>
      </c>
      <c r="Q151" s="284">
        <f>IF(Q142=1,Thermostat!$B$7,Thermostat!$B$8)</f>
        <v>66</v>
      </c>
      <c r="R151" s="284">
        <f>IF(R142=1,Thermostat!$B$7,Thermostat!$B$8)</f>
        <v>60</v>
      </c>
      <c r="S151" s="284">
        <f>IF(S142=1,Thermostat!$B$7,Thermostat!$B$8)</f>
        <v>66</v>
      </c>
      <c r="T151" s="284">
        <f>IF(T142=1,Thermostat!$B$7,Thermostat!$B$8)</f>
        <v>60</v>
      </c>
      <c r="U151" s="284">
        <f>IF(U142=1,Thermostat!$B$7,Thermostat!$B$8)</f>
        <v>66</v>
      </c>
      <c r="V151" s="284">
        <f>IF(V142=1,Thermostat!$B$7,Thermostat!$B$8)</f>
        <v>60</v>
      </c>
      <c r="W151" s="284">
        <f>IF(W142=1,Thermostat!$B$7,Thermostat!$B$8)</f>
        <v>66</v>
      </c>
      <c r="X151" s="284">
        <f>IF(X142=1,Thermostat!$B$7,Thermostat!$B$8)</f>
        <v>60</v>
      </c>
      <c r="Y151" s="284">
        <f>IF(Y142=1,Thermostat!$B$7,Thermostat!$B$8)</f>
        <v>60</v>
      </c>
      <c r="Z151" s="284">
        <f>IF(Z142=1,Thermostat!$B$7,Thermostat!$B$8)</f>
        <v>60</v>
      </c>
      <c r="AA151" s="284">
        <f>IF(AA142=1,Thermostat!$B$7,Thermostat!$B$8)</f>
        <v>60</v>
      </c>
      <c r="AB151" s="284">
        <f>IF(AB142=1,Thermostat!$B$7,Thermostat!$B$8)</f>
        <v>60</v>
      </c>
      <c r="AC151" s="285">
        <f>IF(AC142=1,Thermostat!$B$7,Thermostat!$B$8)</f>
        <v>60</v>
      </c>
      <c r="AD151" s="37"/>
      <c r="AE151" s="37"/>
      <c r="AF151" s="37"/>
      <c r="AG151" s="37"/>
      <c r="AH151" s="37"/>
      <c r="AI151" s="37"/>
      <c r="AJ151" s="37"/>
      <c r="AK151" s="37"/>
    </row>
    <row r="152" spans="1:37" ht="30.6" customHeight="1">
      <c r="A152" s="613"/>
      <c r="B152" s="679"/>
      <c r="C152" s="590"/>
      <c r="D152" s="682"/>
      <c r="E152" s="415" t="s">
        <v>483</v>
      </c>
      <c r="F152" s="287">
        <f>IF(F143=1,Thermostat!$B$7,Thermostat!$B$8)</f>
        <v>60</v>
      </c>
      <c r="G152" s="287">
        <f>IF(G143=1,Thermostat!$B$7,Thermostat!$B$8)</f>
        <v>60</v>
      </c>
      <c r="H152" s="287">
        <f>IF(H143=1,Thermostat!$B$7,Thermostat!$B$8)</f>
        <v>60</v>
      </c>
      <c r="I152" s="287">
        <f>IF(I143=1,Thermostat!$B$7,Thermostat!$B$8)</f>
        <v>60</v>
      </c>
      <c r="J152" s="287">
        <f>IF(J143=1,Thermostat!$B$7,Thermostat!$B$8)</f>
        <v>60</v>
      </c>
      <c r="K152" s="287">
        <f>IF(K143=1,Thermostat!$B$7,Thermostat!$B$8)</f>
        <v>60</v>
      </c>
      <c r="L152" s="287">
        <f>IF(L143=1,Thermostat!$B$7,Thermostat!$B$8)</f>
        <v>60</v>
      </c>
      <c r="M152" s="287">
        <f>IF(M143=1,Thermostat!$B$7,Thermostat!$B$8)</f>
        <v>66</v>
      </c>
      <c r="N152" s="287">
        <f>IF(N143=1,Thermostat!$B$7,Thermostat!$B$8)</f>
        <v>60</v>
      </c>
      <c r="O152" s="287">
        <f>IF(O143=1,Thermostat!$B$7,Thermostat!$B$8)</f>
        <v>66</v>
      </c>
      <c r="P152" s="287">
        <f>IF(P143=1,Thermostat!$B$7,Thermostat!$B$8)</f>
        <v>60</v>
      </c>
      <c r="Q152" s="287">
        <f>IF(Q143=1,Thermostat!$B$7,Thermostat!$B$8)</f>
        <v>66</v>
      </c>
      <c r="R152" s="287">
        <f>IF(R143=1,Thermostat!$B$7,Thermostat!$B$8)</f>
        <v>60</v>
      </c>
      <c r="S152" s="287">
        <f>IF(S143=1,Thermostat!$B$7,Thermostat!$B$8)</f>
        <v>66</v>
      </c>
      <c r="T152" s="287">
        <f>IF(T143=1,Thermostat!$B$7,Thermostat!$B$8)</f>
        <v>60</v>
      </c>
      <c r="U152" s="287">
        <f>IF(U143=1,Thermostat!$B$7,Thermostat!$B$8)</f>
        <v>66</v>
      </c>
      <c r="V152" s="287">
        <f>IF(V143=1,Thermostat!$B$7,Thermostat!$B$8)</f>
        <v>60</v>
      </c>
      <c r="W152" s="287">
        <f>IF(W143=1,Thermostat!$B$7,Thermostat!$B$8)</f>
        <v>66</v>
      </c>
      <c r="X152" s="287">
        <f>IF(X143=1,Thermostat!$B$7,Thermostat!$B$8)</f>
        <v>60</v>
      </c>
      <c r="Y152" s="287">
        <f>IF(Y143=1,Thermostat!$B$7,Thermostat!$B$8)</f>
        <v>60</v>
      </c>
      <c r="Z152" s="287">
        <f>IF(Z143=1,Thermostat!$B$7,Thermostat!$B$8)</f>
        <v>60</v>
      </c>
      <c r="AA152" s="287">
        <f>IF(AA143=1,Thermostat!$B$7,Thermostat!$B$8)</f>
        <v>60</v>
      </c>
      <c r="AB152" s="287">
        <f>IF(AB143=1,Thermostat!$B$7,Thermostat!$B$8)</f>
        <v>60</v>
      </c>
      <c r="AC152" s="288">
        <f>IF(AC143=1,Thermostat!$B$7,Thermostat!$B$8)</f>
        <v>60</v>
      </c>
      <c r="AD152" s="37"/>
      <c r="AE152" s="37"/>
      <c r="AF152" s="37"/>
      <c r="AG152" s="37"/>
      <c r="AH152" s="37"/>
      <c r="AI152" s="37"/>
      <c r="AJ152" s="37"/>
      <c r="AK152" s="37"/>
    </row>
    <row r="153" spans="1:37" ht="30.6" customHeight="1" thickBot="1">
      <c r="A153" s="614"/>
      <c r="B153" s="680"/>
      <c r="C153" s="599"/>
      <c r="D153" s="683"/>
      <c r="E153" s="417" t="s">
        <v>484</v>
      </c>
      <c r="F153" s="296">
        <f>IF(F144=1,Thermostat!$B$7,Thermostat!$B$8)</f>
        <v>60</v>
      </c>
      <c r="G153" s="296">
        <f>IF(G144=1,Thermostat!$B$7,Thermostat!$B$8)</f>
        <v>60</v>
      </c>
      <c r="H153" s="296">
        <f>IF(H144=1,Thermostat!$B$7,Thermostat!$B$8)</f>
        <v>60</v>
      </c>
      <c r="I153" s="296">
        <f>IF(I144=1,Thermostat!$B$7,Thermostat!$B$8)</f>
        <v>60</v>
      </c>
      <c r="J153" s="296">
        <f>IF(J144=1,Thermostat!$B$7,Thermostat!$B$8)</f>
        <v>60</v>
      </c>
      <c r="K153" s="296">
        <f>IF(K144=1,Thermostat!$B$7,Thermostat!$B$8)</f>
        <v>60</v>
      </c>
      <c r="L153" s="296">
        <f>IF(L144=1,Thermostat!$B$7,Thermostat!$B$8)</f>
        <v>60</v>
      </c>
      <c r="M153" s="296">
        <f>IF(M144=1,Thermostat!$B$7,Thermostat!$B$8)</f>
        <v>66</v>
      </c>
      <c r="N153" s="296">
        <f>IF(N144=1,Thermostat!$B$7,Thermostat!$B$8)</f>
        <v>60</v>
      </c>
      <c r="O153" s="296">
        <f>IF(O144=1,Thermostat!$B$7,Thermostat!$B$8)</f>
        <v>66</v>
      </c>
      <c r="P153" s="296">
        <f>IF(P144=1,Thermostat!$B$7,Thermostat!$B$8)</f>
        <v>60</v>
      </c>
      <c r="Q153" s="296">
        <f>IF(Q144=1,Thermostat!$B$7,Thermostat!$B$8)</f>
        <v>66</v>
      </c>
      <c r="R153" s="296">
        <f>IF(R144=1,Thermostat!$B$7,Thermostat!$B$8)</f>
        <v>60</v>
      </c>
      <c r="S153" s="296">
        <f>IF(S144=1,Thermostat!$B$7,Thermostat!$B$8)</f>
        <v>66</v>
      </c>
      <c r="T153" s="296">
        <f>IF(T144=1,Thermostat!$B$7,Thermostat!$B$8)</f>
        <v>60</v>
      </c>
      <c r="U153" s="296">
        <f>IF(U144=1,Thermostat!$B$7,Thermostat!$B$8)</f>
        <v>66</v>
      </c>
      <c r="V153" s="296">
        <f>IF(V144=1,Thermostat!$B$7,Thermostat!$B$8)</f>
        <v>60</v>
      </c>
      <c r="W153" s="296">
        <f>IF(W144=1,Thermostat!$B$7,Thermostat!$B$8)</f>
        <v>66</v>
      </c>
      <c r="X153" s="296">
        <f>IF(X144=1,Thermostat!$B$7,Thermostat!$B$8)</f>
        <v>60</v>
      </c>
      <c r="Y153" s="296">
        <f>IF(Y144=1,Thermostat!$B$7,Thermostat!$B$8)</f>
        <v>60</v>
      </c>
      <c r="Z153" s="296">
        <f>IF(Z144=1,Thermostat!$B$7,Thermostat!$B$8)</f>
        <v>60</v>
      </c>
      <c r="AA153" s="296">
        <f>IF(AA144=1,Thermostat!$B$7,Thermostat!$B$8)</f>
        <v>60</v>
      </c>
      <c r="AB153" s="296">
        <f>IF(AB144=1,Thermostat!$B$7,Thermostat!$B$8)</f>
        <v>60</v>
      </c>
      <c r="AC153" s="297">
        <f>IF(AC144=1,Thermostat!$B$7,Thermostat!$B$8)</f>
        <v>60</v>
      </c>
      <c r="AD153" s="37"/>
      <c r="AE153" s="37"/>
      <c r="AF153" s="37"/>
      <c r="AG153" s="37"/>
      <c r="AH153" s="37"/>
      <c r="AI153" s="37"/>
      <c r="AJ153" s="37"/>
      <c r="AK153" s="37"/>
    </row>
    <row r="154" spans="1:37" ht="30.6" customHeight="1">
      <c r="A154" s="612" t="str">
        <f>A148</f>
        <v>Kitchen</v>
      </c>
      <c r="B154" s="684" t="str">
        <f>B148</f>
        <v>Kitchen</v>
      </c>
      <c r="C154" s="598" t="s">
        <v>543</v>
      </c>
      <c r="D154" s="681" t="s">
        <v>584</v>
      </c>
      <c r="E154" s="414" t="s">
        <v>485</v>
      </c>
      <c r="F154" s="284">
        <f>IF(F142=1,Thermostat!$B$9,Thermostat!$B$10)</f>
        <v>86</v>
      </c>
      <c r="G154" s="284">
        <f>IF(G142=1,Thermostat!$B$9,Thermostat!$B$10)</f>
        <v>86</v>
      </c>
      <c r="H154" s="284">
        <f>IF(H142=1,Thermostat!$B$9,Thermostat!$B$10)</f>
        <v>86</v>
      </c>
      <c r="I154" s="284">
        <f>IF(I142=1,Thermostat!$B$9,Thermostat!$B$10)</f>
        <v>86</v>
      </c>
      <c r="J154" s="284">
        <f>IF(J142=1,Thermostat!$B$9,Thermostat!$B$10)</f>
        <v>86</v>
      </c>
      <c r="K154" s="284">
        <f>IF(K142=1,Thermostat!$B$9,Thermostat!$B$10)</f>
        <v>79</v>
      </c>
      <c r="L154" s="284">
        <f>IF(L142=1,Thermostat!$B$9,Thermostat!$B$10)</f>
        <v>86</v>
      </c>
      <c r="M154" s="284">
        <f>IF(M142=1,Thermostat!$B$9,Thermostat!$B$10)</f>
        <v>79</v>
      </c>
      <c r="N154" s="284">
        <f>IF(N142=1,Thermostat!$B$9,Thermostat!$B$10)</f>
        <v>86</v>
      </c>
      <c r="O154" s="284">
        <f>IF(O142=1,Thermostat!$B$9,Thermostat!$B$10)</f>
        <v>79</v>
      </c>
      <c r="P154" s="284">
        <f>IF(P142=1,Thermostat!$B$9,Thermostat!$B$10)</f>
        <v>86</v>
      </c>
      <c r="Q154" s="284">
        <f>IF(Q142=1,Thermostat!$B$9,Thermostat!$B$10)</f>
        <v>79</v>
      </c>
      <c r="R154" s="284">
        <f>IF(R142=1,Thermostat!$B$9,Thermostat!$B$10)</f>
        <v>86</v>
      </c>
      <c r="S154" s="284">
        <f>IF(S142=1,Thermostat!$B$9,Thermostat!$B$10)</f>
        <v>79</v>
      </c>
      <c r="T154" s="284">
        <f>IF(T142=1,Thermostat!$B$9,Thermostat!$B$10)</f>
        <v>86</v>
      </c>
      <c r="U154" s="284">
        <f>IF(U142=1,Thermostat!$B$9,Thermostat!$B$10)</f>
        <v>79</v>
      </c>
      <c r="V154" s="284">
        <f>IF(V142=1,Thermostat!$B$9,Thermostat!$B$10)</f>
        <v>86</v>
      </c>
      <c r="W154" s="284">
        <f>IF(W142=1,Thermostat!$B$9,Thermostat!$B$10)</f>
        <v>79</v>
      </c>
      <c r="X154" s="284">
        <f>IF(X142=1,Thermostat!$B$9,Thermostat!$B$10)</f>
        <v>86</v>
      </c>
      <c r="Y154" s="284">
        <f>IF(Y142=1,Thermostat!$B$9,Thermostat!$B$10)</f>
        <v>86</v>
      </c>
      <c r="Z154" s="284">
        <f>IF(Z142=1,Thermostat!$B$9,Thermostat!$B$10)</f>
        <v>86</v>
      </c>
      <c r="AA154" s="284">
        <f>IF(AA142=1,Thermostat!$B$9,Thermostat!$B$10)</f>
        <v>86</v>
      </c>
      <c r="AB154" s="284">
        <f>IF(AB142=1,Thermostat!$B$9,Thermostat!$B$10)</f>
        <v>86</v>
      </c>
      <c r="AC154" s="285">
        <f>IF(AC142=1,Thermostat!$B$9,Thermostat!$B$10)</f>
        <v>86</v>
      </c>
      <c r="AD154" s="37"/>
      <c r="AE154" s="37"/>
      <c r="AF154" s="37"/>
      <c r="AG154" s="37"/>
      <c r="AH154" s="37"/>
      <c r="AI154" s="37"/>
      <c r="AJ154" s="37"/>
      <c r="AK154" s="37"/>
    </row>
    <row r="155" spans="1:37" ht="30.6" customHeight="1">
      <c r="A155" s="613"/>
      <c r="B155" s="679"/>
      <c r="C155" s="590"/>
      <c r="D155" s="682"/>
      <c r="E155" s="415" t="s">
        <v>483</v>
      </c>
      <c r="F155" s="287">
        <f>IF(F143=1,Thermostat!$B$9,Thermostat!$B$10)</f>
        <v>86</v>
      </c>
      <c r="G155" s="287">
        <f>IF(G143=1,Thermostat!$B$9,Thermostat!$B$10)</f>
        <v>86</v>
      </c>
      <c r="H155" s="287">
        <f>IF(H143=1,Thermostat!$B$9,Thermostat!$B$10)</f>
        <v>86</v>
      </c>
      <c r="I155" s="287">
        <f>IF(I143=1,Thermostat!$B$9,Thermostat!$B$10)</f>
        <v>86</v>
      </c>
      <c r="J155" s="287">
        <f>IF(J143=1,Thermostat!$B$9,Thermostat!$B$10)</f>
        <v>86</v>
      </c>
      <c r="K155" s="287">
        <f>IF(K143=1,Thermostat!$B$9,Thermostat!$B$10)</f>
        <v>86</v>
      </c>
      <c r="L155" s="287">
        <f>IF(L143=1,Thermostat!$B$9,Thermostat!$B$10)</f>
        <v>86</v>
      </c>
      <c r="M155" s="287">
        <f>IF(M143=1,Thermostat!$B$9,Thermostat!$B$10)</f>
        <v>79</v>
      </c>
      <c r="N155" s="287">
        <f>IF(N143=1,Thermostat!$B$9,Thermostat!$B$10)</f>
        <v>86</v>
      </c>
      <c r="O155" s="287">
        <f>IF(O143=1,Thermostat!$B$9,Thermostat!$B$10)</f>
        <v>79</v>
      </c>
      <c r="P155" s="287">
        <f>IF(P143=1,Thermostat!$B$9,Thermostat!$B$10)</f>
        <v>86</v>
      </c>
      <c r="Q155" s="287">
        <f>IF(Q143=1,Thermostat!$B$9,Thermostat!$B$10)</f>
        <v>79</v>
      </c>
      <c r="R155" s="287">
        <f>IF(R143=1,Thermostat!$B$9,Thermostat!$B$10)</f>
        <v>86</v>
      </c>
      <c r="S155" s="287">
        <f>IF(S143=1,Thermostat!$B$9,Thermostat!$B$10)</f>
        <v>79</v>
      </c>
      <c r="T155" s="287">
        <f>IF(T143=1,Thermostat!$B$9,Thermostat!$B$10)</f>
        <v>86</v>
      </c>
      <c r="U155" s="287">
        <f>IF(U143=1,Thermostat!$B$9,Thermostat!$B$10)</f>
        <v>79</v>
      </c>
      <c r="V155" s="287">
        <f>IF(V143=1,Thermostat!$B$9,Thermostat!$B$10)</f>
        <v>86</v>
      </c>
      <c r="W155" s="287">
        <f>IF(W143=1,Thermostat!$B$9,Thermostat!$B$10)</f>
        <v>79</v>
      </c>
      <c r="X155" s="287">
        <f>IF(X143=1,Thermostat!$B$9,Thermostat!$B$10)</f>
        <v>86</v>
      </c>
      <c r="Y155" s="287">
        <f>IF(Y143=1,Thermostat!$B$9,Thermostat!$B$10)</f>
        <v>86</v>
      </c>
      <c r="Z155" s="287">
        <f>IF(Z143=1,Thermostat!$B$9,Thermostat!$B$10)</f>
        <v>86</v>
      </c>
      <c r="AA155" s="287">
        <f>IF(AA143=1,Thermostat!$B$9,Thermostat!$B$10)</f>
        <v>86</v>
      </c>
      <c r="AB155" s="287">
        <f>IF(AB143=1,Thermostat!$B$9,Thermostat!$B$10)</f>
        <v>86</v>
      </c>
      <c r="AC155" s="288">
        <f>IF(AC143=1,Thermostat!$B$9,Thermostat!$B$10)</f>
        <v>86</v>
      </c>
      <c r="AD155" s="37"/>
      <c r="AE155" s="37"/>
      <c r="AF155" s="37"/>
      <c r="AG155" s="37"/>
      <c r="AH155" s="37"/>
      <c r="AI155" s="37"/>
      <c r="AJ155" s="37"/>
      <c r="AK155" s="37"/>
    </row>
    <row r="156" spans="1:37" ht="30.6" customHeight="1" thickBot="1">
      <c r="A156" s="620"/>
      <c r="B156" s="685"/>
      <c r="C156" s="686"/>
      <c r="D156" s="689"/>
      <c r="E156" s="416" t="s">
        <v>484</v>
      </c>
      <c r="F156" s="290">
        <f>IF(F144=1,Thermostat!$B$9,Thermostat!$B$10)</f>
        <v>86</v>
      </c>
      <c r="G156" s="290">
        <f>IF(G144=1,Thermostat!$B$9,Thermostat!$B$10)</f>
        <v>86</v>
      </c>
      <c r="H156" s="290">
        <f>IF(H144=1,Thermostat!$B$9,Thermostat!$B$10)</f>
        <v>86</v>
      </c>
      <c r="I156" s="290">
        <f>IF(I144=1,Thermostat!$B$9,Thermostat!$B$10)</f>
        <v>86</v>
      </c>
      <c r="J156" s="290">
        <f>IF(J144=1,Thermostat!$B$9,Thermostat!$B$10)</f>
        <v>86</v>
      </c>
      <c r="K156" s="290">
        <f>IF(K144=1,Thermostat!$B$9,Thermostat!$B$10)</f>
        <v>86</v>
      </c>
      <c r="L156" s="290">
        <f>IF(L144=1,Thermostat!$B$9,Thermostat!$B$10)</f>
        <v>86</v>
      </c>
      <c r="M156" s="290">
        <f>IF(M144=1,Thermostat!$B$9,Thermostat!$B$10)</f>
        <v>79</v>
      </c>
      <c r="N156" s="290">
        <f>IF(N144=1,Thermostat!$B$9,Thermostat!$B$10)</f>
        <v>86</v>
      </c>
      <c r="O156" s="290">
        <f>IF(O144=1,Thermostat!$B$9,Thermostat!$B$10)</f>
        <v>79</v>
      </c>
      <c r="P156" s="290">
        <f>IF(P144=1,Thermostat!$B$9,Thermostat!$B$10)</f>
        <v>86</v>
      </c>
      <c r="Q156" s="290">
        <f>IF(Q144=1,Thermostat!$B$9,Thermostat!$B$10)</f>
        <v>79</v>
      </c>
      <c r="R156" s="290">
        <f>IF(R144=1,Thermostat!$B$9,Thermostat!$B$10)</f>
        <v>86</v>
      </c>
      <c r="S156" s="290">
        <f>IF(S144=1,Thermostat!$B$9,Thermostat!$B$10)</f>
        <v>79</v>
      </c>
      <c r="T156" s="290">
        <f>IF(T144=1,Thermostat!$B$9,Thermostat!$B$10)</f>
        <v>86</v>
      </c>
      <c r="U156" s="290">
        <f>IF(U144=1,Thermostat!$B$9,Thermostat!$B$10)</f>
        <v>79</v>
      </c>
      <c r="V156" s="290">
        <f>IF(V144=1,Thermostat!$B$9,Thermostat!$B$10)</f>
        <v>86</v>
      </c>
      <c r="W156" s="290">
        <f>IF(W144=1,Thermostat!$B$9,Thermostat!$B$10)</f>
        <v>79</v>
      </c>
      <c r="X156" s="290">
        <f>IF(X144=1,Thermostat!$B$9,Thermostat!$B$10)</f>
        <v>86</v>
      </c>
      <c r="Y156" s="290">
        <f>IF(Y144=1,Thermostat!$B$9,Thermostat!$B$10)</f>
        <v>86</v>
      </c>
      <c r="Z156" s="290">
        <f>IF(Z144=1,Thermostat!$B$9,Thermostat!$B$10)</f>
        <v>86</v>
      </c>
      <c r="AA156" s="290">
        <f>IF(AA144=1,Thermostat!$B$9,Thermostat!$B$10)</f>
        <v>86</v>
      </c>
      <c r="AB156" s="290">
        <f>IF(AB144=1,Thermostat!$B$9,Thermostat!$B$10)</f>
        <v>86</v>
      </c>
      <c r="AC156" s="291">
        <f>IF(AC144=1,Thermostat!$B$9,Thermostat!$B$10)</f>
        <v>86</v>
      </c>
      <c r="AD156" s="37"/>
      <c r="AE156" s="37"/>
      <c r="AF156" s="37"/>
      <c r="AG156" s="37"/>
      <c r="AH156" s="37"/>
      <c r="AI156" s="37"/>
      <c r="AJ156" s="37"/>
      <c r="AK156" s="37"/>
    </row>
  </sheetData>
  <mergeCells count="195">
    <mergeCell ref="A154:A156"/>
    <mergeCell ref="B154:B156"/>
    <mergeCell ref="C154:C156"/>
    <mergeCell ref="D154:D156"/>
    <mergeCell ref="A148:A150"/>
    <mergeCell ref="B148:B150"/>
    <mergeCell ref="C148:C150"/>
    <mergeCell ref="D148:D150"/>
    <mergeCell ref="A151:A153"/>
    <mergeCell ref="B151:B153"/>
    <mergeCell ref="C151:C153"/>
    <mergeCell ref="D151:D153"/>
    <mergeCell ref="A142:A144"/>
    <mergeCell ref="B142:B144"/>
    <mergeCell ref="C142:C144"/>
    <mergeCell ref="D142:D144"/>
    <mergeCell ref="A145:A147"/>
    <mergeCell ref="B145:B147"/>
    <mergeCell ref="C145:C147"/>
    <mergeCell ref="D145:D147"/>
    <mergeCell ref="A136:A138"/>
    <mergeCell ref="B136:B138"/>
    <mergeCell ref="C136:C138"/>
    <mergeCell ref="D136:D138"/>
    <mergeCell ref="A139:A141"/>
    <mergeCell ref="B139:B141"/>
    <mergeCell ref="C139:C141"/>
    <mergeCell ref="D139:D141"/>
    <mergeCell ref="A130:A132"/>
    <mergeCell ref="B130:B132"/>
    <mergeCell ref="C130:C132"/>
    <mergeCell ref="D130:D132"/>
    <mergeCell ref="A133:A135"/>
    <mergeCell ref="B133:B135"/>
    <mergeCell ref="C133:C135"/>
    <mergeCell ref="D133:D135"/>
    <mergeCell ref="A124:A126"/>
    <mergeCell ref="B124:B126"/>
    <mergeCell ref="C124:C126"/>
    <mergeCell ref="D124:D126"/>
    <mergeCell ref="A127:A129"/>
    <mergeCell ref="B127:B129"/>
    <mergeCell ref="C127:C129"/>
    <mergeCell ref="D127:D129"/>
    <mergeCell ref="C121:C123"/>
    <mergeCell ref="D121:D123"/>
    <mergeCell ref="A114:A116"/>
    <mergeCell ref="B114:B116"/>
    <mergeCell ref="C114:C116"/>
    <mergeCell ref="D114:D116"/>
    <mergeCell ref="A117:A119"/>
    <mergeCell ref="B117:B119"/>
    <mergeCell ref="C117:C119"/>
    <mergeCell ref="D117:D119"/>
    <mergeCell ref="A108:A110"/>
    <mergeCell ref="B108:B110"/>
    <mergeCell ref="C108:C110"/>
    <mergeCell ref="D108:D110"/>
    <mergeCell ref="A111:A113"/>
    <mergeCell ref="B111:B113"/>
    <mergeCell ref="C111:C113"/>
    <mergeCell ref="D111:D113"/>
    <mergeCell ref="A102:A104"/>
    <mergeCell ref="B102:B104"/>
    <mergeCell ref="C102:C104"/>
    <mergeCell ref="D102:D104"/>
    <mergeCell ref="A105:A107"/>
    <mergeCell ref="B105:B107"/>
    <mergeCell ref="C105:C107"/>
    <mergeCell ref="D105:D107"/>
    <mergeCell ref="A99:A101"/>
    <mergeCell ref="B99:B101"/>
    <mergeCell ref="C99:C101"/>
    <mergeCell ref="D99:D101"/>
    <mergeCell ref="B28:B30"/>
    <mergeCell ref="C28:C30"/>
    <mergeCell ref="D28:D30"/>
    <mergeCell ref="A31:A33"/>
    <mergeCell ref="B31:B33"/>
    <mergeCell ref="C31:C33"/>
    <mergeCell ref="D31:D33"/>
    <mergeCell ref="A95:AC95"/>
    <mergeCell ref="A96:A98"/>
    <mergeCell ref="B96:B98"/>
    <mergeCell ref="D56:D58"/>
    <mergeCell ref="A81:A83"/>
    <mergeCell ref="B81:B83"/>
    <mergeCell ref="C81:C83"/>
    <mergeCell ref="D81:D83"/>
    <mergeCell ref="A59:AC59"/>
    <mergeCell ref="A63:A65"/>
    <mergeCell ref="B63:B65"/>
    <mergeCell ref="C63:C65"/>
    <mergeCell ref="D63:D65"/>
    <mergeCell ref="A75:A77"/>
    <mergeCell ref="B75:B77"/>
    <mergeCell ref="C75:C77"/>
    <mergeCell ref="D75:D77"/>
    <mergeCell ref="A78:A80"/>
    <mergeCell ref="B78:B80"/>
    <mergeCell ref="C78:C80"/>
    <mergeCell ref="D78:D80"/>
    <mergeCell ref="D69:D71"/>
    <mergeCell ref="A72:A74"/>
    <mergeCell ref="B72:B74"/>
    <mergeCell ref="C72:C74"/>
    <mergeCell ref="D72:D74"/>
    <mergeCell ref="A69:A71"/>
    <mergeCell ref="B69:B71"/>
    <mergeCell ref="C69:C71"/>
    <mergeCell ref="D53:D55"/>
    <mergeCell ref="A56:A58"/>
    <mergeCell ref="B56:B58"/>
    <mergeCell ref="C56:C58"/>
    <mergeCell ref="D66:D68"/>
    <mergeCell ref="C38:C40"/>
    <mergeCell ref="D38:D40"/>
    <mergeCell ref="C22:C24"/>
    <mergeCell ref="D22:D24"/>
    <mergeCell ref="A22:A24"/>
    <mergeCell ref="B22:B24"/>
    <mergeCell ref="A53:A55"/>
    <mergeCell ref="B53:B55"/>
    <mergeCell ref="A60:A62"/>
    <mergeCell ref="C53:C55"/>
    <mergeCell ref="A66:A68"/>
    <mergeCell ref="B66:B68"/>
    <mergeCell ref="C66:C68"/>
    <mergeCell ref="A25:A27"/>
    <mergeCell ref="A35:A37"/>
    <mergeCell ref="A28:A30"/>
    <mergeCell ref="A34:AC34"/>
    <mergeCell ref="D44:D46"/>
    <mergeCell ref="D47:D49"/>
    <mergeCell ref="D50:D52"/>
    <mergeCell ref="B25:B27"/>
    <mergeCell ref="C25:C27"/>
    <mergeCell ref="D25:D27"/>
    <mergeCell ref="A38:A40"/>
    <mergeCell ref="A41:A43"/>
    <mergeCell ref="A44:A46"/>
    <mergeCell ref="B44:B46"/>
    <mergeCell ref="C44:C46"/>
    <mergeCell ref="A47:A49"/>
    <mergeCell ref="B47:B49"/>
    <mergeCell ref="C47:C49"/>
    <mergeCell ref="A50:A52"/>
    <mergeCell ref="B50:B52"/>
    <mergeCell ref="C50:C52"/>
    <mergeCell ref="B10:B12"/>
    <mergeCell ref="A1:AC1"/>
    <mergeCell ref="D10:D12"/>
    <mergeCell ref="A2:A3"/>
    <mergeCell ref="A4:A6"/>
    <mergeCell ref="A7:A9"/>
    <mergeCell ref="A10:A12"/>
    <mergeCell ref="A13:A15"/>
    <mergeCell ref="B4:B6"/>
    <mergeCell ref="B7:B9"/>
    <mergeCell ref="B2:B3"/>
    <mergeCell ref="C10:C12"/>
    <mergeCell ref="C7:C9"/>
    <mergeCell ref="B13:B15"/>
    <mergeCell ref="C13:C15"/>
    <mergeCell ref="F2:AC2"/>
    <mergeCell ref="E2:E3"/>
    <mergeCell ref="D2:D3"/>
    <mergeCell ref="C2:C3"/>
    <mergeCell ref="D4:D6"/>
    <mergeCell ref="C4:C6"/>
    <mergeCell ref="D7:D9"/>
    <mergeCell ref="C96:C98"/>
    <mergeCell ref="D96:D98"/>
    <mergeCell ref="A120:AC120"/>
    <mergeCell ref="A121:A123"/>
    <mergeCell ref="B121:B123"/>
    <mergeCell ref="D13:D15"/>
    <mergeCell ref="B60:B62"/>
    <mergeCell ref="C60:C62"/>
    <mergeCell ref="D60:D62"/>
    <mergeCell ref="B16:B18"/>
    <mergeCell ref="D16:D18"/>
    <mergeCell ref="B19:B21"/>
    <mergeCell ref="C19:C21"/>
    <mergeCell ref="D19:D21"/>
    <mergeCell ref="C16:C18"/>
    <mergeCell ref="C41:C43"/>
    <mergeCell ref="D41:D43"/>
    <mergeCell ref="B41:B43"/>
    <mergeCell ref="B35:B37"/>
    <mergeCell ref="C35:C37"/>
    <mergeCell ref="D35:D37"/>
    <mergeCell ref="B38:B40"/>
    <mergeCell ref="A16:A18"/>
    <mergeCell ref="A19:A21"/>
  </mergeCells>
  <phoneticPr fontId="5"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W25"/>
  <sheetViews>
    <sheetView zoomScale="80" zoomScaleNormal="80" workbookViewId="0">
      <selection sqref="A1:L1"/>
    </sheetView>
  </sheetViews>
  <sheetFormatPr defaultColWidth="8.7109375" defaultRowHeight="12.75"/>
  <cols>
    <col min="1" max="1" width="10.28515625" style="6" customWidth="1"/>
    <col min="2" max="2" width="8.7109375" style="6"/>
    <col min="3" max="3" width="17.28515625" style="6" bestFit="1" customWidth="1"/>
    <col min="4" max="4" width="12.7109375" style="6" bestFit="1" customWidth="1"/>
    <col min="5" max="5" width="12.85546875" style="6" bestFit="1" customWidth="1"/>
    <col min="6" max="6" width="22.28515625" style="6" bestFit="1" customWidth="1"/>
    <col min="7" max="7" width="16.85546875" style="6" bestFit="1" customWidth="1"/>
    <col min="8" max="8" width="17.85546875" style="6" bestFit="1" customWidth="1"/>
    <col min="9" max="9" width="10.7109375" style="6" customWidth="1"/>
    <col min="10" max="11" width="17.28515625" style="6" bestFit="1" customWidth="1"/>
    <col min="12" max="12" width="19.28515625" style="6" customWidth="1"/>
    <col min="13" max="14" width="8.7109375" style="6"/>
    <col min="15" max="15" width="14.42578125" style="6" customWidth="1"/>
    <col min="16" max="16" width="15.42578125" style="6" customWidth="1"/>
    <col min="17" max="17" width="19.28515625" style="6" customWidth="1"/>
    <col min="18" max="19" width="18.28515625" style="6" customWidth="1"/>
    <col min="20" max="22" width="13.7109375" style="6" customWidth="1"/>
    <col min="23" max="23" width="10.7109375" style="6" customWidth="1"/>
    <col min="24" max="25" width="8.7109375" style="6"/>
    <col min="26" max="26" width="13.7109375" style="6" customWidth="1"/>
    <col min="27" max="29" width="8.7109375" style="6"/>
    <col min="30" max="30" width="12.42578125" style="6" customWidth="1"/>
    <col min="31" max="16384" width="8.7109375" style="6"/>
  </cols>
  <sheetData>
    <row r="1" spans="1:23" ht="27" customHeight="1">
      <c r="A1" s="520" t="s">
        <v>669</v>
      </c>
      <c r="B1" s="520"/>
      <c r="C1" s="520"/>
      <c r="D1" s="520"/>
      <c r="E1" s="520"/>
      <c r="F1" s="520"/>
      <c r="G1" s="520"/>
      <c r="H1" s="520"/>
      <c r="I1" s="520"/>
      <c r="J1" s="520"/>
      <c r="K1" s="520"/>
      <c r="L1" s="520"/>
      <c r="O1" s="501" t="str">
        <f>"Energy Consumption - "&amp;Prototype!A2</f>
        <v>Energy Consumption - Outpatient</v>
      </c>
      <c r="P1" s="502"/>
      <c r="Q1" s="502"/>
      <c r="R1" s="502"/>
      <c r="S1" s="502"/>
      <c r="T1" s="502"/>
      <c r="U1" s="502"/>
      <c r="V1" s="502"/>
      <c r="W1" s="502"/>
    </row>
    <row r="2" spans="1:23" ht="39.6" customHeight="1">
      <c r="A2" s="471" t="s">
        <v>5</v>
      </c>
      <c r="B2" s="471" t="s">
        <v>585</v>
      </c>
      <c r="C2" s="471" t="s">
        <v>657</v>
      </c>
      <c r="D2" s="471" t="s">
        <v>658</v>
      </c>
      <c r="E2" s="471" t="s">
        <v>659</v>
      </c>
      <c r="F2" s="471" t="s">
        <v>660</v>
      </c>
      <c r="G2" s="471" t="s">
        <v>661</v>
      </c>
      <c r="H2" s="471" t="s">
        <v>662</v>
      </c>
      <c r="I2" s="474" t="s">
        <v>663</v>
      </c>
      <c r="J2" s="474" t="s">
        <v>670</v>
      </c>
      <c r="K2" s="474" t="s">
        <v>671</v>
      </c>
      <c r="L2" s="474" t="s">
        <v>664</v>
      </c>
      <c r="O2" s="473" t="s">
        <v>5</v>
      </c>
      <c r="P2" s="471" t="s">
        <v>585</v>
      </c>
      <c r="Q2" s="471" t="s">
        <v>586</v>
      </c>
      <c r="R2" s="471" t="s">
        <v>665</v>
      </c>
      <c r="S2" s="471" t="s">
        <v>666</v>
      </c>
      <c r="T2" s="139" t="s">
        <v>667</v>
      </c>
      <c r="U2" s="139" t="s">
        <v>670</v>
      </c>
      <c r="V2" s="139" t="s">
        <v>671</v>
      </c>
      <c r="W2" s="139" t="s">
        <v>668</v>
      </c>
    </row>
    <row r="3" spans="1:23" ht="19.149999999999999" customHeight="1">
      <c r="A3" s="522" t="s">
        <v>31</v>
      </c>
      <c r="B3" s="456">
        <v>1</v>
      </c>
      <c r="C3" s="479">
        <v>49.4</v>
      </c>
      <c r="D3" s="479">
        <v>39</v>
      </c>
      <c r="E3" s="479">
        <v>88.4</v>
      </c>
      <c r="F3" s="479">
        <v>29.1</v>
      </c>
      <c r="G3" s="479">
        <v>28.5</v>
      </c>
      <c r="H3" s="479">
        <v>57.7</v>
      </c>
      <c r="I3" s="3">
        <v>108</v>
      </c>
      <c r="J3" s="475">
        <f>I3*1.25</f>
        <v>135</v>
      </c>
      <c r="K3" s="475">
        <f>I3*0.75</f>
        <v>81</v>
      </c>
      <c r="L3" s="475">
        <f>J3-K3</f>
        <v>54</v>
      </c>
      <c r="O3" s="522" t="str">
        <f>A3</f>
        <v>Outpatient</v>
      </c>
      <c r="P3" s="115">
        <v>1</v>
      </c>
      <c r="Q3" s="476">
        <v>7059</v>
      </c>
      <c r="R3" s="478">
        <v>70.980212195308724</v>
      </c>
      <c r="S3" s="478">
        <v>51.157709366392332</v>
      </c>
      <c r="T3" s="480">
        <f>R3+S3</f>
        <v>122.13792156170106</v>
      </c>
      <c r="U3" s="477">
        <f>T3*1.25</f>
        <v>152.67240195212634</v>
      </c>
      <c r="V3" s="477">
        <f>T3*0.75</f>
        <v>91.60344117127579</v>
      </c>
      <c r="W3" s="480">
        <f>U3-V3</f>
        <v>61.068960780850546</v>
      </c>
    </row>
    <row r="4" spans="1:23" ht="19.149999999999999" customHeight="1">
      <c r="A4" s="522"/>
      <c r="B4" s="456">
        <v>2</v>
      </c>
      <c r="C4" s="479">
        <v>57.6</v>
      </c>
      <c r="D4" s="479">
        <v>32.5</v>
      </c>
      <c r="E4" s="479">
        <v>90.2</v>
      </c>
      <c r="F4" s="479">
        <v>32.1</v>
      </c>
      <c r="G4" s="479">
        <v>23</v>
      </c>
      <c r="H4" s="479">
        <v>55.2</v>
      </c>
      <c r="I4" s="3">
        <v>106.4</v>
      </c>
      <c r="J4" s="475">
        <f t="shared" ref="J4:J18" si="0">I4*1.25</f>
        <v>133</v>
      </c>
      <c r="K4" s="475">
        <f t="shared" ref="K4:K18" si="1">I4*0.75</f>
        <v>79.800000000000011</v>
      </c>
      <c r="L4" s="475">
        <f t="shared" ref="L4:L18" si="2">J4-K4</f>
        <v>53.199999999999989</v>
      </c>
      <c r="O4" s="522"/>
      <c r="P4" s="115">
        <v>2</v>
      </c>
      <c r="Q4" s="476">
        <v>14514</v>
      </c>
      <c r="R4" s="478">
        <v>45.631221123127403</v>
      </c>
      <c r="S4" s="478">
        <v>53.475471118975605</v>
      </c>
      <c r="T4" s="480">
        <f t="shared" ref="T4:T18" si="3">R4+S4</f>
        <v>99.106692242103009</v>
      </c>
      <c r="U4" s="477">
        <f t="shared" ref="U4:U18" si="4">T4*1.25</f>
        <v>123.88336530262876</v>
      </c>
      <c r="V4" s="477">
        <f t="shared" ref="V4:V18" si="5">T4*0.75</f>
        <v>74.330019181577256</v>
      </c>
      <c r="W4" s="480">
        <f t="shared" ref="W4:W18" si="6">U4-V4</f>
        <v>49.553346121051504</v>
      </c>
    </row>
    <row r="5" spans="1:23" ht="19.149999999999999" customHeight="1">
      <c r="A5" s="522"/>
      <c r="B5" s="456">
        <v>3</v>
      </c>
      <c r="C5" s="479">
        <v>55.2</v>
      </c>
      <c r="D5" s="479">
        <v>28.2</v>
      </c>
      <c r="E5" s="479">
        <v>83.4</v>
      </c>
      <c r="F5" s="479">
        <v>30.8</v>
      </c>
      <c r="G5" s="479">
        <v>20.9</v>
      </c>
      <c r="H5" s="479">
        <v>51.7</v>
      </c>
      <c r="I5" s="3">
        <v>104.6</v>
      </c>
      <c r="J5" s="475">
        <f t="shared" si="0"/>
        <v>130.75</v>
      </c>
      <c r="K5" s="475">
        <f t="shared" si="1"/>
        <v>78.449999999999989</v>
      </c>
      <c r="L5" s="475">
        <f t="shared" si="2"/>
        <v>52.300000000000011</v>
      </c>
      <c r="O5" s="522"/>
      <c r="P5" s="115">
        <v>3</v>
      </c>
      <c r="Q5" s="476">
        <v>56689</v>
      </c>
      <c r="R5" s="478">
        <v>53.487682660570549</v>
      </c>
      <c r="S5" s="478">
        <v>48.160547948909439</v>
      </c>
      <c r="T5" s="480">
        <f t="shared" si="3"/>
        <v>101.64823060947998</v>
      </c>
      <c r="U5" s="477">
        <f t="shared" si="4"/>
        <v>127.06028826184998</v>
      </c>
      <c r="V5" s="477">
        <f t="shared" si="5"/>
        <v>76.236172957109986</v>
      </c>
      <c r="W5" s="480">
        <f t="shared" si="6"/>
        <v>50.824115304739991</v>
      </c>
    </row>
    <row r="6" spans="1:23" ht="19.149999999999999" customHeight="1">
      <c r="A6" s="522"/>
      <c r="B6" s="456">
        <v>4</v>
      </c>
      <c r="C6" s="479">
        <v>62.2</v>
      </c>
      <c r="D6" s="479">
        <v>30.9</v>
      </c>
      <c r="E6" s="479">
        <v>93.1</v>
      </c>
      <c r="F6" s="479">
        <v>33.799999999999997</v>
      </c>
      <c r="G6" s="479">
        <v>21.2</v>
      </c>
      <c r="H6" s="479">
        <v>55</v>
      </c>
      <c r="I6" s="3">
        <v>111.8</v>
      </c>
      <c r="J6" s="475">
        <f t="shared" si="0"/>
        <v>139.75</v>
      </c>
      <c r="K6" s="475">
        <f t="shared" si="1"/>
        <v>83.85</v>
      </c>
      <c r="L6" s="475">
        <f t="shared" si="2"/>
        <v>55.900000000000006</v>
      </c>
      <c r="O6" s="522"/>
      <c r="P6" s="115">
        <v>4</v>
      </c>
      <c r="Q6" s="476">
        <v>29372</v>
      </c>
      <c r="R6" s="478">
        <v>54.755926049206174</v>
      </c>
      <c r="S6" s="478">
        <v>50.159318999849447</v>
      </c>
      <c r="T6" s="480">
        <f t="shared" si="3"/>
        <v>104.91524504905561</v>
      </c>
      <c r="U6" s="477">
        <f t="shared" si="4"/>
        <v>131.1440563113195</v>
      </c>
      <c r="V6" s="477">
        <f t="shared" si="5"/>
        <v>78.68643378679171</v>
      </c>
      <c r="W6" s="480">
        <f t="shared" si="6"/>
        <v>52.457622524527793</v>
      </c>
    </row>
    <row r="7" spans="1:23" ht="19.149999999999999" customHeight="1">
      <c r="A7" s="522"/>
      <c r="B7" s="456">
        <v>5</v>
      </c>
      <c r="C7" s="479">
        <v>56.2</v>
      </c>
      <c r="D7" s="479">
        <v>28.3</v>
      </c>
      <c r="E7" s="479">
        <v>84.5</v>
      </c>
      <c r="F7" s="479">
        <v>31.4</v>
      </c>
      <c r="G7" s="479">
        <v>20.3</v>
      </c>
      <c r="H7" s="479">
        <v>51.7</v>
      </c>
      <c r="I7" s="3">
        <v>103.8</v>
      </c>
      <c r="J7" s="475">
        <f t="shared" si="0"/>
        <v>129.75</v>
      </c>
      <c r="K7" s="475">
        <f t="shared" si="1"/>
        <v>77.849999999999994</v>
      </c>
      <c r="L7" s="475">
        <f t="shared" si="2"/>
        <v>51.900000000000006</v>
      </c>
      <c r="O7" s="522"/>
      <c r="P7" s="115">
        <v>5</v>
      </c>
      <c r="Q7" s="476">
        <v>5067</v>
      </c>
      <c r="R7" s="478">
        <v>39.828202554020528</v>
      </c>
      <c r="S7" s="478">
        <v>24.816475850209393</v>
      </c>
      <c r="T7" s="480">
        <f t="shared" si="3"/>
        <v>64.644678404229921</v>
      </c>
      <c r="U7" s="477">
        <f t="shared" si="4"/>
        <v>80.805848005287402</v>
      </c>
      <c r="V7" s="477">
        <f t="shared" si="5"/>
        <v>48.483508803172441</v>
      </c>
      <c r="W7" s="480">
        <f t="shared" si="6"/>
        <v>32.322339202114961</v>
      </c>
    </row>
    <row r="8" spans="1:23" ht="19.149999999999999" customHeight="1">
      <c r="A8" s="522"/>
      <c r="B8" s="456">
        <v>6</v>
      </c>
      <c r="C8" s="479">
        <v>59.7</v>
      </c>
      <c r="D8" s="479">
        <v>17</v>
      </c>
      <c r="E8" s="479">
        <v>76.599999999999994</v>
      </c>
      <c r="F8" s="479">
        <v>32.799999999999997</v>
      </c>
      <c r="G8" s="479">
        <v>12.1</v>
      </c>
      <c r="H8" s="479">
        <v>44.9</v>
      </c>
      <c r="I8" s="3">
        <v>107.3</v>
      </c>
      <c r="J8" s="475">
        <f t="shared" si="0"/>
        <v>134.125</v>
      </c>
      <c r="K8" s="475">
        <f t="shared" si="1"/>
        <v>80.474999999999994</v>
      </c>
      <c r="L8" s="475">
        <f t="shared" si="2"/>
        <v>53.650000000000006</v>
      </c>
      <c r="O8" s="522"/>
      <c r="P8" s="115">
        <v>6</v>
      </c>
      <c r="Q8" s="476">
        <v>32891</v>
      </c>
      <c r="R8" s="478">
        <v>54.93212515884494</v>
      </c>
      <c r="S8" s="478">
        <v>75.476365686410062</v>
      </c>
      <c r="T8" s="480">
        <f t="shared" si="3"/>
        <v>130.40849084525502</v>
      </c>
      <c r="U8" s="477">
        <f t="shared" si="4"/>
        <v>163.01061355656879</v>
      </c>
      <c r="V8" s="477">
        <f t="shared" si="5"/>
        <v>97.806368133941262</v>
      </c>
      <c r="W8" s="480">
        <f t="shared" si="6"/>
        <v>65.204245422627523</v>
      </c>
    </row>
    <row r="9" spans="1:23" ht="19.149999999999999" customHeight="1">
      <c r="A9" s="522"/>
      <c r="B9" s="456">
        <v>7</v>
      </c>
      <c r="C9" s="479">
        <v>58.9</v>
      </c>
      <c r="D9" s="479">
        <v>14.7</v>
      </c>
      <c r="E9" s="479">
        <v>73.7</v>
      </c>
      <c r="F9" s="479">
        <v>33</v>
      </c>
      <c r="G9" s="479">
        <v>10.8</v>
      </c>
      <c r="H9" s="479">
        <v>43.7</v>
      </c>
      <c r="I9" s="3">
        <v>108.5</v>
      </c>
      <c r="J9" s="475">
        <f t="shared" si="0"/>
        <v>135.625</v>
      </c>
      <c r="K9" s="475">
        <f t="shared" si="1"/>
        <v>81.375</v>
      </c>
      <c r="L9" s="475">
        <f t="shared" si="2"/>
        <v>54.25</v>
      </c>
      <c r="O9" s="522"/>
      <c r="P9" s="115">
        <v>7</v>
      </c>
      <c r="Q9" s="476">
        <v>31754</v>
      </c>
      <c r="R9" s="478">
        <v>74.843716197552865</v>
      </c>
      <c r="S9" s="478">
        <v>45.486109268373966</v>
      </c>
      <c r="T9" s="480">
        <f t="shared" si="3"/>
        <v>120.32982546592683</v>
      </c>
      <c r="U9" s="477">
        <f t="shared" si="4"/>
        <v>150.41228183240855</v>
      </c>
      <c r="V9" s="477">
        <f t="shared" si="5"/>
        <v>90.247369099445123</v>
      </c>
      <c r="W9" s="480">
        <f t="shared" si="6"/>
        <v>60.16491273296343</v>
      </c>
    </row>
    <row r="10" spans="1:23" ht="19.149999999999999" customHeight="1">
      <c r="A10" s="522"/>
      <c r="B10" s="456">
        <v>8</v>
      </c>
      <c r="C10" s="479">
        <v>65.2</v>
      </c>
      <c r="D10" s="479">
        <v>17.600000000000001</v>
      </c>
      <c r="E10" s="479">
        <v>82.8</v>
      </c>
      <c r="F10" s="479">
        <v>34.5</v>
      </c>
      <c r="G10" s="479">
        <v>11.7</v>
      </c>
      <c r="H10" s="479">
        <v>46.2</v>
      </c>
      <c r="I10" s="3">
        <v>113.6</v>
      </c>
      <c r="J10" s="475">
        <f t="shared" si="0"/>
        <v>142</v>
      </c>
      <c r="K10" s="475">
        <f t="shared" si="1"/>
        <v>85.199999999999989</v>
      </c>
      <c r="L10" s="475">
        <f t="shared" si="2"/>
        <v>56.800000000000011</v>
      </c>
      <c r="O10" s="522"/>
      <c r="P10" s="115">
        <v>8</v>
      </c>
      <c r="Q10" s="476">
        <v>50355</v>
      </c>
      <c r="R10" s="478">
        <v>56.543942198765762</v>
      </c>
      <c r="S10" s="478">
        <v>86.911469679451784</v>
      </c>
      <c r="T10" s="480">
        <f t="shared" si="3"/>
        <v>143.45541187821755</v>
      </c>
      <c r="U10" s="477">
        <f t="shared" si="4"/>
        <v>179.31926484777193</v>
      </c>
      <c r="V10" s="477">
        <f t="shared" si="5"/>
        <v>107.59155890866316</v>
      </c>
      <c r="W10" s="480">
        <f t="shared" si="6"/>
        <v>71.727705939108773</v>
      </c>
    </row>
    <row r="11" spans="1:23" ht="19.149999999999999" customHeight="1">
      <c r="A11" s="522"/>
      <c r="B11" s="456">
        <v>9</v>
      </c>
      <c r="C11" s="479">
        <v>65.8</v>
      </c>
      <c r="D11" s="479">
        <v>19.5</v>
      </c>
      <c r="E11" s="479">
        <v>85.4</v>
      </c>
      <c r="F11" s="479">
        <v>34.799999999999997</v>
      </c>
      <c r="G11" s="479">
        <v>12.8</v>
      </c>
      <c r="H11" s="479">
        <v>47.5</v>
      </c>
      <c r="I11" s="3">
        <v>113.1</v>
      </c>
      <c r="J11" s="475">
        <f t="shared" si="0"/>
        <v>141.375</v>
      </c>
      <c r="K11" s="475">
        <f t="shared" si="1"/>
        <v>84.824999999999989</v>
      </c>
      <c r="L11" s="475">
        <f t="shared" si="2"/>
        <v>56.550000000000011</v>
      </c>
      <c r="O11" s="522"/>
      <c r="P11" s="115">
        <v>9</v>
      </c>
      <c r="Q11" s="476">
        <v>72118</v>
      </c>
      <c r="R11" s="478">
        <v>45.225686473214381</v>
      </c>
      <c r="S11" s="478">
        <v>63.3726521601304</v>
      </c>
      <c r="T11" s="480">
        <f t="shared" si="3"/>
        <v>108.59833863334478</v>
      </c>
      <c r="U11" s="477">
        <f t="shared" si="4"/>
        <v>135.74792329168099</v>
      </c>
      <c r="V11" s="477">
        <f t="shared" si="5"/>
        <v>81.448753975008586</v>
      </c>
      <c r="W11" s="480">
        <f t="shared" si="6"/>
        <v>54.299169316672405</v>
      </c>
    </row>
    <row r="12" spans="1:23" ht="19.149999999999999" customHeight="1">
      <c r="A12" s="522"/>
      <c r="B12" s="456">
        <v>10</v>
      </c>
      <c r="C12" s="479">
        <v>65.3</v>
      </c>
      <c r="D12" s="479">
        <v>19.2</v>
      </c>
      <c r="E12" s="479">
        <v>84.5</v>
      </c>
      <c r="F12" s="479">
        <v>35.9</v>
      </c>
      <c r="G12" s="479">
        <v>13.1</v>
      </c>
      <c r="H12" s="479">
        <v>49</v>
      </c>
      <c r="I12" s="3">
        <v>110.1</v>
      </c>
      <c r="J12" s="475">
        <f t="shared" si="0"/>
        <v>137.625</v>
      </c>
      <c r="K12" s="475">
        <f t="shared" si="1"/>
        <v>82.574999999999989</v>
      </c>
      <c r="L12" s="475">
        <f t="shared" si="2"/>
        <v>55.050000000000011</v>
      </c>
      <c r="O12" s="522"/>
      <c r="P12" s="115">
        <v>10</v>
      </c>
      <c r="Q12" s="476">
        <v>55175</v>
      </c>
      <c r="R12" s="478">
        <v>66.772263788736169</v>
      </c>
      <c r="S12" s="478">
        <v>63.83398665256901</v>
      </c>
      <c r="T12" s="480">
        <f t="shared" si="3"/>
        <v>130.60625044130518</v>
      </c>
      <c r="U12" s="477">
        <f t="shared" si="4"/>
        <v>163.25781305163147</v>
      </c>
      <c r="V12" s="477">
        <f t="shared" si="5"/>
        <v>97.954687830978884</v>
      </c>
      <c r="W12" s="480">
        <f t="shared" si="6"/>
        <v>65.303125220652589</v>
      </c>
    </row>
    <row r="13" spans="1:23" ht="19.149999999999999" customHeight="1">
      <c r="A13" s="522"/>
      <c r="B13" s="456">
        <v>11</v>
      </c>
      <c r="C13" s="479">
        <v>64.099999999999994</v>
      </c>
      <c r="D13" s="479">
        <v>28.7</v>
      </c>
      <c r="E13" s="479">
        <v>92.8</v>
      </c>
      <c r="F13" s="479">
        <v>35.799999999999997</v>
      </c>
      <c r="G13" s="479">
        <v>20.399999999999999</v>
      </c>
      <c r="H13" s="479">
        <v>56.2</v>
      </c>
      <c r="I13" s="3">
        <v>119.3</v>
      </c>
      <c r="J13" s="475">
        <f t="shared" si="0"/>
        <v>149.125</v>
      </c>
      <c r="K13" s="475">
        <f t="shared" si="1"/>
        <v>89.474999999999994</v>
      </c>
      <c r="L13" s="475">
        <f t="shared" si="2"/>
        <v>59.650000000000006</v>
      </c>
      <c r="O13" s="522"/>
      <c r="P13" s="115">
        <v>11</v>
      </c>
      <c r="Q13" s="476">
        <v>20961</v>
      </c>
      <c r="R13" s="478">
        <v>67.713582297283381</v>
      </c>
      <c r="S13" s="478">
        <v>42.220507647070832</v>
      </c>
      <c r="T13" s="480">
        <f t="shared" si="3"/>
        <v>109.93408994435421</v>
      </c>
      <c r="U13" s="477">
        <f t="shared" si="4"/>
        <v>137.41761243044277</v>
      </c>
      <c r="V13" s="477">
        <f t="shared" si="5"/>
        <v>82.450567458265652</v>
      </c>
      <c r="W13" s="480">
        <f t="shared" si="6"/>
        <v>54.967044972177121</v>
      </c>
    </row>
    <row r="14" spans="1:23" ht="19.149999999999999" customHeight="1">
      <c r="A14" s="522"/>
      <c r="B14" s="456">
        <v>12</v>
      </c>
      <c r="C14" s="479">
        <v>59.5</v>
      </c>
      <c r="D14" s="479">
        <v>28.2</v>
      </c>
      <c r="E14" s="479">
        <v>87.7</v>
      </c>
      <c r="F14" s="479">
        <v>33.5</v>
      </c>
      <c r="G14" s="479">
        <v>20.2</v>
      </c>
      <c r="H14" s="479">
        <v>53.6</v>
      </c>
      <c r="I14" s="3">
        <v>115.6</v>
      </c>
      <c r="J14" s="475">
        <f t="shared" si="0"/>
        <v>144.5</v>
      </c>
      <c r="K14" s="475">
        <f t="shared" si="1"/>
        <v>86.699999999999989</v>
      </c>
      <c r="L14" s="475">
        <f t="shared" si="2"/>
        <v>57.800000000000011</v>
      </c>
      <c r="O14" s="522"/>
      <c r="P14" s="115">
        <v>12</v>
      </c>
      <c r="Q14" s="476">
        <v>93863</v>
      </c>
      <c r="R14" s="478">
        <v>69.337542630166993</v>
      </c>
      <c r="S14" s="478">
        <v>42.635038447479175</v>
      </c>
      <c r="T14" s="480">
        <f t="shared" si="3"/>
        <v>111.97258107764617</v>
      </c>
      <c r="U14" s="477">
        <f t="shared" si="4"/>
        <v>139.96572634705771</v>
      </c>
      <c r="V14" s="477">
        <f t="shared" si="5"/>
        <v>83.979435808234626</v>
      </c>
      <c r="W14" s="480">
        <f t="shared" si="6"/>
        <v>55.986290538823084</v>
      </c>
    </row>
    <row r="15" spans="1:23" ht="19.149999999999999" customHeight="1">
      <c r="A15" s="522"/>
      <c r="B15" s="456">
        <v>13</v>
      </c>
      <c r="C15" s="479">
        <v>62.2</v>
      </c>
      <c r="D15" s="479">
        <v>23</v>
      </c>
      <c r="E15" s="479">
        <v>85.2</v>
      </c>
      <c r="F15" s="479">
        <v>35.299999999999997</v>
      </c>
      <c r="G15" s="479">
        <v>16.8</v>
      </c>
      <c r="H15" s="479">
        <v>52.1</v>
      </c>
      <c r="I15" s="3">
        <v>121.5</v>
      </c>
      <c r="J15" s="475">
        <f t="shared" si="0"/>
        <v>151.875</v>
      </c>
      <c r="K15" s="475">
        <f t="shared" si="1"/>
        <v>91.125</v>
      </c>
      <c r="L15" s="475">
        <f t="shared" si="2"/>
        <v>60.75</v>
      </c>
      <c r="O15" s="522"/>
      <c r="P15" s="115">
        <v>13</v>
      </c>
      <c r="Q15" s="476">
        <v>30306</v>
      </c>
      <c r="R15" s="478">
        <v>75.593438725341301</v>
      </c>
      <c r="S15" s="478">
        <v>48.302175867405005</v>
      </c>
      <c r="T15" s="480">
        <f t="shared" si="3"/>
        <v>123.89561459274631</v>
      </c>
      <c r="U15" s="477">
        <f t="shared" si="4"/>
        <v>154.8695182409329</v>
      </c>
      <c r="V15" s="477">
        <f t="shared" si="5"/>
        <v>92.921710944559734</v>
      </c>
      <c r="W15" s="480">
        <f t="shared" si="6"/>
        <v>61.947807296373171</v>
      </c>
    </row>
    <row r="16" spans="1:23" ht="19.149999999999999" customHeight="1">
      <c r="A16" s="522"/>
      <c r="B16" s="456">
        <v>14</v>
      </c>
      <c r="C16" s="479">
        <v>68.599999999999994</v>
      </c>
      <c r="D16" s="479">
        <v>29.9</v>
      </c>
      <c r="E16" s="479">
        <v>98.5</v>
      </c>
      <c r="F16" s="479">
        <v>37.700000000000003</v>
      </c>
      <c r="G16" s="479">
        <v>20</v>
      </c>
      <c r="H16" s="479">
        <v>57.7</v>
      </c>
      <c r="I16" s="3">
        <v>119.9</v>
      </c>
      <c r="J16" s="475">
        <f t="shared" si="0"/>
        <v>149.875</v>
      </c>
      <c r="K16" s="475">
        <f t="shared" si="1"/>
        <v>89.925000000000011</v>
      </c>
      <c r="L16" s="475">
        <f t="shared" si="2"/>
        <v>59.949999999999989</v>
      </c>
      <c r="O16" s="522"/>
      <c r="P16" s="115">
        <v>14</v>
      </c>
      <c r="Q16" s="476">
        <v>13400</v>
      </c>
      <c r="R16" s="478">
        <v>63.176915436294905</v>
      </c>
      <c r="S16" s="478">
        <v>77.508974240287117</v>
      </c>
      <c r="T16" s="480">
        <f t="shared" si="3"/>
        <v>140.68588967658201</v>
      </c>
      <c r="U16" s="477">
        <f t="shared" si="4"/>
        <v>175.85736209572752</v>
      </c>
      <c r="V16" s="477">
        <f t="shared" si="5"/>
        <v>105.51441725743651</v>
      </c>
      <c r="W16" s="480">
        <f t="shared" si="6"/>
        <v>70.342944838291018</v>
      </c>
    </row>
    <row r="17" spans="1:23" ht="19.149999999999999" customHeight="1">
      <c r="A17" s="522"/>
      <c r="B17" s="456">
        <v>15</v>
      </c>
      <c r="C17" s="479">
        <v>76.400000000000006</v>
      </c>
      <c r="D17" s="479">
        <v>13.8</v>
      </c>
      <c r="E17" s="479">
        <v>90.2</v>
      </c>
      <c r="F17" s="479">
        <v>41.9</v>
      </c>
      <c r="G17" s="479">
        <v>9.4</v>
      </c>
      <c r="H17" s="479">
        <v>51.2</v>
      </c>
      <c r="I17" s="3">
        <v>137.9</v>
      </c>
      <c r="J17" s="475">
        <f t="shared" si="0"/>
        <v>172.375</v>
      </c>
      <c r="K17" s="475">
        <f t="shared" si="1"/>
        <v>103.42500000000001</v>
      </c>
      <c r="L17" s="475">
        <f t="shared" si="2"/>
        <v>68.949999999999989</v>
      </c>
      <c r="O17" s="522"/>
      <c r="P17" s="115">
        <v>15</v>
      </c>
      <c r="Q17" s="476">
        <v>24206</v>
      </c>
      <c r="R17" s="478">
        <v>61.217834653468351</v>
      </c>
      <c r="S17" s="478">
        <v>63.656692197584519</v>
      </c>
      <c r="T17" s="480">
        <f t="shared" si="3"/>
        <v>124.87452685105288</v>
      </c>
      <c r="U17" s="477">
        <f t="shared" si="4"/>
        <v>156.0931585638161</v>
      </c>
      <c r="V17" s="477">
        <f t="shared" si="5"/>
        <v>93.655895138289651</v>
      </c>
      <c r="W17" s="480">
        <f t="shared" si="6"/>
        <v>62.437263425526453</v>
      </c>
    </row>
    <row r="18" spans="1:23" ht="19.149999999999999" customHeight="1">
      <c r="A18" s="522"/>
      <c r="B18" s="456">
        <v>16</v>
      </c>
      <c r="C18" s="479">
        <v>57.9</v>
      </c>
      <c r="D18" s="479">
        <v>39</v>
      </c>
      <c r="E18" s="479">
        <v>96.9</v>
      </c>
      <c r="F18" s="479">
        <v>34.299999999999997</v>
      </c>
      <c r="G18" s="479">
        <v>27.1</v>
      </c>
      <c r="H18" s="479">
        <v>61.4</v>
      </c>
      <c r="I18" s="3">
        <v>113.1</v>
      </c>
      <c r="J18" s="475">
        <f t="shared" si="0"/>
        <v>141.375</v>
      </c>
      <c r="K18" s="475">
        <f t="shared" si="1"/>
        <v>84.824999999999989</v>
      </c>
      <c r="L18" s="475">
        <f t="shared" si="2"/>
        <v>56.550000000000011</v>
      </c>
      <c r="O18" s="522"/>
      <c r="P18" s="115">
        <v>16</v>
      </c>
      <c r="Q18" s="476">
        <v>57915</v>
      </c>
      <c r="R18" s="478">
        <v>72.26808706778472</v>
      </c>
      <c r="S18" s="478">
        <v>64.383248663836667</v>
      </c>
      <c r="T18" s="480">
        <f t="shared" si="3"/>
        <v>136.65133573162137</v>
      </c>
      <c r="U18" s="477">
        <f t="shared" si="4"/>
        <v>170.81416966452673</v>
      </c>
      <c r="V18" s="477">
        <f t="shared" si="5"/>
        <v>102.48850179871603</v>
      </c>
      <c r="W18" s="480">
        <f t="shared" si="6"/>
        <v>68.325667865810701</v>
      </c>
    </row>
    <row r="20" spans="1:23">
      <c r="O20" s="6" t="s">
        <v>587</v>
      </c>
    </row>
    <row r="21" spans="1:23">
      <c r="O21" s="6" t="s">
        <v>588</v>
      </c>
    </row>
    <row r="22" spans="1:23">
      <c r="O22" s="6" t="s">
        <v>589</v>
      </c>
    </row>
    <row r="25" spans="1:23" s="19" customFormat="1" hidden="1">
      <c r="O25" s="19" t="s">
        <v>232</v>
      </c>
      <c r="S25" s="20"/>
      <c r="T25" s="21"/>
      <c r="U25" s="22"/>
    </row>
  </sheetData>
  <mergeCells count="4">
    <mergeCell ref="O3:O18"/>
    <mergeCell ref="A1:L1"/>
    <mergeCell ref="A3:A18"/>
    <mergeCell ref="O1:W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9"/>
  <sheetViews>
    <sheetView zoomScaleNormal="100" workbookViewId="0">
      <selection sqref="A1:G1"/>
    </sheetView>
  </sheetViews>
  <sheetFormatPr defaultColWidth="8.7109375" defaultRowHeight="12.75"/>
  <cols>
    <col min="1" max="2" width="12" style="6" customWidth="1"/>
    <col min="3" max="6" width="13.7109375" style="6" customWidth="1"/>
    <col min="7" max="7" width="13.28515625" style="6" customWidth="1"/>
    <col min="8" max="8" width="12.7109375" style="6" bestFit="1" customWidth="1"/>
    <col min="9" max="9" width="8.7109375" style="6"/>
    <col min="10" max="10" width="12" style="6" customWidth="1"/>
    <col min="11" max="11" width="14.140625" style="6" customWidth="1"/>
    <col min="12" max="12" width="10.28515625" style="6" customWidth="1"/>
    <col min="13" max="27" width="5.7109375" style="6" customWidth="1"/>
    <col min="28" max="16384" width="8.7109375" style="6"/>
  </cols>
  <sheetData>
    <row r="1" spans="1:28" ht="28.9" customHeight="1">
      <c r="A1" s="525" t="str">
        <f>"% of Floor Area per CZ and Vintage Bin - "&amp;Prototype!A2</f>
        <v>% of Floor Area per CZ and Vintage Bin - Outpatient</v>
      </c>
      <c r="B1" s="525"/>
      <c r="C1" s="525"/>
      <c r="D1" s="525"/>
      <c r="E1" s="525"/>
      <c r="F1" s="525"/>
      <c r="G1" s="525"/>
      <c r="J1" s="525" t="str">
        <f>"% of Floor Area per CZ and Vintage Bin - "&amp;Prototype!A2</f>
        <v>% of Floor Area per CZ and Vintage Bin - Outpatient</v>
      </c>
      <c r="K1" s="525"/>
      <c r="L1" s="525"/>
      <c r="M1" s="525"/>
      <c r="N1" s="525"/>
      <c r="O1" s="525"/>
      <c r="P1" s="525"/>
      <c r="Q1" s="525"/>
      <c r="R1" s="525"/>
      <c r="S1" s="525"/>
      <c r="T1" s="525"/>
      <c r="U1" s="525"/>
      <c r="V1" s="525"/>
      <c r="W1" s="525"/>
      <c r="X1" s="525"/>
      <c r="Y1" s="525"/>
      <c r="Z1" s="525"/>
      <c r="AA1" s="525"/>
    </row>
    <row r="2" spans="1:28" ht="21" customHeight="1">
      <c r="A2" s="692" t="s">
        <v>5</v>
      </c>
      <c r="B2" s="692" t="s">
        <v>585</v>
      </c>
      <c r="C2" s="692" t="s">
        <v>590</v>
      </c>
      <c r="D2" s="692"/>
      <c r="E2" s="692"/>
      <c r="F2" s="692"/>
      <c r="G2" s="692"/>
      <c r="J2" s="692" t="s">
        <v>5</v>
      </c>
      <c r="K2" s="692" t="s">
        <v>590</v>
      </c>
      <c r="L2" s="692" t="s">
        <v>585</v>
      </c>
      <c r="M2" s="692"/>
      <c r="N2" s="692"/>
      <c r="O2" s="692"/>
      <c r="P2" s="692"/>
      <c r="Q2" s="692"/>
      <c r="R2" s="692"/>
      <c r="S2" s="692"/>
      <c r="T2" s="692"/>
      <c r="U2" s="692"/>
      <c r="V2" s="692"/>
      <c r="W2" s="692"/>
      <c r="X2" s="692"/>
      <c r="Y2" s="692"/>
      <c r="Z2" s="692"/>
      <c r="AA2" s="692"/>
    </row>
    <row r="3" spans="1:28" ht="21" customHeight="1">
      <c r="A3" s="692"/>
      <c r="B3" s="692"/>
      <c r="C3" s="473" t="s">
        <v>591</v>
      </c>
      <c r="D3" s="473" t="s">
        <v>263</v>
      </c>
      <c r="E3" s="473" t="s">
        <v>265</v>
      </c>
      <c r="F3" s="473" t="s">
        <v>267</v>
      </c>
      <c r="G3" s="473" t="s">
        <v>592</v>
      </c>
      <c r="J3" s="692"/>
      <c r="K3" s="692"/>
      <c r="L3" s="473">
        <v>1</v>
      </c>
      <c r="M3" s="473">
        <v>2</v>
      </c>
      <c r="N3" s="473">
        <v>3</v>
      </c>
      <c r="O3" s="473">
        <v>4</v>
      </c>
      <c r="P3" s="473">
        <v>5</v>
      </c>
      <c r="Q3" s="473">
        <v>6</v>
      </c>
      <c r="R3" s="473">
        <v>7</v>
      </c>
      <c r="S3" s="473">
        <v>8</v>
      </c>
      <c r="T3" s="473">
        <v>9</v>
      </c>
      <c r="U3" s="473">
        <v>10</v>
      </c>
      <c r="V3" s="473">
        <v>11</v>
      </c>
      <c r="W3" s="473">
        <v>12</v>
      </c>
      <c r="X3" s="473">
        <v>13</v>
      </c>
      <c r="Y3" s="473">
        <v>14</v>
      </c>
      <c r="Z3" s="473">
        <v>15</v>
      </c>
      <c r="AA3" s="473">
        <v>16</v>
      </c>
    </row>
    <row r="4" spans="1:28" ht="16.899999999999999" customHeight="1">
      <c r="A4" s="522" t="s">
        <v>31</v>
      </c>
      <c r="B4" s="115">
        <v>1</v>
      </c>
      <c r="C4" s="274">
        <v>0.36</v>
      </c>
      <c r="D4" s="274">
        <v>0.16</v>
      </c>
      <c r="E4" s="274">
        <v>0.17</v>
      </c>
      <c r="F4" s="274">
        <v>0.26</v>
      </c>
      <c r="G4" s="275">
        <v>0.05</v>
      </c>
      <c r="H4" s="58">
        <f>SUM(C4:G4)</f>
        <v>1</v>
      </c>
      <c r="J4" s="691" t="s">
        <v>31</v>
      </c>
      <c r="K4" s="472" t="s">
        <v>591</v>
      </c>
      <c r="L4" s="116">
        <v>0.01</v>
      </c>
      <c r="M4" s="116">
        <v>0.03</v>
      </c>
      <c r="N4" s="116">
        <v>7.0000000000000007E-2</v>
      </c>
      <c r="O4" s="116">
        <v>0.04</v>
      </c>
      <c r="P4" s="116">
        <v>0</v>
      </c>
      <c r="Q4" s="116">
        <v>0.08</v>
      </c>
      <c r="R4" s="116">
        <v>0.05</v>
      </c>
      <c r="S4" s="116">
        <v>0.12</v>
      </c>
      <c r="T4" s="116">
        <v>0.19</v>
      </c>
      <c r="U4" s="116">
        <v>0.08</v>
      </c>
      <c r="V4" s="116">
        <v>0.03</v>
      </c>
      <c r="W4" s="116">
        <v>0.13</v>
      </c>
      <c r="X4" s="116">
        <v>0.04</v>
      </c>
      <c r="Y4" s="116">
        <v>0.02</v>
      </c>
      <c r="Z4" s="116">
        <v>0.03</v>
      </c>
      <c r="AA4" s="116">
        <v>0.08</v>
      </c>
      <c r="AB4" s="58">
        <f>SUM(L4:AA4)</f>
        <v>1.0000000000000002</v>
      </c>
    </row>
    <row r="5" spans="1:28" ht="16.899999999999999" customHeight="1">
      <c r="A5" s="522"/>
      <c r="B5" s="115">
        <v>2</v>
      </c>
      <c r="C5" s="274">
        <v>0.46</v>
      </c>
      <c r="D5" s="274">
        <v>0.19</v>
      </c>
      <c r="E5" s="274">
        <v>0.15</v>
      </c>
      <c r="F5" s="274">
        <v>0.18</v>
      </c>
      <c r="G5" s="275">
        <v>0.03</v>
      </c>
      <c r="H5" s="58">
        <f t="shared" ref="H5:H19" si="0">SUM(C5:G5)</f>
        <v>1.01</v>
      </c>
      <c r="J5" s="691"/>
      <c r="K5" s="472" t="s">
        <v>263</v>
      </c>
      <c r="L5" s="116">
        <v>0.01</v>
      </c>
      <c r="M5" s="116">
        <v>0.02</v>
      </c>
      <c r="N5" s="116">
        <v>0.13</v>
      </c>
      <c r="O5" s="116">
        <v>7.0000000000000007E-2</v>
      </c>
      <c r="P5" s="116">
        <v>0.02</v>
      </c>
      <c r="Q5" s="116">
        <v>0.05</v>
      </c>
      <c r="R5" s="116">
        <v>0.08</v>
      </c>
      <c r="S5" s="116">
        <v>0.06</v>
      </c>
      <c r="T5" s="116">
        <v>0.08</v>
      </c>
      <c r="U5" s="116">
        <v>0.12</v>
      </c>
      <c r="V5" s="116">
        <v>0.03</v>
      </c>
      <c r="W5" s="116">
        <v>0.15</v>
      </c>
      <c r="X5" s="116">
        <v>0.03</v>
      </c>
      <c r="Y5" s="116">
        <v>0.02</v>
      </c>
      <c r="Z5" s="116">
        <v>0.05</v>
      </c>
      <c r="AA5" s="116">
        <v>0.09</v>
      </c>
      <c r="AB5" s="58">
        <f>SUM(L5:AA5)</f>
        <v>1.0100000000000002</v>
      </c>
    </row>
    <row r="6" spans="1:28" ht="16.899999999999999" customHeight="1">
      <c r="A6" s="522"/>
      <c r="B6" s="115">
        <v>3</v>
      </c>
      <c r="C6" s="274">
        <v>0.27</v>
      </c>
      <c r="D6" s="274">
        <v>0.37</v>
      </c>
      <c r="E6" s="274">
        <v>0.2</v>
      </c>
      <c r="F6" s="274">
        <v>0.1</v>
      </c>
      <c r="G6" s="275">
        <v>0.06</v>
      </c>
      <c r="H6" s="58">
        <f t="shared" si="0"/>
        <v>1</v>
      </c>
      <c r="J6" s="691"/>
      <c r="K6" s="472" t="s">
        <v>265</v>
      </c>
      <c r="L6" s="116">
        <v>0.01</v>
      </c>
      <c r="M6" s="116">
        <v>0.03</v>
      </c>
      <c r="N6" s="116">
        <v>0.14000000000000001</v>
      </c>
      <c r="O6" s="116">
        <v>7.0000000000000007E-2</v>
      </c>
      <c r="P6" s="116">
        <v>0.02</v>
      </c>
      <c r="Q6" s="116">
        <v>0.06</v>
      </c>
      <c r="R6" s="116">
        <v>0.05</v>
      </c>
      <c r="S6" s="116">
        <v>0.09</v>
      </c>
      <c r="T6" s="116">
        <v>7.0000000000000007E-2</v>
      </c>
      <c r="U6" s="116">
        <v>0.05</v>
      </c>
      <c r="V6" s="116">
        <v>0.04</v>
      </c>
      <c r="W6" s="116">
        <v>0.21</v>
      </c>
      <c r="X6" s="116">
        <v>0.06</v>
      </c>
      <c r="Y6" s="116">
        <v>0.02</v>
      </c>
      <c r="Z6" s="116">
        <v>0</v>
      </c>
      <c r="AA6" s="116">
        <v>0.08</v>
      </c>
      <c r="AB6" s="58">
        <f>SUM(L6:AA6)</f>
        <v>1.0000000000000002</v>
      </c>
    </row>
    <row r="7" spans="1:28" ht="16.899999999999999" customHeight="1">
      <c r="A7" s="522"/>
      <c r="B7" s="115">
        <v>4</v>
      </c>
      <c r="C7" s="274">
        <v>0.28000000000000003</v>
      </c>
      <c r="D7" s="274">
        <v>0.37</v>
      </c>
      <c r="E7" s="274">
        <v>0.19</v>
      </c>
      <c r="F7" s="274">
        <v>0.1</v>
      </c>
      <c r="G7" s="275">
        <v>0.06</v>
      </c>
      <c r="H7" s="58">
        <f t="shared" si="0"/>
        <v>1</v>
      </c>
      <c r="J7" s="691"/>
      <c r="K7" s="472" t="s">
        <v>267</v>
      </c>
      <c r="L7" s="116">
        <v>0.02</v>
      </c>
      <c r="M7" s="116">
        <v>0.03</v>
      </c>
      <c r="N7" s="116">
        <v>7.0000000000000007E-2</v>
      </c>
      <c r="O7" s="116">
        <v>0.04</v>
      </c>
      <c r="P7" s="116">
        <v>0</v>
      </c>
      <c r="Q7" s="116">
        <v>0.01</v>
      </c>
      <c r="R7" s="116">
        <v>0.03</v>
      </c>
      <c r="S7" s="116">
        <v>0.01</v>
      </c>
      <c r="T7" s="116">
        <v>0.05</v>
      </c>
      <c r="U7" s="116">
        <v>0.11</v>
      </c>
      <c r="V7" s="116">
        <v>0.06</v>
      </c>
      <c r="W7" s="116">
        <v>0.23</v>
      </c>
      <c r="X7" s="116">
        <v>0.1</v>
      </c>
      <c r="Y7" s="116">
        <v>0.02</v>
      </c>
      <c r="Z7" s="116">
        <v>0.06</v>
      </c>
      <c r="AA7" s="116">
        <v>0.16</v>
      </c>
      <c r="AB7" s="58">
        <f>SUM(L7:AA7)</f>
        <v>1</v>
      </c>
    </row>
    <row r="8" spans="1:28" ht="16.899999999999999" customHeight="1">
      <c r="A8" s="522"/>
      <c r="B8" s="115">
        <v>5</v>
      </c>
      <c r="C8" s="274">
        <v>0.1</v>
      </c>
      <c r="D8" s="274">
        <v>0.51</v>
      </c>
      <c r="E8" s="274">
        <v>0.33</v>
      </c>
      <c r="F8" s="274">
        <v>0.06</v>
      </c>
      <c r="G8" s="275">
        <v>0</v>
      </c>
      <c r="H8" s="58">
        <f t="shared" si="0"/>
        <v>1</v>
      </c>
      <c r="J8" s="691"/>
      <c r="K8" s="472" t="s">
        <v>592</v>
      </c>
      <c r="L8" s="116">
        <v>0.01</v>
      </c>
      <c r="M8" s="116">
        <v>0.01</v>
      </c>
      <c r="N8" s="116">
        <v>7.0000000000000007E-2</v>
      </c>
      <c r="O8" s="116">
        <v>0.04</v>
      </c>
      <c r="P8" s="116">
        <v>0</v>
      </c>
      <c r="Q8" s="116">
        <v>0.04</v>
      </c>
      <c r="R8" s="116">
        <v>0.01</v>
      </c>
      <c r="S8" s="116">
        <v>0.09</v>
      </c>
      <c r="T8" s="116">
        <v>0.15</v>
      </c>
      <c r="U8" s="116">
        <v>0.12</v>
      </c>
      <c r="V8" s="116">
        <v>0.02</v>
      </c>
      <c r="W8" s="116">
        <v>0.1</v>
      </c>
      <c r="X8" s="116">
        <v>0.09</v>
      </c>
      <c r="Y8" s="116">
        <v>0.03</v>
      </c>
      <c r="Z8" s="116">
        <v>0.1</v>
      </c>
      <c r="AA8" s="116">
        <v>0.11</v>
      </c>
      <c r="AB8" s="58">
        <f>SUM(L8:AA8)</f>
        <v>0.99</v>
      </c>
    </row>
    <row r="9" spans="1:28" ht="16.899999999999999" customHeight="1">
      <c r="A9" s="522"/>
      <c r="B9" s="115">
        <v>6</v>
      </c>
      <c r="C9" s="274">
        <v>0.53</v>
      </c>
      <c r="D9" s="274">
        <v>0.24</v>
      </c>
      <c r="E9" s="274">
        <v>0.15</v>
      </c>
      <c r="F9" s="274">
        <v>0.03</v>
      </c>
      <c r="G9" s="275">
        <v>0.06</v>
      </c>
      <c r="H9" s="58">
        <f t="shared" si="0"/>
        <v>1.01</v>
      </c>
      <c r="J9" s="691"/>
      <c r="K9" s="472" t="s">
        <v>409</v>
      </c>
      <c r="L9" s="116">
        <v>0.01</v>
      </c>
      <c r="M9" s="116">
        <v>0.02</v>
      </c>
      <c r="N9" s="116">
        <v>0.1</v>
      </c>
      <c r="O9" s="116">
        <v>0.05</v>
      </c>
      <c r="P9" s="116">
        <v>0.01</v>
      </c>
      <c r="Q9" s="116">
        <v>0.06</v>
      </c>
      <c r="R9" s="116">
        <v>0.05</v>
      </c>
      <c r="S9" s="116">
        <v>0.08</v>
      </c>
      <c r="T9" s="116">
        <v>0.12</v>
      </c>
      <c r="U9" s="116">
        <v>0.09</v>
      </c>
      <c r="V9" s="116">
        <v>0.04</v>
      </c>
      <c r="W9" s="116">
        <v>0.16</v>
      </c>
      <c r="X9" s="116">
        <v>0.05</v>
      </c>
      <c r="Y9" s="116">
        <v>0.02</v>
      </c>
      <c r="Z9" s="116">
        <v>0.04</v>
      </c>
      <c r="AA9" s="116">
        <v>0.1</v>
      </c>
      <c r="AB9" s="30"/>
    </row>
    <row r="10" spans="1:28" ht="16.899999999999999" customHeight="1">
      <c r="A10" s="522"/>
      <c r="B10" s="115">
        <v>7</v>
      </c>
      <c r="C10" s="274">
        <v>0.35</v>
      </c>
      <c r="D10" s="274">
        <v>0.43</v>
      </c>
      <c r="E10" s="274">
        <v>0.14000000000000001</v>
      </c>
      <c r="F10" s="274">
        <v>0.08</v>
      </c>
      <c r="G10" s="275">
        <v>0.01</v>
      </c>
      <c r="H10" s="58">
        <f t="shared" si="0"/>
        <v>1.01</v>
      </c>
      <c r="J10" s="9"/>
      <c r="K10" s="56"/>
      <c r="L10" s="25"/>
      <c r="M10" s="25"/>
      <c r="N10" s="25"/>
      <c r="O10" s="25"/>
      <c r="P10" s="57"/>
    </row>
    <row r="11" spans="1:28" ht="16.899999999999999" customHeight="1">
      <c r="A11" s="522"/>
      <c r="B11" s="115">
        <v>8</v>
      </c>
      <c r="C11" s="274">
        <v>0.55000000000000004</v>
      </c>
      <c r="D11" s="274">
        <v>0.21</v>
      </c>
      <c r="E11" s="274">
        <v>0.15</v>
      </c>
      <c r="F11" s="274">
        <v>0.02</v>
      </c>
      <c r="G11" s="275">
        <v>0.08</v>
      </c>
      <c r="H11" s="58">
        <f t="shared" si="0"/>
        <v>1.01</v>
      </c>
      <c r="J11" s="9"/>
      <c r="K11" s="56"/>
      <c r="L11" s="25"/>
      <c r="M11" s="25"/>
      <c r="N11" s="25"/>
      <c r="O11" s="25"/>
      <c r="P11" s="57"/>
    </row>
    <row r="12" spans="1:28" ht="16.899999999999999" customHeight="1">
      <c r="A12" s="522"/>
      <c r="B12" s="115">
        <v>9</v>
      </c>
      <c r="C12" s="274">
        <v>0.59</v>
      </c>
      <c r="D12" s="274">
        <v>0.18</v>
      </c>
      <c r="E12" s="274">
        <v>0.08</v>
      </c>
      <c r="F12" s="274">
        <v>0.06</v>
      </c>
      <c r="G12" s="275">
        <v>0.09</v>
      </c>
      <c r="H12" s="58">
        <f t="shared" si="0"/>
        <v>0.99999999999999989</v>
      </c>
      <c r="J12" s="9"/>
      <c r="K12" s="56"/>
      <c r="L12" s="25"/>
      <c r="M12" s="25"/>
      <c r="N12" s="25"/>
      <c r="O12" s="25"/>
      <c r="P12" s="57"/>
    </row>
    <row r="13" spans="1:28" ht="16.899999999999999" customHeight="1">
      <c r="A13" s="522"/>
      <c r="B13" s="115">
        <v>10</v>
      </c>
      <c r="C13" s="274">
        <v>0.32</v>
      </c>
      <c r="D13" s="274">
        <v>0.35</v>
      </c>
      <c r="E13" s="274">
        <v>7.0000000000000007E-2</v>
      </c>
      <c r="F13" s="274">
        <v>0.16</v>
      </c>
      <c r="G13" s="275">
        <v>0.1</v>
      </c>
      <c r="H13" s="58">
        <f t="shared" si="0"/>
        <v>1</v>
      </c>
      <c r="J13" s="9"/>
      <c r="K13" s="56"/>
      <c r="L13" s="25"/>
      <c r="M13" s="25"/>
      <c r="N13" s="25"/>
      <c r="O13" s="25"/>
      <c r="P13" s="57"/>
    </row>
    <row r="14" spans="1:28" ht="16.899999999999999" customHeight="1">
      <c r="A14" s="522"/>
      <c r="B14" s="115">
        <v>11</v>
      </c>
      <c r="C14" s="274">
        <v>0.33</v>
      </c>
      <c r="D14" s="274">
        <v>0.23</v>
      </c>
      <c r="E14" s="274">
        <v>0.18</v>
      </c>
      <c r="F14" s="274">
        <v>0.22</v>
      </c>
      <c r="G14" s="275">
        <v>0.05</v>
      </c>
      <c r="H14" s="58">
        <f t="shared" si="0"/>
        <v>1.01</v>
      </c>
      <c r="J14" s="9"/>
      <c r="K14" s="56"/>
      <c r="L14" s="25"/>
      <c r="M14" s="25"/>
      <c r="N14" s="25"/>
      <c r="O14" s="25"/>
      <c r="P14" s="57"/>
    </row>
    <row r="15" spans="1:28" ht="16.899999999999999" customHeight="1">
      <c r="A15" s="522"/>
      <c r="B15" s="115">
        <v>12</v>
      </c>
      <c r="C15" s="274">
        <v>0.32</v>
      </c>
      <c r="D15" s="274">
        <v>0.26</v>
      </c>
      <c r="E15" s="274">
        <v>0.19</v>
      </c>
      <c r="F15" s="274">
        <v>0.19</v>
      </c>
      <c r="G15" s="275">
        <v>0.05</v>
      </c>
      <c r="H15" s="58">
        <f t="shared" si="0"/>
        <v>1.01</v>
      </c>
      <c r="J15" s="9"/>
      <c r="K15" s="56"/>
      <c r="L15" s="25"/>
      <c r="M15" s="25"/>
      <c r="N15" s="25"/>
      <c r="O15" s="25"/>
      <c r="P15" s="57"/>
    </row>
    <row r="16" spans="1:28" ht="16.899999999999999" customHeight="1">
      <c r="A16" s="522"/>
      <c r="B16" s="115">
        <v>13</v>
      </c>
      <c r="C16" s="274">
        <v>0.3</v>
      </c>
      <c r="D16" s="274">
        <v>0.14000000000000001</v>
      </c>
      <c r="E16" s="274">
        <v>0.18</v>
      </c>
      <c r="F16" s="274">
        <v>0.26</v>
      </c>
      <c r="G16" s="275">
        <v>0.13</v>
      </c>
      <c r="H16" s="58">
        <f t="shared" si="0"/>
        <v>1.01</v>
      </c>
      <c r="J16" s="9"/>
      <c r="K16" s="56"/>
      <c r="L16" s="25"/>
      <c r="M16" s="25"/>
      <c r="N16" s="25"/>
      <c r="O16" s="25"/>
      <c r="P16" s="57"/>
    </row>
    <row r="17" spans="1:16" ht="16.899999999999999" customHeight="1">
      <c r="A17" s="522"/>
      <c r="B17" s="115">
        <v>14</v>
      </c>
      <c r="C17" s="274">
        <v>0.4</v>
      </c>
      <c r="D17" s="274">
        <v>0.26</v>
      </c>
      <c r="E17" s="274">
        <v>0.12</v>
      </c>
      <c r="F17" s="274">
        <v>0.12</v>
      </c>
      <c r="G17" s="275">
        <v>0.1</v>
      </c>
      <c r="H17" s="58">
        <f t="shared" si="0"/>
        <v>1</v>
      </c>
      <c r="J17" s="9"/>
      <c r="K17" s="56"/>
      <c r="L17" s="25"/>
      <c r="M17" s="25"/>
      <c r="N17" s="25"/>
      <c r="O17" s="25"/>
      <c r="P17" s="57"/>
    </row>
    <row r="18" spans="1:16" ht="16.899999999999999" customHeight="1">
      <c r="A18" s="522"/>
      <c r="B18" s="115">
        <v>15</v>
      </c>
      <c r="C18" s="274">
        <v>0.27</v>
      </c>
      <c r="D18" s="274">
        <v>0.36</v>
      </c>
      <c r="E18" s="274">
        <v>0.01</v>
      </c>
      <c r="F18" s="274">
        <v>0.19</v>
      </c>
      <c r="G18" s="275">
        <v>0.18</v>
      </c>
      <c r="H18" s="58">
        <f t="shared" si="0"/>
        <v>1.01</v>
      </c>
      <c r="J18" s="9"/>
      <c r="K18" s="56"/>
      <c r="L18" s="25"/>
      <c r="M18" s="25"/>
      <c r="N18" s="25"/>
      <c r="O18" s="25"/>
      <c r="P18" s="57"/>
    </row>
    <row r="19" spans="1:16" ht="16.899999999999999" customHeight="1">
      <c r="A19" s="522"/>
      <c r="B19" s="115">
        <v>16</v>
      </c>
      <c r="C19" s="275">
        <v>0.33</v>
      </c>
      <c r="D19" s="275">
        <v>0.24</v>
      </c>
      <c r="E19" s="275">
        <v>0.12</v>
      </c>
      <c r="F19" s="275">
        <v>0.23</v>
      </c>
      <c r="G19" s="275">
        <v>0.08</v>
      </c>
      <c r="H19" s="58">
        <f t="shared" si="0"/>
        <v>1</v>
      </c>
      <c r="J19" s="9"/>
      <c r="K19" s="56"/>
      <c r="L19" s="25"/>
      <c r="M19" s="25"/>
      <c r="N19" s="25"/>
      <c r="O19" s="25"/>
      <c r="P19" s="57"/>
    </row>
    <row r="20" spans="1:16">
      <c r="A20" s="522"/>
      <c r="B20" s="271" t="s">
        <v>383</v>
      </c>
      <c r="C20" s="117">
        <v>0.4</v>
      </c>
      <c r="D20" s="117">
        <v>0.28999999999999998</v>
      </c>
      <c r="E20" s="117">
        <v>0.15</v>
      </c>
      <c r="F20" s="117">
        <v>0.1</v>
      </c>
      <c r="G20" s="117">
        <v>7.0000000000000007E-2</v>
      </c>
    </row>
    <row r="22" spans="1:16">
      <c r="A22" s="6" t="s">
        <v>593</v>
      </c>
    </row>
    <row r="23" spans="1:16">
      <c r="A23" s="6" t="s">
        <v>588</v>
      </c>
    </row>
    <row r="24" spans="1:16">
      <c r="A24" s="6" t="s">
        <v>589</v>
      </c>
    </row>
    <row r="29" spans="1:16" s="19" customFormat="1" hidden="1">
      <c r="A29" s="19" t="s">
        <v>232</v>
      </c>
      <c r="E29" s="20"/>
      <c r="F29" s="21"/>
      <c r="G29" s="22"/>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sqref="A1:J1"/>
    </sheetView>
  </sheetViews>
  <sheetFormatPr defaultRowHeight="15"/>
  <sheetData>
    <row r="1" spans="1:10" ht="23.45" customHeight="1">
      <c r="A1" s="505" t="str">
        <f>"PV - "&amp;Prototype!A2</f>
        <v>PV - Outpatient</v>
      </c>
      <c r="B1" s="505"/>
      <c r="C1" s="505"/>
      <c r="D1" s="505"/>
      <c r="E1" s="505"/>
      <c r="F1" s="505"/>
      <c r="G1" s="505"/>
      <c r="H1" s="505"/>
      <c r="I1" s="505"/>
      <c r="J1" s="505"/>
    </row>
    <row r="2" spans="1:10">
      <c r="A2" t="s">
        <v>594</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7109375" defaultRowHeight="12.75"/>
  <cols>
    <col min="1" max="1" width="21" style="6" customWidth="1"/>
    <col min="2" max="2" width="14.28515625" style="6" customWidth="1"/>
    <col min="3" max="3" width="14.5703125" style="6" customWidth="1"/>
    <col min="4" max="8" width="8.7109375" style="6"/>
    <col min="9" max="9" width="13.7109375" style="6" customWidth="1"/>
    <col min="10" max="10" width="14.42578125" style="6" customWidth="1"/>
    <col min="11" max="16384" width="8.7109375" style="6"/>
  </cols>
  <sheetData>
    <row r="1" spans="1:8" ht="19.899999999999999" customHeight="1">
      <c r="A1" s="505" t="str">
        <f>"EV Charger - "&amp;Prototype!A2</f>
        <v>EV Charger - Outpatient</v>
      </c>
      <c r="B1" s="505"/>
      <c r="C1" s="505"/>
      <c r="D1" s="505"/>
      <c r="E1" s="505"/>
      <c r="F1" s="505"/>
      <c r="G1" s="505"/>
      <c r="H1" s="505"/>
    </row>
    <row r="2" spans="1:8">
      <c r="A2" s="6" t="s">
        <v>594</v>
      </c>
      <c r="B2" s="40"/>
      <c r="C2" s="41"/>
      <c r="D2" s="42"/>
      <c r="E2" s="42"/>
    </row>
    <row r="3" spans="1:8">
      <c r="A3" s="439"/>
      <c r="B3" s="39"/>
      <c r="C3" s="441"/>
      <c r="D3" s="43"/>
      <c r="E3" s="43"/>
    </row>
    <row r="11" spans="1:8" s="19" customFormat="1" hidden="1">
      <c r="A11" s="19" t="s">
        <v>232</v>
      </c>
      <c r="E11" s="20"/>
      <c r="F11" s="21"/>
      <c r="G11" s="22"/>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7BA6B-9D4C-4B48-989E-A8CD5FF5FA27}">
  <sheetPr codeName="Sheet16"/>
  <dimension ref="A1:G83"/>
  <sheetViews>
    <sheetView workbookViewId="0"/>
  </sheetViews>
  <sheetFormatPr defaultRowHeight="15"/>
  <cols>
    <col min="1" max="1" width="58.7109375" customWidth="1"/>
    <col min="2" max="2" width="30.85546875" customWidth="1"/>
    <col min="3" max="3" width="30.28515625" customWidth="1"/>
  </cols>
  <sheetData>
    <row r="1" spans="1:7">
      <c r="A1" t="s">
        <v>595</v>
      </c>
      <c r="B1" t="s">
        <v>596</v>
      </c>
      <c r="C1" t="s">
        <v>596</v>
      </c>
      <c r="D1" s="513" t="s">
        <v>597</v>
      </c>
      <c r="E1" s="513"/>
      <c r="F1" s="513"/>
      <c r="G1" s="513"/>
    </row>
    <row r="2" spans="1:7">
      <c r="A2" s="440" t="s">
        <v>598</v>
      </c>
      <c r="D2">
        <v>2013</v>
      </c>
      <c r="E2">
        <v>2016</v>
      </c>
      <c r="F2">
        <v>2019</v>
      </c>
      <c r="G2">
        <v>2025</v>
      </c>
    </row>
    <row r="3" spans="1:7">
      <c r="A3" s="440" t="s">
        <v>599</v>
      </c>
    </row>
    <row r="4" spans="1:7">
      <c r="A4" t="s">
        <v>600</v>
      </c>
    </row>
    <row r="5" spans="1:7">
      <c r="A5" t="s">
        <v>601</v>
      </c>
    </row>
    <row r="6" spans="1:7">
      <c r="A6" t="s">
        <v>602</v>
      </c>
    </row>
    <row r="7" spans="1:7">
      <c r="A7" t="s">
        <v>603</v>
      </c>
    </row>
    <row r="8" spans="1:7">
      <c r="A8" t="s">
        <v>604</v>
      </c>
    </row>
    <row r="9" spans="1:7">
      <c r="A9" t="s">
        <v>605</v>
      </c>
    </row>
    <row r="10" spans="1:7">
      <c r="A10" t="s">
        <v>606</v>
      </c>
    </row>
    <row r="11" spans="1:7">
      <c r="A11" t="s">
        <v>607</v>
      </c>
    </row>
    <row r="12" spans="1:7">
      <c r="A12" t="s">
        <v>608</v>
      </c>
    </row>
    <row r="13" spans="1:7">
      <c r="A13" t="s">
        <v>609</v>
      </c>
    </row>
    <row r="14" spans="1:7">
      <c r="A14" t="s">
        <v>610</v>
      </c>
    </row>
    <row r="15" spans="1:7">
      <c r="A15" t="s">
        <v>611</v>
      </c>
    </row>
    <row r="16" spans="1:7">
      <c r="A16" t="s">
        <v>612</v>
      </c>
    </row>
    <row r="17" spans="1:1">
      <c r="A17" t="s">
        <v>159</v>
      </c>
    </row>
    <row r="18" spans="1:1">
      <c r="A18" t="s">
        <v>613</v>
      </c>
    </row>
    <row r="19" spans="1:1">
      <c r="A19" t="s">
        <v>100</v>
      </c>
    </row>
    <row r="20" spans="1:1">
      <c r="A20" t="s">
        <v>614</v>
      </c>
    </row>
    <row r="21" spans="1:1">
      <c r="A21" t="s">
        <v>88</v>
      </c>
    </row>
    <row r="22" spans="1:1">
      <c r="A22" t="s">
        <v>615</v>
      </c>
    </row>
    <row r="23" spans="1:1">
      <c r="A23" t="s">
        <v>96</v>
      </c>
    </row>
    <row r="24" spans="1:1">
      <c r="A24" t="s">
        <v>616</v>
      </c>
    </row>
    <row r="25" spans="1:1">
      <c r="A25" t="s">
        <v>617</v>
      </c>
    </row>
    <row r="26" spans="1:1">
      <c r="A26" t="s">
        <v>81</v>
      </c>
    </row>
    <row r="27" spans="1:1">
      <c r="A27" t="s">
        <v>114</v>
      </c>
    </row>
    <row r="28" spans="1:1">
      <c r="A28" t="s">
        <v>86</v>
      </c>
    </row>
    <row r="29" spans="1:1">
      <c r="A29" t="s">
        <v>618</v>
      </c>
    </row>
    <row r="30" spans="1:1">
      <c r="A30" t="s">
        <v>124</v>
      </c>
    </row>
    <row r="31" spans="1:1">
      <c r="A31" t="s">
        <v>129</v>
      </c>
    </row>
    <row r="32" spans="1:1">
      <c r="A32" t="s">
        <v>136</v>
      </c>
    </row>
    <row r="33" spans="1:1">
      <c r="A33" t="s">
        <v>211</v>
      </c>
    </row>
    <row r="34" spans="1:1">
      <c r="A34" t="s">
        <v>133</v>
      </c>
    </row>
    <row r="35" spans="1:1">
      <c r="A35" t="s">
        <v>619</v>
      </c>
    </row>
    <row r="36" spans="1:1">
      <c r="A36" t="s">
        <v>119</v>
      </c>
    </row>
    <row r="37" spans="1:1">
      <c r="A37" t="s">
        <v>620</v>
      </c>
    </row>
    <row r="38" spans="1:1">
      <c r="A38" t="s">
        <v>621</v>
      </c>
    </row>
    <row r="39" spans="1:1">
      <c r="A39" t="s">
        <v>622</v>
      </c>
    </row>
    <row r="40" spans="1:1">
      <c r="A40" t="s">
        <v>623</v>
      </c>
    </row>
    <row r="41" spans="1:1">
      <c r="A41" t="s">
        <v>624</v>
      </c>
    </row>
    <row r="42" spans="1:1">
      <c r="A42" t="s">
        <v>103</v>
      </c>
    </row>
    <row r="43" spans="1:1">
      <c r="A43" t="s">
        <v>108</v>
      </c>
    </row>
    <row r="44" spans="1:1">
      <c r="A44" t="s">
        <v>111</v>
      </c>
    </row>
    <row r="45" spans="1:1">
      <c r="A45" t="s">
        <v>625</v>
      </c>
    </row>
    <row r="46" spans="1:1">
      <c r="A46" t="s">
        <v>626</v>
      </c>
    </row>
    <row r="47" spans="1:1">
      <c r="A47" t="s">
        <v>627</v>
      </c>
    </row>
    <row r="48" spans="1:1">
      <c r="A48" t="s">
        <v>628</v>
      </c>
    </row>
    <row r="49" spans="1:1">
      <c r="A49" t="s">
        <v>629</v>
      </c>
    </row>
    <row r="50" spans="1:1">
      <c r="A50" t="s">
        <v>127</v>
      </c>
    </row>
    <row r="51" spans="1:1">
      <c r="A51" t="s">
        <v>92</v>
      </c>
    </row>
    <row r="52" spans="1:1">
      <c r="A52" t="s">
        <v>630</v>
      </c>
    </row>
    <row r="53" spans="1:1">
      <c r="A53" t="s">
        <v>631</v>
      </c>
    </row>
    <row r="54" spans="1:1">
      <c r="A54" t="s">
        <v>632</v>
      </c>
    </row>
    <row r="55" spans="1:1">
      <c r="A55" t="s">
        <v>633</v>
      </c>
    </row>
    <row r="56" spans="1:1">
      <c r="A56" t="s">
        <v>634</v>
      </c>
    </row>
    <row r="57" spans="1:1">
      <c r="A57" t="s">
        <v>635</v>
      </c>
    </row>
    <row r="58" spans="1:1">
      <c r="A58" t="s">
        <v>636</v>
      </c>
    </row>
    <row r="59" spans="1:1">
      <c r="A59" t="s">
        <v>106</v>
      </c>
    </row>
    <row r="60" spans="1:1">
      <c r="A60" t="s">
        <v>222</v>
      </c>
    </row>
    <row r="61" spans="1:1">
      <c r="A61" t="s">
        <v>637</v>
      </c>
    </row>
    <row r="62" spans="1:1">
      <c r="A62" t="s">
        <v>638</v>
      </c>
    </row>
    <row r="63" spans="1:1">
      <c r="A63" t="s">
        <v>639</v>
      </c>
    </row>
    <row r="64" spans="1:1">
      <c r="A64" t="s">
        <v>122</v>
      </c>
    </row>
    <row r="65" spans="1:1">
      <c r="A65" t="s">
        <v>640</v>
      </c>
    </row>
    <row r="66" spans="1:1">
      <c r="A66" t="s">
        <v>641</v>
      </c>
    </row>
    <row r="67" spans="1:1">
      <c r="A67" t="s">
        <v>642</v>
      </c>
    </row>
    <row r="68" spans="1:1">
      <c r="A68" t="s">
        <v>643</v>
      </c>
    </row>
    <row r="69" spans="1:1">
      <c r="A69" t="s">
        <v>644</v>
      </c>
    </row>
    <row r="70" spans="1:1">
      <c r="A70" t="s">
        <v>645</v>
      </c>
    </row>
    <row r="71" spans="1:1">
      <c r="A71" t="s">
        <v>646</v>
      </c>
    </row>
    <row r="72" spans="1:1">
      <c r="A72" t="s">
        <v>647</v>
      </c>
    </row>
    <row r="73" spans="1:1">
      <c r="A73" t="s">
        <v>648</v>
      </c>
    </row>
    <row r="74" spans="1:1">
      <c r="A74" t="s">
        <v>649</v>
      </c>
    </row>
    <row r="75" spans="1:1">
      <c r="A75" t="s">
        <v>650</v>
      </c>
    </row>
    <row r="76" spans="1:1">
      <c r="A76" t="s">
        <v>651</v>
      </c>
    </row>
    <row r="77" spans="1:1">
      <c r="A77" t="s">
        <v>652</v>
      </c>
    </row>
    <row r="78" spans="1:1">
      <c r="A78" t="s">
        <v>141</v>
      </c>
    </row>
    <row r="79" spans="1:1">
      <c r="A79" t="s">
        <v>224</v>
      </c>
    </row>
    <row r="80" spans="1:1">
      <c r="A80" t="s">
        <v>653</v>
      </c>
    </row>
    <row r="81" spans="1:1">
      <c r="A81" t="s">
        <v>654</v>
      </c>
    </row>
    <row r="82" spans="1:1">
      <c r="A82" t="s">
        <v>655</v>
      </c>
    </row>
    <row r="83" spans="1:1">
      <c r="A83" t="s">
        <v>656</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6B5431-185B-47E7-B9F6-4B37534078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47e91-274c-46a0-ba98-7b939b571e5b"/>
    <ds:schemaRef ds:uri="ea1b199f-450f-4d51-8ad4-88f218385c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816333-575B-4274-8A3E-18699B071E90}">
  <ds:schemaRefs>
    <ds:schemaRef ds:uri="http://purl.org/dc/dcmitype/"/>
    <ds:schemaRef ds:uri="ea1b199f-450f-4d51-8ad4-88f218385cd9"/>
    <ds:schemaRef ds:uri="http://schemas.microsoft.com/office/2006/documentManagement/types"/>
    <ds:schemaRef ds:uri="http://purl.org/dc/terms/"/>
    <ds:schemaRef ds:uri="http://purl.org/dc/elements/1.1/"/>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f3a47e91-274c-46a0-ba98-7b939b571e5b"/>
  </ds:schemaRefs>
</ds:datastoreItem>
</file>

<file path=customXml/itemProps3.xml><?xml version="1.0" encoding="utf-8"?>
<ds:datastoreItem xmlns:ds="http://schemas.openxmlformats.org/officeDocument/2006/customXml" ds:itemID="{7921AF10-0BF8-441A-BDBA-64AF3E09D4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Thermostat</vt:lpstr>
      <vt:lpstr>HVAC System</vt:lpstr>
      <vt:lpstr>Ventilation</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Dabbagh, Mohammad</cp:lastModifiedBy>
  <cp:revision/>
  <dcterms:created xsi:type="dcterms:W3CDTF">2024-06-21T17:19:36Z</dcterms:created>
  <dcterms:modified xsi:type="dcterms:W3CDTF">2025-12-24T09:32:51Z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y fmtid="{D5CDD505-2E9C-101B-9397-08002B2CF9AE}" pid="17" name="MediaServiceImageTags">
    <vt:lpwstr/>
  </property>
</Properties>
</file>