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mc:AlternateContent xmlns:mc="http://schemas.openxmlformats.org/markup-compatibility/2006">
    <mc:Choice Requires="x15">
      <x15ac:absPath xmlns:x15ac="http://schemas.microsoft.com/office/spreadsheetml/2010/11/ac" url="https://universitetetitromso.sharepoint.com/sites/O365-2024iC3FieldSchool/Shared Documents/General/3. Data collected in the field/"/>
    </mc:Choice>
  </mc:AlternateContent>
  <xr:revisionPtr revIDLastSave="578" documentId="13_ncr:1_{C35014CE-EE72-41A1-9114-A60C07ECCD3A}" xr6:coauthVersionLast="47" xr6:coauthVersionMax="47" xr10:uidLastSave="{F1B8934B-D583-42DC-852C-FAEA832BA08D}"/>
  <bookViews>
    <workbookView xWindow="-110" yWindow="-110" windowWidth="19420" windowHeight="11500" tabRatio="558" xr2:uid="{00000000-000D-0000-FFFF-FFFF00000000}"/>
  </bookViews>
  <sheets>
    <sheet name="Ark1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9" i="13" l="1"/>
  <c r="E128" i="13"/>
  <c r="E127" i="13"/>
  <c r="E126" i="13"/>
  <c r="E125" i="13"/>
  <c r="E124" i="13"/>
  <c r="E123" i="13"/>
  <c r="E122" i="13"/>
  <c r="E121" i="13"/>
  <c r="E120" i="13"/>
  <c r="E119" i="13"/>
  <c r="D129" i="13"/>
  <c r="D128" i="13"/>
  <c r="D127" i="13"/>
  <c r="D126" i="13"/>
  <c r="D125" i="13"/>
  <c r="D124" i="13"/>
  <c r="D123" i="13"/>
  <c r="D122" i="13"/>
  <c r="D121" i="13"/>
  <c r="D120" i="13"/>
  <c r="D119" i="13"/>
  <c r="E118" i="13"/>
  <c r="D118" i="13"/>
  <c r="E116" i="13"/>
  <c r="E115" i="13"/>
  <c r="E114" i="13"/>
  <c r="E113" i="13"/>
  <c r="E112" i="13"/>
  <c r="E111" i="13"/>
  <c r="E110" i="13"/>
  <c r="E109" i="13"/>
  <c r="E108" i="13"/>
  <c r="E107" i="13"/>
  <c r="E106" i="13"/>
  <c r="D116" i="13"/>
  <c r="D115" i="13"/>
  <c r="D114" i="13"/>
  <c r="D113" i="13"/>
  <c r="D112" i="13"/>
  <c r="D111" i="13"/>
  <c r="D110" i="13"/>
  <c r="D109" i="13"/>
  <c r="D108" i="13"/>
  <c r="D107" i="13"/>
  <c r="D106" i="13"/>
  <c r="E105" i="13"/>
  <c r="D105" i="13"/>
  <c r="E102" i="13"/>
  <c r="E101" i="13"/>
  <c r="E100" i="13"/>
  <c r="E99" i="13"/>
  <c r="E98" i="13"/>
  <c r="E97" i="13"/>
  <c r="E96" i="13"/>
  <c r="E95" i="13"/>
  <c r="E94" i="13"/>
  <c r="E93" i="13"/>
  <c r="E92" i="13"/>
  <c r="D102" i="13"/>
  <c r="D101" i="13"/>
  <c r="D100" i="13"/>
  <c r="D99" i="13"/>
  <c r="D98" i="13"/>
  <c r="D97" i="13"/>
  <c r="D96" i="13"/>
  <c r="D95" i="13"/>
  <c r="D94" i="13"/>
  <c r="D93" i="13"/>
  <c r="D92" i="13"/>
  <c r="E91" i="13"/>
  <c r="D91" i="13"/>
  <c r="K89" i="13"/>
  <c r="L88" i="13"/>
  <c r="K88" i="13"/>
  <c r="M88" i="13" s="1"/>
  <c r="L87" i="13"/>
  <c r="K83" i="13"/>
  <c r="L82" i="13"/>
  <c r="K82" i="13"/>
  <c r="M82" i="13" s="1"/>
  <c r="L81" i="13"/>
  <c r="J78" i="13"/>
  <c r="L78" i="13" s="1"/>
  <c r="E81" i="13"/>
  <c r="E82" i="13"/>
  <c r="E83" i="13"/>
  <c r="E84" i="13"/>
  <c r="E85" i="13"/>
  <c r="E86" i="13"/>
  <c r="E87" i="13"/>
  <c r="E88" i="13"/>
  <c r="E89" i="13"/>
  <c r="E80" i="13"/>
  <c r="E79" i="13"/>
  <c r="E78" i="13"/>
  <c r="D81" i="13"/>
  <c r="D82" i="13"/>
  <c r="D83" i="13"/>
  <c r="D84" i="13"/>
  <c r="D85" i="13"/>
  <c r="D86" i="13"/>
  <c r="D87" i="13"/>
  <c r="D88" i="13"/>
  <c r="D89" i="13"/>
  <c r="D80" i="13"/>
  <c r="D79" i="13"/>
  <c r="D78" i="13"/>
  <c r="L76" i="13"/>
  <c r="K76" i="13"/>
  <c r="M76" i="13" s="1"/>
  <c r="L75" i="13"/>
  <c r="K75" i="13"/>
  <c r="M75" i="13" s="1"/>
  <c r="K71" i="13"/>
  <c r="L70" i="13"/>
  <c r="K70" i="13"/>
  <c r="M70" i="13" s="1"/>
  <c r="L69" i="13"/>
  <c r="K69" i="13"/>
  <c r="E68" i="13"/>
  <c r="E69" i="13"/>
  <c r="E70" i="13"/>
  <c r="E71" i="13"/>
  <c r="E72" i="13"/>
  <c r="E73" i="13"/>
  <c r="E74" i="13"/>
  <c r="E75" i="13"/>
  <c r="E76" i="13"/>
  <c r="E67" i="13"/>
  <c r="E66" i="13"/>
  <c r="D68" i="13"/>
  <c r="D69" i="13"/>
  <c r="D70" i="13"/>
  <c r="D71" i="13"/>
  <c r="D72" i="13"/>
  <c r="D73" i="13"/>
  <c r="D74" i="13"/>
  <c r="D75" i="13"/>
  <c r="D76" i="13"/>
  <c r="D67" i="13"/>
  <c r="D66" i="13"/>
  <c r="E65" i="13"/>
  <c r="D65" i="13"/>
  <c r="L53" i="13"/>
  <c r="L54" i="13"/>
  <c r="L55" i="13"/>
  <c r="L56" i="13"/>
  <c r="I63" i="13"/>
  <c r="L58" i="13" s="1"/>
  <c r="E62" i="13"/>
  <c r="E61" i="13"/>
  <c r="E60" i="13"/>
  <c r="E59" i="13"/>
  <c r="E58" i="13"/>
  <c r="E57" i="13"/>
  <c r="E56" i="13"/>
  <c r="E55" i="13"/>
  <c r="E54" i="13"/>
  <c r="E53" i="13"/>
  <c r="E52" i="13"/>
  <c r="E51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I103" i="13"/>
  <c r="L127" i="13" s="1"/>
  <c r="E39" i="13"/>
  <c r="E40" i="13"/>
  <c r="E41" i="13"/>
  <c r="E42" i="13"/>
  <c r="E43" i="13"/>
  <c r="E44" i="13"/>
  <c r="E45" i="13"/>
  <c r="E46" i="13"/>
  <c r="E47" i="13"/>
  <c r="E48" i="13"/>
  <c r="E49" i="13"/>
  <c r="E38" i="13"/>
  <c r="D39" i="13"/>
  <c r="D40" i="13"/>
  <c r="D41" i="13"/>
  <c r="D42" i="13"/>
  <c r="D43" i="13"/>
  <c r="D44" i="13"/>
  <c r="D45" i="13"/>
  <c r="D46" i="13"/>
  <c r="D47" i="13"/>
  <c r="D48" i="13"/>
  <c r="D49" i="13"/>
  <c r="D38" i="13"/>
  <c r="I36" i="13"/>
  <c r="D25" i="13"/>
  <c r="D26" i="13"/>
  <c r="D27" i="13"/>
  <c r="D28" i="13"/>
  <c r="D29" i="13"/>
  <c r="D30" i="13"/>
  <c r="D31" i="13"/>
  <c r="D32" i="13"/>
  <c r="D33" i="13"/>
  <c r="D34" i="13"/>
  <c r="D35" i="13"/>
  <c r="E25" i="13"/>
  <c r="E26" i="13"/>
  <c r="E27" i="13"/>
  <c r="E28" i="13"/>
  <c r="E29" i="13"/>
  <c r="E30" i="13"/>
  <c r="E31" i="13"/>
  <c r="E32" i="13"/>
  <c r="E33" i="13"/>
  <c r="E34" i="13"/>
  <c r="E35" i="13"/>
  <c r="E24" i="13"/>
  <c r="D24" i="13"/>
  <c r="L21" i="13"/>
  <c r="K21" i="13"/>
  <c r="M21" i="13" s="1"/>
  <c r="L20" i="13"/>
  <c r="K20" i="13"/>
  <c r="L19" i="13"/>
  <c r="K19" i="13"/>
  <c r="M19" i="13" s="1"/>
  <c r="L18" i="13"/>
  <c r="K18" i="13"/>
  <c r="M18" i="13" s="1"/>
  <c r="L17" i="13"/>
  <c r="K17" i="13"/>
  <c r="L16" i="13"/>
  <c r="K16" i="13"/>
  <c r="M16" i="13" s="1"/>
  <c r="L15" i="13"/>
  <c r="K15" i="13"/>
  <c r="M15" i="13" s="1"/>
  <c r="L14" i="13"/>
  <c r="K14" i="13"/>
  <c r="L13" i="13"/>
  <c r="K13" i="13"/>
  <c r="M13" i="13" s="1"/>
  <c r="N78" i="13" l="1"/>
  <c r="N56" i="13"/>
  <c r="N87" i="13"/>
  <c r="N54" i="13"/>
  <c r="N88" i="13"/>
  <c r="M89" i="13"/>
  <c r="Q89" i="13" s="1"/>
  <c r="K66" i="13"/>
  <c r="M66" i="13" s="1"/>
  <c r="K56" i="13"/>
  <c r="M56" i="13" s="1"/>
  <c r="L66" i="13"/>
  <c r="L72" i="13"/>
  <c r="N72" i="13" s="1"/>
  <c r="K79" i="13"/>
  <c r="K85" i="13"/>
  <c r="K55" i="13"/>
  <c r="M55" i="13" s="1"/>
  <c r="K67" i="13"/>
  <c r="L85" i="13"/>
  <c r="N85" i="13" s="1"/>
  <c r="K54" i="13"/>
  <c r="M54" i="13" s="1"/>
  <c r="Q54" i="13" s="1"/>
  <c r="L67" i="13"/>
  <c r="M67" i="13" s="1"/>
  <c r="K80" i="13"/>
  <c r="M80" i="13" s="1"/>
  <c r="Q80" i="13" s="1"/>
  <c r="K53" i="13"/>
  <c r="M53" i="13" s="1"/>
  <c r="K68" i="13"/>
  <c r="K74" i="13"/>
  <c r="L80" i="13"/>
  <c r="L86" i="13"/>
  <c r="K65" i="13"/>
  <c r="N55" i="13"/>
  <c r="N82" i="13"/>
  <c r="L83" i="13"/>
  <c r="N83" i="13" s="1"/>
  <c r="L89" i="13"/>
  <c r="N89" i="13" s="1"/>
  <c r="L71" i="13"/>
  <c r="N71" i="13" s="1"/>
  <c r="K84" i="13"/>
  <c r="M84" i="13" s="1"/>
  <c r="K78" i="13"/>
  <c r="M78" i="13" s="1"/>
  <c r="K57" i="13"/>
  <c r="K72" i="13"/>
  <c r="M72" i="13" s="1"/>
  <c r="L84" i="13"/>
  <c r="K73" i="13"/>
  <c r="L79" i="13"/>
  <c r="N79" i="13" s="1"/>
  <c r="L73" i="13"/>
  <c r="K86" i="13"/>
  <c r="M86" i="13" s="1"/>
  <c r="L57" i="13"/>
  <c r="N57" i="13" s="1"/>
  <c r="L68" i="13"/>
  <c r="N68" i="13" s="1"/>
  <c r="L74" i="13"/>
  <c r="N74" i="13" s="1"/>
  <c r="K81" i="13"/>
  <c r="M81" i="13" s="1"/>
  <c r="Q81" i="13" s="1"/>
  <c r="K87" i="13"/>
  <c r="M87" i="13" s="1"/>
  <c r="Q87" i="13" s="1"/>
  <c r="L65" i="13"/>
  <c r="N65" i="13" s="1"/>
  <c r="M69" i="13"/>
  <c r="N67" i="13"/>
  <c r="N73" i="13"/>
  <c r="N69" i="13"/>
  <c r="N70" i="13"/>
  <c r="N75" i="13"/>
  <c r="N76" i="13"/>
  <c r="K52" i="13"/>
  <c r="L52" i="13"/>
  <c r="N52" i="13" s="1"/>
  <c r="K51" i="13"/>
  <c r="L51" i="13"/>
  <c r="N51" i="13" s="1"/>
  <c r="K62" i="13"/>
  <c r="L62" i="13"/>
  <c r="N62" i="13" s="1"/>
  <c r="K61" i="13"/>
  <c r="L61" i="13"/>
  <c r="K60" i="13"/>
  <c r="L60" i="13"/>
  <c r="N60" i="13" s="1"/>
  <c r="K59" i="13"/>
  <c r="L59" i="13"/>
  <c r="N59" i="13" s="1"/>
  <c r="M20" i="13"/>
  <c r="Q20" i="13" s="1"/>
  <c r="K58" i="13"/>
  <c r="M58" i="13" s="1"/>
  <c r="Q15" i="13"/>
  <c r="Q18" i="13"/>
  <c r="Q21" i="13"/>
  <c r="L42" i="13"/>
  <c r="K48" i="13"/>
  <c r="L47" i="13"/>
  <c r="K47" i="13"/>
  <c r="M47" i="13" s="1"/>
  <c r="Q47" i="13" s="1"/>
  <c r="L46" i="13"/>
  <c r="N46" i="13" s="1"/>
  <c r="K46" i="13"/>
  <c r="K40" i="13"/>
  <c r="L39" i="13"/>
  <c r="K39" i="13"/>
  <c r="M39" i="13" s="1"/>
  <c r="L38" i="13"/>
  <c r="K38" i="13"/>
  <c r="M38" i="13" s="1"/>
  <c r="L24" i="13"/>
  <c r="N24" i="13" s="1"/>
  <c r="K25" i="13"/>
  <c r="K26" i="13"/>
  <c r="K27" i="13"/>
  <c r="K28" i="13"/>
  <c r="L116" i="13"/>
  <c r="L118" i="13"/>
  <c r="K96" i="13"/>
  <c r="M96" i="13" s="1"/>
  <c r="L98" i="13"/>
  <c r="N98" i="13" s="1"/>
  <c r="L41" i="13"/>
  <c r="K93" i="13"/>
  <c r="K33" i="13"/>
  <c r="L29" i="13"/>
  <c r="L43" i="13"/>
  <c r="L92" i="13"/>
  <c r="K106" i="13"/>
  <c r="K114" i="13"/>
  <c r="K123" i="13"/>
  <c r="K101" i="13"/>
  <c r="K118" i="13"/>
  <c r="L109" i="13"/>
  <c r="L96" i="13"/>
  <c r="N96" i="13" s="1"/>
  <c r="K99" i="13"/>
  <c r="L30" i="13"/>
  <c r="N30" i="13" s="1"/>
  <c r="K43" i="13"/>
  <c r="L122" i="13"/>
  <c r="K32" i="13"/>
  <c r="L28" i="13"/>
  <c r="K44" i="13"/>
  <c r="K92" i="13"/>
  <c r="L106" i="13"/>
  <c r="L114" i="13"/>
  <c r="L123" i="13"/>
  <c r="N123" i="13" s="1"/>
  <c r="K109" i="13"/>
  <c r="K119" i="13"/>
  <c r="L40" i="13"/>
  <c r="L128" i="13"/>
  <c r="K41" i="13"/>
  <c r="K98" i="13"/>
  <c r="K34" i="13"/>
  <c r="K31" i="13"/>
  <c r="M31" i="13" s="1"/>
  <c r="L27" i="13"/>
  <c r="L44" i="13"/>
  <c r="L102" i="13"/>
  <c r="K107" i="13"/>
  <c r="K115" i="13"/>
  <c r="K124" i="13"/>
  <c r="L125" i="13"/>
  <c r="L126" i="13"/>
  <c r="L110" i="13"/>
  <c r="K111" i="13"/>
  <c r="K95" i="13"/>
  <c r="K129" i="13"/>
  <c r="L113" i="13"/>
  <c r="K30" i="13"/>
  <c r="L26" i="13"/>
  <c r="K45" i="13"/>
  <c r="N45" i="13" s="1"/>
  <c r="K102" i="13"/>
  <c r="N102" i="13" s="1"/>
  <c r="L107" i="13"/>
  <c r="L115" i="13"/>
  <c r="L124" i="13"/>
  <c r="M124" i="13" s="1"/>
  <c r="L108" i="13"/>
  <c r="L100" i="13"/>
  <c r="L91" i="13"/>
  <c r="K110" i="13"/>
  <c r="L120" i="13"/>
  <c r="L105" i="13"/>
  <c r="M17" i="13"/>
  <c r="K29" i="13"/>
  <c r="M29" i="13" s="1"/>
  <c r="L25" i="13"/>
  <c r="L45" i="13"/>
  <c r="L101" i="13"/>
  <c r="K108" i="13"/>
  <c r="K116" i="13"/>
  <c r="K125" i="13"/>
  <c r="K91" i="13"/>
  <c r="M91" i="13" s="1"/>
  <c r="K100" i="13"/>
  <c r="L99" i="13"/>
  <c r="L119" i="13"/>
  <c r="L35" i="13"/>
  <c r="L95" i="13"/>
  <c r="K49" i="13"/>
  <c r="L49" i="13"/>
  <c r="L94" i="13"/>
  <c r="L97" i="13"/>
  <c r="K112" i="13"/>
  <c r="K121" i="13"/>
  <c r="K24" i="13"/>
  <c r="L32" i="13"/>
  <c r="K42" i="13"/>
  <c r="N42" i="13" s="1"/>
  <c r="K94" i="13"/>
  <c r="K97" i="13"/>
  <c r="M97" i="13" s="1"/>
  <c r="L112" i="13"/>
  <c r="N112" i="13" s="1"/>
  <c r="L121" i="13"/>
  <c r="K105" i="13"/>
  <c r="K126" i="13"/>
  <c r="K127" i="13"/>
  <c r="M127" i="13" s="1"/>
  <c r="K128" i="13"/>
  <c r="L48" i="13"/>
  <c r="M48" i="13" s="1"/>
  <c r="K120" i="13"/>
  <c r="L34" i="13"/>
  <c r="L111" i="13"/>
  <c r="L33" i="13"/>
  <c r="L129" i="13"/>
  <c r="M14" i="13"/>
  <c r="K35" i="13"/>
  <c r="L31" i="13"/>
  <c r="L93" i="13"/>
  <c r="N93" i="13" s="1"/>
  <c r="K113" i="13"/>
  <c r="K122" i="13"/>
  <c r="M122" i="13" s="1"/>
  <c r="N122" i="13"/>
  <c r="M94" i="13"/>
  <c r="M46" i="13"/>
  <c r="M42" i="13"/>
  <c r="N39" i="13"/>
  <c r="N32" i="13"/>
  <c r="N13" i="13"/>
  <c r="N14" i="13"/>
  <c r="N15" i="13"/>
  <c r="N16" i="13"/>
  <c r="N17" i="13"/>
  <c r="N18" i="13"/>
  <c r="N19" i="13"/>
  <c r="N20" i="13"/>
  <c r="N21" i="13"/>
  <c r="N35" i="13" l="1"/>
  <c r="Q86" i="13"/>
  <c r="M83" i="13"/>
  <c r="N44" i="13"/>
  <c r="N66" i="13"/>
  <c r="M68" i="13"/>
  <c r="N81" i="13"/>
  <c r="M24" i="13"/>
  <c r="Q91" i="13"/>
  <c r="M95" i="13"/>
  <c r="N27" i="13"/>
  <c r="N47" i="13"/>
  <c r="Q69" i="13"/>
  <c r="Q55" i="13"/>
  <c r="M32" i="13"/>
  <c r="M26" i="13"/>
  <c r="Q26" i="13" s="1"/>
  <c r="Q19" i="13"/>
  <c r="M71" i="13"/>
  <c r="Q71" i="13" s="1"/>
  <c r="M73" i="13"/>
  <c r="Q73" i="13" s="1"/>
  <c r="M65" i="13"/>
  <c r="Q65" i="13" s="1"/>
  <c r="M85" i="13"/>
  <c r="Q85" i="13" s="1"/>
  <c r="M128" i="13"/>
  <c r="M116" i="13"/>
  <c r="M41" i="13"/>
  <c r="Q41" i="13" s="1"/>
  <c r="N25" i="13"/>
  <c r="N61" i="13"/>
  <c r="N84" i="13"/>
  <c r="N86" i="13"/>
  <c r="M79" i="13"/>
  <c r="Q79" i="13" s="1"/>
  <c r="Q88" i="13"/>
  <c r="M98" i="13"/>
  <c r="Q97" i="13" s="1"/>
  <c r="N113" i="13"/>
  <c r="N29" i="13"/>
  <c r="M74" i="13"/>
  <c r="N80" i="13"/>
  <c r="N40" i="13"/>
  <c r="Q38" i="13"/>
  <c r="M57" i="13"/>
  <c r="Q57" i="13" s="1"/>
  <c r="N53" i="13"/>
  <c r="N49" i="13"/>
  <c r="Q56" i="13"/>
  <c r="M28" i="13"/>
  <c r="N28" i="13"/>
  <c r="M44" i="13"/>
  <c r="M61" i="13"/>
  <c r="N41" i="13"/>
  <c r="N38" i="13"/>
  <c r="M62" i="13"/>
  <c r="Q62" i="13" s="1"/>
  <c r="N121" i="13"/>
  <c r="N95" i="13"/>
  <c r="M40" i="13"/>
  <c r="N33" i="13"/>
  <c r="M52" i="13"/>
  <c r="M60" i="13"/>
  <c r="Q94" i="13"/>
  <c r="N31" i="13"/>
  <c r="M25" i="13"/>
  <c r="Q24" i="13" s="1"/>
  <c r="M51" i="13"/>
  <c r="Q51" i="13" s="1"/>
  <c r="M102" i="13"/>
  <c r="N26" i="13"/>
  <c r="N99" i="13"/>
  <c r="M27" i="13"/>
  <c r="M92" i="13"/>
  <c r="M59" i="13"/>
  <c r="N58" i="13"/>
  <c r="Q39" i="13"/>
  <c r="Q40" i="13"/>
  <c r="Q46" i="13"/>
  <c r="Q95" i="13"/>
  <c r="Q96" i="13"/>
  <c r="Q14" i="13"/>
  <c r="Q13" i="13"/>
  <c r="M35" i="13"/>
  <c r="Q17" i="13"/>
  <c r="Q16" i="13"/>
  <c r="N91" i="13"/>
  <c r="N100" i="13"/>
  <c r="N126" i="13"/>
  <c r="M115" i="13"/>
  <c r="M119" i="13"/>
  <c r="M101" i="13"/>
  <c r="M114" i="13"/>
  <c r="N92" i="13"/>
  <c r="N43" i="13"/>
  <c r="M93" i="13"/>
  <c r="M118" i="13"/>
  <c r="N129" i="13"/>
  <c r="Q127" i="13"/>
  <c r="M126" i="13"/>
  <c r="N125" i="13"/>
  <c r="Q126" i="13"/>
  <c r="N120" i="13"/>
  <c r="N119" i="13"/>
  <c r="N118" i="13"/>
  <c r="N116" i="13"/>
  <c r="N115" i="13"/>
  <c r="M113" i="13"/>
  <c r="M111" i="13"/>
  <c r="M110" i="13"/>
  <c r="N109" i="13"/>
  <c r="N108" i="13"/>
  <c r="N107" i="13"/>
  <c r="M106" i="13"/>
  <c r="M105" i="13"/>
  <c r="Q105" i="13" s="1"/>
  <c r="M49" i="13"/>
  <c r="N110" i="13"/>
  <c r="M123" i="13"/>
  <c r="N124" i="13"/>
  <c r="M107" i="13"/>
  <c r="N114" i="13"/>
  <c r="N128" i="13"/>
  <c r="N48" i="13"/>
  <c r="M99" i="13"/>
  <c r="N127" i="13"/>
  <c r="M33" i="13"/>
  <c r="M125" i="13"/>
  <c r="N111" i="13"/>
  <c r="M108" i="13"/>
  <c r="M45" i="13"/>
  <c r="M43" i="13"/>
  <c r="N106" i="13"/>
  <c r="M100" i="13"/>
  <c r="N34" i="13"/>
  <c r="M34" i="13"/>
  <c r="M121" i="13"/>
  <c r="M30" i="13"/>
  <c r="M112" i="13"/>
  <c r="Q112" i="13" s="1"/>
  <c r="N105" i="13"/>
  <c r="N101" i="13"/>
  <c r="M109" i="13"/>
  <c r="N97" i="13"/>
  <c r="M129" i="13"/>
  <c r="Q129" i="13" s="1"/>
  <c r="M120" i="13"/>
  <c r="N94" i="13"/>
  <c r="Q60" i="13" l="1"/>
  <c r="Q118" i="13"/>
  <c r="Q84" i="13"/>
  <c r="Q66" i="13"/>
  <c r="Q83" i="13"/>
  <c r="Q82" i="13"/>
  <c r="Q61" i="13"/>
  <c r="Q74" i="13"/>
  <c r="Q76" i="13"/>
  <c r="Q75" i="13"/>
  <c r="Q58" i="13"/>
  <c r="Q53" i="13"/>
  <c r="Q52" i="13"/>
  <c r="Q59" i="13"/>
  <c r="Q78" i="13"/>
  <c r="Q67" i="13"/>
  <c r="Q120" i="13"/>
  <c r="Q27" i="13"/>
  <c r="Q68" i="13"/>
  <c r="Q70" i="13"/>
  <c r="Q72" i="13"/>
  <c r="Q28" i="13"/>
  <c r="Q107" i="13"/>
  <c r="Q29" i="13"/>
  <c r="Q34" i="13"/>
  <c r="Q109" i="13"/>
  <c r="Q25" i="13"/>
  <c r="Q30" i="13"/>
  <c r="Q32" i="13"/>
  <c r="Q31" i="13"/>
  <c r="Q100" i="13"/>
  <c r="Q102" i="13"/>
  <c r="Q43" i="13"/>
  <c r="Q42" i="13"/>
  <c r="Q45" i="13"/>
  <c r="Q44" i="13"/>
  <c r="Q108" i="13"/>
  <c r="Q33" i="13"/>
  <c r="Q99" i="13"/>
  <c r="Q98" i="13"/>
  <c r="Q49" i="13"/>
  <c r="Q48" i="13"/>
  <c r="Q106" i="13"/>
  <c r="Q110" i="13"/>
  <c r="Q111" i="13"/>
  <c r="Q113" i="13"/>
  <c r="Q93" i="13"/>
  <c r="Q92" i="13"/>
  <c r="Q114" i="13"/>
  <c r="Q116" i="13"/>
  <c r="Q101" i="13"/>
  <c r="Q115" i="13"/>
  <c r="Q35" i="13"/>
  <c r="Q128" i="13"/>
  <c r="Q125" i="13"/>
  <c r="Q124" i="13"/>
  <c r="Q122" i="13"/>
  <c r="Q123" i="13"/>
  <c r="Q121" i="13"/>
  <c r="Q11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tc={2F3F70BD-B8C7-4CBD-956F-5431DDF93FC5}</author>
  </authors>
  <commentList>
    <comment ref="N65" authorId="0" shapeId="0" xr:uid="{2F3F70BD-B8C7-4CBD-956F-5431DDF93F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Doubled checked the punched in values. Corresponds w. Paper log sheet </t>
      </text>
    </comment>
  </commentList>
</comments>
</file>

<file path=xl/sharedStrings.xml><?xml version="1.0" encoding="utf-8"?>
<sst xmlns="http://schemas.openxmlformats.org/spreadsheetml/2006/main" count="465" uniqueCount="151">
  <si>
    <t>Borosilicat</t>
  </si>
  <si>
    <t>Value</t>
  </si>
  <si>
    <t>St.dev.</t>
  </si>
  <si>
    <t>Rb/Ra=</t>
  </si>
  <si>
    <t>Values are from calibration done on 17 April 2024 at NPI (Anette Wold)</t>
  </si>
  <si>
    <t>Tau=</t>
  </si>
  <si>
    <t>Fd=</t>
  </si>
  <si>
    <t>Rb=fluorometer reading before acidification</t>
  </si>
  <si>
    <t>Ra=fluorometer reading after acidification (addition of two drops of 5% HCl (1,2 M))</t>
  </si>
  <si>
    <t>Chla (mg/m3)= Fd*tau*(Rb-Ra)*volmethanol/vol filtr.</t>
  </si>
  <si>
    <t>Phaeo (mg/m3)= Fd*tau*((Rb/Ra*Ra)-Rb)*vol methanol/vol. Filtr</t>
  </si>
  <si>
    <t>Sample name</t>
  </si>
  <si>
    <t>Station</t>
  </si>
  <si>
    <t>Date</t>
  </si>
  <si>
    <t>Latitude (decimals)</t>
  </si>
  <si>
    <t>Longitude (decimals)</t>
  </si>
  <si>
    <t>Depth (m)</t>
  </si>
  <si>
    <t>Volume filtred (ml)</t>
  </si>
  <si>
    <t>Volume methanol (ml)</t>
  </si>
  <si>
    <t>Rb</t>
  </si>
  <si>
    <t>Ra</t>
  </si>
  <si>
    <t>Blank Correct Rb</t>
  </si>
  <si>
    <t>Blank Corrected Ra</t>
  </si>
  <si>
    <t>Chl a (mg/m3)</t>
  </si>
  <si>
    <t>Phaeopigment (mg/m3)</t>
  </si>
  <si>
    <t>Dilution factor</t>
  </si>
  <si>
    <t>Comment</t>
  </si>
  <si>
    <t>CHL-1</t>
  </si>
  <si>
    <t>LYNG04</t>
  </si>
  <si>
    <t>GFF</t>
  </si>
  <si>
    <t>% picophytoplankton</t>
  </si>
  <si>
    <t>CHL-2</t>
  </si>
  <si>
    <t>3 um</t>
  </si>
  <si>
    <t>% nanophytoplankton</t>
  </si>
  <si>
    <t>CHL-3</t>
  </si>
  <si>
    <t>20 um</t>
  </si>
  <si>
    <t>% microphytoplankton</t>
  </si>
  <si>
    <t>CHL-4</t>
  </si>
  <si>
    <t>CHL-5</t>
  </si>
  <si>
    <t>CHL-6</t>
  </si>
  <si>
    <t>CHL-7</t>
  </si>
  <si>
    <t>CHL-8</t>
  </si>
  <si>
    <t>CHL-9</t>
  </si>
  <si>
    <t>AVG BLANK</t>
  </si>
  <si>
    <t>Blank</t>
  </si>
  <si>
    <t/>
  </si>
  <si>
    <t>CHL-10</t>
  </si>
  <si>
    <t>LYNG01</t>
  </si>
  <si>
    <t>CHL-11</t>
  </si>
  <si>
    <t>CHL-12</t>
  </si>
  <si>
    <t>CHL-13</t>
  </si>
  <si>
    <t>CHL-14</t>
  </si>
  <si>
    <t>CHL-15</t>
  </si>
  <si>
    <t>CHL-16</t>
  </si>
  <si>
    <t>CHL-17</t>
  </si>
  <si>
    <t>CHL-18</t>
  </si>
  <si>
    <t>CHL-19</t>
  </si>
  <si>
    <t>CHL-20</t>
  </si>
  <si>
    <t>CHL-21</t>
  </si>
  <si>
    <t>CHL-22</t>
  </si>
  <si>
    <t>LYNG14</t>
  </si>
  <si>
    <t>CHL-23</t>
  </si>
  <si>
    <t>CHL-24</t>
  </si>
  <si>
    <t>CHL-25</t>
  </si>
  <si>
    <t>CHL-26</t>
  </si>
  <si>
    <t>CHL-27</t>
  </si>
  <si>
    <t>CHL-28</t>
  </si>
  <si>
    <t>CHL-29</t>
  </si>
  <si>
    <t>CHL-30</t>
  </si>
  <si>
    <t>CHL-31</t>
  </si>
  <si>
    <t>CHL-32</t>
  </si>
  <si>
    <t>CHL-33</t>
  </si>
  <si>
    <t>CHL-34</t>
  </si>
  <si>
    <t>CTD-95</t>
  </si>
  <si>
    <t>bot-10</t>
  </si>
  <si>
    <t>CHL-35</t>
  </si>
  <si>
    <t>CHL-36</t>
  </si>
  <si>
    <t>CHL-37</t>
  </si>
  <si>
    <t>CHL-38</t>
  </si>
  <si>
    <t>CHL-39</t>
  </si>
  <si>
    <t>CHL-40</t>
  </si>
  <si>
    <t>CHL-41</t>
  </si>
  <si>
    <t>CHL-42</t>
  </si>
  <si>
    <t>CHL-43</t>
  </si>
  <si>
    <t>CHL-44</t>
  </si>
  <si>
    <t>CHL-45</t>
  </si>
  <si>
    <t>CHL-46</t>
  </si>
  <si>
    <t>CTD-106</t>
  </si>
  <si>
    <t>CHL-47</t>
  </si>
  <si>
    <t>CHL-48</t>
  </si>
  <si>
    <t>CHL-49</t>
  </si>
  <si>
    <t>CHL-50</t>
  </si>
  <si>
    <t>CHL-51</t>
  </si>
  <si>
    <t>CHL-52</t>
  </si>
  <si>
    <t>CHL-53</t>
  </si>
  <si>
    <t>CHL-54</t>
  </si>
  <si>
    <t>CHL-55</t>
  </si>
  <si>
    <t>CHL-56</t>
  </si>
  <si>
    <t>CHL-57</t>
  </si>
  <si>
    <t>CHL-58</t>
  </si>
  <si>
    <t>CTD-113</t>
  </si>
  <si>
    <t>CHL-59</t>
  </si>
  <si>
    <t>CHL-60</t>
  </si>
  <si>
    <t>CHL-61</t>
  </si>
  <si>
    <t>CHL-62</t>
  </si>
  <si>
    <t>CHL-63</t>
  </si>
  <si>
    <t>CHL-64</t>
  </si>
  <si>
    <t>CHL-65</t>
  </si>
  <si>
    <t>CHL-66</t>
  </si>
  <si>
    <t>CHL-67</t>
  </si>
  <si>
    <t>CHL-68</t>
  </si>
  <si>
    <t>CHL-69</t>
  </si>
  <si>
    <t>CHL-70</t>
  </si>
  <si>
    <t>CTD-118</t>
  </si>
  <si>
    <t>CHL-71</t>
  </si>
  <si>
    <t>CHL-72</t>
  </si>
  <si>
    <t>CHL-73</t>
  </si>
  <si>
    <t>CHL-74</t>
  </si>
  <si>
    <t>CHL-75</t>
  </si>
  <si>
    <t>CHL-76</t>
  </si>
  <si>
    <t>CHL-77</t>
  </si>
  <si>
    <t>CHL-78</t>
  </si>
  <si>
    <t>CHL-79</t>
  </si>
  <si>
    <t>CHL-80</t>
  </si>
  <si>
    <t>CHL-81</t>
  </si>
  <si>
    <t>CHL-82</t>
  </si>
  <si>
    <t>CTD-127</t>
  </si>
  <si>
    <t>CHL-83</t>
  </si>
  <si>
    <t>CHL-84</t>
  </si>
  <si>
    <t>CHL-85</t>
  </si>
  <si>
    <t>CHL-86</t>
  </si>
  <si>
    <t>CHL-87</t>
  </si>
  <si>
    <t>CHL-88</t>
  </si>
  <si>
    <t>CHL-89</t>
  </si>
  <si>
    <t>CHL-90</t>
  </si>
  <si>
    <t>CHL-91</t>
  </si>
  <si>
    <t>CHL-92</t>
  </si>
  <si>
    <t>CHL-93</t>
  </si>
  <si>
    <t>CHL-94</t>
  </si>
  <si>
    <t>CTD-133</t>
  </si>
  <si>
    <t>CHL-95</t>
  </si>
  <si>
    <t>CHL-96</t>
  </si>
  <si>
    <t>CHL-97</t>
  </si>
  <si>
    <t>CHL-98</t>
  </si>
  <si>
    <t>CHL-99</t>
  </si>
  <si>
    <t>CHL-100</t>
  </si>
  <si>
    <t>CHL-101</t>
  </si>
  <si>
    <t>CHL-102</t>
  </si>
  <si>
    <t>CHL-103</t>
  </si>
  <si>
    <t>CHL-104</t>
  </si>
  <si>
    <t>CHL-105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</si>
</sst>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6" fillId="2" borderId="0" xfId="3" applyFont="1" applyFill="1"/>
    <xf numFmtId="2" fontId="6" fillId="2" borderId="0" xfId="3" applyNumberFormat="1" applyFont="1" applyFill="1" applyAlignment="1">
      <alignment horizontal="center"/>
    </xf>
    <xf numFmtId="2" fontId="6" fillId="2" borderId="0" xfId="3" applyNumberFormat="1" applyFont="1" applyFill="1" applyAlignment="1">
      <alignment horizontal="right"/>
    </xf>
    <xf numFmtId="0" fontId="6" fillId="2" borderId="0" xfId="3" applyFont="1" applyFill="1" applyAlignment="1">
      <alignment horizontal="center"/>
    </xf>
    <xf numFmtId="0" fontId="6" fillId="0" borderId="0" xfId="3" applyFont="1"/>
    <xf numFmtId="2" fontId="6" fillId="0" borderId="0" xfId="3" applyNumberFormat="1" applyFont="1"/>
    <xf numFmtId="0" fontId="7" fillId="0" borderId="0" xfId="2" applyFont="1"/>
    <xf numFmtId="0" fontId="8" fillId="2" borderId="0" xfId="3" applyFont="1" applyFill="1"/>
    <xf numFmtId="14" fontId="6" fillId="2" borderId="0" xfId="3" applyNumberFormat="1" applyFont="1" applyFill="1" applyAlignment="1">
      <alignment horizontal="right"/>
    </xf>
    <xf numFmtId="0" fontId="9" fillId="2" borderId="0" xfId="3" applyFont="1" applyFill="1"/>
    <xf numFmtId="0" fontId="8" fillId="0" borderId="0" xfId="3" applyFont="1" applyAlignment="1" applyProtection="1">
      <alignment wrapText="1"/>
      <protection locked="0"/>
    </xf>
    <xf numFmtId="14" fontId="8" fillId="0" borderId="0" xfId="3" applyNumberFormat="1" applyFont="1" applyAlignment="1" applyProtection="1">
      <alignment horizontal="right" wrapText="1"/>
      <protection locked="0"/>
    </xf>
    <xf numFmtId="0" fontId="8" fillId="0" borderId="0" xfId="1" applyFont="1" applyAlignment="1" applyProtection="1">
      <alignment wrapText="1"/>
      <protection locked="0"/>
    </xf>
    <xf numFmtId="0" fontId="8" fillId="0" borderId="0" xfId="1" applyFont="1" applyAlignment="1" applyProtection="1">
      <alignment horizontal="center" wrapText="1"/>
      <protection locked="0"/>
    </xf>
    <xf numFmtId="2" fontId="8" fillId="0" borderId="0" xfId="3" applyNumberFormat="1" applyFont="1" applyAlignment="1" applyProtection="1">
      <alignment wrapText="1"/>
      <protection locked="0"/>
    </xf>
    <xf numFmtId="0" fontId="8" fillId="0" borderId="0" xfId="2" applyFont="1" applyProtection="1">
      <protection locked="0"/>
    </xf>
    <xf numFmtId="0" fontId="6" fillId="0" borderId="0" xfId="2" applyFont="1" applyProtection="1">
      <protection locked="0"/>
    </xf>
    <xf numFmtId="14" fontId="7" fillId="0" borderId="0" xfId="2" applyNumberFormat="1" applyFont="1" applyAlignment="1">
      <alignment horizontal="right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7" fillId="0" borderId="0" xfId="2" applyNumberFormat="1" applyFont="1"/>
    <xf numFmtId="164" fontId="6" fillId="0" borderId="0" xfId="3" applyNumberFormat="1" applyFont="1" applyAlignment="1">
      <alignment horizontal="center"/>
    </xf>
    <xf numFmtId="164" fontId="6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2" applyFont="1" applyAlignment="1">
      <alignment horizontal="center"/>
    </xf>
    <xf numFmtId="2" fontId="7" fillId="0" borderId="0" xfId="2" quotePrefix="1" applyNumberFormat="1" applyFont="1"/>
    <xf numFmtId="2" fontId="6" fillId="0" borderId="0" xfId="2" applyNumberFormat="1" applyFont="1" applyAlignment="1">
      <alignment horizontal="center"/>
    </xf>
    <xf numFmtId="0" fontId="6" fillId="0" borderId="0" xfId="2" applyFont="1"/>
    <xf numFmtId="165" fontId="6" fillId="0" borderId="0" xfId="0" applyNumberFormat="1" applyFont="1" applyAlignment="1">
      <alignment horizontal="right"/>
    </xf>
    <xf numFmtId="0" fontId="7" fillId="0" borderId="0" xfId="2" applyFont="1" applyAlignment="1">
      <alignment horizontal="right"/>
    </xf>
    <xf numFmtId="165" fontId="7" fillId="0" borderId="0" xfId="2" applyNumberFormat="1" applyFont="1" applyAlignment="1">
      <alignment horizontal="right"/>
    </xf>
  </cellXfs>
  <cellStyles count="6">
    <cellStyle name="Hyperlink 2" xfId="5" xr:uid="{30504429-53B7-4E72-978B-6BB2703ABEC4}"/>
    <cellStyle name="Normal" xfId="0" builtinId="0"/>
    <cellStyle name="Normal 2" xfId="2" xr:uid="{29C6608B-3808-482D-A544-E92C78440C25}"/>
    <cellStyle name="Normal 2 2" xfId="4" xr:uid="{5BC8331A-95B6-4469-9F82-C2CB5C863062}"/>
    <cellStyle name="Normal 3" xfId="3" xr:uid="{55B0A4D4-3DB1-41FD-ABE6-B050081C6516}"/>
    <cellStyle name="TableStyleLight1" xfId="1" xr:uid="{4BFC5B1A-0358-424E-9732-00DC47902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je Waaler" id="{F64EF285-3003-4FD8-AAB6-544BDBF14C5F}" userId="S::siped4740@uit.no::99e45035-5b50-4681-9b8c-56c001e9140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65" dT="2024-09-14T18:39:22.45" personId="{F64EF285-3003-4FD8-AAB6-544BDBF14C5F}" id="{2F3F70BD-B8C7-4CBD-956F-5431DDF93FC5}">
    <text xml:space="preserve">Doubled checked the punched in values. Corresponds w. Paper log sheet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2F7C-8C44-4956-A4B4-364BFE7695BC}">
  <dimension ref="A1:S129"/>
  <sheetViews>
    <sheetView tabSelected="1" zoomScale="80" zoomScaleNormal="80" workbookViewId="0">
      <selection activeCell="B15" sqref="B15"/>
    </sheetView>
  </sheetViews>
  <sheetFormatPr defaultColWidth="11.42578125" defaultRowHeight="12.75" customHeight="1"/>
  <cols>
    <col min="1" max="1" width="26.42578125" style="7" customWidth="1"/>
    <col min="2" max="2" width="12.7109375" style="7" bestFit="1" customWidth="1"/>
    <col min="3" max="3" width="10.28515625" style="18" bestFit="1" customWidth="1"/>
    <col min="4" max="4" width="18.42578125" style="7" customWidth="1"/>
    <col min="5" max="5" width="20.42578125" style="7" customWidth="1"/>
    <col min="6" max="6" width="9" style="26" customWidth="1"/>
    <col min="7" max="7" width="8.7109375" style="7" bestFit="1" customWidth="1"/>
    <col min="8" max="8" width="12" style="7" customWidth="1"/>
    <col min="9" max="9" width="11.42578125" style="21"/>
    <col min="10" max="12" width="11.5703125" style="21" customWidth="1"/>
    <col min="13" max="13" width="11.42578125" style="29"/>
    <col min="14" max="14" width="15.42578125" style="29" bestFit="1" customWidth="1"/>
    <col min="15" max="15" width="14.5703125" style="29" customWidth="1"/>
    <col min="16" max="16" width="9.5703125" style="7" bestFit="1" customWidth="1"/>
    <col min="17" max="17" width="11.28515625" style="7" bestFit="1" customWidth="1"/>
    <col min="18" max="18" width="19.28515625" style="7" bestFit="1" customWidth="1"/>
    <col min="19" max="19" width="15.5703125" style="7" bestFit="1" customWidth="1"/>
    <col min="20" max="16384" width="11.42578125" style="7"/>
  </cols>
  <sheetData>
    <row r="1" spans="1:19" ht="12.6">
      <c r="A1" s="1" t="s">
        <v>0</v>
      </c>
      <c r="B1" s="2" t="s">
        <v>1</v>
      </c>
      <c r="C1" s="3" t="s">
        <v>2</v>
      </c>
      <c r="D1" s="1"/>
      <c r="E1" s="1"/>
      <c r="F1" s="4"/>
      <c r="G1" s="1"/>
      <c r="H1" s="5"/>
      <c r="I1" s="6"/>
      <c r="J1" s="6"/>
      <c r="K1" s="6"/>
      <c r="L1" s="6"/>
      <c r="M1" s="5"/>
      <c r="N1" s="5"/>
      <c r="O1" s="5"/>
    </row>
    <row r="2" spans="1:19" ht="12.95">
      <c r="A2" s="8" t="s">
        <v>3</v>
      </c>
      <c r="B2" s="2">
        <v>1.7569482994116905</v>
      </c>
      <c r="C2" s="3">
        <v>5.6495825235436156E-2</v>
      </c>
      <c r="D2" s="1"/>
      <c r="E2" s="1" t="s">
        <v>4</v>
      </c>
      <c r="F2" s="4"/>
      <c r="G2" s="1"/>
      <c r="H2" s="5"/>
      <c r="I2" s="6"/>
      <c r="J2" s="6"/>
      <c r="K2" s="6"/>
      <c r="L2" s="6"/>
      <c r="M2" s="5"/>
      <c r="N2" s="5"/>
      <c r="O2" s="5"/>
    </row>
    <row r="3" spans="1:19" ht="12.95">
      <c r="A3" s="8" t="s">
        <v>5</v>
      </c>
      <c r="B3" s="2">
        <v>2.3279930553123505</v>
      </c>
      <c r="C3" s="3">
        <v>0.10434269210722419</v>
      </c>
      <c r="D3" s="1"/>
      <c r="E3" s="1"/>
      <c r="F3" s="4"/>
      <c r="G3" s="1"/>
      <c r="H3" s="5"/>
      <c r="I3" s="6"/>
      <c r="J3" s="6"/>
      <c r="K3" s="6"/>
      <c r="L3" s="6"/>
      <c r="M3" s="5"/>
      <c r="N3" s="5"/>
      <c r="O3" s="5"/>
    </row>
    <row r="4" spans="1:19" ht="12.95">
      <c r="A4" s="8" t="s">
        <v>6</v>
      </c>
      <c r="B4" s="2">
        <v>7.5920028204845395E-4</v>
      </c>
      <c r="C4" s="3">
        <v>3.3713350398938401E-5</v>
      </c>
      <c r="D4" s="1"/>
      <c r="E4" s="1"/>
      <c r="F4" s="4"/>
      <c r="G4" s="1"/>
      <c r="H4" s="5"/>
      <c r="I4" s="6"/>
      <c r="J4" s="6"/>
      <c r="K4" s="6"/>
      <c r="L4" s="6"/>
      <c r="M4" s="5"/>
      <c r="N4" s="5"/>
      <c r="O4" s="5"/>
    </row>
    <row r="5" spans="1:19" ht="12.6">
      <c r="A5" s="1"/>
      <c r="B5" s="1"/>
      <c r="C5" s="9"/>
      <c r="D5" s="1"/>
      <c r="E5" s="1"/>
      <c r="F5" s="4"/>
      <c r="G5" s="1"/>
      <c r="H5" s="5"/>
      <c r="I5" s="6"/>
      <c r="J5" s="6"/>
      <c r="K5" s="6"/>
      <c r="L5" s="6"/>
      <c r="M5" s="5"/>
      <c r="N5" s="5"/>
      <c r="O5" s="5"/>
    </row>
    <row r="6" spans="1:19" ht="12.6">
      <c r="A6" s="1" t="s">
        <v>7</v>
      </c>
      <c r="B6" s="1"/>
      <c r="C6" s="9"/>
      <c r="D6" s="1"/>
      <c r="E6" s="1"/>
      <c r="F6" s="4"/>
      <c r="G6" s="1"/>
      <c r="H6" s="5"/>
      <c r="I6" s="6"/>
      <c r="J6" s="6"/>
      <c r="K6" s="6"/>
      <c r="L6" s="6"/>
      <c r="M6" s="5"/>
      <c r="N6" s="5"/>
      <c r="O6" s="5"/>
    </row>
    <row r="7" spans="1:19" ht="12.6">
      <c r="A7" s="1" t="s">
        <v>8</v>
      </c>
      <c r="B7" s="1"/>
      <c r="C7" s="9"/>
      <c r="D7" s="1"/>
      <c r="E7" s="1"/>
      <c r="F7" s="4"/>
      <c r="G7" s="1"/>
      <c r="H7" s="5"/>
      <c r="I7" s="6"/>
      <c r="J7" s="6"/>
      <c r="K7" s="6"/>
      <c r="L7" s="6"/>
      <c r="M7" s="5"/>
      <c r="N7" s="5"/>
      <c r="O7" s="5"/>
    </row>
    <row r="8" spans="1:19" ht="12.6">
      <c r="A8" s="1"/>
      <c r="B8" s="1"/>
      <c r="C8" s="9"/>
      <c r="D8" s="1"/>
      <c r="E8" s="1"/>
      <c r="F8" s="4"/>
      <c r="G8" s="1"/>
      <c r="H8" s="5"/>
      <c r="I8" s="6"/>
      <c r="J8" s="6"/>
      <c r="K8" s="6"/>
      <c r="L8" s="6"/>
      <c r="M8" s="5"/>
      <c r="N8" s="5"/>
      <c r="O8" s="5"/>
    </row>
    <row r="9" spans="1:19" ht="12.6">
      <c r="A9" s="1" t="s">
        <v>9</v>
      </c>
      <c r="B9" s="1"/>
      <c r="C9" s="9"/>
      <c r="D9" s="1"/>
      <c r="E9" s="1"/>
      <c r="F9" s="4"/>
      <c r="G9" s="1"/>
      <c r="H9" s="5"/>
      <c r="I9" s="6"/>
      <c r="J9" s="6"/>
      <c r="K9" s="6"/>
      <c r="L9" s="6"/>
      <c r="M9" s="5"/>
      <c r="N9" s="5"/>
      <c r="O9" s="5"/>
    </row>
    <row r="10" spans="1:19" ht="12.6">
      <c r="A10" s="1"/>
      <c r="B10" s="1"/>
      <c r="C10" s="9"/>
      <c r="D10" s="1"/>
      <c r="E10" s="1"/>
      <c r="F10" s="4"/>
      <c r="G10" s="1"/>
      <c r="H10" s="5"/>
      <c r="I10" s="6"/>
      <c r="J10" s="6"/>
      <c r="K10" s="6"/>
      <c r="L10" s="6"/>
      <c r="M10" s="5"/>
      <c r="N10" s="5"/>
      <c r="O10" s="5"/>
    </row>
    <row r="11" spans="1:19" ht="12.6">
      <c r="A11" s="1" t="s">
        <v>10</v>
      </c>
      <c r="B11" s="1"/>
      <c r="C11" s="9"/>
      <c r="D11" s="1"/>
      <c r="E11" s="1"/>
      <c r="F11" s="4"/>
      <c r="G11" s="10"/>
      <c r="H11" s="5"/>
      <c r="I11" s="6"/>
      <c r="J11" s="6"/>
      <c r="K11" s="6"/>
      <c r="L11" s="6"/>
      <c r="M11" s="5"/>
      <c r="N11" s="5"/>
      <c r="O11" s="5"/>
    </row>
    <row r="12" spans="1:19" s="17" customFormat="1" ht="39">
      <c r="A12" s="11" t="s">
        <v>11</v>
      </c>
      <c r="B12" s="11" t="s">
        <v>12</v>
      </c>
      <c r="C12" s="12" t="s">
        <v>13</v>
      </c>
      <c r="D12" s="13" t="s">
        <v>14</v>
      </c>
      <c r="E12" s="13" t="s">
        <v>15</v>
      </c>
      <c r="F12" s="14" t="s">
        <v>16</v>
      </c>
      <c r="G12" s="11" t="s">
        <v>17</v>
      </c>
      <c r="H12" s="11" t="s">
        <v>18</v>
      </c>
      <c r="I12" s="15" t="s">
        <v>19</v>
      </c>
      <c r="J12" s="15" t="s">
        <v>20</v>
      </c>
      <c r="K12" s="15" t="s">
        <v>21</v>
      </c>
      <c r="L12" s="15" t="s">
        <v>22</v>
      </c>
      <c r="M12" s="11" t="s">
        <v>23</v>
      </c>
      <c r="N12" s="11" t="s">
        <v>24</v>
      </c>
      <c r="O12" s="11" t="s">
        <v>25</v>
      </c>
      <c r="P12" s="16" t="s">
        <v>26</v>
      </c>
    </row>
    <row r="13" spans="1:19" ht="12.6">
      <c r="A13" s="5" t="s">
        <v>27</v>
      </c>
      <c r="B13" s="7" t="s">
        <v>28</v>
      </c>
      <c r="C13" s="18">
        <v>45544</v>
      </c>
      <c r="D13" s="5">
        <v>70.007999999999996</v>
      </c>
      <c r="E13" s="5">
        <v>20.408300000000001</v>
      </c>
      <c r="F13" s="20">
        <v>50</v>
      </c>
      <c r="G13" s="5">
        <v>250</v>
      </c>
      <c r="H13" s="5">
        <v>5</v>
      </c>
      <c r="I13" s="21">
        <v>42425.599999999999</v>
      </c>
      <c r="J13" s="21">
        <v>28606.79</v>
      </c>
      <c r="K13" s="21">
        <f>I13-$I$22</f>
        <v>42112.01</v>
      </c>
      <c r="L13" s="21">
        <f>J13-$I$22</f>
        <v>28293.200000000001</v>
      </c>
      <c r="M13" s="22">
        <f t="shared" ref="M13:M21" si="0">$B$4*$B$3*(K13-L13)*(H13/G13)</f>
        <v>0.48847088440385017</v>
      </c>
      <c r="N13" s="23">
        <f t="shared" ref="N13:N21" si="1">$B$4*$B$3*(($B$2*L13)-K13)*(H13/G13)</f>
        <v>0.26856475237732219</v>
      </c>
      <c r="O13" s="24"/>
      <c r="P13" s="7" t="s">
        <v>29</v>
      </c>
      <c r="Q13" s="21">
        <f>(M13-M14)/M13</f>
        <v>0.68731026767138415</v>
      </c>
      <c r="R13" s="7" t="s">
        <v>30</v>
      </c>
    </row>
    <row r="14" spans="1:19" ht="12.6">
      <c r="A14" s="5" t="s">
        <v>31</v>
      </c>
      <c r="B14" s="7" t="s">
        <v>28</v>
      </c>
      <c r="C14" s="18">
        <v>45544</v>
      </c>
      <c r="D14" s="5">
        <v>70.007999999999996</v>
      </c>
      <c r="E14" s="5">
        <v>20.408300000000001</v>
      </c>
      <c r="F14" s="20">
        <v>50</v>
      </c>
      <c r="G14" s="5">
        <v>250</v>
      </c>
      <c r="H14" s="5">
        <v>5</v>
      </c>
      <c r="I14" s="21">
        <v>12687.53</v>
      </c>
      <c r="J14" s="21">
        <v>8366.5300000000007</v>
      </c>
      <c r="K14" s="21">
        <f>I14-$I$22</f>
        <v>12373.94</v>
      </c>
      <c r="L14" s="21">
        <f>J14-$I$22</f>
        <v>8052.9400000000005</v>
      </c>
      <c r="M14" s="22">
        <f t="shared" si="0"/>
        <v>0.15273983009456216</v>
      </c>
      <c r="N14" s="23">
        <f t="shared" si="1"/>
        <v>6.2731115604778148E-2</v>
      </c>
      <c r="O14" s="24"/>
      <c r="P14" s="7" t="s">
        <v>32</v>
      </c>
      <c r="Q14" s="21">
        <f>(M14-M15)/M13</f>
        <v>0.14088477951429967</v>
      </c>
      <c r="R14" s="7" t="s">
        <v>33</v>
      </c>
    </row>
    <row r="15" spans="1:19" ht="12.6">
      <c r="A15" s="5" t="s">
        <v>34</v>
      </c>
      <c r="B15" s="7" t="s">
        <v>28</v>
      </c>
      <c r="C15" s="18">
        <v>45544</v>
      </c>
      <c r="D15" s="5">
        <v>70.007999999999996</v>
      </c>
      <c r="E15" s="5">
        <v>20.408300000000001</v>
      </c>
      <c r="F15" s="20">
        <v>50</v>
      </c>
      <c r="G15" s="5">
        <v>250</v>
      </c>
      <c r="H15" s="5">
        <v>5</v>
      </c>
      <c r="I15" s="21">
        <v>6379.81</v>
      </c>
      <c r="J15" s="21">
        <v>4005.67</v>
      </c>
      <c r="K15" s="21">
        <f t="shared" ref="K15:L21" si="2">I15-$I$22</f>
        <v>6066.22</v>
      </c>
      <c r="L15" s="21">
        <f t="shared" si="2"/>
        <v>3692.08</v>
      </c>
      <c r="M15" s="22">
        <f t="shared" si="0"/>
        <v>8.3921717246170757E-2</v>
      </c>
      <c r="N15" s="23">
        <f t="shared" si="1"/>
        <v>1.4866547561169195E-2</v>
      </c>
      <c r="O15" s="24"/>
      <c r="P15" s="7" t="s">
        <v>35</v>
      </c>
      <c r="Q15" s="21">
        <f>M15/M13</f>
        <v>0.17180495281431615</v>
      </c>
      <c r="R15" s="7" t="s">
        <v>36</v>
      </c>
      <c r="S15" s="21"/>
    </row>
    <row r="16" spans="1:19" ht="12.6">
      <c r="A16" s="5" t="s">
        <v>37</v>
      </c>
      <c r="B16" s="7" t="s">
        <v>28</v>
      </c>
      <c r="C16" s="18">
        <v>45544</v>
      </c>
      <c r="D16" s="5">
        <v>70.007999999999996</v>
      </c>
      <c r="E16" s="5">
        <v>20.408300000000001</v>
      </c>
      <c r="F16" s="20">
        <v>20</v>
      </c>
      <c r="G16" s="5">
        <v>250</v>
      </c>
      <c r="H16" s="5">
        <v>5</v>
      </c>
      <c r="I16" s="21">
        <v>48012.11</v>
      </c>
      <c r="J16" s="21">
        <v>32563.93</v>
      </c>
      <c r="K16" s="21">
        <f t="shared" si="2"/>
        <v>47698.520000000004</v>
      </c>
      <c r="L16" s="21">
        <f t="shared" si="2"/>
        <v>32250.34</v>
      </c>
      <c r="M16" s="22">
        <f t="shared" si="0"/>
        <v>0.54606627828516863</v>
      </c>
      <c r="N16" s="23">
        <f t="shared" si="1"/>
        <v>0.316849782051213</v>
      </c>
      <c r="O16" s="24"/>
      <c r="P16" s="7" t="s">
        <v>29</v>
      </c>
      <c r="Q16" s="21">
        <f>(M16-M17)/M16</f>
        <v>0.70449075554531349</v>
      </c>
      <c r="R16" s="7" t="s">
        <v>30</v>
      </c>
    </row>
    <row r="17" spans="1:19" ht="12.6">
      <c r="A17" s="5" t="s">
        <v>38</v>
      </c>
      <c r="B17" s="7" t="s">
        <v>28</v>
      </c>
      <c r="C17" s="18">
        <v>45544</v>
      </c>
      <c r="D17" s="5">
        <v>70.007999999999996</v>
      </c>
      <c r="E17" s="5">
        <v>20.408300000000001</v>
      </c>
      <c r="F17" s="20">
        <v>20</v>
      </c>
      <c r="G17" s="5">
        <v>250</v>
      </c>
      <c r="H17" s="5">
        <v>5</v>
      </c>
      <c r="I17" s="21">
        <v>14267.41</v>
      </c>
      <c r="J17" s="21">
        <v>9702.33</v>
      </c>
      <c r="K17" s="21">
        <f t="shared" si="2"/>
        <v>13953.82</v>
      </c>
      <c r="L17" s="21">
        <f t="shared" si="2"/>
        <v>9388.74</v>
      </c>
      <c r="M17" s="22">
        <f t="shared" si="0"/>
        <v>0.16136763331823276</v>
      </c>
      <c r="N17" s="23">
        <f t="shared" si="1"/>
        <v>8.9845052573531467E-2</v>
      </c>
      <c r="O17" s="24"/>
      <c r="P17" s="7" t="s">
        <v>32</v>
      </c>
      <c r="Q17" s="21">
        <f>(M17-M18)/M16</f>
        <v>7.312706092238698E-2</v>
      </c>
      <c r="R17" s="7" t="s">
        <v>33</v>
      </c>
    </row>
    <row r="18" spans="1:19" ht="12.6">
      <c r="A18" s="5" t="s">
        <v>39</v>
      </c>
      <c r="B18" s="7" t="s">
        <v>28</v>
      </c>
      <c r="C18" s="18">
        <v>45544</v>
      </c>
      <c r="D18" s="5">
        <v>70.007999999999996</v>
      </c>
      <c r="E18" s="5">
        <v>20.408300000000001</v>
      </c>
      <c r="F18" s="20">
        <v>20</v>
      </c>
      <c r="G18" s="5">
        <v>250</v>
      </c>
      <c r="H18" s="5">
        <v>5</v>
      </c>
      <c r="I18" s="21">
        <v>9435.2999999999993</v>
      </c>
      <c r="J18" s="21">
        <v>5999.9</v>
      </c>
      <c r="K18" s="21">
        <f t="shared" si="2"/>
        <v>9121.7099999999991</v>
      </c>
      <c r="L18" s="21">
        <f t="shared" si="2"/>
        <v>5686.3099999999995</v>
      </c>
      <c r="M18" s="22">
        <f t="shared" si="0"/>
        <v>0.12143541131841211</v>
      </c>
      <c r="N18" s="23">
        <f t="shared" si="1"/>
        <v>3.0712076833693251E-2</v>
      </c>
      <c r="O18" s="24"/>
      <c r="P18" s="7" t="s">
        <v>35</v>
      </c>
      <c r="Q18" s="21">
        <f>M18/M16</f>
        <v>0.22238218353229952</v>
      </c>
      <c r="R18" s="7" t="s">
        <v>36</v>
      </c>
      <c r="S18" s="21"/>
    </row>
    <row r="19" spans="1:19" ht="12.6">
      <c r="A19" s="5" t="s">
        <v>40</v>
      </c>
      <c r="B19" s="7" t="s">
        <v>28</v>
      </c>
      <c r="C19" s="18">
        <v>45544</v>
      </c>
      <c r="D19" s="5">
        <v>70.007999999999996</v>
      </c>
      <c r="E19" s="5">
        <v>20.408300000000001</v>
      </c>
      <c r="F19" s="20">
        <v>2</v>
      </c>
      <c r="G19" s="5">
        <v>250</v>
      </c>
      <c r="H19" s="5">
        <v>5</v>
      </c>
      <c r="I19" s="21">
        <v>111189.98</v>
      </c>
      <c r="J19" s="21">
        <v>71212.06</v>
      </c>
      <c r="K19" s="21">
        <f t="shared" si="2"/>
        <v>110876.39</v>
      </c>
      <c r="L19" s="21">
        <f t="shared" si="2"/>
        <v>70898.47</v>
      </c>
      <c r="M19" s="22">
        <f t="shared" si="0"/>
        <v>1.4131498977861601</v>
      </c>
      <c r="N19" s="23">
        <f t="shared" si="1"/>
        <v>0.48386664269921648</v>
      </c>
      <c r="O19" s="24"/>
      <c r="P19" s="7" t="s">
        <v>29</v>
      </c>
      <c r="Q19" s="21">
        <f>(M19-M20)/M19</f>
        <v>0.69875171094444133</v>
      </c>
      <c r="R19" s="7" t="s">
        <v>30</v>
      </c>
    </row>
    <row r="20" spans="1:19" ht="12.6">
      <c r="A20" s="5" t="s">
        <v>41</v>
      </c>
      <c r="B20" s="7" t="s">
        <v>28</v>
      </c>
      <c r="C20" s="18">
        <v>45544</v>
      </c>
      <c r="D20" s="5">
        <v>70.007999999999996</v>
      </c>
      <c r="E20" s="5">
        <v>20.408300000000001</v>
      </c>
      <c r="F20" s="20">
        <v>2</v>
      </c>
      <c r="G20" s="5">
        <v>250</v>
      </c>
      <c r="H20" s="5">
        <v>5</v>
      </c>
      <c r="I20" s="21">
        <v>34210.699999999997</v>
      </c>
      <c r="J20" s="21">
        <v>22167.42</v>
      </c>
      <c r="K20" s="21">
        <f t="shared" si="2"/>
        <v>33897.11</v>
      </c>
      <c r="L20" s="21">
        <f t="shared" si="2"/>
        <v>21853.829999999998</v>
      </c>
      <c r="M20" s="22">
        <f t="shared" si="0"/>
        <v>0.42570898888711844</v>
      </c>
      <c r="N20" s="23">
        <f t="shared" si="1"/>
        <v>0.15902968012725566</v>
      </c>
      <c r="O20" s="24"/>
      <c r="P20" s="7" t="s">
        <v>32</v>
      </c>
      <c r="Q20" s="21">
        <f>(M20-M21)/M19</f>
        <v>0.11179170902338093</v>
      </c>
      <c r="R20" s="7" t="s">
        <v>33</v>
      </c>
    </row>
    <row r="21" spans="1:19" ht="12.6">
      <c r="A21" s="5" t="s">
        <v>42</v>
      </c>
      <c r="B21" s="7" t="s">
        <v>28</v>
      </c>
      <c r="C21" s="18">
        <v>45544</v>
      </c>
      <c r="D21" s="5">
        <v>70.007999999999996</v>
      </c>
      <c r="E21" s="5">
        <v>20.408300000000001</v>
      </c>
      <c r="F21" s="20">
        <v>2</v>
      </c>
      <c r="G21" s="5">
        <v>250</v>
      </c>
      <c r="H21" s="5">
        <v>5</v>
      </c>
      <c r="I21" s="21">
        <v>19804.330000000002</v>
      </c>
      <c r="J21" s="21">
        <v>12230.25</v>
      </c>
      <c r="K21" s="21">
        <f t="shared" si="2"/>
        <v>19490.740000000002</v>
      </c>
      <c r="L21" s="21">
        <f t="shared" si="2"/>
        <v>11916.66</v>
      </c>
      <c r="M21" s="22">
        <f t="shared" si="0"/>
        <v>0.26773054670738755</v>
      </c>
      <c r="N21" s="23">
        <f t="shared" si="1"/>
        <v>5.1121201818927084E-2</v>
      </c>
      <c r="O21" s="24"/>
      <c r="P21" s="7" t="s">
        <v>35</v>
      </c>
      <c r="Q21" s="21">
        <f>M21/M19</f>
        <v>0.18945658003217783</v>
      </c>
      <c r="R21" s="7" t="s">
        <v>36</v>
      </c>
      <c r="S21" s="21"/>
    </row>
    <row r="22" spans="1:19" ht="14.45">
      <c r="A22" s="5" t="s">
        <v>43</v>
      </c>
      <c r="D22" s="19"/>
      <c r="E22" s="19"/>
      <c r="F22" s="20"/>
      <c r="G22" s="5"/>
      <c r="H22" s="5"/>
      <c r="I22" s="21">
        <v>313.58999999999997</v>
      </c>
      <c r="M22" s="22"/>
      <c r="N22" s="23"/>
      <c r="O22" s="24"/>
      <c r="P22" s="7" t="s">
        <v>44</v>
      </c>
      <c r="Q22"/>
    </row>
    <row r="23" spans="1:19" ht="12.6">
      <c r="A23" s="25"/>
      <c r="D23" s="19"/>
      <c r="E23" s="19"/>
      <c r="G23" s="5"/>
      <c r="H23" s="5"/>
      <c r="I23" s="27" t="s">
        <v>45</v>
      </c>
      <c r="M23" s="22"/>
      <c r="N23" s="23"/>
      <c r="O23" s="24"/>
    </row>
    <row r="24" spans="1:19" ht="12.6">
      <c r="A24" s="5" t="s">
        <v>46</v>
      </c>
      <c r="B24" s="7" t="s">
        <v>47</v>
      </c>
      <c r="C24" s="18">
        <v>45546</v>
      </c>
      <c r="D24" s="5">
        <f>69+21.413/60</f>
        <v>69.356883333333329</v>
      </c>
      <c r="E24" s="5">
        <f>20+3.355/60</f>
        <v>20.055916666666668</v>
      </c>
      <c r="F24" s="20">
        <v>40</v>
      </c>
      <c r="G24" s="5">
        <v>250</v>
      </c>
      <c r="H24" s="5">
        <v>5</v>
      </c>
      <c r="I24" s="21">
        <v>94553.34</v>
      </c>
      <c r="J24" s="21">
        <v>59813.89</v>
      </c>
      <c r="K24" s="21">
        <f>I24-$I$36</f>
        <v>94294.463333333333</v>
      </c>
      <c r="L24" s="21">
        <f>J24-$I$36</f>
        <v>59555.013333333336</v>
      </c>
      <c r="M24" s="22">
        <f t="shared" ref="M24:M35" si="3">$B$4*$B$3*(K24-L24)*(H24/G24)</f>
        <v>1.2279790998793187</v>
      </c>
      <c r="N24" s="23">
        <f t="shared" ref="N24:N35" si="4">$B$4*$B$3*(($B$2*L24)-K24)*(H24/G24)</f>
        <v>0.36552278192659954</v>
      </c>
      <c r="O24" s="24"/>
      <c r="P24" s="7" t="s">
        <v>29</v>
      </c>
      <c r="Q24" s="21">
        <f>(M24-M25)/M24</f>
        <v>0.85101232172645225</v>
      </c>
      <c r="R24" s="7" t="s">
        <v>30</v>
      </c>
    </row>
    <row r="25" spans="1:19" ht="12.6">
      <c r="A25" s="5" t="s">
        <v>48</v>
      </c>
      <c r="B25" s="7" t="s">
        <v>47</v>
      </c>
      <c r="C25" s="18">
        <v>45546</v>
      </c>
      <c r="D25" s="5">
        <f t="shared" ref="D25:D35" si="5">69+21.413/60</f>
        <v>69.356883333333329</v>
      </c>
      <c r="E25" s="5">
        <f t="shared" ref="E25:E35" si="6">20+3.355/60</f>
        <v>20.055916666666668</v>
      </c>
      <c r="F25" s="20">
        <v>40</v>
      </c>
      <c r="G25" s="5">
        <v>250</v>
      </c>
      <c r="H25" s="5">
        <v>5</v>
      </c>
      <c r="I25" s="21">
        <v>17419.259999999998</v>
      </c>
      <c r="J25" s="21">
        <v>12243.51</v>
      </c>
      <c r="K25" s="21">
        <f t="shared" ref="K25:K35" si="7">I25-$I$36</f>
        <v>17160.383333333331</v>
      </c>
      <c r="L25" s="21">
        <f t="shared" ref="L25:L35" si="8">J25-$I$36</f>
        <v>11984.633333333333</v>
      </c>
      <c r="M25" s="22">
        <f t="shared" si="3"/>
        <v>0.18295375505946074</v>
      </c>
      <c r="N25" s="23">
        <f t="shared" si="4"/>
        <v>0.13771674269579021</v>
      </c>
      <c r="O25" s="24"/>
      <c r="P25" s="7" t="s">
        <v>32</v>
      </c>
      <c r="Q25" s="21">
        <f>(M25-M26)/M24</f>
        <v>0.11229567537770459</v>
      </c>
      <c r="R25" s="7" t="s">
        <v>33</v>
      </c>
    </row>
    <row r="26" spans="1:19" ht="12.6">
      <c r="A26" s="5" t="s">
        <v>49</v>
      </c>
      <c r="B26" s="7" t="s">
        <v>47</v>
      </c>
      <c r="C26" s="18">
        <v>45546</v>
      </c>
      <c r="D26" s="5">
        <f t="shared" si="5"/>
        <v>69.356883333333329</v>
      </c>
      <c r="E26" s="5">
        <f t="shared" si="6"/>
        <v>20.055916666666668</v>
      </c>
      <c r="F26" s="20">
        <v>40</v>
      </c>
      <c r="G26" s="5">
        <v>250</v>
      </c>
      <c r="H26" s="5">
        <v>5</v>
      </c>
      <c r="I26" s="21">
        <v>4840.42</v>
      </c>
      <c r="J26" s="21">
        <v>3565.76</v>
      </c>
      <c r="K26" s="21">
        <f t="shared" si="7"/>
        <v>4581.5433333333331</v>
      </c>
      <c r="L26" s="21">
        <f t="shared" si="8"/>
        <v>3306.8833333333337</v>
      </c>
      <c r="M26" s="22">
        <f t="shared" si="3"/>
        <v>4.505701268880688E-2</v>
      </c>
      <c r="N26" s="23">
        <f t="shared" si="4"/>
        <v>4.3424620000710269E-2</v>
      </c>
      <c r="O26" s="24"/>
      <c r="P26" s="7" t="s">
        <v>35</v>
      </c>
      <c r="Q26" s="21">
        <f>M26/M24</f>
        <v>3.6692002895843193E-2</v>
      </c>
      <c r="R26" s="7" t="s">
        <v>36</v>
      </c>
      <c r="S26" s="21"/>
    </row>
    <row r="27" spans="1:19" ht="12.6">
      <c r="A27" s="5" t="s">
        <v>50</v>
      </c>
      <c r="B27" s="7" t="s">
        <v>47</v>
      </c>
      <c r="C27" s="18">
        <v>45546</v>
      </c>
      <c r="D27" s="5">
        <f t="shared" si="5"/>
        <v>69.356883333333329</v>
      </c>
      <c r="E27" s="5">
        <f t="shared" si="6"/>
        <v>20.055916666666668</v>
      </c>
      <c r="F27" s="20">
        <v>20</v>
      </c>
      <c r="G27" s="5">
        <v>250</v>
      </c>
      <c r="H27" s="5">
        <v>5</v>
      </c>
      <c r="I27" s="21">
        <v>100318.8</v>
      </c>
      <c r="J27" s="21">
        <v>64903.16</v>
      </c>
      <c r="K27" s="21">
        <f t="shared" si="7"/>
        <v>100059.92333333334</v>
      </c>
      <c r="L27" s="21">
        <f t="shared" si="8"/>
        <v>64644.28333333334</v>
      </c>
      <c r="M27" s="22">
        <f t="shared" si="3"/>
        <v>1.2518812395950425</v>
      </c>
      <c r="N27" s="23">
        <f t="shared" si="4"/>
        <v>0.47779324747296459</v>
      </c>
      <c r="O27" s="24"/>
      <c r="P27" s="7" t="s">
        <v>29</v>
      </c>
      <c r="Q27" s="21">
        <f>(M27-M28)/M27</f>
        <v>0.85223110467578744</v>
      </c>
      <c r="R27" s="7" t="s">
        <v>30</v>
      </c>
    </row>
    <row r="28" spans="1:19" ht="12.6">
      <c r="A28" s="5" t="s">
        <v>51</v>
      </c>
      <c r="B28" s="7" t="s">
        <v>47</v>
      </c>
      <c r="C28" s="18">
        <v>45546</v>
      </c>
      <c r="D28" s="5">
        <f t="shared" si="5"/>
        <v>69.356883333333329</v>
      </c>
      <c r="E28" s="5">
        <f t="shared" si="6"/>
        <v>20.055916666666668</v>
      </c>
      <c r="F28" s="20">
        <v>20</v>
      </c>
      <c r="G28" s="5">
        <v>250</v>
      </c>
      <c r="H28" s="5">
        <v>5</v>
      </c>
      <c r="I28" s="21">
        <v>18034.419999999998</v>
      </c>
      <c r="J28" s="21">
        <v>12801.09</v>
      </c>
      <c r="K28" s="21">
        <f t="shared" si="7"/>
        <v>17775.543333333331</v>
      </c>
      <c r="L28" s="21">
        <f t="shared" si="8"/>
        <v>12542.213333333333</v>
      </c>
      <c r="M28" s="22">
        <f t="shared" si="3"/>
        <v>0.1849891078520654</v>
      </c>
      <c r="N28" s="23">
        <f t="shared" si="4"/>
        <v>0.15060044926573354</v>
      </c>
      <c r="O28" s="24"/>
      <c r="P28" s="7" t="s">
        <v>32</v>
      </c>
      <c r="Q28" s="21">
        <f>(M28-M29)/M27</f>
        <v>6.214090723759326E-2</v>
      </c>
      <c r="R28" s="7" t="s">
        <v>33</v>
      </c>
    </row>
    <row r="29" spans="1:19" ht="12.6">
      <c r="A29" s="5" t="s">
        <v>52</v>
      </c>
      <c r="B29" s="7" t="s">
        <v>47</v>
      </c>
      <c r="C29" s="18">
        <v>45546</v>
      </c>
      <c r="D29" s="5">
        <f t="shared" si="5"/>
        <v>69.356883333333329</v>
      </c>
      <c r="E29" s="5">
        <f t="shared" si="6"/>
        <v>20.055916666666668</v>
      </c>
      <c r="F29" s="20">
        <v>20</v>
      </c>
      <c r="G29" s="5">
        <v>250</v>
      </c>
      <c r="H29" s="5">
        <v>5</v>
      </c>
      <c r="I29" s="21">
        <v>8158.68</v>
      </c>
      <c r="J29" s="21">
        <v>5126.1099999999997</v>
      </c>
      <c r="K29" s="21">
        <f t="shared" si="7"/>
        <v>7899.8033333333333</v>
      </c>
      <c r="L29" s="21">
        <f t="shared" si="8"/>
        <v>4867.2333333333327</v>
      </c>
      <c r="M29" s="22">
        <f t="shared" si="3"/>
        <v>0.10719607186990661</v>
      </c>
      <c r="N29" s="23">
        <f t="shared" si="4"/>
        <v>2.3035541587127197E-2</v>
      </c>
      <c r="O29" s="24"/>
      <c r="P29" s="7" t="s">
        <v>35</v>
      </c>
      <c r="Q29" s="21">
        <f>M29/M27</f>
        <v>8.562798808661938E-2</v>
      </c>
      <c r="R29" s="7" t="s">
        <v>36</v>
      </c>
      <c r="S29" s="21"/>
    </row>
    <row r="30" spans="1:19" ht="12.6">
      <c r="A30" s="5" t="s">
        <v>53</v>
      </c>
      <c r="B30" s="7" t="s">
        <v>47</v>
      </c>
      <c r="C30" s="18">
        <v>45546</v>
      </c>
      <c r="D30" s="5">
        <f t="shared" si="5"/>
        <v>69.356883333333329</v>
      </c>
      <c r="E30" s="5">
        <f t="shared" si="6"/>
        <v>20.055916666666668</v>
      </c>
      <c r="F30" s="20">
        <v>10</v>
      </c>
      <c r="G30" s="5">
        <v>250</v>
      </c>
      <c r="H30" s="5">
        <v>5</v>
      </c>
      <c r="I30" s="21">
        <v>197053.42</v>
      </c>
      <c r="J30" s="21">
        <v>124356.63</v>
      </c>
      <c r="K30" s="21">
        <f t="shared" si="7"/>
        <v>196794.54333333333</v>
      </c>
      <c r="L30" s="21">
        <f t="shared" si="8"/>
        <v>124097.75333333334</v>
      </c>
      <c r="M30" s="22">
        <f t="shared" si="3"/>
        <v>2.5697050111131832</v>
      </c>
      <c r="N30" s="23">
        <f t="shared" si="4"/>
        <v>0.7507543825861116</v>
      </c>
      <c r="O30" s="24"/>
      <c r="P30" s="7" t="s">
        <v>29</v>
      </c>
      <c r="Q30" s="21">
        <f>(M30-M31)/M30</f>
        <v>0.88396764148733398</v>
      </c>
      <c r="R30" s="7" t="s">
        <v>30</v>
      </c>
    </row>
    <row r="31" spans="1:19" ht="12.6">
      <c r="A31" s="5" t="s">
        <v>54</v>
      </c>
      <c r="B31" s="7" t="s">
        <v>47</v>
      </c>
      <c r="C31" s="18">
        <v>45546</v>
      </c>
      <c r="D31" s="5">
        <f t="shared" si="5"/>
        <v>69.356883333333329</v>
      </c>
      <c r="E31" s="5">
        <f t="shared" si="6"/>
        <v>20.055916666666668</v>
      </c>
      <c r="F31" s="20">
        <v>10</v>
      </c>
      <c r="G31" s="5">
        <v>250</v>
      </c>
      <c r="H31" s="5">
        <v>5</v>
      </c>
      <c r="I31" s="21">
        <v>27132.83</v>
      </c>
      <c r="J31" s="21">
        <v>18697.650000000001</v>
      </c>
      <c r="K31" s="21">
        <f t="shared" si="7"/>
        <v>26873.953333333335</v>
      </c>
      <c r="L31" s="21">
        <f t="shared" si="8"/>
        <v>18438.773333333334</v>
      </c>
      <c r="M31" s="22">
        <f t="shared" si="3"/>
        <v>0.29816893312127951</v>
      </c>
      <c r="N31" s="23">
        <f t="shared" si="4"/>
        <v>0.19519373041143162</v>
      </c>
      <c r="O31" s="24"/>
      <c r="P31" s="7" t="s">
        <v>32</v>
      </c>
      <c r="Q31" s="21">
        <f>(M31-M32)/M30</f>
        <v>4.1618068693266924E-2</v>
      </c>
      <c r="R31" s="7" t="s">
        <v>33</v>
      </c>
    </row>
    <row r="32" spans="1:19" ht="12.6">
      <c r="A32" s="5" t="s">
        <v>55</v>
      </c>
      <c r="B32" s="7" t="s">
        <v>47</v>
      </c>
      <c r="C32" s="18">
        <v>45546</v>
      </c>
      <c r="D32" s="5">
        <f t="shared" si="5"/>
        <v>69.356883333333329</v>
      </c>
      <c r="E32" s="5">
        <f t="shared" si="6"/>
        <v>20.055916666666668</v>
      </c>
      <c r="F32" s="20">
        <v>10</v>
      </c>
      <c r="G32" s="5">
        <v>250</v>
      </c>
      <c r="H32" s="5">
        <v>5</v>
      </c>
      <c r="I32" s="21">
        <v>13913.69</v>
      </c>
      <c r="J32" s="21">
        <v>8504.01</v>
      </c>
      <c r="K32" s="21">
        <f t="shared" si="7"/>
        <v>13654.813333333334</v>
      </c>
      <c r="L32" s="21">
        <f t="shared" si="8"/>
        <v>8245.1333333333332</v>
      </c>
      <c r="M32" s="22">
        <f t="shared" si="3"/>
        <v>0.19122277344733882</v>
      </c>
      <c r="N32" s="23">
        <f t="shared" si="4"/>
        <v>2.9390651804865619E-2</v>
      </c>
      <c r="O32" s="24"/>
      <c r="P32" s="7" t="s">
        <v>35</v>
      </c>
      <c r="Q32" s="21">
        <f>M32/M30</f>
        <v>7.4414289819399182E-2</v>
      </c>
      <c r="R32" s="7" t="s">
        <v>36</v>
      </c>
      <c r="S32" s="21"/>
    </row>
    <row r="33" spans="1:19" ht="12.6">
      <c r="A33" s="5" t="s">
        <v>56</v>
      </c>
      <c r="B33" s="7" t="s">
        <v>47</v>
      </c>
      <c r="C33" s="18">
        <v>45546</v>
      </c>
      <c r="D33" s="5">
        <f t="shared" si="5"/>
        <v>69.356883333333329</v>
      </c>
      <c r="E33" s="5">
        <f t="shared" si="6"/>
        <v>20.055916666666668</v>
      </c>
      <c r="F33" s="20">
        <v>2</v>
      </c>
      <c r="G33" s="5">
        <v>250</v>
      </c>
      <c r="H33" s="5">
        <v>5</v>
      </c>
      <c r="I33" s="21">
        <v>201811.20000000001</v>
      </c>
      <c r="J33" s="21">
        <v>129777.19</v>
      </c>
      <c r="K33" s="21">
        <f t="shared" si="7"/>
        <v>201552.32333333333</v>
      </c>
      <c r="L33" s="21">
        <f t="shared" si="8"/>
        <v>129518.31333333334</v>
      </c>
      <c r="M33" s="22">
        <f t="shared" si="3"/>
        <v>2.5462768915598217</v>
      </c>
      <c r="N33" s="23">
        <f t="shared" si="4"/>
        <v>0.91921936934822013</v>
      </c>
      <c r="O33" s="24"/>
      <c r="P33" s="7" t="s">
        <v>29</v>
      </c>
      <c r="Q33" s="21">
        <f>(M33-M34)/M33</f>
        <v>0.85151777611714252</v>
      </c>
      <c r="R33" s="7" t="s">
        <v>30</v>
      </c>
    </row>
    <row r="34" spans="1:19" ht="12.6">
      <c r="A34" s="5" t="s">
        <v>57</v>
      </c>
      <c r="B34" s="7" t="s">
        <v>47</v>
      </c>
      <c r="C34" s="18">
        <v>45546</v>
      </c>
      <c r="D34" s="5">
        <f t="shared" si="5"/>
        <v>69.356883333333329</v>
      </c>
      <c r="E34" s="5">
        <f t="shared" si="6"/>
        <v>20.055916666666668</v>
      </c>
      <c r="F34" s="20">
        <v>2</v>
      </c>
      <c r="G34" s="5">
        <v>250</v>
      </c>
      <c r="H34" s="5">
        <v>5</v>
      </c>
      <c r="I34" s="21">
        <v>29045.54</v>
      </c>
      <c r="J34" s="21">
        <v>18349.77</v>
      </c>
      <c r="K34" s="21">
        <f t="shared" si="7"/>
        <v>28786.663333333334</v>
      </c>
      <c r="L34" s="21">
        <f t="shared" si="8"/>
        <v>18090.893333333333</v>
      </c>
      <c r="M34" s="22">
        <f t="shared" si="3"/>
        <v>0.37807685548033215</v>
      </c>
      <c r="N34" s="23">
        <f t="shared" si="4"/>
        <v>0.10597765070985732</v>
      </c>
      <c r="O34" s="24"/>
      <c r="P34" s="7" t="s">
        <v>32</v>
      </c>
      <c r="Q34" s="21">
        <f>(M34-M35)/M33</f>
        <v>7.1788173391985274E-2</v>
      </c>
      <c r="R34" s="7" t="s">
        <v>33</v>
      </c>
    </row>
    <row r="35" spans="1:19" ht="12.6">
      <c r="A35" s="5" t="s">
        <v>58</v>
      </c>
      <c r="B35" s="7" t="s">
        <v>47</v>
      </c>
      <c r="C35" s="18">
        <v>45546</v>
      </c>
      <c r="D35" s="5">
        <f t="shared" si="5"/>
        <v>69.356883333333329</v>
      </c>
      <c r="E35" s="5">
        <f t="shared" si="6"/>
        <v>20.055916666666668</v>
      </c>
      <c r="F35" s="20">
        <v>2</v>
      </c>
      <c r="G35" s="5">
        <v>250</v>
      </c>
      <c r="H35" s="5">
        <v>5</v>
      </c>
      <c r="I35" s="21">
        <v>13613.49</v>
      </c>
      <c r="J35" s="21">
        <v>8088.91</v>
      </c>
      <c r="K35" s="21">
        <f t="shared" si="7"/>
        <v>13354.613333333333</v>
      </c>
      <c r="L35" s="21">
        <f t="shared" si="8"/>
        <v>7830.0333333333328</v>
      </c>
      <c r="M35" s="22">
        <f t="shared" si="3"/>
        <v>0.19528428848503038</v>
      </c>
      <c r="N35" s="23">
        <f t="shared" si="4"/>
        <v>1.4222386988857584E-2</v>
      </c>
      <c r="O35" s="24"/>
      <c r="P35" s="7" t="s">
        <v>35</v>
      </c>
      <c r="Q35" s="21">
        <f>M35/M33</f>
        <v>7.6694050490872315E-2</v>
      </c>
      <c r="R35" s="7" t="s">
        <v>36</v>
      </c>
      <c r="S35" s="21"/>
    </row>
    <row r="36" spans="1:19" ht="12.6">
      <c r="A36" s="5" t="s">
        <v>43</v>
      </c>
      <c r="D36" s="19"/>
      <c r="E36" s="19"/>
      <c r="F36" s="20"/>
      <c r="G36" s="5"/>
      <c r="H36" s="5"/>
      <c r="I36" s="21">
        <f>AVERAGE(237.73,300.55,238.35)</f>
        <v>258.87666666666667</v>
      </c>
      <c r="M36" s="22"/>
      <c r="N36" s="23"/>
      <c r="O36" s="24"/>
      <c r="P36" s="7" t="s">
        <v>44</v>
      </c>
    </row>
    <row r="37" spans="1:19" ht="12.6">
      <c r="A37" s="25"/>
      <c r="D37" s="26"/>
      <c r="E37" s="26"/>
      <c r="M37" s="22"/>
      <c r="N37" s="23"/>
      <c r="O37" s="24"/>
    </row>
    <row r="38" spans="1:19" ht="12.6">
      <c r="A38" s="5" t="s">
        <v>59</v>
      </c>
      <c r="B38" s="7" t="s">
        <v>60</v>
      </c>
      <c r="C38" s="18">
        <v>45546</v>
      </c>
      <c r="D38" s="5">
        <f>69+29.182/60</f>
        <v>69.486366666666669</v>
      </c>
      <c r="E38" s="5">
        <f>20+18.329/60</f>
        <v>20.305483333333335</v>
      </c>
      <c r="F38" s="20">
        <v>50</v>
      </c>
      <c r="G38" s="5">
        <v>250</v>
      </c>
      <c r="H38" s="5">
        <v>5</v>
      </c>
      <c r="I38" s="21">
        <v>16314.45</v>
      </c>
      <c r="J38" s="21">
        <v>10690.01</v>
      </c>
      <c r="K38" s="21">
        <f>I38-$I$36</f>
        <v>16055.573333333334</v>
      </c>
      <c r="L38" s="21">
        <f>J38-$I$36</f>
        <v>10431.133333333333</v>
      </c>
      <c r="M38" s="22">
        <f>$B$4*$B$3*(K38-L38)*(H38/G38)</f>
        <v>0.19881416569707458</v>
      </c>
      <c r="N38" s="23">
        <f>$B$4*$B$3*(($B$2*L38)-K38)*(H38/G38)</f>
        <v>8.0289635405286192E-2</v>
      </c>
      <c r="O38" s="24"/>
      <c r="P38" s="7" t="s">
        <v>29</v>
      </c>
      <c r="Q38" s="21">
        <f>(M38-M39)/M38</f>
        <v>0.58137876837516278</v>
      </c>
      <c r="R38" s="7" t="s">
        <v>30</v>
      </c>
    </row>
    <row r="39" spans="1:19" ht="12.6">
      <c r="A39" s="5" t="s">
        <v>61</v>
      </c>
      <c r="B39" s="7" t="s">
        <v>60</v>
      </c>
      <c r="C39" s="18">
        <v>45546</v>
      </c>
      <c r="D39" s="5">
        <f t="shared" ref="D39:D49" si="9">69+29.182/60</f>
        <v>69.486366666666669</v>
      </c>
      <c r="E39" s="5">
        <f t="shared" ref="E39:E49" si="10">20+18.329/60</f>
        <v>20.305483333333335</v>
      </c>
      <c r="F39" s="20">
        <v>50</v>
      </c>
      <c r="G39" s="5">
        <v>250</v>
      </c>
      <c r="H39" s="5">
        <v>5</v>
      </c>
      <c r="I39" s="21">
        <v>6981.85</v>
      </c>
      <c r="J39" s="21">
        <v>4627.34</v>
      </c>
      <c r="K39" s="21">
        <f t="shared" ref="K39:K49" si="11">I39-$I$36</f>
        <v>6722.9733333333334</v>
      </c>
      <c r="L39" s="21">
        <f t="shared" ref="L39:L49" si="12">J39-$I$36</f>
        <v>4368.4633333333331</v>
      </c>
      <c r="M39" s="22">
        <f t="shared" ref="M39:M49" si="13">$B$4*$B$3*(K39-L39)*(H39/G39)</f>
        <v>8.322783090857383E-2</v>
      </c>
      <c r="N39" s="23">
        <f t="shared" ref="N39:N49" si="14">$B$4*$B$3*(($B$2*L39)-K39)*(H39/G39)</f>
        <v>3.3658290891194403E-2</v>
      </c>
      <c r="O39" s="28"/>
      <c r="P39" s="7" t="s">
        <v>32</v>
      </c>
      <c r="Q39" s="21">
        <f>(M39-M40)/M38</f>
        <v>0.30677543008726199</v>
      </c>
      <c r="R39" s="7" t="s">
        <v>33</v>
      </c>
    </row>
    <row r="40" spans="1:19" ht="12.6">
      <c r="A40" s="5" t="s">
        <v>62</v>
      </c>
      <c r="B40" s="7" t="s">
        <v>60</v>
      </c>
      <c r="C40" s="18">
        <v>45546</v>
      </c>
      <c r="D40" s="5">
        <f t="shared" si="9"/>
        <v>69.486366666666669</v>
      </c>
      <c r="E40" s="5">
        <f t="shared" si="10"/>
        <v>20.305483333333335</v>
      </c>
      <c r="F40" s="20">
        <v>50</v>
      </c>
      <c r="G40" s="5">
        <v>250</v>
      </c>
      <c r="H40" s="5">
        <v>5</v>
      </c>
      <c r="I40" s="21">
        <v>2054.7399999999998</v>
      </c>
      <c r="J40" s="21">
        <v>1425.67</v>
      </c>
      <c r="K40" s="21">
        <f t="shared" si="11"/>
        <v>1795.8633333333332</v>
      </c>
      <c r="L40" s="21">
        <f t="shared" si="12"/>
        <v>1166.7933333333335</v>
      </c>
      <c r="M40" s="22">
        <f t="shared" si="13"/>
        <v>2.22365297194136E-2</v>
      </c>
      <c r="N40" s="23">
        <f t="shared" si="14"/>
        <v>8.9831320400207207E-3</v>
      </c>
      <c r="O40" s="28"/>
      <c r="P40" s="7" t="s">
        <v>35</v>
      </c>
      <c r="Q40" s="21">
        <f>M40/M38</f>
        <v>0.11184580153757523</v>
      </c>
      <c r="R40" s="7" t="s">
        <v>36</v>
      </c>
      <c r="S40" s="21"/>
    </row>
    <row r="41" spans="1:19" ht="12.6">
      <c r="A41" s="5" t="s">
        <v>63</v>
      </c>
      <c r="B41" s="7" t="s">
        <v>60</v>
      </c>
      <c r="C41" s="18">
        <v>45546</v>
      </c>
      <c r="D41" s="5">
        <f t="shared" si="9"/>
        <v>69.486366666666669</v>
      </c>
      <c r="E41" s="5">
        <f t="shared" si="10"/>
        <v>20.305483333333335</v>
      </c>
      <c r="F41" s="20">
        <v>20</v>
      </c>
      <c r="G41" s="5">
        <v>250</v>
      </c>
      <c r="H41" s="5">
        <v>5</v>
      </c>
      <c r="I41" s="21">
        <v>140612.66</v>
      </c>
      <c r="J41" s="21">
        <v>87422.07</v>
      </c>
      <c r="K41" s="21">
        <f t="shared" si="11"/>
        <v>140353.78333333333</v>
      </c>
      <c r="L41" s="21">
        <f t="shared" si="12"/>
        <v>87163.193333333344</v>
      </c>
      <c r="M41" s="22">
        <f t="shared" si="13"/>
        <v>1.8801947880651504</v>
      </c>
      <c r="N41" s="23">
        <f t="shared" si="14"/>
        <v>0.45201378392318825</v>
      </c>
      <c r="O41" s="24"/>
      <c r="P41" s="7" t="s">
        <v>29</v>
      </c>
      <c r="Q41" s="21">
        <f>(M41-M42)/M41</f>
        <v>0.84236666673560123</v>
      </c>
      <c r="R41" s="7" t="s">
        <v>30</v>
      </c>
    </row>
    <row r="42" spans="1:19" ht="12.6">
      <c r="A42" s="5" t="s">
        <v>64</v>
      </c>
      <c r="B42" s="7" t="s">
        <v>60</v>
      </c>
      <c r="C42" s="18">
        <v>45546</v>
      </c>
      <c r="D42" s="5">
        <f t="shared" si="9"/>
        <v>69.486366666666669</v>
      </c>
      <c r="E42" s="5">
        <f t="shared" si="10"/>
        <v>20.305483333333335</v>
      </c>
      <c r="F42" s="20">
        <v>20</v>
      </c>
      <c r="G42" s="5">
        <v>250</v>
      </c>
      <c r="H42" s="5">
        <v>5</v>
      </c>
      <c r="I42" s="21">
        <v>21130.799999999999</v>
      </c>
      <c r="J42" s="21">
        <v>12746.19</v>
      </c>
      <c r="K42" s="21">
        <f t="shared" si="11"/>
        <v>20871.923333333332</v>
      </c>
      <c r="L42" s="21">
        <f t="shared" si="12"/>
        <v>12487.313333333334</v>
      </c>
      <c r="M42" s="22">
        <f t="shared" si="13"/>
        <v>0.29638137162905959</v>
      </c>
      <c r="N42" s="23">
        <f t="shared" si="14"/>
        <v>3.7739236891221786E-2</v>
      </c>
      <c r="O42" s="24"/>
      <c r="P42" s="7" t="s">
        <v>32</v>
      </c>
      <c r="Q42" s="21">
        <f>(M42-M43)/M41</f>
        <v>8.7305292157879771E-2</v>
      </c>
      <c r="R42" s="7" t="s">
        <v>33</v>
      </c>
    </row>
    <row r="43" spans="1:19" ht="12.6">
      <c r="A43" s="5" t="s">
        <v>65</v>
      </c>
      <c r="B43" s="7" t="s">
        <v>60</v>
      </c>
      <c r="C43" s="18">
        <v>45546</v>
      </c>
      <c r="D43" s="5">
        <f t="shared" si="9"/>
        <v>69.486366666666669</v>
      </c>
      <c r="E43" s="5">
        <f t="shared" si="10"/>
        <v>20.305483333333335</v>
      </c>
      <c r="F43" s="20">
        <v>20</v>
      </c>
      <c r="G43" s="5">
        <v>250</v>
      </c>
      <c r="H43" s="5">
        <v>5</v>
      </c>
      <c r="I43" s="21">
        <v>8485.69</v>
      </c>
      <c r="J43" s="21">
        <v>4744.8999999999996</v>
      </c>
      <c r="K43" s="21">
        <f t="shared" si="11"/>
        <v>8226.8133333333335</v>
      </c>
      <c r="L43" s="21">
        <f t="shared" si="12"/>
        <v>4486.0233333333326</v>
      </c>
      <c r="M43" s="22">
        <f t="shared" si="13"/>
        <v>0.13223041634330879</v>
      </c>
      <c r="N43" s="23">
        <f t="shared" si="14"/>
        <v>-1.2198764541278719E-2</v>
      </c>
      <c r="O43" s="24"/>
      <c r="P43" s="7" t="s">
        <v>35</v>
      </c>
      <c r="Q43" s="21">
        <f>M43/M41</f>
        <v>7.0328041106519065E-2</v>
      </c>
      <c r="R43" s="7" t="s">
        <v>36</v>
      </c>
      <c r="S43" s="21"/>
    </row>
    <row r="44" spans="1:19" ht="12.6">
      <c r="A44" s="5" t="s">
        <v>66</v>
      </c>
      <c r="B44" s="7" t="s">
        <v>60</v>
      </c>
      <c r="C44" s="18">
        <v>45546</v>
      </c>
      <c r="D44" s="5">
        <f t="shared" si="9"/>
        <v>69.486366666666669</v>
      </c>
      <c r="E44" s="5">
        <f t="shared" si="10"/>
        <v>20.305483333333335</v>
      </c>
      <c r="F44" s="20">
        <v>10</v>
      </c>
      <c r="G44" s="5">
        <v>250</v>
      </c>
      <c r="H44" s="5">
        <v>5</v>
      </c>
      <c r="I44" s="21">
        <v>115603.55</v>
      </c>
      <c r="J44" s="21">
        <v>90627.76</v>
      </c>
      <c r="K44" s="21">
        <f t="shared" si="11"/>
        <v>115344.67333333334</v>
      </c>
      <c r="L44" s="21">
        <f t="shared" si="12"/>
        <v>90368.883333333331</v>
      </c>
      <c r="M44" s="22">
        <f t="shared" si="13"/>
        <v>0.88285071073304</v>
      </c>
      <c r="N44" s="23">
        <f t="shared" si="14"/>
        <v>1.5351318836519532</v>
      </c>
      <c r="O44" s="24"/>
      <c r="P44" s="7" t="s">
        <v>29</v>
      </c>
      <c r="Q44" s="21">
        <f>(M44-M45)/M44</f>
        <v>0.67690391375007564</v>
      </c>
      <c r="R44" s="7" t="s">
        <v>30</v>
      </c>
    </row>
    <row r="45" spans="1:19" ht="12.6">
      <c r="A45" s="5" t="s">
        <v>67</v>
      </c>
      <c r="B45" s="7" t="s">
        <v>60</v>
      </c>
      <c r="C45" s="18">
        <v>45546</v>
      </c>
      <c r="D45" s="5">
        <f t="shared" si="9"/>
        <v>69.486366666666669</v>
      </c>
      <c r="E45" s="5">
        <f t="shared" si="10"/>
        <v>20.305483333333335</v>
      </c>
      <c r="F45" s="20">
        <v>10</v>
      </c>
      <c r="G45" s="5">
        <v>250</v>
      </c>
      <c r="H45" s="5">
        <v>5</v>
      </c>
      <c r="I45" s="21">
        <v>20852.830000000002</v>
      </c>
      <c r="J45" s="21">
        <v>12783.25</v>
      </c>
      <c r="K45" s="21">
        <f t="shared" si="11"/>
        <v>20593.953333333335</v>
      </c>
      <c r="L45" s="21">
        <f t="shared" si="12"/>
        <v>12524.373333333333</v>
      </c>
      <c r="M45" s="22">
        <f t="shared" si="13"/>
        <v>0.28524560938080934</v>
      </c>
      <c r="N45" s="23">
        <f t="shared" si="14"/>
        <v>4.986660633480914E-2</v>
      </c>
      <c r="O45" s="24"/>
      <c r="P45" s="7" t="s">
        <v>32</v>
      </c>
      <c r="Q45" s="21">
        <f>(M45-M46)/M44</f>
        <v>0.23122431762919207</v>
      </c>
      <c r="R45" s="7" t="s">
        <v>33</v>
      </c>
    </row>
    <row r="46" spans="1:19" ht="12.6">
      <c r="A46" s="5" t="s">
        <v>68</v>
      </c>
      <c r="B46" s="7" t="s">
        <v>60</v>
      </c>
      <c r="C46" s="18">
        <v>45546</v>
      </c>
      <c r="D46" s="5">
        <f t="shared" si="9"/>
        <v>69.486366666666669</v>
      </c>
      <c r="E46" s="5">
        <f t="shared" si="10"/>
        <v>20.305483333333335</v>
      </c>
      <c r="F46" s="20">
        <v>10</v>
      </c>
      <c r="G46" s="5">
        <v>250</v>
      </c>
      <c r="H46" s="5">
        <v>5</v>
      </c>
      <c r="I46" s="21">
        <v>7264.56</v>
      </c>
      <c r="J46" s="21">
        <v>4969.99</v>
      </c>
      <c r="K46" s="21">
        <f t="shared" si="11"/>
        <v>7005.6833333333334</v>
      </c>
      <c r="L46" s="21">
        <f t="shared" si="12"/>
        <v>4711.1133333333328</v>
      </c>
      <c r="M46" s="22">
        <f t="shared" si="13"/>
        <v>8.1109056223114914E-2</v>
      </c>
      <c r="N46" s="23">
        <f t="shared" si="14"/>
        <v>4.494528482873749E-2</v>
      </c>
      <c r="O46" s="24"/>
      <c r="P46" s="7" t="s">
        <v>35</v>
      </c>
      <c r="Q46" s="21">
        <f>M46/M44</f>
        <v>9.1871768620732305E-2</v>
      </c>
      <c r="R46" s="7" t="s">
        <v>36</v>
      </c>
      <c r="S46" s="21"/>
    </row>
    <row r="47" spans="1:19" ht="12.6">
      <c r="A47" s="5" t="s">
        <v>69</v>
      </c>
      <c r="B47" s="7" t="s">
        <v>60</v>
      </c>
      <c r="C47" s="18">
        <v>45546</v>
      </c>
      <c r="D47" s="5">
        <f t="shared" si="9"/>
        <v>69.486366666666669</v>
      </c>
      <c r="E47" s="5">
        <f t="shared" si="10"/>
        <v>20.305483333333335</v>
      </c>
      <c r="F47" s="20">
        <v>2</v>
      </c>
      <c r="G47" s="5">
        <v>250</v>
      </c>
      <c r="H47" s="5">
        <v>5</v>
      </c>
      <c r="I47" s="21">
        <v>138539.73000000001</v>
      </c>
      <c r="J47" s="21">
        <v>90515.42</v>
      </c>
      <c r="K47" s="21">
        <f t="shared" si="11"/>
        <v>138280.85333333333</v>
      </c>
      <c r="L47" s="21">
        <f t="shared" si="12"/>
        <v>90256.543333333335</v>
      </c>
      <c r="M47" s="22">
        <f t="shared" si="13"/>
        <v>1.6975757810248973</v>
      </c>
      <c r="N47" s="23">
        <f t="shared" si="14"/>
        <v>0.71740095388022018</v>
      </c>
      <c r="O47" s="28"/>
      <c r="P47" s="7" t="s">
        <v>29</v>
      </c>
      <c r="Q47" s="21">
        <f>(M47-M48)/M47</f>
        <v>0.86586689116407922</v>
      </c>
      <c r="R47" s="7" t="s">
        <v>30</v>
      </c>
    </row>
    <row r="48" spans="1:19" ht="12.6">
      <c r="A48" s="5" t="s">
        <v>70</v>
      </c>
      <c r="B48" s="7" t="s">
        <v>60</v>
      </c>
      <c r="C48" s="18">
        <v>45546</v>
      </c>
      <c r="D48" s="5">
        <f t="shared" si="9"/>
        <v>69.486366666666669</v>
      </c>
      <c r="E48" s="5">
        <f t="shared" si="10"/>
        <v>20.305483333333335</v>
      </c>
      <c r="F48" s="20">
        <v>2</v>
      </c>
      <c r="G48" s="5">
        <v>250</v>
      </c>
      <c r="H48" s="5">
        <v>5</v>
      </c>
      <c r="I48" s="21">
        <v>16697.12</v>
      </c>
      <c r="J48" s="21">
        <v>10255.469999999999</v>
      </c>
      <c r="K48" s="21">
        <f t="shared" si="11"/>
        <v>16438.243333333332</v>
      </c>
      <c r="L48" s="21">
        <f t="shared" si="12"/>
        <v>9996.5933333333323</v>
      </c>
      <c r="M48" s="22">
        <f t="shared" si="13"/>
        <v>0.22770111699343584</v>
      </c>
      <c r="N48" s="23">
        <f t="shared" si="14"/>
        <v>3.9775782040339831E-2</v>
      </c>
      <c r="O48" s="28"/>
      <c r="P48" s="7" t="s">
        <v>32</v>
      </c>
      <c r="Q48" s="21">
        <f>(M48-M49)/M47</f>
        <v>7.7145512345726586E-2</v>
      </c>
      <c r="R48" s="7" t="s">
        <v>33</v>
      </c>
    </row>
    <row r="49" spans="1:19" ht="12.6">
      <c r="A49" s="5" t="s">
        <v>71</v>
      </c>
      <c r="B49" s="7" t="s">
        <v>60</v>
      </c>
      <c r="C49" s="18">
        <v>45546</v>
      </c>
      <c r="D49" s="5">
        <f t="shared" si="9"/>
        <v>69.486366666666669</v>
      </c>
      <c r="E49" s="5">
        <f t="shared" si="10"/>
        <v>20.305483333333335</v>
      </c>
      <c r="F49" s="20">
        <v>2</v>
      </c>
      <c r="G49" s="5">
        <v>250</v>
      </c>
      <c r="H49" s="5">
        <v>5</v>
      </c>
      <c r="I49" s="21">
        <v>7027.34</v>
      </c>
      <c r="J49" s="21">
        <v>4290.55</v>
      </c>
      <c r="K49" s="21">
        <f t="shared" si="11"/>
        <v>6768.4633333333331</v>
      </c>
      <c r="L49" s="21">
        <f t="shared" si="12"/>
        <v>4031.6733333333336</v>
      </c>
      <c r="M49" s="22">
        <f t="shared" si="13"/>
        <v>9.674076362057317E-2</v>
      </c>
      <c r="N49" s="23">
        <f t="shared" si="14"/>
        <v>1.1133933804732977E-2</v>
      </c>
      <c r="O49" s="28"/>
      <c r="P49" s="7" t="s">
        <v>35</v>
      </c>
      <c r="Q49" s="21">
        <f>M49/M47</f>
        <v>5.6987596490194234E-2</v>
      </c>
      <c r="R49" s="7" t="s">
        <v>36</v>
      </c>
      <c r="S49" s="21"/>
    </row>
    <row r="50" spans="1:19" ht="12.6">
      <c r="A50" s="5"/>
      <c r="D50" s="19"/>
      <c r="E50" s="19"/>
      <c r="F50" s="20"/>
      <c r="G50" s="5"/>
      <c r="H50" s="5"/>
      <c r="M50" s="22"/>
      <c r="N50" s="23"/>
      <c r="O50" s="28"/>
    </row>
    <row r="51" spans="1:19" ht="12.6">
      <c r="A51" s="5" t="s">
        <v>72</v>
      </c>
      <c r="B51" s="7" t="s">
        <v>73</v>
      </c>
      <c r="C51" s="18">
        <v>45547</v>
      </c>
      <c r="D51" s="30">
        <f t="shared" ref="D51:D62" si="15">69+20.579/60</f>
        <v>69.342983333333336</v>
      </c>
      <c r="E51" s="30">
        <f t="shared" ref="E51:E62" si="16">19+59.415/60</f>
        <v>19.99025</v>
      </c>
      <c r="F51" s="20" t="s">
        <v>74</v>
      </c>
      <c r="G51" s="5">
        <v>250</v>
      </c>
      <c r="H51" s="5">
        <v>5</v>
      </c>
      <c r="I51" s="21">
        <v>14830.74</v>
      </c>
      <c r="J51" s="21">
        <v>10147.31</v>
      </c>
      <c r="K51" s="21">
        <f>I51-$I$63</f>
        <v>14510.446666666667</v>
      </c>
      <c r="L51" s="21">
        <f>J51-$I$63</f>
        <v>9827.0166666666664</v>
      </c>
      <c r="M51" s="22">
        <f>$B$4*$B$3*(K51-L51)*(H51/G51)</f>
        <v>0.16555109985183414</v>
      </c>
      <c r="N51" s="23">
        <f>$B$4*$B$3*(($B$2*L51)-K51)*(H51/G51)</f>
        <v>9.7388469370070591E-2</v>
      </c>
      <c r="O51" s="28"/>
      <c r="P51" s="7" t="s">
        <v>29</v>
      </c>
      <c r="Q51" s="21">
        <f>(M51-M52)/M51</f>
        <v>0.57787561680221555</v>
      </c>
      <c r="R51" s="7" t="s">
        <v>30</v>
      </c>
    </row>
    <row r="52" spans="1:19" ht="12.6">
      <c r="A52" s="5" t="s">
        <v>75</v>
      </c>
      <c r="B52" s="7" t="s">
        <v>73</v>
      </c>
      <c r="C52" s="18">
        <v>45547</v>
      </c>
      <c r="D52" s="30">
        <f t="shared" si="15"/>
        <v>69.342983333333336</v>
      </c>
      <c r="E52" s="30">
        <f t="shared" si="16"/>
        <v>19.99025</v>
      </c>
      <c r="F52" s="20" t="s">
        <v>74</v>
      </c>
      <c r="G52" s="5">
        <v>250</v>
      </c>
      <c r="H52" s="5">
        <v>5</v>
      </c>
      <c r="I52" s="21">
        <v>7242.42</v>
      </c>
      <c r="J52" s="21">
        <v>5265.43</v>
      </c>
      <c r="K52" s="21">
        <f t="shared" ref="K52:K62" si="17">I52-$I$63</f>
        <v>6922.126666666667</v>
      </c>
      <c r="L52" s="21">
        <f t="shared" ref="L52:L62" si="18">J52-$I$63</f>
        <v>4945.1366666666672</v>
      </c>
      <c r="M52" s="22">
        <f t="shared" ref="M52:M62" si="19">$B$4*$B$3*(K52-L52)*(H52/G52)</f>
        <v>6.9883155912670303E-2</v>
      </c>
      <c r="N52" s="23">
        <f t="shared" ref="N52:N62" si="20">$B$4*$B$3*(($B$2*L52)-K52)*(H52/G52)</f>
        <v>6.243290184749558E-2</v>
      </c>
      <c r="O52" s="28"/>
      <c r="P52" s="7" t="s">
        <v>32</v>
      </c>
      <c r="Q52" s="21">
        <f>(M52-M53)/M51</f>
        <v>0.26143446149510069</v>
      </c>
      <c r="R52" s="7" t="s">
        <v>33</v>
      </c>
    </row>
    <row r="53" spans="1:19" ht="12.6">
      <c r="A53" s="5" t="s">
        <v>76</v>
      </c>
      <c r="B53" s="7" t="s">
        <v>73</v>
      </c>
      <c r="C53" s="18">
        <v>45547</v>
      </c>
      <c r="D53" s="30">
        <f t="shared" si="15"/>
        <v>69.342983333333336</v>
      </c>
      <c r="E53" s="30">
        <f t="shared" si="16"/>
        <v>19.99025</v>
      </c>
      <c r="F53" s="20" t="s">
        <v>74</v>
      </c>
      <c r="G53" s="5">
        <v>250</v>
      </c>
      <c r="H53" s="5">
        <v>5</v>
      </c>
      <c r="I53" s="21">
        <v>2306.0500000000002</v>
      </c>
      <c r="J53" s="21">
        <v>1553.47</v>
      </c>
      <c r="K53" s="21">
        <f t="shared" si="17"/>
        <v>1985.7566666666669</v>
      </c>
      <c r="L53" s="21">
        <f t="shared" si="18"/>
        <v>1233.1766666666667</v>
      </c>
      <c r="M53" s="22">
        <f t="shared" si="19"/>
        <v>2.6602393272984401E-2</v>
      </c>
      <c r="N53" s="23">
        <f t="shared" si="20"/>
        <v>6.3934743953487543E-3</v>
      </c>
      <c r="O53" s="28"/>
      <c r="P53" s="7" t="s">
        <v>35</v>
      </c>
      <c r="Q53" s="21">
        <f>M53/M51</f>
        <v>0.1606899217026837</v>
      </c>
      <c r="R53" s="7" t="s">
        <v>36</v>
      </c>
      <c r="S53" s="21"/>
    </row>
    <row r="54" spans="1:19" ht="12.6">
      <c r="A54" s="5" t="s">
        <v>77</v>
      </c>
      <c r="B54" s="7" t="s">
        <v>73</v>
      </c>
      <c r="C54" s="18">
        <v>45547</v>
      </c>
      <c r="D54" s="30">
        <f t="shared" si="15"/>
        <v>69.342983333333336</v>
      </c>
      <c r="E54" s="30">
        <f t="shared" si="16"/>
        <v>19.99025</v>
      </c>
      <c r="F54" s="20">
        <v>20</v>
      </c>
      <c r="G54" s="5">
        <v>250</v>
      </c>
      <c r="H54" s="5">
        <v>5</v>
      </c>
      <c r="I54" s="21">
        <v>40092.050000000003</v>
      </c>
      <c r="J54" s="21">
        <v>26280.04</v>
      </c>
      <c r="K54" s="21">
        <f t="shared" si="17"/>
        <v>39771.756666666668</v>
      </c>
      <c r="L54" s="21">
        <f t="shared" si="18"/>
        <v>25959.746666666666</v>
      </c>
      <c r="M54" s="22">
        <f t="shared" si="19"/>
        <v>0.48823051623799901</v>
      </c>
      <c r="N54" s="23">
        <f>$B$4*$B$3*(($B$2*L54)-K54)*(H54/G54)</f>
        <v>0.20636936459831204</v>
      </c>
      <c r="O54" s="28"/>
      <c r="P54" s="7" t="s">
        <v>29</v>
      </c>
      <c r="Q54" s="21">
        <f>(M54-M55)/M54</f>
        <v>0.59861309107074212</v>
      </c>
      <c r="R54" s="7" t="s">
        <v>30</v>
      </c>
    </row>
    <row r="55" spans="1:19" ht="12.6">
      <c r="A55" s="5" t="s">
        <v>78</v>
      </c>
      <c r="B55" s="7" t="s">
        <v>73</v>
      </c>
      <c r="C55" s="18">
        <v>45547</v>
      </c>
      <c r="D55" s="30">
        <f t="shared" si="15"/>
        <v>69.342983333333336</v>
      </c>
      <c r="E55" s="30">
        <f t="shared" si="16"/>
        <v>19.99025</v>
      </c>
      <c r="F55" s="20">
        <v>20</v>
      </c>
      <c r="G55" s="5">
        <v>250</v>
      </c>
      <c r="H55" s="5">
        <v>5</v>
      </c>
      <c r="I55" s="21">
        <v>16508.419999999998</v>
      </c>
      <c r="J55" s="21">
        <v>10964.46</v>
      </c>
      <c r="K55" s="21">
        <f t="shared" si="17"/>
        <v>16188.126666666665</v>
      </c>
      <c r="L55" s="21">
        <f t="shared" si="18"/>
        <v>10644.166666666666</v>
      </c>
      <c r="M55" s="22">
        <f t="shared" si="19"/>
        <v>0.19596933775770622</v>
      </c>
      <c r="N55" s="23">
        <f t="shared" si="20"/>
        <v>8.8834554714864192E-2</v>
      </c>
      <c r="O55" s="28"/>
      <c r="P55" s="7" t="s">
        <v>32</v>
      </c>
      <c r="Q55" s="21">
        <f>(M55-M56)/M54</f>
        <v>0.31943359438633467</v>
      </c>
      <c r="R55" s="7" t="s">
        <v>33</v>
      </c>
    </row>
    <row r="56" spans="1:19" ht="12.6">
      <c r="A56" s="5" t="s">
        <v>79</v>
      </c>
      <c r="B56" s="7" t="s">
        <v>73</v>
      </c>
      <c r="C56" s="18">
        <v>45547</v>
      </c>
      <c r="D56" s="30">
        <f t="shared" si="15"/>
        <v>69.342983333333336</v>
      </c>
      <c r="E56" s="30">
        <f t="shared" si="16"/>
        <v>19.99025</v>
      </c>
      <c r="F56" s="20">
        <v>20</v>
      </c>
      <c r="G56" s="5">
        <v>250</v>
      </c>
      <c r="H56" s="5">
        <v>5</v>
      </c>
      <c r="I56" s="21">
        <v>3498.81</v>
      </c>
      <c r="J56" s="21">
        <v>2366.87</v>
      </c>
      <c r="K56" s="21">
        <f t="shared" si="17"/>
        <v>3178.5166666666664</v>
      </c>
      <c r="L56" s="21">
        <f t="shared" si="18"/>
        <v>2046.5766666666666</v>
      </c>
      <c r="M56" s="22">
        <f t="shared" si="19"/>
        <v>4.0012109066706464E-2</v>
      </c>
      <c r="N56" s="23">
        <f t="shared" si="20"/>
        <v>1.474774383333626E-2</v>
      </c>
      <c r="O56" s="28"/>
      <c r="P56" s="7" t="s">
        <v>35</v>
      </c>
      <c r="Q56" s="21">
        <f>M56/M54</f>
        <v>8.1953314542923109E-2</v>
      </c>
      <c r="R56" s="7" t="s">
        <v>36</v>
      </c>
      <c r="S56" s="21"/>
    </row>
    <row r="57" spans="1:19" ht="12.6">
      <c r="A57" s="5" t="s">
        <v>80</v>
      </c>
      <c r="B57" s="7" t="s">
        <v>73</v>
      </c>
      <c r="C57" s="18">
        <v>45547</v>
      </c>
      <c r="D57" s="30">
        <f t="shared" si="15"/>
        <v>69.342983333333336</v>
      </c>
      <c r="E57" s="30">
        <f t="shared" si="16"/>
        <v>19.99025</v>
      </c>
      <c r="F57" s="20">
        <v>10</v>
      </c>
      <c r="G57" s="5">
        <v>250</v>
      </c>
      <c r="H57" s="5">
        <v>5</v>
      </c>
      <c r="I57" s="21">
        <v>69923.17</v>
      </c>
      <c r="J57" s="21">
        <v>45451.79</v>
      </c>
      <c r="K57" s="21">
        <f t="shared" si="17"/>
        <v>69602.876666666663</v>
      </c>
      <c r="L57" s="21">
        <f t="shared" si="18"/>
        <v>45131.496666666666</v>
      </c>
      <c r="M57" s="22">
        <f t="shared" si="19"/>
        <v>0.86502069506583346</v>
      </c>
      <c r="N57" s="23">
        <f t="shared" si="20"/>
        <v>0.34255396308302793</v>
      </c>
      <c r="O57" s="28"/>
      <c r="P57" s="7" t="s">
        <v>29</v>
      </c>
      <c r="Q57" s="21">
        <f>(M57-M58)/M57</f>
        <v>0.73089993290120958</v>
      </c>
      <c r="R57" s="7" t="s">
        <v>30</v>
      </c>
    </row>
    <row r="58" spans="1:19" ht="12.6">
      <c r="A58" s="5" t="s">
        <v>81</v>
      </c>
      <c r="B58" s="7" t="s">
        <v>73</v>
      </c>
      <c r="C58" s="18">
        <v>45547</v>
      </c>
      <c r="D58" s="30">
        <f t="shared" si="15"/>
        <v>69.342983333333336</v>
      </c>
      <c r="E58" s="30">
        <f t="shared" si="16"/>
        <v>19.99025</v>
      </c>
      <c r="F58" s="20">
        <v>10</v>
      </c>
      <c r="G58" s="5">
        <v>250</v>
      </c>
      <c r="H58" s="5">
        <v>5</v>
      </c>
      <c r="I58" s="21">
        <v>18586.919999999998</v>
      </c>
      <c r="J58" s="21">
        <v>12001.67</v>
      </c>
      <c r="K58" s="21">
        <f t="shared" si="17"/>
        <v>18266.626666666663</v>
      </c>
      <c r="L58" s="21">
        <f t="shared" si="18"/>
        <v>11681.376666666667</v>
      </c>
      <c r="M58" s="22">
        <f t="shared" si="19"/>
        <v>0.23277712708405804</v>
      </c>
      <c r="N58" s="23">
        <f t="shared" si="20"/>
        <v>7.977919115957402E-2</v>
      </c>
      <c r="O58" s="28"/>
      <c r="P58" s="7" t="s">
        <v>32</v>
      </c>
      <c r="Q58" s="21">
        <f>(M58-M59)/M57</f>
        <v>0.14016863781282446</v>
      </c>
      <c r="R58" s="7" t="s">
        <v>33</v>
      </c>
    </row>
    <row r="59" spans="1:19" ht="12.6">
      <c r="A59" s="5" t="s">
        <v>82</v>
      </c>
      <c r="B59" s="7" t="s">
        <v>73</v>
      </c>
      <c r="C59" s="18">
        <v>45547</v>
      </c>
      <c r="D59" s="30">
        <f t="shared" si="15"/>
        <v>69.342983333333336</v>
      </c>
      <c r="E59" s="30">
        <f t="shared" si="16"/>
        <v>19.99025</v>
      </c>
      <c r="F59" s="20">
        <v>10</v>
      </c>
      <c r="G59" s="5">
        <v>250</v>
      </c>
      <c r="H59" s="5">
        <v>5</v>
      </c>
      <c r="I59" s="21">
        <v>8841.52</v>
      </c>
      <c r="J59" s="21">
        <v>5686.39</v>
      </c>
      <c r="K59" s="21">
        <f t="shared" si="17"/>
        <v>8521.2266666666674</v>
      </c>
      <c r="L59" s="21">
        <f t="shared" si="18"/>
        <v>5366.0966666666673</v>
      </c>
      <c r="M59" s="22">
        <f t="shared" si="19"/>
        <v>0.11152835457677757</v>
      </c>
      <c r="N59" s="23">
        <f t="shared" si="20"/>
        <v>3.2051247839326925E-2</v>
      </c>
      <c r="O59" s="28"/>
      <c r="P59" s="7" t="s">
        <v>35</v>
      </c>
      <c r="Q59" s="21">
        <f>M59/M57</f>
        <v>0.12893142928596588</v>
      </c>
      <c r="R59" s="7" t="s">
        <v>36</v>
      </c>
      <c r="S59" s="21"/>
    </row>
    <row r="60" spans="1:19" ht="12.6">
      <c r="A60" s="5" t="s">
        <v>83</v>
      </c>
      <c r="B60" s="7" t="s">
        <v>73</v>
      </c>
      <c r="C60" s="18">
        <v>45547</v>
      </c>
      <c r="D60" s="30">
        <f t="shared" si="15"/>
        <v>69.342983333333336</v>
      </c>
      <c r="E60" s="30">
        <f t="shared" si="16"/>
        <v>19.99025</v>
      </c>
      <c r="F60" s="20">
        <v>2</v>
      </c>
      <c r="G60" s="5">
        <v>250</v>
      </c>
      <c r="H60" s="5">
        <v>5</v>
      </c>
      <c r="I60" s="21">
        <v>121939.77</v>
      </c>
      <c r="J60" s="21">
        <v>78738.789999999994</v>
      </c>
      <c r="K60" s="21">
        <f t="shared" si="17"/>
        <v>121619.47666666667</v>
      </c>
      <c r="L60" s="21">
        <f t="shared" si="18"/>
        <v>78418.496666666659</v>
      </c>
      <c r="M60" s="22">
        <f t="shared" si="19"/>
        <v>1.5270794596432722</v>
      </c>
      <c r="N60" s="23">
        <f t="shared" si="20"/>
        <v>0.57114896837025142</v>
      </c>
      <c r="O60" s="28"/>
      <c r="P60" s="7" t="s">
        <v>29</v>
      </c>
      <c r="Q60" s="21">
        <f>(M60-M61)/M60</f>
        <v>0.82381973742262327</v>
      </c>
      <c r="R60" s="7" t="s">
        <v>30</v>
      </c>
    </row>
    <row r="61" spans="1:19" ht="12.6">
      <c r="A61" s="5" t="s">
        <v>84</v>
      </c>
      <c r="B61" s="7" t="s">
        <v>73</v>
      </c>
      <c r="C61" s="18">
        <v>45547</v>
      </c>
      <c r="D61" s="30">
        <f t="shared" si="15"/>
        <v>69.342983333333336</v>
      </c>
      <c r="E61" s="30">
        <f t="shared" si="16"/>
        <v>19.99025</v>
      </c>
      <c r="F61" s="20">
        <v>2</v>
      </c>
      <c r="G61" s="5">
        <v>250</v>
      </c>
      <c r="H61" s="5">
        <v>5</v>
      </c>
      <c r="I61" s="21">
        <v>20895.79</v>
      </c>
      <c r="J61" s="21">
        <v>13284.63</v>
      </c>
      <c r="K61" s="21">
        <f t="shared" si="17"/>
        <v>20575.496666666666</v>
      </c>
      <c r="L61" s="21">
        <f t="shared" si="18"/>
        <v>12964.336666666666</v>
      </c>
      <c r="M61" s="22">
        <f t="shared" si="19"/>
        <v>0.26904126017647018</v>
      </c>
      <c r="N61" s="23">
        <f t="shared" si="20"/>
        <v>7.784296868048142E-2</v>
      </c>
      <c r="O61" s="28"/>
      <c r="P61" s="7" t="s">
        <v>32</v>
      </c>
      <c r="Q61" s="21">
        <f>(M61-M62)/M60</f>
        <v>0.14774965753091707</v>
      </c>
      <c r="R61" s="7" t="s">
        <v>33</v>
      </c>
    </row>
    <row r="62" spans="1:19" ht="12.6">
      <c r="A62" s="5" t="s">
        <v>85</v>
      </c>
      <c r="B62" s="7" t="s">
        <v>73</v>
      </c>
      <c r="C62" s="18">
        <v>45547</v>
      </c>
      <c r="D62" s="30">
        <f t="shared" si="15"/>
        <v>69.342983333333336</v>
      </c>
      <c r="E62" s="30">
        <f t="shared" si="16"/>
        <v>19.99025</v>
      </c>
      <c r="F62" s="20">
        <v>2</v>
      </c>
      <c r="G62" s="5">
        <v>250</v>
      </c>
      <c r="H62" s="5">
        <v>5</v>
      </c>
      <c r="I62" s="21">
        <v>8364.51</v>
      </c>
      <c r="J62" s="21">
        <v>7136.28</v>
      </c>
      <c r="K62" s="21">
        <f t="shared" si="17"/>
        <v>8044.2166666666672</v>
      </c>
      <c r="L62" s="21">
        <f t="shared" si="18"/>
        <v>6815.9866666666667</v>
      </c>
      <c r="M62" s="22">
        <f t="shared" si="19"/>
        <v>4.341579299167881E-2</v>
      </c>
      <c r="N62" s="23">
        <f t="shared" si="20"/>
        <v>0.13895823350557071</v>
      </c>
      <c r="O62" s="28"/>
      <c r="P62" s="7" t="s">
        <v>35</v>
      </c>
      <c r="Q62" s="21">
        <f>M62/M60</f>
        <v>2.8430605046459598E-2</v>
      </c>
      <c r="R62" s="7" t="s">
        <v>36</v>
      </c>
      <c r="S62" s="21"/>
    </row>
    <row r="63" spans="1:19" ht="12.6">
      <c r="A63" s="5" t="s">
        <v>43</v>
      </c>
      <c r="D63" s="19"/>
      <c r="E63" s="19"/>
      <c r="F63" s="20"/>
      <c r="G63" s="5"/>
      <c r="H63" s="5"/>
      <c r="I63" s="21">
        <f>AVERAGE(320.94,320.78,319.16)</f>
        <v>320.29333333333335</v>
      </c>
      <c r="M63" s="22"/>
      <c r="N63" s="23"/>
      <c r="O63" s="28"/>
      <c r="P63" s="7" t="s">
        <v>44</v>
      </c>
    </row>
    <row r="64" spans="1:19" ht="12.6">
      <c r="A64" s="5"/>
      <c r="D64" s="19"/>
      <c r="E64" s="19"/>
      <c r="F64" s="20"/>
      <c r="G64" s="5"/>
      <c r="H64" s="5"/>
      <c r="M64" s="22"/>
      <c r="N64" s="23"/>
      <c r="O64" s="28"/>
    </row>
    <row r="65" spans="1:19" ht="12.6">
      <c r="A65" s="5" t="s">
        <v>86</v>
      </c>
      <c r="B65" s="7" t="s">
        <v>87</v>
      </c>
      <c r="C65" s="18">
        <v>45547</v>
      </c>
      <c r="D65" s="30">
        <f>69+20.6579/60</f>
        <v>69.344298333333327</v>
      </c>
      <c r="E65" s="30">
        <f>20+0.4084/60</f>
        <v>20.006806666666666</v>
      </c>
      <c r="F65" s="20" t="s">
        <v>74</v>
      </c>
      <c r="G65" s="5">
        <v>250</v>
      </c>
      <c r="H65" s="5">
        <v>5</v>
      </c>
      <c r="I65" s="21">
        <v>201008.18</v>
      </c>
      <c r="J65" s="21">
        <v>13486</v>
      </c>
      <c r="K65" s="21">
        <f>I65-$I$63</f>
        <v>200687.88666666666</v>
      </c>
      <c r="L65" s="21">
        <f>J65-$I$63</f>
        <v>13165.706666666667</v>
      </c>
      <c r="M65" s="22">
        <f>$B$4*$B$3*(K65-L65)*(H65/G65)</f>
        <v>6.6285827151497108</v>
      </c>
      <c r="N65" s="23">
        <f>$B$4*$B$3*(($B$2*L65)-K65)*(H65/G65)</f>
        <v>-6.2763104684588402</v>
      </c>
      <c r="O65" s="28"/>
      <c r="P65" s="7" t="s">
        <v>29</v>
      </c>
      <c r="Q65" s="21">
        <f>(M65-M66)/M65</f>
        <v>0.98990306106722947</v>
      </c>
      <c r="R65" s="7" t="s">
        <v>30</v>
      </c>
    </row>
    <row r="66" spans="1:19" ht="12.6">
      <c r="A66" s="5" t="s">
        <v>88</v>
      </c>
      <c r="B66" s="7" t="s">
        <v>87</v>
      </c>
      <c r="C66" s="18">
        <v>45547</v>
      </c>
      <c r="D66" s="30">
        <f>69+20.6579/60</f>
        <v>69.344298333333327</v>
      </c>
      <c r="E66" s="30">
        <f>20+0.4084/60</f>
        <v>20.006806666666666</v>
      </c>
      <c r="F66" s="20" t="s">
        <v>74</v>
      </c>
      <c r="G66" s="5">
        <v>250</v>
      </c>
      <c r="H66" s="5">
        <v>5</v>
      </c>
      <c r="I66" s="21">
        <v>7193.83</v>
      </c>
      <c r="J66" s="21">
        <v>5300.43</v>
      </c>
      <c r="K66" s="21">
        <f t="shared" ref="K66:K76" si="21">I66-$I$63</f>
        <v>6873.5366666666669</v>
      </c>
      <c r="L66" s="21">
        <f t="shared" ref="L66:L76" si="22">J66-$I$63</f>
        <v>4980.1366666666672</v>
      </c>
      <c r="M66" s="22">
        <f t="shared" ref="M66:M76" si="23">$B$4*$B$3*(K66-L66)*(H66/G66)</f>
        <v>6.6928394885684778E-2</v>
      </c>
      <c r="N66" s="23">
        <f t="shared" ref="N66:N67" si="24">$B$4*$B$3*(($B$2*L66)-K66)*(H66/G66)</f>
        <v>6.6324151051404906E-2</v>
      </c>
      <c r="O66" s="28"/>
      <c r="P66" s="7" t="s">
        <v>32</v>
      </c>
      <c r="Q66" s="21">
        <f>(M66-M67)/M65</f>
        <v>5.7004990023046872E-3</v>
      </c>
      <c r="R66" s="7" t="s">
        <v>33</v>
      </c>
    </row>
    <row r="67" spans="1:19" ht="12.6">
      <c r="A67" s="5" t="s">
        <v>89</v>
      </c>
      <c r="B67" s="7" t="s">
        <v>87</v>
      </c>
      <c r="C67" s="18">
        <v>45547</v>
      </c>
      <c r="D67" s="30">
        <f>69+20.6579/60</f>
        <v>69.344298333333327</v>
      </c>
      <c r="E67" s="30">
        <f>20+0.4084/60</f>
        <v>20.006806666666666</v>
      </c>
      <c r="F67" s="20" t="s">
        <v>74</v>
      </c>
      <c r="G67" s="5">
        <v>250</v>
      </c>
      <c r="H67" s="5">
        <v>5</v>
      </c>
      <c r="I67" s="21">
        <v>2420.46</v>
      </c>
      <c r="J67" s="21">
        <v>1596.03</v>
      </c>
      <c r="K67" s="21">
        <f t="shared" si="21"/>
        <v>2100.1666666666665</v>
      </c>
      <c r="L67" s="21">
        <f t="shared" si="22"/>
        <v>1275.7366666666667</v>
      </c>
      <c r="M67" s="22">
        <f t="shared" si="23"/>
        <v>2.914216573127976E-2</v>
      </c>
      <c r="N67" s="23">
        <f t="shared" si="24"/>
        <v>4.992471560192756E-3</v>
      </c>
      <c r="O67" s="28"/>
      <c r="P67" s="7" t="s">
        <v>35</v>
      </c>
      <c r="Q67" s="21">
        <f>M67/M65</f>
        <v>4.3964399304658244E-3</v>
      </c>
      <c r="R67" s="7" t="s">
        <v>36</v>
      </c>
      <c r="S67" s="21"/>
    </row>
    <row r="68" spans="1:19" ht="12.6">
      <c r="A68" s="5" t="s">
        <v>90</v>
      </c>
      <c r="B68" s="7" t="s">
        <v>87</v>
      </c>
      <c r="C68" s="18">
        <v>45547</v>
      </c>
      <c r="D68" s="30">
        <f t="shared" ref="D68:D76" si="25">69+20.6579/60</f>
        <v>69.344298333333327</v>
      </c>
      <c r="E68" s="30">
        <f t="shared" ref="E68:E76" si="26">20+0.4084/60</f>
        <v>20.006806666666666</v>
      </c>
      <c r="F68" s="20">
        <v>20</v>
      </c>
      <c r="G68" s="5">
        <v>250</v>
      </c>
      <c r="H68" s="5">
        <v>5</v>
      </c>
      <c r="I68" s="21">
        <v>26223.59</v>
      </c>
      <c r="J68" s="21">
        <v>17154.96</v>
      </c>
      <c r="K68" s="21">
        <f t="shared" si="21"/>
        <v>25903.296666666665</v>
      </c>
      <c r="L68" s="21">
        <f t="shared" si="22"/>
        <v>16834.666666666664</v>
      </c>
      <c r="M68" s="22">
        <f t="shared" si="23"/>
        <v>0.32056028821810906</v>
      </c>
      <c r="N68" s="23">
        <f>$B$4*$B$3*(($B$2*L68)-K68)*(H68/G68)</f>
        <v>0.12988160594723017</v>
      </c>
      <c r="O68" s="28"/>
      <c r="P68" s="7" t="s">
        <v>29</v>
      </c>
      <c r="Q68" s="21">
        <f>(M68-M69)/M68</f>
        <v>0.72297910489235973</v>
      </c>
      <c r="R68" s="7" t="s">
        <v>30</v>
      </c>
    </row>
    <row r="69" spans="1:19" ht="12.6">
      <c r="A69" s="5" t="s">
        <v>91</v>
      </c>
      <c r="B69" s="7" t="s">
        <v>87</v>
      </c>
      <c r="C69" s="18">
        <v>45547</v>
      </c>
      <c r="D69" s="30">
        <f t="shared" si="25"/>
        <v>69.344298333333327</v>
      </c>
      <c r="E69" s="30">
        <f t="shared" si="26"/>
        <v>20.006806666666666</v>
      </c>
      <c r="F69" s="20">
        <v>20</v>
      </c>
      <c r="G69" s="5">
        <v>250</v>
      </c>
      <c r="H69" s="5">
        <v>5</v>
      </c>
      <c r="I69" s="21">
        <v>8158.61</v>
      </c>
      <c r="J69" s="21">
        <v>5646.41</v>
      </c>
      <c r="K69" s="21">
        <f t="shared" si="21"/>
        <v>7838.3166666666666</v>
      </c>
      <c r="L69" s="21">
        <f t="shared" si="22"/>
        <v>5326.1166666666668</v>
      </c>
      <c r="M69" s="22">
        <f t="shared" si="23"/>
        <v>8.8801897978143723E-2</v>
      </c>
      <c r="N69" s="23">
        <f t="shared" ref="N69:N76" si="27">$B$4*$B$3*(($B$2*L69)-K69)*(H69/G69)</f>
        <v>5.3707967371863202E-2</v>
      </c>
      <c r="O69" s="28"/>
      <c r="P69" s="7" t="s">
        <v>32</v>
      </c>
      <c r="Q69" s="21">
        <f>(M69-M70)/M68</f>
        <v>0.15064899549325533</v>
      </c>
      <c r="R69" s="7" t="s">
        <v>33</v>
      </c>
    </row>
    <row r="70" spans="1:19" ht="12.6">
      <c r="A70" s="5" t="s">
        <v>92</v>
      </c>
      <c r="B70" s="7" t="s">
        <v>87</v>
      </c>
      <c r="C70" s="18">
        <v>45547</v>
      </c>
      <c r="D70" s="30">
        <f t="shared" si="25"/>
        <v>69.344298333333327</v>
      </c>
      <c r="E70" s="30">
        <f t="shared" si="26"/>
        <v>20.006806666666666</v>
      </c>
      <c r="F70" s="20">
        <v>20</v>
      </c>
      <c r="G70" s="5">
        <v>250</v>
      </c>
      <c r="H70" s="5">
        <v>5</v>
      </c>
      <c r="I70" s="21">
        <v>3414.42</v>
      </c>
      <c r="J70" s="21">
        <v>2268.4</v>
      </c>
      <c r="K70" s="21">
        <f t="shared" si="21"/>
        <v>3094.1266666666666</v>
      </c>
      <c r="L70" s="21">
        <f t="shared" si="22"/>
        <v>1948.1066666666668</v>
      </c>
      <c r="M70" s="22">
        <f t="shared" si="23"/>
        <v>4.0509812563057183E-2</v>
      </c>
      <c r="N70" s="23">
        <f t="shared" si="27"/>
        <v>1.1615297743223028E-2</v>
      </c>
      <c r="O70" s="28"/>
      <c r="P70" s="7" t="s">
        <v>35</v>
      </c>
      <c r="Q70" s="21">
        <f>M70/M68</f>
        <v>0.12637189961438494</v>
      </c>
      <c r="R70" s="7" t="s">
        <v>36</v>
      </c>
      <c r="S70" s="21"/>
    </row>
    <row r="71" spans="1:19" ht="12.6">
      <c r="A71" s="5" t="s">
        <v>93</v>
      </c>
      <c r="B71" s="7" t="s">
        <v>87</v>
      </c>
      <c r="C71" s="18">
        <v>45547</v>
      </c>
      <c r="D71" s="30">
        <f t="shared" si="25"/>
        <v>69.344298333333327</v>
      </c>
      <c r="E71" s="30">
        <f t="shared" si="26"/>
        <v>20.006806666666666</v>
      </c>
      <c r="F71" s="20">
        <v>10</v>
      </c>
      <c r="G71" s="5">
        <v>250</v>
      </c>
      <c r="H71" s="5">
        <v>5</v>
      </c>
      <c r="I71" s="21">
        <v>89007.8</v>
      </c>
      <c r="J71" s="21">
        <v>57584.5</v>
      </c>
      <c r="K71" s="21">
        <f t="shared" si="21"/>
        <v>88687.506666666668</v>
      </c>
      <c r="L71" s="21">
        <f t="shared" si="22"/>
        <v>57264.206666666665</v>
      </c>
      <c r="M71" s="22">
        <f t="shared" si="23"/>
        <v>1.1107589685282238</v>
      </c>
      <c r="N71" s="23">
        <f t="shared" si="27"/>
        <v>0.42144824587907764</v>
      </c>
      <c r="O71" s="28"/>
      <c r="P71" s="7" t="s">
        <v>29</v>
      </c>
      <c r="Q71" s="21">
        <f>(M71-M72)/M71</f>
        <v>0.83479997326824362</v>
      </c>
      <c r="R71" s="7" t="s">
        <v>30</v>
      </c>
    </row>
    <row r="72" spans="1:19" ht="12.6">
      <c r="A72" s="5" t="s">
        <v>94</v>
      </c>
      <c r="B72" s="7" t="s">
        <v>87</v>
      </c>
      <c r="C72" s="18">
        <v>45547</v>
      </c>
      <c r="D72" s="30">
        <f t="shared" si="25"/>
        <v>69.344298333333327</v>
      </c>
      <c r="E72" s="30">
        <f t="shared" si="26"/>
        <v>20.006806666666666</v>
      </c>
      <c r="F72" s="20">
        <v>10</v>
      </c>
      <c r="G72" s="5">
        <v>250</v>
      </c>
      <c r="H72" s="5">
        <v>5</v>
      </c>
      <c r="I72" s="21">
        <v>15563.84</v>
      </c>
      <c r="J72" s="21">
        <v>10372.709999999999</v>
      </c>
      <c r="K72" s="21">
        <f t="shared" si="21"/>
        <v>15243.546666666667</v>
      </c>
      <c r="L72" s="21">
        <f t="shared" si="22"/>
        <v>10052.416666666666</v>
      </c>
      <c r="M72" s="22">
        <f t="shared" si="23"/>
        <v>0.18349741129340075</v>
      </c>
      <c r="N72" s="23">
        <f t="shared" si="27"/>
        <v>8.5473141787893378E-2</v>
      </c>
      <c r="O72" s="28"/>
      <c r="P72" s="7" t="s">
        <v>32</v>
      </c>
      <c r="Q72" s="21">
        <f>(M72-M73)/M71</f>
        <v>0.11136672469155058</v>
      </c>
      <c r="R72" s="7" t="s">
        <v>33</v>
      </c>
    </row>
    <row r="73" spans="1:19" ht="12.6">
      <c r="A73" s="5" t="s">
        <v>95</v>
      </c>
      <c r="B73" s="7" t="s">
        <v>87</v>
      </c>
      <c r="C73" s="18">
        <v>45547</v>
      </c>
      <c r="D73" s="30">
        <f t="shared" si="25"/>
        <v>69.344298333333327</v>
      </c>
      <c r="E73" s="30">
        <f t="shared" si="26"/>
        <v>20.006806666666666</v>
      </c>
      <c r="F73" s="20">
        <v>10</v>
      </c>
      <c r="G73" s="5">
        <v>250</v>
      </c>
      <c r="H73" s="5">
        <v>5</v>
      </c>
      <c r="I73" s="21">
        <v>6795.59</v>
      </c>
      <c r="J73" s="21">
        <v>5103.97</v>
      </c>
      <c r="K73" s="21">
        <f t="shared" si="21"/>
        <v>6475.2966666666671</v>
      </c>
      <c r="L73" s="21">
        <f t="shared" si="22"/>
        <v>4783.6766666666672</v>
      </c>
      <c r="M73" s="22">
        <f t="shared" si="23"/>
        <v>5.9795823046647351E-2</v>
      </c>
      <c r="N73" s="23">
        <f t="shared" si="27"/>
        <v>6.8200080969343685E-2</v>
      </c>
      <c r="O73" s="28"/>
      <c r="P73" s="7" t="s">
        <v>35</v>
      </c>
      <c r="Q73" s="21">
        <f>M73/M71</f>
        <v>5.3833302040205831E-2</v>
      </c>
      <c r="R73" s="7" t="s">
        <v>36</v>
      </c>
      <c r="S73" s="21"/>
    </row>
    <row r="74" spans="1:19" ht="12.6">
      <c r="A74" s="5" t="s">
        <v>96</v>
      </c>
      <c r="B74" s="7" t="s">
        <v>87</v>
      </c>
      <c r="C74" s="18">
        <v>45547</v>
      </c>
      <c r="D74" s="30">
        <f t="shared" si="25"/>
        <v>69.344298333333327</v>
      </c>
      <c r="E74" s="30">
        <f t="shared" si="26"/>
        <v>20.006806666666666</v>
      </c>
      <c r="F74" s="20">
        <v>2</v>
      </c>
      <c r="G74" s="5">
        <v>250</v>
      </c>
      <c r="H74" s="5">
        <v>5</v>
      </c>
      <c r="I74" s="21">
        <v>121524.09</v>
      </c>
      <c r="J74" s="21">
        <v>79899.25</v>
      </c>
      <c r="K74" s="21">
        <f t="shared" si="21"/>
        <v>121203.79666666666</v>
      </c>
      <c r="L74" s="21">
        <f t="shared" si="22"/>
        <v>79578.956666666665</v>
      </c>
      <c r="M74" s="22">
        <f t="shared" si="23"/>
        <v>1.4713656536249327</v>
      </c>
      <c r="N74" s="23">
        <f t="shared" si="27"/>
        <v>0.65791297638267754</v>
      </c>
      <c r="O74" s="28"/>
      <c r="P74" s="7" t="s">
        <v>29</v>
      </c>
      <c r="Q74" s="21">
        <f>(M74-M75)/M74</f>
        <v>0.82348328546127747</v>
      </c>
      <c r="R74" s="7" t="s">
        <v>30</v>
      </c>
    </row>
    <row r="75" spans="1:19" ht="12.6">
      <c r="A75" s="5" t="s">
        <v>97</v>
      </c>
      <c r="B75" s="7" t="s">
        <v>87</v>
      </c>
      <c r="C75" s="18">
        <v>45547</v>
      </c>
      <c r="D75" s="30">
        <f t="shared" si="25"/>
        <v>69.344298333333327</v>
      </c>
      <c r="E75" s="30">
        <f t="shared" si="26"/>
        <v>20.006806666666666</v>
      </c>
      <c r="F75" s="20">
        <v>2</v>
      </c>
      <c r="G75" s="5">
        <v>250</v>
      </c>
      <c r="H75" s="5">
        <v>5</v>
      </c>
      <c r="I75" s="21">
        <v>24497.17</v>
      </c>
      <c r="J75" s="21">
        <v>17149.689999999999</v>
      </c>
      <c r="K75" s="21">
        <f t="shared" si="21"/>
        <v>24176.876666666663</v>
      </c>
      <c r="L75" s="21">
        <f t="shared" si="22"/>
        <v>16829.396666666664</v>
      </c>
      <c r="M75" s="22">
        <f t="shared" si="23"/>
        <v>0.25972063106299315</v>
      </c>
      <c r="N75" s="23">
        <f t="shared" si="27"/>
        <v>0.19058025473970636</v>
      </c>
      <c r="O75" s="28"/>
      <c r="P75" s="7" t="s">
        <v>32</v>
      </c>
      <c r="Q75" s="21">
        <f>(M75-M76)/M74</f>
        <v>9.5835323330972569E-2</v>
      </c>
      <c r="R75" s="7" t="s">
        <v>33</v>
      </c>
    </row>
    <row r="76" spans="1:19" ht="12.6">
      <c r="A76" s="5" t="s">
        <v>98</v>
      </c>
      <c r="B76" s="7" t="s">
        <v>87</v>
      </c>
      <c r="C76" s="18">
        <v>45547</v>
      </c>
      <c r="D76" s="30">
        <f t="shared" si="25"/>
        <v>69.344298333333327</v>
      </c>
      <c r="E76" s="30">
        <f t="shared" si="26"/>
        <v>20.006806666666666</v>
      </c>
      <c r="F76" s="20">
        <v>2</v>
      </c>
      <c r="G76" s="5">
        <v>250</v>
      </c>
      <c r="H76" s="5">
        <v>5</v>
      </c>
      <c r="I76" s="21">
        <v>9314.23</v>
      </c>
      <c r="J76" s="21">
        <v>5955.88</v>
      </c>
      <c r="K76" s="21">
        <f t="shared" si="21"/>
        <v>8993.9366666666665</v>
      </c>
      <c r="L76" s="21">
        <f t="shared" si="22"/>
        <v>5635.586666666667</v>
      </c>
      <c r="M76" s="22">
        <f t="shared" si="23"/>
        <v>0.11871182790975994</v>
      </c>
      <c r="N76" s="23">
        <f t="shared" si="27"/>
        <v>3.2078465900607374E-2</v>
      </c>
      <c r="O76" s="28"/>
      <c r="P76" s="7" t="s">
        <v>35</v>
      </c>
      <c r="Q76" s="21">
        <f>M76/M74</f>
        <v>8.0681391207749975E-2</v>
      </c>
      <c r="R76" s="7" t="s">
        <v>36</v>
      </c>
      <c r="S76" s="21"/>
    </row>
    <row r="77" spans="1:19" ht="12.6">
      <c r="A77" s="5"/>
      <c r="D77" s="19"/>
      <c r="E77" s="19"/>
      <c r="F77" s="20"/>
      <c r="G77" s="5"/>
      <c r="H77" s="5"/>
      <c r="M77" s="22"/>
      <c r="N77" s="23"/>
      <c r="O77" s="28"/>
    </row>
    <row r="78" spans="1:19" ht="12.6">
      <c r="A78" s="5" t="s">
        <v>99</v>
      </c>
      <c r="B78" s="7" t="s">
        <v>100</v>
      </c>
      <c r="C78" s="18">
        <v>45547</v>
      </c>
      <c r="D78" s="30">
        <f>69+20.6964/60</f>
        <v>69.344939999999994</v>
      </c>
      <c r="E78" s="30">
        <f>20+2.032/60</f>
        <v>20.033866666666668</v>
      </c>
      <c r="F78" s="20" t="s">
        <v>74</v>
      </c>
      <c r="G78" s="5">
        <v>250</v>
      </c>
      <c r="H78" s="5">
        <v>5</v>
      </c>
      <c r="I78" s="21">
        <v>14016.11</v>
      </c>
      <c r="J78" s="21">
        <f>10434.18</f>
        <v>10434.18</v>
      </c>
      <c r="K78" s="21">
        <f>I78-$I$63</f>
        <v>13695.816666666668</v>
      </c>
      <c r="L78" s="21">
        <f>J78-$I$63</f>
        <v>10113.886666666667</v>
      </c>
      <c r="M78" s="22">
        <f>$B$4*$B$3*(K78-L78)*(H78/G78)</f>
        <v>0.12661499180990859</v>
      </c>
      <c r="N78" s="23">
        <f>$B$4*$B$3*(($B$2*L78)-K78)*(H78/G78)</f>
        <v>0.14400030207811432</v>
      </c>
      <c r="O78" s="28"/>
      <c r="P78" s="7" t="s">
        <v>29</v>
      </c>
      <c r="Q78" s="21">
        <f>(M78-M79)/M78</f>
        <v>0.29261878372832534</v>
      </c>
      <c r="R78" s="7" t="s">
        <v>30</v>
      </c>
    </row>
    <row r="79" spans="1:19" ht="12.6">
      <c r="A79" s="5" t="s">
        <v>101</v>
      </c>
      <c r="B79" s="7" t="s">
        <v>100</v>
      </c>
      <c r="C79" s="18">
        <v>45547</v>
      </c>
      <c r="D79" s="30">
        <f>69+20.6964/60</f>
        <v>69.344939999999994</v>
      </c>
      <c r="E79" s="30">
        <f>20+2.032/60</f>
        <v>20.033866666666668</v>
      </c>
      <c r="F79" s="20" t="s">
        <v>74</v>
      </c>
      <c r="G79" s="5">
        <v>250</v>
      </c>
      <c r="H79" s="5">
        <v>5</v>
      </c>
      <c r="I79" s="21">
        <v>9189</v>
      </c>
      <c r="J79" s="21">
        <v>6655.21</v>
      </c>
      <c r="K79" s="21">
        <f t="shared" ref="K79:K89" si="28">I79-$I$63</f>
        <v>8868.7066666666669</v>
      </c>
      <c r="L79" s="21">
        <f t="shared" ref="L79:L89" si="29">J79-$I$63</f>
        <v>6334.916666666667</v>
      </c>
      <c r="M79" s="22">
        <f t="shared" ref="M79:M89" si="30">$B$4*$B$3*(K79-L79)*(H79/G79)</f>
        <v>8.9565066904721269E-2</v>
      </c>
      <c r="N79" s="23">
        <f t="shared" ref="N79:N80" si="31">$B$4*$B$3*(($B$2*L79)-K79)*(H79/G79)</f>
        <v>7.9937063384735649E-2</v>
      </c>
      <c r="O79" s="28"/>
      <c r="P79" s="7" t="s">
        <v>32</v>
      </c>
      <c r="Q79" s="21">
        <f>(M79-M80)/M78</f>
        <v>0.35167353912555521</v>
      </c>
      <c r="R79" s="7" t="s">
        <v>33</v>
      </c>
    </row>
    <row r="80" spans="1:19" ht="12.6">
      <c r="A80" s="5" t="s">
        <v>102</v>
      </c>
      <c r="B80" s="7" t="s">
        <v>100</v>
      </c>
      <c r="C80" s="18">
        <v>45547</v>
      </c>
      <c r="D80" s="30">
        <f>69+20.6964/60</f>
        <v>69.344939999999994</v>
      </c>
      <c r="E80" s="30">
        <f>20+2.032/60</f>
        <v>20.033866666666668</v>
      </c>
      <c r="F80" s="20" t="s">
        <v>74</v>
      </c>
      <c r="G80" s="5">
        <v>250</v>
      </c>
      <c r="H80" s="5">
        <v>5</v>
      </c>
      <c r="I80" s="21">
        <v>3577.74</v>
      </c>
      <c r="J80" s="21">
        <v>2303.62</v>
      </c>
      <c r="K80" s="21">
        <f t="shared" si="28"/>
        <v>3257.4466666666663</v>
      </c>
      <c r="L80" s="21">
        <f t="shared" si="29"/>
        <v>1983.3266666666666</v>
      </c>
      <c r="M80" s="22">
        <f t="shared" si="30"/>
        <v>4.5037924628577523E-2</v>
      </c>
      <c r="N80" s="23">
        <f t="shared" si="31"/>
        <v>8.0295603517385981E-3</v>
      </c>
      <c r="O80" s="28"/>
      <c r="P80" s="7" t="s">
        <v>35</v>
      </c>
      <c r="Q80" s="21">
        <f>M80/M78</f>
        <v>0.35570767714611945</v>
      </c>
      <c r="R80" s="7" t="s">
        <v>36</v>
      </c>
      <c r="S80" s="21"/>
    </row>
    <row r="81" spans="1:19" ht="12.6">
      <c r="A81" s="5" t="s">
        <v>103</v>
      </c>
      <c r="B81" s="7" t="s">
        <v>100</v>
      </c>
      <c r="C81" s="18">
        <v>45547</v>
      </c>
      <c r="D81" s="30">
        <f t="shared" ref="D81:D89" si="32">69+20.6964/60</f>
        <v>69.344939999999994</v>
      </c>
      <c r="E81" s="30">
        <f t="shared" ref="E81:E89" si="33">20+2.032/60</f>
        <v>20.033866666666668</v>
      </c>
      <c r="F81" s="20">
        <v>20</v>
      </c>
      <c r="G81" s="5">
        <v>250</v>
      </c>
      <c r="H81" s="5">
        <v>5</v>
      </c>
      <c r="I81" s="21">
        <v>43574.95</v>
      </c>
      <c r="J81" s="21">
        <v>30912.94</v>
      </c>
      <c r="K81" s="21">
        <f t="shared" si="28"/>
        <v>43254.656666666662</v>
      </c>
      <c r="L81" s="21">
        <f t="shared" si="29"/>
        <v>30592.646666666664</v>
      </c>
      <c r="M81" s="22">
        <f t="shared" si="30"/>
        <v>0.44758001760139932</v>
      </c>
      <c r="N81" s="23">
        <f>$B$4*$B$3*(($B$2*L81)-K81)*(H81/G81)</f>
        <v>0.37098146537406496</v>
      </c>
      <c r="O81" s="28"/>
      <c r="P81" s="7" t="s">
        <v>29</v>
      </c>
      <c r="Q81" s="21">
        <f>(M81-M82)/M81</f>
        <v>0.63916787303121703</v>
      </c>
      <c r="R81" s="7" t="s">
        <v>30</v>
      </c>
    </row>
    <row r="82" spans="1:19" ht="12.6">
      <c r="A82" s="5" t="s">
        <v>104</v>
      </c>
      <c r="B82" s="7" t="s">
        <v>100</v>
      </c>
      <c r="C82" s="18">
        <v>45547</v>
      </c>
      <c r="D82" s="30">
        <f t="shared" si="32"/>
        <v>69.344939999999994</v>
      </c>
      <c r="E82" s="30">
        <f t="shared" si="33"/>
        <v>20.033866666666668</v>
      </c>
      <c r="F82" s="20">
        <v>20</v>
      </c>
      <c r="G82" s="5">
        <v>250</v>
      </c>
      <c r="H82" s="5">
        <v>5</v>
      </c>
      <c r="I82" s="21">
        <v>13813.27</v>
      </c>
      <c r="J82" s="21">
        <v>9244.41</v>
      </c>
      <c r="K82" s="21">
        <f t="shared" si="28"/>
        <v>13492.976666666667</v>
      </c>
      <c r="L82" s="21">
        <f t="shared" si="29"/>
        <v>8924.1166666666668</v>
      </c>
      <c r="M82" s="22">
        <f t="shared" si="30"/>
        <v>0.16150124973983829</v>
      </c>
      <c r="N82" s="23">
        <f t="shared" ref="N82:N89" si="34">$B$4*$B$3*(($B$2*L82)-K82)*(H82/G82)</f>
        <v>7.7279600197937309E-2</v>
      </c>
      <c r="O82" s="28"/>
      <c r="P82" s="7" t="s">
        <v>32</v>
      </c>
      <c r="Q82" s="21">
        <f>(M82-M83)/M81</f>
        <v>0.26306960743199548</v>
      </c>
      <c r="R82" s="7" t="s">
        <v>33</v>
      </c>
    </row>
    <row r="83" spans="1:19" ht="12.6">
      <c r="A83" s="5" t="s">
        <v>105</v>
      </c>
      <c r="B83" s="7" t="s">
        <v>100</v>
      </c>
      <c r="C83" s="18">
        <v>45547</v>
      </c>
      <c r="D83" s="30">
        <f t="shared" si="32"/>
        <v>69.344939999999994</v>
      </c>
      <c r="E83" s="30">
        <f t="shared" si="33"/>
        <v>20.033866666666668</v>
      </c>
      <c r="F83" s="20">
        <v>20</v>
      </c>
      <c r="G83" s="5">
        <v>250</v>
      </c>
      <c r="H83" s="5">
        <v>5</v>
      </c>
      <c r="I83" s="21">
        <v>3866.3</v>
      </c>
      <c r="J83" s="21">
        <v>2628.43</v>
      </c>
      <c r="K83" s="21">
        <f t="shared" si="28"/>
        <v>3546.0066666666667</v>
      </c>
      <c r="L83" s="21">
        <f t="shared" si="29"/>
        <v>2308.1366666666663</v>
      </c>
      <c r="M83" s="22">
        <f t="shared" si="30"/>
        <v>4.3756550215032559E-2</v>
      </c>
      <c r="N83" s="23">
        <f t="shared" si="34"/>
        <v>1.8001812615187154E-2</v>
      </c>
      <c r="O83" s="28"/>
      <c r="P83" s="7" t="s">
        <v>35</v>
      </c>
      <c r="Q83" s="21">
        <f>M83/M81</f>
        <v>9.7762519536787648E-2</v>
      </c>
      <c r="R83" s="7" t="s">
        <v>36</v>
      </c>
      <c r="S83" s="21"/>
    </row>
    <row r="84" spans="1:19" ht="12.6">
      <c r="A84" s="5" t="s">
        <v>106</v>
      </c>
      <c r="B84" s="7" t="s">
        <v>100</v>
      </c>
      <c r="C84" s="18">
        <v>45547</v>
      </c>
      <c r="D84" s="30">
        <f t="shared" si="32"/>
        <v>69.344939999999994</v>
      </c>
      <c r="E84" s="30">
        <f t="shared" si="33"/>
        <v>20.033866666666668</v>
      </c>
      <c r="F84" s="20">
        <v>10</v>
      </c>
      <c r="G84" s="5">
        <v>250</v>
      </c>
      <c r="H84" s="5">
        <v>5</v>
      </c>
      <c r="I84" s="21">
        <v>155584.06</v>
      </c>
      <c r="J84" s="21">
        <v>100638.53</v>
      </c>
      <c r="K84" s="21">
        <f t="shared" si="28"/>
        <v>155263.76666666666</v>
      </c>
      <c r="L84" s="21">
        <f t="shared" si="29"/>
        <v>100318.23666666666</v>
      </c>
      <c r="M84" s="22">
        <f t="shared" si="30"/>
        <v>1.9422288629149891</v>
      </c>
      <c r="N84" s="23">
        <f t="shared" si="34"/>
        <v>0.74196663903298254</v>
      </c>
      <c r="O84" s="28"/>
      <c r="P84" s="7" t="s">
        <v>29</v>
      </c>
      <c r="Q84" s="21">
        <f>(M84-M85)/M84</f>
        <v>0.67745565471840929</v>
      </c>
      <c r="R84" s="7" t="s">
        <v>30</v>
      </c>
    </row>
    <row r="85" spans="1:19" ht="12.6">
      <c r="A85" s="5" t="s">
        <v>107</v>
      </c>
      <c r="B85" s="7" t="s">
        <v>100</v>
      </c>
      <c r="C85" s="18">
        <v>45547</v>
      </c>
      <c r="D85" s="30">
        <f t="shared" si="32"/>
        <v>69.344939999999994</v>
      </c>
      <c r="E85" s="30">
        <f t="shared" si="33"/>
        <v>20.033866666666668</v>
      </c>
      <c r="F85" s="20">
        <v>10</v>
      </c>
      <c r="G85" s="5">
        <v>250</v>
      </c>
      <c r="H85" s="5">
        <v>5</v>
      </c>
      <c r="I85" s="21">
        <v>45304.92</v>
      </c>
      <c r="J85" s="21">
        <v>27582.55</v>
      </c>
      <c r="K85" s="21">
        <f t="shared" si="28"/>
        <v>44984.626666666663</v>
      </c>
      <c r="L85" s="21">
        <f t="shared" si="29"/>
        <v>27262.256666666664</v>
      </c>
      <c r="M85" s="22">
        <f t="shared" si="30"/>
        <v>0.62645493697592347</v>
      </c>
      <c r="N85" s="23">
        <f t="shared" si="34"/>
        <v>0.10299595001253171</v>
      </c>
      <c r="O85" s="28"/>
      <c r="P85" s="7" t="s">
        <v>32</v>
      </c>
      <c r="Q85" s="21">
        <f>(M85-M86)/M84</f>
        <v>0.2650619622742742</v>
      </c>
      <c r="R85" s="7" t="s">
        <v>33</v>
      </c>
    </row>
    <row r="86" spans="1:19" ht="12.6">
      <c r="A86" s="5" t="s">
        <v>108</v>
      </c>
      <c r="B86" s="7" t="s">
        <v>100</v>
      </c>
      <c r="C86" s="18">
        <v>45547</v>
      </c>
      <c r="D86" s="30">
        <f t="shared" si="32"/>
        <v>69.344939999999994</v>
      </c>
      <c r="E86" s="30">
        <f t="shared" si="33"/>
        <v>20.033866666666668</v>
      </c>
      <c r="F86" s="20">
        <v>10</v>
      </c>
      <c r="G86" s="5">
        <v>250</v>
      </c>
      <c r="H86" s="5">
        <v>5</v>
      </c>
      <c r="I86" s="21">
        <v>11727.07</v>
      </c>
      <c r="J86" s="21">
        <v>8568.67</v>
      </c>
      <c r="K86" s="21">
        <f t="shared" si="28"/>
        <v>11406.776666666667</v>
      </c>
      <c r="L86" s="21">
        <f t="shared" si="29"/>
        <v>8248.376666666667</v>
      </c>
      <c r="M86" s="22">
        <f t="shared" si="30"/>
        <v>0.11164394338594423</v>
      </c>
      <c r="N86" s="23">
        <f t="shared" si="34"/>
        <v>0.10905626310398846</v>
      </c>
      <c r="O86" s="28"/>
      <c r="P86" s="7" t="s">
        <v>35</v>
      </c>
      <c r="Q86" s="21">
        <f>M86/M84</f>
        <v>5.7482383007316507E-2</v>
      </c>
      <c r="R86" s="7" t="s">
        <v>36</v>
      </c>
      <c r="S86" s="21"/>
    </row>
    <row r="87" spans="1:19" ht="12.6">
      <c r="A87" s="5" t="s">
        <v>109</v>
      </c>
      <c r="B87" s="7" t="s">
        <v>100</v>
      </c>
      <c r="C87" s="18">
        <v>45547</v>
      </c>
      <c r="D87" s="30">
        <f t="shared" si="32"/>
        <v>69.344939999999994</v>
      </c>
      <c r="E87" s="30">
        <f t="shared" si="33"/>
        <v>20.033866666666668</v>
      </c>
      <c r="F87" s="20">
        <v>2</v>
      </c>
      <c r="G87" s="5">
        <v>250</v>
      </c>
      <c r="H87" s="5">
        <v>5</v>
      </c>
      <c r="I87" s="21">
        <v>159830.12</v>
      </c>
      <c r="J87" s="21">
        <v>103767.46</v>
      </c>
      <c r="K87" s="21">
        <f t="shared" si="28"/>
        <v>159509.82666666666</v>
      </c>
      <c r="L87" s="21">
        <f t="shared" si="29"/>
        <v>103447.16666666667</v>
      </c>
      <c r="M87" s="22">
        <f t="shared" si="30"/>
        <v>1.9817174642557751</v>
      </c>
      <c r="N87" s="23">
        <f t="shared" si="34"/>
        <v>0.78619820773283244</v>
      </c>
      <c r="O87" s="28"/>
      <c r="P87" s="7" t="s">
        <v>29</v>
      </c>
      <c r="Q87" s="21">
        <f>(M87-M88)/M87</f>
        <v>0.87551179341115815</v>
      </c>
      <c r="R87" s="7" t="s">
        <v>30</v>
      </c>
    </row>
    <row r="88" spans="1:19" ht="12.6">
      <c r="A88" s="5" t="s">
        <v>110</v>
      </c>
      <c r="B88" s="7" t="s">
        <v>100</v>
      </c>
      <c r="C88" s="18">
        <v>45547</v>
      </c>
      <c r="D88" s="30">
        <f t="shared" si="32"/>
        <v>69.344939999999994</v>
      </c>
      <c r="E88" s="30">
        <f t="shared" si="33"/>
        <v>20.033866666666668</v>
      </c>
      <c r="F88" s="20">
        <v>2</v>
      </c>
      <c r="G88" s="5">
        <v>250</v>
      </c>
      <c r="H88" s="5">
        <v>5</v>
      </c>
      <c r="I88" s="21">
        <v>21825.19</v>
      </c>
      <c r="J88" s="21">
        <v>14846.05</v>
      </c>
      <c r="K88" s="21">
        <f t="shared" si="28"/>
        <v>21504.896666666664</v>
      </c>
      <c r="L88" s="21">
        <f t="shared" si="29"/>
        <v>14525.756666666666</v>
      </c>
      <c r="M88" s="22">
        <f t="shared" si="30"/>
        <v>0.24670045309098868</v>
      </c>
      <c r="N88" s="23">
        <f t="shared" si="34"/>
        <v>0.14196238631488831</v>
      </c>
      <c r="O88" s="28"/>
      <c r="P88" s="7" t="s">
        <v>32</v>
      </c>
      <c r="Q88" s="21">
        <f>(M88-M89)/M87</f>
        <v>6.1971372746137954E-2</v>
      </c>
      <c r="R88" s="7" t="s">
        <v>33</v>
      </c>
    </row>
    <row r="89" spans="1:19" ht="12.6">
      <c r="A89" s="5" t="s">
        <v>111</v>
      </c>
      <c r="B89" s="7" t="s">
        <v>100</v>
      </c>
      <c r="C89" s="18">
        <v>45547</v>
      </c>
      <c r="D89" s="30">
        <f t="shared" si="32"/>
        <v>69.344939999999994</v>
      </c>
      <c r="E89" s="30">
        <f t="shared" si="33"/>
        <v>20.033866666666668</v>
      </c>
      <c r="F89" s="20">
        <v>2</v>
      </c>
      <c r="G89" s="5">
        <v>250</v>
      </c>
      <c r="H89" s="5">
        <v>5</v>
      </c>
      <c r="I89" s="21">
        <v>9176.99</v>
      </c>
      <c r="J89" s="21">
        <v>5672.13</v>
      </c>
      <c r="K89" s="21">
        <f t="shared" si="28"/>
        <v>8856.6966666666667</v>
      </c>
      <c r="L89" s="21">
        <f t="shared" si="29"/>
        <v>5351.836666666667</v>
      </c>
      <c r="M89" s="22">
        <f t="shared" si="30"/>
        <v>0.12389070143606272</v>
      </c>
      <c r="N89" s="23">
        <f t="shared" si="34"/>
        <v>1.9307348939957929E-2</v>
      </c>
      <c r="O89" s="28"/>
      <c r="P89" s="7" t="s">
        <v>35</v>
      </c>
      <c r="Q89" s="21">
        <f>M89/M87</f>
        <v>6.2516833842703859E-2</v>
      </c>
      <c r="R89" s="7" t="s">
        <v>36</v>
      </c>
      <c r="S89" s="21"/>
    </row>
    <row r="90" spans="1:19" ht="12.6">
      <c r="D90" s="26"/>
      <c r="E90" s="26"/>
      <c r="G90" s="5"/>
      <c r="H90" s="5"/>
      <c r="M90" s="22"/>
      <c r="N90" s="23"/>
      <c r="O90" s="28"/>
    </row>
    <row r="91" spans="1:19" ht="12.6">
      <c r="A91" s="7" t="s">
        <v>112</v>
      </c>
      <c r="B91" s="7" t="s">
        <v>113</v>
      </c>
      <c r="C91" s="18">
        <v>45548</v>
      </c>
      <c r="D91" s="31">
        <f>69+26.6302/60</f>
        <v>69.44383666666667</v>
      </c>
      <c r="E91" s="31">
        <f>20+10.853/60</f>
        <v>20.180883333333334</v>
      </c>
      <c r="F91" s="26">
        <v>50</v>
      </c>
      <c r="G91" s="5">
        <v>250</v>
      </c>
      <c r="H91" s="5">
        <v>5</v>
      </c>
      <c r="I91" s="21">
        <v>8667.1200000000008</v>
      </c>
      <c r="J91" s="21">
        <v>6115.89</v>
      </c>
      <c r="K91" s="21">
        <f>I91-$I$103</f>
        <v>8332.0433333333349</v>
      </c>
      <c r="L91" s="21">
        <f>J91-$I$103</f>
        <v>5780.8133333333335</v>
      </c>
      <c r="M91" s="22">
        <f t="shared" ref="M91:M102" si="35">$B$4*$B$3*(K91-L91)*(H91/G91)</f>
        <v>9.0181540553610273E-2</v>
      </c>
      <c r="N91" s="23">
        <f t="shared" ref="N91:N102" si="36">$B$4*$B$3*(($B$2*L91)-K91)*(H91/G91)</f>
        <v>6.4494554865539649E-2</v>
      </c>
      <c r="O91" s="28"/>
      <c r="P91" s="7" t="s">
        <v>29</v>
      </c>
      <c r="Q91" s="21">
        <f>(M91-M92)/M91</f>
        <v>0.35501699180395369</v>
      </c>
      <c r="R91" s="7" t="s">
        <v>30</v>
      </c>
    </row>
    <row r="92" spans="1:19" ht="12.6">
      <c r="A92" s="7" t="s">
        <v>114</v>
      </c>
      <c r="B92" s="7" t="s">
        <v>113</v>
      </c>
      <c r="C92" s="18">
        <v>45548</v>
      </c>
      <c r="D92" s="31">
        <f>69+26.6302/60</f>
        <v>69.44383666666667</v>
      </c>
      <c r="E92" s="31">
        <f>20+10.853/60</f>
        <v>20.180883333333334</v>
      </c>
      <c r="F92" s="26">
        <v>50</v>
      </c>
      <c r="G92" s="5">
        <v>250</v>
      </c>
      <c r="H92" s="5">
        <v>5</v>
      </c>
      <c r="I92" s="21">
        <v>5239.5</v>
      </c>
      <c r="J92" s="21">
        <v>3594</v>
      </c>
      <c r="K92" s="21">
        <f t="shared" ref="K92:K96" si="37">I92-$I$103</f>
        <v>4904.4233333333332</v>
      </c>
      <c r="L92" s="21">
        <f t="shared" ref="L92:L96" si="38">J92-$I$103</f>
        <v>3258.9233333333332</v>
      </c>
      <c r="M92" s="22">
        <f t="shared" si="35"/>
        <v>5.8165561310021298E-2</v>
      </c>
      <c r="N92" s="23">
        <f t="shared" si="36"/>
        <v>2.9032815009059656E-2</v>
      </c>
      <c r="O92" s="28"/>
      <c r="P92" s="7" t="s">
        <v>32</v>
      </c>
      <c r="Q92" s="21">
        <f>(M92-M93)/M91</f>
        <v>0.41775535721985058</v>
      </c>
      <c r="R92" s="7" t="s">
        <v>33</v>
      </c>
    </row>
    <row r="93" spans="1:19" ht="12.75" customHeight="1">
      <c r="A93" s="7" t="s">
        <v>115</v>
      </c>
      <c r="B93" s="7" t="s">
        <v>113</v>
      </c>
      <c r="C93" s="18">
        <v>45548</v>
      </c>
      <c r="D93" s="31">
        <f>69+26.6302/60</f>
        <v>69.44383666666667</v>
      </c>
      <c r="E93" s="31">
        <f>20+10.853/60</f>
        <v>20.180883333333334</v>
      </c>
      <c r="F93" s="26">
        <v>50</v>
      </c>
      <c r="G93" s="7">
        <v>250</v>
      </c>
      <c r="H93" s="7">
        <v>5</v>
      </c>
      <c r="I93" s="21">
        <v>1889.16</v>
      </c>
      <c r="J93" s="21">
        <v>1309.45</v>
      </c>
      <c r="K93" s="21">
        <f t="shared" si="37"/>
        <v>1554.0833333333335</v>
      </c>
      <c r="L93" s="21">
        <f t="shared" si="38"/>
        <v>974.37333333333345</v>
      </c>
      <c r="M93" s="22">
        <f t="shared" si="35"/>
        <v>2.0491739621411393E-2</v>
      </c>
      <c r="N93" s="23">
        <f t="shared" si="36"/>
        <v>5.5793777093463013E-3</v>
      </c>
      <c r="P93" s="7" t="s">
        <v>35</v>
      </c>
      <c r="Q93" s="21">
        <f>M93/M91</f>
        <v>0.22722765097619568</v>
      </c>
      <c r="R93" s="7" t="s">
        <v>36</v>
      </c>
      <c r="S93" s="21"/>
    </row>
    <row r="94" spans="1:19" ht="12.75" customHeight="1">
      <c r="A94" s="7" t="s">
        <v>116</v>
      </c>
      <c r="B94" s="7" t="s">
        <v>113</v>
      </c>
      <c r="C94" s="18">
        <v>45548</v>
      </c>
      <c r="D94" s="31">
        <f>69+26.6302/60</f>
        <v>69.44383666666667</v>
      </c>
      <c r="E94" s="31">
        <f>20+10.853/60</f>
        <v>20.180883333333334</v>
      </c>
      <c r="F94" s="26">
        <v>20</v>
      </c>
      <c r="G94" s="7">
        <v>250</v>
      </c>
      <c r="H94" s="7">
        <v>5</v>
      </c>
      <c r="I94" s="21">
        <v>17059.62</v>
      </c>
      <c r="J94" s="21">
        <v>11036.19</v>
      </c>
      <c r="K94" s="21">
        <f t="shared" si="37"/>
        <v>16724.543333333331</v>
      </c>
      <c r="L94" s="21">
        <f t="shared" si="38"/>
        <v>10701.113333333335</v>
      </c>
      <c r="M94" s="22">
        <f t="shared" si="35"/>
        <v>0.21291776782839342</v>
      </c>
      <c r="N94" s="23">
        <f t="shared" si="36"/>
        <v>7.3409835502707146E-2</v>
      </c>
      <c r="P94" s="7" t="s">
        <v>29</v>
      </c>
      <c r="Q94" s="21">
        <f>(M94-M95)/M94</f>
        <v>0.63280224058385315</v>
      </c>
      <c r="R94" s="7" t="s">
        <v>30</v>
      </c>
    </row>
    <row r="95" spans="1:19" ht="12.75" customHeight="1">
      <c r="A95" s="7" t="s">
        <v>117</v>
      </c>
      <c r="B95" s="7" t="s">
        <v>113</v>
      </c>
      <c r="C95" s="18">
        <v>45548</v>
      </c>
      <c r="D95" s="31">
        <f>69+26.6302/60</f>
        <v>69.44383666666667</v>
      </c>
      <c r="E95" s="31">
        <f>20+10.853/60</f>
        <v>20.180883333333334</v>
      </c>
      <c r="F95" s="26">
        <v>20</v>
      </c>
      <c r="G95" s="7">
        <v>250</v>
      </c>
      <c r="H95" s="7">
        <v>5</v>
      </c>
      <c r="I95" s="21">
        <v>6950.9</v>
      </c>
      <c r="J95" s="21">
        <v>4739.1099999999997</v>
      </c>
      <c r="K95" s="21">
        <f t="shared" si="37"/>
        <v>6615.8233333333328</v>
      </c>
      <c r="L95" s="21">
        <f t="shared" si="38"/>
        <v>4404.0333333333328</v>
      </c>
      <c r="M95" s="22">
        <f t="shared" si="35"/>
        <v>7.8182927286473414E-2</v>
      </c>
      <c r="N95" s="23">
        <f t="shared" si="36"/>
        <v>3.9654934069099985E-2</v>
      </c>
      <c r="P95" s="7" t="s">
        <v>32</v>
      </c>
      <c r="Q95" s="21">
        <f>(M95-M96)/M94</f>
        <v>0.22127923790929763</v>
      </c>
      <c r="R95" s="7" t="s">
        <v>33</v>
      </c>
    </row>
    <row r="96" spans="1:19" ht="12.75" customHeight="1">
      <c r="A96" s="7" t="s">
        <v>118</v>
      </c>
      <c r="B96" s="7" t="s">
        <v>113</v>
      </c>
      <c r="C96" s="18">
        <v>45548</v>
      </c>
      <c r="D96" s="31">
        <f>69+26.6302/60</f>
        <v>69.44383666666667</v>
      </c>
      <c r="E96" s="31">
        <f>20+10.853/60</f>
        <v>20.180883333333334</v>
      </c>
      <c r="F96" s="26">
        <v>20</v>
      </c>
      <c r="G96" s="7">
        <v>250</v>
      </c>
      <c r="H96" s="7">
        <v>5</v>
      </c>
      <c r="I96" s="21">
        <v>2355.48</v>
      </c>
      <c r="J96" s="21">
        <v>1476.55</v>
      </c>
      <c r="K96" s="21">
        <f t="shared" si="37"/>
        <v>2020.4033333333334</v>
      </c>
      <c r="L96" s="21">
        <f t="shared" si="38"/>
        <v>1141.4733333333334</v>
      </c>
      <c r="M96" s="22">
        <f t="shared" si="35"/>
        <v>3.1068645884057746E-2</v>
      </c>
      <c r="N96" s="23">
        <f t="shared" si="36"/>
        <v>-5.2646642861518204E-4</v>
      </c>
      <c r="P96" s="7" t="s">
        <v>35</v>
      </c>
      <c r="Q96" s="21">
        <f>M96/M94</f>
        <v>0.1459185215068492</v>
      </c>
      <c r="R96" s="7" t="s">
        <v>36</v>
      </c>
      <c r="S96" s="21"/>
    </row>
    <row r="97" spans="1:19" ht="12.75" customHeight="1">
      <c r="A97" s="7" t="s">
        <v>119</v>
      </c>
      <c r="B97" s="7" t="s">
        <v>113</v>
      </c>
      <c r="C97" s="18">
        <v>45548</v>
      </c>
      <c r="D97" s="31">
        <f>69+26.6302/60</f>
        <v>69.44383666666667</v>
      </c>
      <c r="E97" s="31">
        <f>20+10.853/60</f>
        <v>20.180883333333334</v>
      </c>
      <c r="F97" s="26">
        <v>10</v>
      </c>
      <c r="G97" s="7">
        <v>250</v>
      </c>
      <c r="H97" s="7">
        <v>5</v>
      </c>
      <c r="I97" s="21">
        <v>40852.79</v>
      </c>
      <c r="J97" s="21">
        <v>25817.759999999998</v>
      </c>
      <c r="K97" s="21">
        <f t="shared" ref="K97:K102" si="39">I97-$I$103</f>
        <v>40517.713333333333</v>
      </c>
      <c r="L97" s="21">
        <f t="shared" ref="L97:L102" si="40">J97-$I$103</f>
        <v>25482.683333333331</v>
      </c>
      <c r="M97" s="22">
        <f t="shared" si="35"/>
        <v>0.53146214479672416</v>
      </c>
      <c r="N97" s="23">
        <f t="shared" si="36"/>
        <v>0.15037304543071461</v>
      </c>
      <c r="P97" s="7" t="s">
        <v>29</v>
      </c>
      <c r="Q97" s="21">
        <f>(M97-M98)/M97</f>
        <v>0.73880397977257106</v>
      </c>
      <c r="R97" s="7" t="s">
        <v>30</v>
      </c>
    </row>
    <row r="98" spans="1:19" ht="12.75" customHeight="1">
      <c r="A98" s="7" t="s">
        <v>120</v>
      </c>
      <c r="B98" s="7" t="s">
        <v>113</v>
      </c>
      <c r="C98" s="18">
        <v>45548</v>
      </c>
      <c r="D98" s="31">
        <f>69+26.6302/60</f>
        <v>69.44383666666667</v>
      </c>
      <c r="E98" s="31">
        <f>20+10.853/60</f>
        <v>20.180883333333334</v>
      </c>
      <c r="F98" s="26">
        <v>10</v>
      </c>
      <c r="G98" s="7">
        <v>250</v>
      </c>
      <c r="H98" s="7">
        <v>5</v>
      </c>
      <c r="I98" s="21">
        <v>9064.18</v>
      </c>
      <c r="J98" s="21">
        <v>5137.09</v>
      </c>
      <c r="K98" s="21">
        <f t="shared" si="39"/>
        <v>8729.1033333333344</v>
      </c>
      <c r="L98" s="21">
        <f t="shared" si="40"/>
        <v>4802.0133333333333</v>
      </c>
      <c r="M98" s="22">
        <f t="shared" si="35"/>
        <v>0.13881579712243791</v>
      </c>
      <c r="N98" s="23">
        <f t="shared" si="36"/>
        <v>-1.0329262491089024E-2</v>
      </c>
      <c r="P98" s="7" t="s">
        <v>32</v>
      </c>
      <c r="Q98" s="21">
        <f>(M98-M99)/M97</f>
        <v>0.17524141953823841</v>
      </c>
      <c r="R98" s="7" t="s">
        <v>33</v>
      </c>
    </row>
    <row r="99" spans="1:19" ht="12.75" customHeight="1">
      <c r="A99" s="7" t="s">
        <v>121</v>
      </c>
      <c r="B99" s="7" t="s">
        <v>113</v>
      </c>
      <c r="C99" s="18">
        <v>45548</v>
      </c>
      <c r="D99" s="31">
        <f>69+26.6302/60</f>
        <v>69.44383666666667</v>
      </c>
      <c r="E99" s="31">
        <f>20+10.853/60</f>
        <v>20.180883333333334</v>
      </c>
      <c r="F99" s="26">
        <v>10</v>
      </c>
      <c r="G99" s="7">
        <v>250</v>
      </c>
      <c r="H99" s="7">
        <v>5</v>
      </c>
      <c r="I99" s="21">
        <v>3318.12</v>
      </c>
      <c r="J99" s="21">
        <v>2025.79</v>
      </c>
      <c r="K99" s="21">
        <f t="shared" si="39"/>
        <v>2983.0433333333331</v>
      </c>
      <c r="L99" s="21">
        <f t="shared" si="40"/>
        <v>1690.7133333333334</v>
      </c>
      <c r="M99" s="22">
        <f t="shared" si="35"/>
        <v>4.5681616437423155E-2</v>
      </c>
      <c r="N99" s="23">
        <f t="shared" si="36"/>
        <v>-4.4352937359091061E-4</v>
      </c>
      <c r="P99" s="7" t="s">
        <v>35</v>
      </c>
      <c r="Q99" s="21">
        <f>M99/M97</f>
        <v>8.5954600689190475E-2</v>
      </c>
      <c r="R99" s="7" t="s">
        <v>36</v>
      </c>
      <c r="S99" s="21"/>
    </row>
    <row r="100" spans="1:19" ht="12.75" customHeight="1">
      <c r="A100" s="7" t="s">
        <v>122</v>
      </c>
      <c r="B100" s="7" t="s">
        <v>113</v>
      </c>
      <c r="C100" s="18">
        <v>45548</v>
      </c>
      <c r="D100" s="31">
        <f>69+26.6302/60</f>
        <v>69.44383666666667</v>
      </c>
      <c r="E100" s="31">
        <f>20+10.853/60</f>
        <v>20.180883333333334</v>
      </c>
      <c r="F100" s="26">
        <v>2</v>
      </c>
      <c r="G100" s="7">
        <v>250</v>
      </c>
      <c r="H100" s="7">
        <v>5</v>
      </c>
      <c r="I100" s="21">
        <v>64980.25</v>
      </c>
      <c r="J100" s="21">
        <v>37976.44</v>
      </c>
      <c r="K100" s="21">
        <f t="shared" si="39"/>
        <v>64645.173333333332</v>
      </c>
      <c r="L100" s="21">
        <f t="shared" si="40"/>
        <v>37641.363333333335</v>
      </c>
      <c r="M100" s="22">
        <f t="shared" si="35"/>
        <v>0.95453768833738439</v>
      </c>
      <c r="N100" s="23">
        <f t="shared" si="36"/>
        <v>5.262493237577185E-2</v>
      </c>
      <c r="P100" s="7" t="s">
        <v>29</v>
      </c>
      <c r="Q100" s="21">
        <f>(M100-M101)/M100</f>
        <v>0.96400285737457048</v>
      </c>
      <c r="R100" s="7" t="s">
        <v>30</v>
      </c>
    </row>
    <row r="101" spans="1:19" ht="12.75" customHeight="1">
      <c r="A101" s="7" t="s">
        <v>123</v>
      </c>
      <c r="B101" s="7" t="s">
        <v>113</v>
      </c>
      <c r="C101" s="18">
        <v>45548</v>
      </c>
      <c r="D101" s="31">
        <f>69+26.6302/60</f>
        <v>69.44383666666667</v>
      </c>
      <c r="E101" s="31">
        <f>20+10.853/60</f>
        <v>20.180883333333334</v>
      </c>
      <c r="F101" s="26">
        <v>2</v>
      </c>
      <c r="G101" s="7">
        <v>250</v>
      </c>
      <c r="H101" s="7">
        <v>5</v>
      </c>
      <c r="I101" s="21">
        <v>7326.08</v>
      </c>
      <c r="J101" s="21">
        <v>6354.02</v>
      </c>
      <c r="K101" s="21">
        <f t="shared" si="39"/>
        <v>6991.0033333333331</v>
      </c>
      <c r="L101" s="21">
        <f t="shared" si="40"/>
        <v>6018.9433333333336</v>
      </c>
      <c r="M101" s="22">
        <f t="shared" si="35"/>
        <v>3.4360629308428606E-2</v>
      </c>
      <c r="N101" s="23">
        <f t="shared" si="36"/>
        <v>0.12668706409846039</v>
      </c>
      <c r="P101" s="7" t="s">
        <v>32</v>
      </c>
      <c r="Q101" s="21">
        <f>(M101-M102)/M100</f>
        <v>-9.0498340789688606E-3</v>
      </c>
      <c r="R101" s="7" t="s">
        <v>33</v>
      </c>
    </row>
    <row r="102" spans="1:19" ht="12.75" customHeight="1">
      <c r="A102" s="7" t="s">
        <v>124</v>
      </c>
      <c r="B102" s="7" t="s">
        <v>113</v>
      </c>
      <c r="C102" s="18">
        <v>45548</v>
      </c>
      <c r="D102" s="31">
        <f>69+26.6302/60</f>
        <v>69.44383666666667</v>
      </c>
      <c r="E102" s="31">
        <f>20+10.853/60</f>
        <v>20.180883333333334</v>
      </c>
      <c r="F102" s="26">
        <v>2</v>
      </c>
      <c r="G102" s="7">
        <v>250</v>
      </c>
      <c r="H102" s="7">
        <v>5</v>
      </c>
      <c r="I102" s="21">
        <v>2984.12</v>
      </c>
      <c r="J102" s="21">
        <v>1767.68</v>
      </c>
      <c r="K102" s="21">
        <f t="shared" si="39"/>
        <v>2649.0433333333331</v>
      </c>
      <c r="L102" s="21">
        <f t="shared" si="40"/>
        <v>1432.6033333333335</v>
      </c>
      <c r="M102" s="22">
        <f t="shared" si="35"/>
        <v>4.2999037010004425E-2</v>
      </c>
      <c r="N102" s="23">
        <f t="shared" si="36"/>
        <v>-4.6671488989095148E-3</v>
      </c>
      <c r="P102" s="7" t="s">
        <v>35</v>
      </c>
      <c r="Q102" s="21">
        <f>M102/M100</f>
        <v>4.5046976704398368E-2</v>
      </c>
      <c r="R102" s="7" t="s">
        <v>36</v>
      </c>
      <c r="S102" s="21"/>
    </row>
    <row r="103" spans="1:19" ht="12.6">
      <c r="A103" s="5" t="s">
        <v>43</v>
      </c>
      <c r="D103" s="19"/>
      <c r="E103" s="19"/>
      <c r="F103" s="20"/>
      <c r="G103" s="5"/>
      <c r="H103" s="5"/>
      <c r="I103" s="21">
        <f>AVERAGE(333.35,335.45,336.43)</f>
        <v>335.07666666666665</v>
      </c>
      <c r="M103" s="22"/>
      <c r="N103" s="23"/>
      <c r="O103" s="24"/>
      <c r="P103" s="7" t="s">
        <v>44</v>
      </c>
    </row>
    <row r="105" spans="1:19" ht="12.6">
      <c r="A105" s="7" t="s">
        <v>125</v>
      </c>
      <c r="B105" s="7" t="s">
        <v>126</v>
      </c>
      <c r="C105" s="18">
        <v>45548</v>
      </c>
      <c r="D105" s="32">
        <f>69+26.676/60</f>
        <v>69.444599999999994</v>
      </c>
      <c r="E105" s="32">
        <f>20+13.534/60</f>
        <v>20.225566666666666</v>
      </c>
      <c r="F105" s="26">
        <v>50</v>
      </c>
      <c r="G105" s="5">
        <v>250</v>
      </c>
      <c r="H105" s="5">
        <v>5</v>
      </c>
      <c r="I105" s="21">
        <v>9760.2900000000009</v>
      </c>
      <c r="J105" s="21">
        <v>6725.51</v>
      </c>
      <c r="K105" s="21">
        <f>I105-$I$103</f>
        <v>9425.213333333335</v>
      </c>
      <c r="L105" s="21">
        <f>J105-$I$103</f>
        <v>6390.4333333333334</v>
      </c>
      <c r="M105" s="22">
        <f t="shared" ref="M105:M116" si="41">$B$4*$B$3*(K105-L105)*(H105/G105)</f>
        <v>0.10727419152380828</v>
      </c>
      <c r="N105" s="23">
        <f t="shared" ref="N105:N116" si="42">$B$4*$B$3*(($B$2*L105)-K105)*(H105/G105)</f>
        <v>6.3713387392950196E-2</v>
      </c>
      <c r="O105" s="28"/>
      <c r="P105" s="7" t="s">
        <v>29</v>
      </c>
      <c r="Q105" s="21">
        <f>(M105-M106)/M105</f>
        <v>0.4838241981296833</v>
      </c>
      <c r="R105" s="7" t="s">
        <v>30</v>
      </c>
    </row>
    <row r="106" spans="1:19" ht="12.6">
      <c r="A106" s="7" t="s">
        <v>127</v>
      </c>
      <c r="B106" s="7" t="s">
        <v>126</v>
      </c>
      <c r="C106" s="18">
        <v>45548</v>
      </c>
      <c r="D106" s="32">
        <f>69+26.676/60</f>
        <v>69.444599999999994</v>
      </c>
      <c r="E106" s="32">
        <f>20+13.534/60</f>
        <v>20.225566666666666</v>
      </c>
      <c r="F106" s="26">
        <v>50</v>
      </c>
      <c r="G106" s="5">
        <v>250</v>
      </c>
      <c r="H106" s="5">
        <v>5</v>
      </c>
      <c r="I106" s="21">
        <v>5187.18</v>
      </c>
      <c r="J106" s="21">
        <v>3620.7</v>
      </c>
      <c r="K106" s="21">
        <f t="shared" ref="K106:K116" si="43">I106-$I$103</f>
        <v>4852.1033333333335</v>
      </c>
      <c r="L106" s="21">
        <f t="shared" ref="L106:L116" si="44">J106-$I$103</f>
        <v>3285.623333333333</v>
      </c>
      <c r="M106" s="22">
        <f t="shared" si="41"/>
        <v>5.5372341829791671E-2</v>
      </c>
      <c r="N106" s="23">
        <f t="shared" si="42"/>
        <v>3.2540441184256891E-2</v>
      </c>
      <c r="O106" s="28"/>
      <c r="P106" s="7" t="s">
        <v>32</v>
      </c>
      <c r="Q106" s="21">
        <f>(M106-M107)/M105</f>
        <v>0.1873414217834572</v>
      </c>
      <c r="R106" s="7" t="s">
        <v>33</v>
      </c>
    </row>
    <row r="107" spans="1:19" ht="12.75" customHeight="1">
      <c r="A107" s="7" t="s">
        <v>128</v>
      </c>
      <c r="B107" s="7" t="s">
        <v>126</v>
      </c>
      <c r="C107" s="18">
        <v>45548</v>
      </c>
      <c r="D107" s="32">
        <f>69+26.676/60</f>
        <v>69.444599999999994</v>
      </c>
      <c r="E107" s="32">
        <f>20+13.534/60</f>
        <v>20.225566666666666</v>
      </c>
      <c r="F107" s="26">
        <v>50</v>
      </c>
      <c r="G107" s="7">
        <v>250</v>
      </c>
      <c r="H107" s="7">
        <v>5</v>
      </c>
      <c r="I107" s="21">
        <v>2286.36</v>
      </c>
      <c r="J107" s="21">
        <v>1288.42</v>
      </c>
      <c r="K107" s="21">
        <f t="shared" si="43"/>
        <v>1951.2833333333335</v>
      </c>
      <c r="L107" s="21">
        <f t="shared" si="44"/>
        <v>953.34333333333348</v>
      </c>
      <c r="M107" s="22">
        <f t="shared" si="41"/>
        <v>3.5275442269050536E-2</v>
      </c>
      <c r="N107" s="23">
        <f t="shared" si="42"/>
        <v>-9.7670205485987822E-3</v>
      </c>
      <c r="P107" s="7" t="s">
        <v>35</v>
      </c>
      <c r="Q107" s="21">
        <f>M107/M105</f>
        <v>0.3288343800868595</v>
      </c>
      <c r="R107" s="7" t="s">
        <v>36</v>
      </c>
    </row>
    <row r="108" spans="1:19" ht="12.75" customHeight="1">
      <c r="A108" s="7" t="s">
        <v>129</v>
      </c>
      <c r="B108" s="7" t="s">
        <v>126</v>
      </c>
      <c r="C108" s="18">
        <v>45548</v>
      </c>
      <c r="D108" s="32">
        <f>69+26.676/60</f>
        <v>69.444599999999994</v>
      </c>
      <c r="E108" s="32">
        <f>20+13.534/60</f>
        <v>20.225566666666666</v>
      </c>
      <c r="F108" s="26">
        <v>20</v>
      </c>
      <c r="G108" s="7">
        <v>250</v>
      </c>
      <c r="H108" s="7">
        <v>5</v>
      </c>
      <c r="I108" s="21">
        <v>38419.870000000003</v>
      </c>
      <c r="J108" s="21">
        <v>24527.119999999999</v>
      </c>
      <c r="K108" s="21">
        <f t="shared" si="43"/>
        <v>38084.793333333335</v>
      </c>
      <c r="L108" s="21">
        <f t="shared" si="44"/>
        <v>24192.043333333331</v>
      </c>
      <c r="M108" s="22">
        <f t="shared" si="41"/>
        <v>0.49108453472488522</v>
      </c>
      <c r="N108" s="23">
        <f t="shared" si="42"/>
        <v>0.15621725262641176</v>
      </c>
      <c r="P108" s="7" t="s">
        <v>29</v>
      </c>
      <c r="Q108" s="21">
        <f>(M108-M109)/M108</f>
        <v>0.78462147522988601</v>
      </c>
      <c r="R108" s="7" t="s">
        <v>30</v>
      </c>
    </row>
    <row r="109" spans="1:19" ht="12.75" customHeight="1">
      <c r="A109" s="7" t="s">
        <v>130</v>
      </c>
      <c r="B109" s="7" t="s">
        <v>126</v>
      </c>
      <c r="C109" s="18">
        <v>45548</v>
      </c>
      <c r="D109" s="32">
        <f>69+26.676/60</f>
        <v>69.444599999999994</v>
      </c>
      <c r="E109" s="32">
        <f>20+13.534/60</f>
        <v>20.225566666666666</v>
      </c>
      <c r="F109" s="26">
        <v>20</v>
      </c>
      <c r="G109" s="7">
        <v>250</v>
      </c>
      <c r="H109" s="7">
        <v>5</v>
      </c>
      <c r="I109" s="21">
        <v>8792.65</v>
      </c>
      <c r="J109" s="21">
        <v>5800.45</v>
      </c>
      <c r="K109" s="21">
        <f t="shared" si="43"/>
        <v>8457.5733333333337</v>
      </c>
      <c r="L109" s="21">
        <f t="shared" si="44"/>
        <v>5465.373333333333</v>
      </c>
      <c r="M109" s="22">
        <f t="shared" si="41"/>
        <v>0.10576906262646354</v>
      </c>
      <c r="N109" s="23">
        <f t="shared" si="42"/>
        <v>4.0466866206147804E-2</v>
      </c>
      <c r="P109" s="7" t="s">
        <v>32</v>
      </c>
      <c r="Q109" s="21">
        <f>(M109-M110)/M108</f>
        <v>0.12201040110849187</v>
      </c>
      <c r="R109" s="7" t="s">
        <v>33</v>
      </c>
    </row>
    <row r="110" spans="1:19" ht="12.75" customHeight="1">
      <c r="A110" s="7" t="s">
        <v>131</v>
      </c>
      <c r="B110" s="7" t="s">
        <v>126</v>
      </c>
      <c r="C110" s="18">
        <v>45548</v>
      </c>
      <c r="D110" s="32">
        <f>69+26.676/60</f>
        <v>69.444599999999994</v>
      </c>
      <c r="E110" s="32">
        <f>20+13.534/60</f>
        <v>20.225566666666666</v>
      </c>
      <c r="F110" s="26">
        <v>20</v>
      </c>
      <c r="G110" s="7">
        <v>250</v>
      </c>
      <c r="H110" s="7">
        <v>5</v>
      </c>
      <c r="I110" s="21">
        <v>3421.96</v>
      </c>
      <c r="J110" s="21">
        <v>2124.8200000000002</v>
      </c>
      <c r="K110" s="21">
        <f t="shared" si="43"/>
        <v>3086.8833333333332</v>
      </c>
      <c r="L110" s="21">
        <f t="shared" si="44"/>
        <v>1789.7433333333336</v>
      </c>
      <c r="M110" s="22">
        <f t="shared" si="41"/>
        <v>4.585164156650319E-2</v>
      </c>
      <c r="N110" s="23">
        <f t="shared" si="42"/>
        <v>2.0361719019223747E-3</v>
      </c>
      <c r="P110" s="7" t="s">
        <v>35</v>
      </c>
      <c r="Q110" s="21">
        <f>M110/M108</f>
        <v>9.3368123661622004E-2</v>
      </c>
      <c r="R110" s="7" t="s">
        <v>36</v>
      </c>
    </row>
    <row r="111" spans="1:19" ht="12.75" customHeight="1">
      <c r="A111" s="7" t="s">
        <v>132</v>
      </c>
      <c r="B111" s="7" t="s">
        <v>126</v>
      </c>
      <c r="C111" s="18">
        <v>45548</v>
      </c>
      <c r="D111" s="32">
        <f>69+26.676/60</f>
        <v>69.444599999999994</v>
      </c>
      <c r="E111" s="32">
        <f>20+13.534/60</f>
        <v>20.225566666666666</v>
      </c>
      <c r="F111" s="26">
        <v>10</v>
      </c>
      <c r="G111" s="7">
        <v>250</v>
      </c>
      <c r="H111" s="7">
        <v>5</v>
      </c>
      <c r="I111" s="21">
        <v>62184.82</v>
      </c>
      <c r="J111" s="21">
        <v>35929.269999999997</v>
      </c>
      <c r="K111" s="21">
        <f t="shared" si="43"/>
        <v>61849.743333333332</v>
      </c>
      <c r="L111" s="21">
        <f t="shared" si="44"/>
        <v>35594.193333333329</v>
      </c>
      <c r="M111" s="22">
        <f t="shared" si="41"/>
        <v>0.92808799954623511</v>
      </c>
      <c r="N111" s="23">
        <f t="shared" si="42"/>
        <v>2.4298892562545901E-2</v>
      </c>
      <c r="P111" s="7" t="s">
        <v>29</v>
      </c>
      <c r="Q111" s="21">
        <f>(M111-M112)/M111</f>
        <v>0.88982634147827788</v>
      </c>
      <c r="R111" s="7" t="s">
        <v>30</v>
      </c>
    </row>
    <row r="112" spans="1:19" ht="12.75" customHeight="1">
      <c r="A112" s="7" t="s">
        <v>133</v>
      </c>
      <c r="B112" s="7" t="s">
        <v>126</v>
      </c>
      <c r="C112" s="18">
        <v>45548</v>
      </c>
      <c r="D112" s="32">
        <f>69+26.676/60</f>
        <v>69.444599999999994</v>
      </c>
      <c r="E112" s="32">
        <f>20+13.534/60</f>
        <v>20.225566666666666</v>
      </c>
      <c r="F112" s="26">
        <v>10</v>
      </c>
      <c r="G112" s="7">
        <v>250</v>
      </c>
      <c r="H112" s="7">
        <v>5</v>
      </c>
      <c r="I112" s="21">
        <v>9440.4699999999993</v>
      </c>
      <c r="J112" s="21">
        <v>6547.8</v>
      </c>
      <c r="K112" s="21">
        <f t="shared" si="43"/>
        <v>9105.3933333333334</v>
      </c>
      <c r="L112" s="21">
        <f t="shared" si="44"/>
        <v>6212.7233333333334</v>
      </c>
      <c r="M112" s="22">
        <f t="shared" si="41"/>
        <v>0.10225085034011505</v>
      </c>
      <c r="N112" s="23">
        <f t="shared" si="42"/>
        <v>6.3981776750325375E-2</v>
      </c>
      <c r="P112" s="7" t="s">
        <v>32</v>
      </c>
      <c r="Q112" s="21">
        <f>(M112-M113)/M111</f>
        <v>5.7244277876487074E-2</v>
      </c>
      <c r="R112" s="7" t="s">
        <v>33</v>
      </c>
    </row>
    <row r="113" spans="1:18" ht="12.75" customHeight="1">
      <c r="A113" s="7" t="s">
        <v>134</v>
      </c>
      <c r="B113" s="7" t="s">
        <v>126</v>
      </c>
      <c r="C113" s="18">
        <v>45548</v>
      </c>
      <c r="D113" s="32">
        <f>69+26.676/60</f>
        <v>69.444599999999994</v>
      </c>
      <c r="E113" s="32">
        <f>20+13.534/60</f>
        <v>20.225566666666666</v>
      </c>
      <c r="F113" s="26">
        <v>10</v>
      </c>
      <c r="G113" s="7">
        <v>250</v>
      </c>
      <c r="H113" s="7">
        <v>5</v>
      </c>
      <c r="I113" s="21">
        <v>3575.27</v>
      </c>
      <c r="J113" s="21">
        <v>2185.58</v>
      </c>
      <c r="K113" s="21">
        <f t="shared" si="43"/>
        <v>3240.1933333333332</v>
      </c>
      <c r="L113" s="21">
        <f t="shared" si="44"/>
        <v>1850.5033333333333</v>
      </c>
      <c r="M113" s="22">
        <f t="shared" si="41"/>
        <v>4.9123123000257361E-2</v>
      </c>
      <c r="N113" s="23">
        <f t="shared" si="42"/>
        <v>3.9043394330796118E-4</v>
      </c>
      <c r="P113" s="7" t="s">
        <v>35</v>
      </c>
      <c r="Q113" s="21">
        <f>M113/M111</f>
        <v>5.2929380645234995E-2</v>
      </c>
      <c r="R113" s="7" t="s">
        <v>36</v>
      </c>
    </row>
    <row r="114" spans="1:18" ht="12.75" customHeight="1">
      <c r="A114" s="7" t="s">
        <v>135</v>
      </c>
      <c r="B114" s="7" t="s">
        <v>126</v>
      </c>
      <c r="C114" s="18">
        <v>45548</v>
      </c>
      <c r="D114" s="32">
        <f>69+26.676/60</f>
        <v>69.444599999999994</v>
      </c>
      <c r="E114" s="32">
        <f>20+13.534/60</f>
        <v>20.225566666666666</v>
      </c>
      <c r="F114" s="26">
        <v>2</v>
      </c>
      <c r="G114" s="7">
        <v>250</v>
      </c>
      <c r="H114" s="7">
        <v>5</v>
      </c>
      <c r="I114" s="21">
        <v>49525.65</v>
      </c>
      <c r="J114" s="21">
        <v>28895.87</v>
      </c>
      <c r="K114" s="21">
        <f t="shared" si="43"/>
        <v>49190.573333333334</v>
      </c>
      <c r="L114" s="21">
        <f t="shared" si="44"/>
        <v>28560.793333333331</v>
      </c>
      <c r="M114" s="22">
        <f t="shared" si="41"/>
        <v>0.72922682066378075</v>
      </c>
      <c r="N114" s="23">
        <f t="shared" si="42"/>
        <v>3.496875877140028E-2</v>
      </c>
      <c r="P114" s="7" t="s">
        <v>29</v>
      </c>
      <c r="Q114" s="21">
        <f>(M114-M115)/M114</f>
        <v>0.88635264166656169</v>
      </c>
      <c r="R114" s="7" t="s">
        <v>30</v>
      </c>
    </row>
    <row r="115" spans="1:18" ht="12.75" customHeight="1">
      <c r="A115" s="7" t="s">
        <v>136</v>
      </c>
      <c r="B115" s="7" t="s">
        <v>126</v>
      </c>
      <c r="C115" s="18">
        <v>45548</v>
      </c>
      <c r="D115" s="32">
        <f>69+26.676/60</f>
        <v>69.444599999999994</v>
      </c>
      <c r="E115" s="32">
        <f>20+13.534/60</f>
        <v>20.225566666666666</v>
      </c>
      <c r="F115" s="26">
        <v>2</v>
      </c>
      <c r="G115" s="7">
        <v>250</v>
      </c>
      <c r="H115" s="7">
        <v>5</v>
      </c>
      <c r="I115" s="21">
        <v>7950.38</v>
      </c>
      <c r="J115" s="21">
        <v>5605.86</v>
      </c>
      <c r="K115" s="21">
        <f t="shared" si="43"/>
        <v>7615.3033333333333</v>
      </c>
      <c r="L115" s="21">
        <f t="shared" si="44"/>
        <v>5270.7833333333328</v>
      </c>
      <c r="M115" s="22">
        <f t="shared" si="41"/>
        <v>8.287470179433068E-2</v>
      </c>
      <c r="N115" s="23">
        <f t="shared" si="42"/>
        <v>5.8154620342634723E-2</v>
      </c>
      <c r="P115" s="7" t="s">
        <v>32</v>
      </c>
      <c r="Q115" s="21">
        <f>(M115-M116)/M114</f>
        <v>0.10227447893288245</v>
      </c>
      <c r="R115" s="7" t="s">
        <v>33</v>
      </c>
    </row>
    <row r="116" spans="1:18" ht="12.75" customHeight="1">
      <c r="A116" s="7" t="s">
        <v>137</v>
      </c>
      <c r="B116" s="7" t="s">
        <v>126</v>
      </c>
      <c r="C116" s="18">
        <v>45548</v>
      </c>
      <c r="D116" s="32">
        <f>69+26.676/60</f>
        <v>69.444599999999994</v>
      </c>
      <c r="E116" s="32">
        <f>20+13.534/60</f>
        <v>20.225566666666666</v>
      </c>
      <c r="F116" s="26">
        <v>2</v>
      </c>
      <c r="G116" s="7">
        <v>250</v>
      </c>
      <c r="H116" s="7">
        <v>5</v>
      </c>
      <c r="I116" s="21">
        <v>2073.4</v>
      </c>
      <c r="J116" s="21">
        <v>1838.78</v>
      </c>
      <c r="K116" s="21">
        <f t="shared" si="43"/>
        <v>1738.3233333333335</v>
      </c>
      <c r="L116" s="21">
        <f t="shared" si="44"/>
        <v>1503.7033333333334</v>
      </c>
      <c r="M116" s="22">
        <f t="shared" si="41"/>
        <v>8.2934086870599839E-3</v>
      </c>
      <c r="N116" s="23">
        <f t="shared" si="42"/>
        <v>3.1940888263443018E-2</v>
      </c>
      <c r="P116" s="7" t="s">
        <v>35</v>
      </c>
      <c r="Q116" s="21">
        <f>M116/M114</f>
        <v>1.13728794005559E-2</v>
      </c>
      <c r="R116" s="7" t="s">
        <v>36</v>
      </c>
    </row>
    <row r="118" spans="1:18" ht="12.6">
      <c r="A118" s="7" t="s">
        <v>138</v>
      </c>
      <c r="B118" s="7" t="s">
        <v>139</v>
      </c>
      <c r="C118" s="18">
        <v>45548</v>
      </c>
      <c r="D118" s="32">
        <f>69+26.775/60</f>
        <v>69.446250000000006</v>
      </c>
      <c r="E118" s="32">
        <f>20+15.398/60</f>
        <v>20.256633333333333</v>
      </c>
      <c r="F118" s="26">
        <v>50</v>
      </c>
      <c r="G118" s="5">
        <v>250</v>
      </c>
      <c r="H118" s="5">
        <v>5</v>
      </c>
      <c r="I118" s="21">
        <v>21245.57</v>
      </c>
      <c r="J118" s="21">
        <v>13692.91</v>
      </c>
      <c r="K118" s="21">
        <f>I118-$I$103</f>
        <v>20910.493333333332</v>
      </c>
      <c r="L118" s="21">
        <f>J118-$I$103</f>
        <v>13357.833333333334</v>
      </c>
      <c r="M118" s="22">
        <f t="shared" ref="M118:M129" si="45">$B$4*$B$3*(K118-L118)*(H118/G118)</f>
        <v>0.26697338698495615</v>
      </c>
      <c r="N118" s="23">
        <f t="shared" ref="N118:N129" si="46">$B$4*$B$3*(($B$2*L118)-K118)*(H118/G118)</f>
        <v>9.0439555471774555E-2</v>
      </c>
      <c r="O118" s="28"/>
      <c r="P118" s="7" t="s">
        <v>29</v>
      </c>
      <c r="Q118" s="21">
        <f>(M118-M119)/M118</f>
        <v>0.63307629365018392</v>
      </c>
      <c r="R118" s="7" t="s">
        <v>30</v>
      </c>
    </row>
    <row r="119" spans="1:18" ht="12.6">
      <c r="A119" s="7" t="s">
        <v>140</v>
      </c>
      <c r="B119" s="7" t="s">
        <v>139</v>
      </c>
      <c r="C119" s="18">
        <v>45548</v>
      </c>
      <c r="D119" s="32">
        <f>69+26.775/60</f>
        <v>69.446250000000006</v>
      </c>
      <c r="E119" s="32">
        <f>20+15.398/60</f>
        <v>20.256633333333333</v>
      </c>
      <c r="F119" s="26">
        <v>50</v>
      </c>
      <c r="G119" s="5">
        <v>250</v>
      </c>
      <c r="H119" s="5">
        <v>5</v>
      </c>
      <c r="I119" s="21">
        <v>8456.44</v>
      </c>
      <c r="J119" s="21">
        <v>5685.19</v>
      </c>
      <c r="K119" s="21">
        <f t="shared" ref="K119:K129" si="47">I119-$I$103</f>
        <v>8121.3633333333337</v>
      </c>
      <c r="L119" s="21">
        <f t="shared" ref="L119:L129" si="48">J119-$I$103</f>
        <v>5350.1133333333328</v>
      </c>
      <c r="M119" s="22">
        <f t="shared" si="45"/>
        <v>9.7958864649283856E-2</v>
      </c>
      <c r="N119" s="23">
        <f t="shared" si="46"/>
        <v>4.5193074832692082E-2</v>
      </c>
      <c r="O119" s="28"/>
      <c r="P119" s="7" t="s">
        <v>32</v>
      </c>
      <c r="Q119" s="21">
        <f>(M119-M120)/M118</f>
        <v>0.20463651216922271</v>
      </c>
      <c r="R119" s="7" t="s">
        <v>33</v>
      </c>
    </row>
    <row r="120" spans="1:18" ht="12.75" customHeight="1">
      <c r="A120" s="7" t="s">
        <v>141</v>
      </c>
      <c r="B120" s="7" t="s">
        <v>139</v>
      </c>
      <c r="C120" s="18">
        <v>45548</v>
      </c>
      <c r="D120" s="32">
        <f>69+26.775/60</f>
        <v>69.446250000000006</v>
      </c>
      <c r="E120" s="32">
        <f>20+15.398/60</f>
        <v>20.256633333333333</v>
      </c>
      <c r="F120" s="26">
        <v>50</v>
      </c>
      <c r="G120" s="7">
        <v>250</v>
      </c>
      <c r="H120" s="7">
        <v>5</v>
      </c>
      <c r="I120" s="21">
        <v>3057.67</v>
      </c>
      <c r="J120" s="21">
        <v>1831.97</v>
      </c>
      <c r="K120" s="21">
        <f t="shared" si="47"/>
        <v>2722.5933333333332</v>
      </c>
      <c r="L120" s="21">
        <f t="shared" si="48"/>
        <v>1496.8933333333334</v>
      </c>
      <c r="M120" s="22">
        <f t="shared" si="45"/>
        <v>4.332636189467827E-2</v>
      </c>
      <c r="N120" s="23">
        <f t="shared" si="46"/>
        <v>-3.2742787865995856E-3</v>
      </c>
      <c r="P120" s="7" t="s">
        <v>35</v>
      </c>
      <c r="Q120" s="21">
        <f>M120/M118</f>
        <v>0.16228719418059334</v>
      </c>
      <c r="R120" s="7" t="s">
        <v>36</v>
      </c>
    </row>
    <row r="121" spans="1:18" ht="12.75" customHeight="1">
      <c r="A121" s="7" t="s">
        <v>142</v>
      </c>
      <c r="B121" s="7" t="s">
        <v>139</v>
      </c>
      <c r="C121" s="18">
        <v>45548</v>
      </c>
      <c r="D121" s="32">
        <f>69+26.775/60</f>
        <v>69.446250000000006</v>
      </c>
      <c r="E121" s="32">
        <f>20+15.398/60</f>
        <v>20.256633333333333</v>
      </c>
      <c r="F121" s="26">
        <v>20</v>
      </c>
      <c r="G121" s="7">
        <v>250</v>
      </c>
      <c r="H121" s="7">
        <v>5</v>
      </c>
      <c r="I121" s="21">
        <v>76875.839999999997</v>
      </c>
      <c r="J121" s="21">
        <v>47090.29</v>
      </c>
      <c r="K121" s="21">
        <f t="shared" si="47"/>
        <v>76540.763333333336</v>
      </c>
      <c r="L121" s="21">
        <f t="shared" si="48"/>
        <v>46755.213333333333</v>
      </c>
      <c r="M121" s="22">
        <f t="shared" si="45"/>
        <v>1.0528673562307536</v>
      </c>
      <c r="N121" s="23">
        <f t="shared" si="46"/>
        <v>0.19815277223260722</v>
      </c>
      <c r="P121" s="7" t="s">
        <v>29</v>
      </c>
      <c r="Q121" s="21">
        <f>(M121-M122)/M121</f>
        <v>0.83134137190684743</v>
      </c>
      <c r="R121" s="7" t="s">
        <v>30</v>
      </c>
    </row>
    <row r="122" spans="1:18" ht="12.75" customHeight="1">
      <c r="A122" s="7" t="s">
        <v>143</v>
      </c>
      <c r="B122" s="7" t="s">
        <v>139</v>
      </c>
      <c r="C122" s="18">
        <v>45548</v>
      </c>
      <c r="D122" s="32">
        <f>69+26.775/60</f>
        <v>69.446250000000006</v>
      </c>
      <c r="E122" s="32">
        <f>20+15.398/60</f>
        <v>20.256633333333333</v>
      </c>
      <c r="F122" s="26">
        <v>20</v>
      </c>
      <c r="G122" s="7">
        <v>250</v>
      </c>
      <c r="H122" s="7">
        <v>5</v>
      </c>
      <c r="I122" s="21">
        <v>12673.6</v>
      </c>
      <c r="J122" s="21">
        <v>7650.01</v>
      </c>
      <c r="K122" s="21">
        <f t="shared" si="47"/>
        <v>12338.523333333334</v>
      </c>
      <c r="L122" s="21">
        <f t="shared" si="48"/>
        <v>7314.9333333333334</v>
      </c>
      <c r="M122" s="22">
        <f t="shared" si="45"/>
        <v>0.17757516386594344</v>
      </c>
      <c r="N122" s="23">
        <f t="shared" si="46"/>
        <v>1.8149081324131337E-2</v>
      </c>
      <c r="P122" s="7" t="s">
        <v>32</v>
      </c>
      <c r="Q122" s="21">
        <f>(M122-M123)/M121</f>
        <v>0.11197275188807995</v>
      </c>
      <c r="R122" s="7" t="s">
        <v>33</v>
      </c>
    </row>
    <row r="123" spans="1:18" ht="12.75" customHeight="1">
      <c r="A123" s="7" t="s">
        <v>144</v>
      </c>
      <c r="B123" s="7" t="s">
        <v>139</v>
      </c>
      <c r="C123" s="18">
        <v>45548</v>
      </c>
      <c r="D123" s="32">
        <f>69+26.775/60</f>
        <v>69.446250000000006</v>
      </c>
      <c r="E123" s="32">
        <f>20+15.398/60</f>
        <v>20.256633333333333</v>
      </c>
      <c r="F123" s="26">
        <v>20</v>
      </c>
      <c r="G123" s="7">
        <v>250</v>
      </c>
      <c r="H123" s="7">
        <v>5</v>
      </c>
      <c r="I123" s="21">
        <v>4312.5200000000004</v>
      </c>
      <c r="J123" s="21">
        <v>2624.1</v>
      </c>
      <c r="K123" s="21">
        <f t="shared" si="47"/>
        <v>3977.4433333333336</v>
      </c>
      <c r="L123" s="21">
        <f t="shared" si="48"/>
        <v>2289.0233333333331</v>
      </c>
      <c r="M123" s="22">
        <f t="shared" si="45"/>
        <v>5.9682708615658574E-2</v>
      </c>
      <c r="N123" s="23">
        <f t="shared" si="46"/>
        <v>1.5642424806105568E-3</v>
      </c>
      <c r="P123" s="7" t="s">
        <v>35</v>
      </c>
      <c r="Q123" s="21">
        <f>M123/M121</f>
        <v>5.6685876205072601E-2</v>
      </c>
      <c r="R123" s="7" t="s">
        <v>36</v>
      </c>
    </row>
    <row r="124" spans="1:18" ht="12.75" customHeight="1">
      <c r="A124" s="7" t="s">
        <v>145</v>
      </c>
      <c r="B124" s="7" t="s">
        <v>139</v>
      </c>
      <c r="C124" s="18">
        <v>45548</v>
      </c>
      <c r="D124" s="32">
        <f>69+26.775/60</f>
        <v>69.446250000000006</v>
      </c>
      <c r="E124" s="32">
        <f>20+15.398/60</f>
        <v>20.256633333333333</v>
      </c>
      <c r="F124" s="26">
        <v>10</v>
      </c>
      <c r="G124" s="7">
        <v>250</v>
      </c>
      <c r="H124" s="7">
        <v>5</v>
      </c>
      <c r="I124" s="21">
        <v>100476.85</v>
      </c>
      <c r="J124" s="21">
        <v>57271.79</v>
      </c>
      <c r="K124" s="21">
        <f t="shared" si="47"/>
        <v>100141.77333333335</v>
      </c>
      <c r="L124" s="21">
        <f t="shared" si="48"/>
        <v>56936.713333333333</v>
      </c>
      <c r="M124" s="22">
        <f t="shared" si="45"/>
        <v>1.527223680542783</v>
      </c>
      <c r="N124" s="23">
        <f t="shared" si="46"/>
        <v>-3.7791414122827077E-3</v>
      </c>
      <c r="P124" s="7" t="s">
        <v>29</v>
      </c>
      <c r="Q124" s="21">
        <f>(M124-M125)/M124</f>
        <v>0.91650885336115728</v>
      </c>
      <c r="R124" s="7" t="s">
        <v>30</v>
      </c>
    </row>
    <row r="125" spans="1:18" ht="12.75" customHeight="1">
      <c r="A125" s="7" t="s">
        <v>146</v>
      </c>
      <c r="B125" s="7" t="s">
        <v>139</v>
      </c>
      <c r="C125" s="18">
        <v>45548</v>
      </c>
      <c r="D125" s="32">
        <f>69+26.775/60</f>
        <v>69.446250000000006</v>
      </c>
      <c r="E125" s="32">
        <f>20+15.398/60</f>
        <v>20.256633333333333</v>
      </c>
      <c r="F125" s="26">
        <v>10</v>
      </c>
      <c r="G125" s="7">
        <v>250</v>
      </c>
      <c r="H125" s="7">
        <v>5</v>
      </c>
      <c r="I125" s="21">
        <v>11843.4</v>
      </c>
      <c r="J125" s="21">
        <v>8236.16</v>
      </c>
      <c r="K125" s="21">
        <f t="shared" si="47"/>
        <v>11508.323333333334</v>
      </c>
      <c r="L125" s="21">
        <f t="shared" si="48"/>
        <v>7901.083333333333</v>
      </c>
      <c r="M125" s="22">
        <f t="shared" si="45"/>
        <v>0.12750965626251065</v>
      </c>
      <c r="N125" s="23">
        <f t="shared" si="46"/>
        <v>8.3898090210532641E-2</v>
      </c>
      <c r="P125" s="7" t="s">
        <v>32</v>
      </c>
      <c r="Q125" s="21">
        <f>(M125-M126)/M124</f>
        <v>3.4429300642100737E-2</v>
      </c>
      <c r="R125" s="7" t="s">
        <v>33</v>
      </c>
    </row>
    <row r="126" spans="1:18" ht="12.75" customHeight="1">
      <c r="A126" s="7" t="s">
        <v>147</v>
      </c>
      <c r="B126" s="7" t="s">
        <v>139</v>
      </c>
      <c r="C126" s="18">
        <v>45548</v>
      </c>
      <c r="D126" s="32">
        <f>69+26.775/60</f>
        <v>69.446250000000006</v>
      </c>
      <c r="E126" s="32">
        <f>20+15.398/60</f>
        <v>20.256633333333333</v>
      </c>
      <c r="F126" s="26">
        <v>10</v>
      </c>
      <c r="G126" s="7">
        <v>250</v>
      </c>
      <c r="H126" s="7">
        <v>5</v>
      </c>
      <c r="I126" s="21">
        <v>4978.12</v>
      </c>
      <c r="J126" s="21">
        <v>2858.4</v>
      </c>
      <c r="K126" s="21">
        <f t="shared" si="47"/>
        <v>4643.0433333333331</v>
      </c>
      <c r="L126" s="21">
        <f t="shared" si="48"/>
        <v>2523.3233333333333</v>
      </c>
      <c r="M126" s="22">
        <f t="shared" si="45"/>
        <v>7.4928413017367565E-2</v>
      </c>
      <c r="N126" s="23">
        <f t="shared" si="46"/>
        <v>-7.4123424967198447E-3</v>
      </c>
      <c r="P126" s="7" t="s">
        <v>35</v>
      </c>
      <c r="Q126" s="21">
        <f>M126/M124</f>
        <v>4.9061845996742029E-2</v>
      </c>
      <c r="R126" s="7" t="s">
        <v>36</v>
      </c>
    </row>
    <row r="127" spans="1:18" ht="12.75" customHeight="1">
      <c r="A127" s="7" t="s">
        <v>148</v>
      </c>
      <c r="B127" s="7" t="s">
        <v>139</v>
      </c>
      <c r="C127" s="18">
        <v>45548</v>
      </c>
      <c r="D127" s="32">
        <f>69+26.775/60</f>
        <v>69.446250000000006</v>
      </c>
      <c r="E127" s="32">
        <f>20+15.398/60</f>
        <v>20.256633333333333</v>
      </c>
      <c r="F127" s="26">
        <v>2</v>
      </c>
      <c r="G127" s="7">
        <v>250</v>
      </c>
      <c r="H127" s="7">
        <v>5</v>
      </c>
      <c r="I127" s="21">
        <v>99012.12</v>
      </c>
      <c r="J127" s="21">
        <v>56632.88</v>
      </c>
      <c r="K127" s="21">
        <f t="shared" si="47"/>
        <v>98677.043333333335</v>
      </c>
      <c r="L127" s="21">
        <f>J127-$I$103</f>
        <v>56297.80333333333</v>
      </c>
      <c r="M127" s="22">
        <f t="shared" si="45"/>
        <v>1.4980323807305422</v>
      </c>
      <c r="N127" s="23">
        <f t="shared" si="46"/>
        <v>8.3169680822892805E-3</v>
      </c>
      <c r="P127" s="7" t="s">
        <v>29</v>
      </c>
      <c r="Q127" s="21">
        <f>(M127-M128)/M127</f>
        <v>0.98390933862900809</v>
      </c>
      <c r="R127" s="7" t="s">
        <v>30</v>
      </c>
    </row>
    <row r="128" spans="1:18" ht="12.75" customHeight="1">
      <c r="A128" s="7" t="s">
        <v>149</v>
      </c>
      <c r="B128" s="7" t="s">
        <v>139</v>
      </c>
      <c r="C128" s="18">
        <v>45548</v>
      </c>
      <c r="D128" s="32">
        <f>69+26.775/60</f>
        <v>69.446250000000006</v>
      </c>
      <c r="E128" s="32">
        <f>20+15.398/60</f>
        <v>20.256633333333333</v>
      </c>
      <c r="F128" s="26">
        <v>2</v>
      </c>
      <c r="G128" s="7">
        <v>250</v>
      </c>
      <c r="H128" s="7">
        <v>5</v>
      </c>
      <c r="I128" s="21">
        <v>10460.43</v>
      </c>
      <c r="J128" s="21">
        <v>9778.52</v>
      </c>
      <c r="K128" s="21">
        <f t="shared" si="47"/>
        <v>10125.353333333334</v>
      </c>
      <c r="L128" s="21">
        <f t="shared" si="48"/>
        <v>9443.4433333333345</v>
      </c>
      <c r="M128" s="22">
        <f t="shared" si="45"/>
        <v>2.4104331761116145E-2</v>
      </c>
      <c r="N128" s="23">
        <f t="shared" si="46"/>
        <v>0.22857204055650499</v>
      </c>
      <c r="P128" s="7" t="s">
        <v>32</v>
      </c>
      <c r="Q128" s="21">
        <f>(M128-M129)/M127</f>
        <v>-1.2007530102002763E-2</v>
      </c>
      <c r="R128" s="7" t="s">
        <v>33</v>
      </c>
    </row>
    <row r="129" spans="1:18" ht="12.75" customHeight="1">
      <c r="A129" s="7" t="s">
        <v>150</v>
      </c>
      <c r="B129" s="7" t="s">
        <v>139</v>
      </c>
      <c r="C129" s="18">
        <v>45548</v>
      </c>
      <c r="D129" s="32">
        <f>69+26.775/60</f>
        <v>69.446250000000006</v>
      </c>
      <c r="E129" s="32">
        <f>20+15.398/60</f>
        <v>20.256633333333333</v>
      </c>
      <c r="F129" s="26">
        <v>2</v>
      </c>
      <c r="G129" s="7">
        <v>250</v>
      </c>
      <c r="H129" s="7">
        <v>5</v>
      </c>
      <c r="I129" s="21">
        <v>3511.47</v>
      </c>
      <c r="J129" s="21">
        <v>2320.69</v>
      </c>
      <c r="K129" s="21">
        <f t="shared" si="47"/>
        <v>3176.393333333333</v>
      </c>
      <c r="L129" s="21">
        <f t="shared" si="48"/>
        <v>1985.6133333333335</v>
      </c>
      <c r="M129" s="22">
        <f t="shared" si="45"/>
        <v>4.2092000666512995E-2</v>
      </c>
      <c r="N129" s="23">
        <f t="shared" si="46"/>
        <v>1.1036668208028818E-2</v>
      </c>
      <c r="P129" s="7" t="s">
        <v>35</v>
      </c>
      <c r="Q129" s="21">
        <f>M129/M127</f>
        <v>2.8098191472994784E-2</v>
      </c>
      <c r="R129" s="7" t="s">
        <v>36</v>
      </c>
    </row>
  </sheetData>
  <phoneticPr fontId="10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96f10f-d666-4406-a957-f114f3c2a4c8">
      <Terms xmlns="http://schemas.microsoft.com/office/infopath/2007/PartnerControls"/>
    </lcf76f155ced4ddcb4097134ff3c332f>
    <TaxCatchAll xmlns="f8b90237-5fc7-4717-be8c-c3e6d3d3e7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0a916d09-11b3-44b5-b5f4-9aae0c201370" ContentTypeId="0x01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7DCEDAC9F9441BDF70123B61739C0" ma:contentTypeVersion="15" ma:contentTypeDescription="Create a new document." ma:contentTypeScope="" ma:versionID="8a2ec57f9bf4a9cfce44f0e86c1b980a">
  <xsd:schema xmlns:xsd="http://www.w3.org/2001/XMLSchema" xmlns:xs="http://www.w3.org/2001/XMLSchema" xmlns:p="http://schemas.microsoft.com/office/2006/metadata/properties" xmlns:ns2="5596f10f-d666-4406-a957-f114f3c2a4c8" xmlns:ns3="f8b90237-5fc7-4717-be8c-c3e6d3d3e765" targetNamespace="http://schemas.microsoft.com/office/2006/metadata/properties" ma:root="true" ma:fieldsID="3851451a2a9f3acaf4e50ca56861e79b" ns2:_="" ns3:_="">
    <xsd:import namespace="5596f10f-d666-4406-a957-f114f3c2a4c8"/>
    <xsd:import namespace="f8b90237-5fc7-4717-be8c-c3e6d3d3e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6f10f-d666-4406-a957-f114f3c2a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b90237-5fc7-4717-be8c-c3e6d3d3e76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dfb291-bfdf-4288-9b31-8a16f5bc87e9}" ma:internalName="TaxCatchAll" ma:showField="CatchAllData" ma:web="f8b90237-5fc7-4717-be8c-c3e6d3d3e7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C5B21C-9ED5-4B2D-8D44-69B9ABDBDC1D}"/>
</file>

<file path=customXml/itemProps2.xml><?xml version="1.0" encoding="utf-8"?>
<ds:datastoreItem xmlns:ds="http://schemas.openxmlformats.org/officeDocument/2006/customXml" ds:itemID="{01F67F72-29D7-42D9-8C0D-EB843B409705}"/>
</file>

<file path=customXml/itemProps3.xml><?xml version="1.0" encoding="utf-8"?>
<ds:datastoreItem xmlns:ds="http://schemas.openxmlformats.org/officeDocument/2006/customXml" ds:itemID="{04B14F8D-DDD7-4E6C-A8AD-F50A6065875A}"/>
</file>

<file path=customXml/itemProps4.xml><?xml version="1.0" encoding="utf-8"?>
<ds:datastoreItem xmlns:ds="http://schemas.openxmlformats.org/officeDocument/2006/customXml" ds:itemID="{A2464B06-1E88-4388-9A9D-9CAC9A1CCC8B}"/>
</file>

<file path=customXml/itemProps5.xml><?xml version="1.0" encoding="utf-8"?>
<ds:datastoreItem xmlns:ds="http://schemas.openxmlformats.org/officeDocument/2006/customXml" ds:itemID="{C571A761-784C-406E-AD08-383EC9B289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Norsk Polarinstitutt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Anette Wold</dc:creator>
  <cp:keywords/>
  <dc:description/>
  <cp:lastModifiedBy>Philipp Assmy</cp:lastModifiedBy>
  <cp:revision/>
  <dcterms:created xsi:type="dcterms:W3CDTF">2018-07-14T03:28:07Z</dcterms:created>
  <dcterms:modified xsi:type="dcterms:W3CDTF">2024-09-16T12:22:53Z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0x0101007BE7DCEDAC9F9441BDF70123B61739C0</vt:lpwstr>
  </property>
  <property fmtid="{D5CDD505-2E9C-101B-9397-08002B2CF9AE}" pid="3" name="MediaServiceImageTags">
    <vt:lpwstr/>
  </property>
</Properties>
</file>