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Git\SnakeRiverIPTDS\data\om_costs\"/>
    </mc:Choice>
  </mc:AlternateContent>
  <xr:revisionPtr revIDLastSave="0" documentId="13_ncr:1_{C1A9E0A6-5CAE-4B08-9FAE-B7EC4D67C6A5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O&amp;M Costs" sheetId="1" r:id="rId1"/>
    <sheet name="Biomark Table" sheetId="2" r:id="rId2"/>
    <sheet name="Fixed Costs" sheetId="3" r:id="rId3"/>
  </sheets>
  <definedNames>
    <definedName name="antenna_cost">'Fixed Costs'!$C$3</definedName>
    <definedName name="battery_cost">'Fixed Costs'!$C$4</definedName>
    <definedName name="battery_replacement">'Fixed Costs'!$C$5</definedName>
    <definedName name="communication">'Fixed Costs'!$E$2:$G$6</definedName>
    <definedName name="data_management_mnth">'Fixed Costs'!$C$7</definedName>
    <definedName name="datalogger">'Fixed Costs'!$E$8:$F$13</definedName>
    <definedName name="om_table">'Biomark Table'!$A$1:$AW$47</definedName>
    <definedName name="power">'Fixed Costs'!$E$26:$G$32</definedName>
    <definedName name="reader">'Fixed Costs'!$E$15:$F$18</definedName>
    <definedName name="solar_array_cost">'Fixed Costs'!$C$6</definedName>
    <definedName name="transceiver">'Fixed Costs'!$E$20:$F$24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56" i="1" l="1"/>
  <c r="Y56" i="1"/>
  <c r="S56" i="1"/>
  <c r="R59" i="1"/>
  <c r="R58" i="1"/>
  <c r="R57" i="1"/>
  <c r="R5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Q44" i="1"/>
  <c r="P44" i="1"/>
  <c r="P3" i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Q2" i="1"/>
  <c r="P2" i="1"/>
  <c r="O45" i="1"/>
  <c r="AD45" i="1" s="1"/>
  <c r="O46" i="1"/>
  <c r="AD46" i="1" s="1"/>
  <c r="O47" i="1"/>
  <c r="AD47" i="1" s="1"/>
  <c r="O48" i="1"/>
  <c r="O49" i="1"/>
  <c r="O50" i="1"/>
  <c r="O51" i="1"/>
  <c r="AD51" i="1" s="1"/>
  <c r="O52" i="1"/>
  <c r="O44" i="1"/>
  <c r="AD44" i="1" s="1"/>
  <c r="O3" i="1"/>
  <c r="AD3" i="1" s="1"/>
  <c r="O4" i="1"/>
  <c r="AD4" i="1" s="1"/>
  <c r="O5" i="1"/>
  <c r="AD5" i="1" s="1"/>
  <c r="O6" i="1"/>
  <c r="AD6" i="1" s="1"/>
  <c r="O7" i="1"/>
  <c r="AD7" i="1" s="1"/>
  <c r="O8" i="1"/>
  <c r="AD8" i="1" s="1"/>
  <c r="O9" i="1"/>
  <c r="AD9" i="1" s="1"/>
  <c r="O10" i="1"/>
  <c r="AD10" i="1" s="1"/>
  <c r="O11" i="1"/>
  <c r="AD11" i="1" s="1"/>
  <c r="O12" i="1"/>
  <c r="AD12" i="1" s="1"/>
  <c r="O13" i="1"/>
  <c r="AD13" i="1" s="1"/>
  <c r="O14" i="1"/>
  <c r="AD14" i="1" s="1"/>
  <c r="O15" i="1"/>
  <c r="AD15" i="1" s="1"/>
  <c r="O16" i="1"/>
  <c r="AD16" i="1" s="1"/>
  <c r="O17" i="1"/>
  <c r="AD17" i="1" s="1"/>
  <c r="O18" i="1"/>
  <c r="AD18" i="1" s="1"/>
  <c r="O19" i="1"/>
  <c r="AD19" i="1" s="1"/>
  <c r="O20" i="1"/>
  <c r="AD20" i="1" s="1"/>
  <c r="O21" i="1"/>
  <c r="AD21" i="1" s="1"/>
  <c r="O22" i="1"/>
  <c r="AD22" i="1" s="1"/>
  <c r="O23" i="1"/>
  <c r="AD23" i="1" s="1"/>
  <c r="O24" i="1"/>
  <c r="AD24" i="1" s="1"/>
  <c r="O25" i="1"/>
  <c r="AD25" i="1" s="1"/>
  <c r="O26" i="1"/>
  <c r="AD26" i="1" s="1"/>
  <c r="O2" i="1"/>
  <c r="AD2" i="1" s="1"/>
  <c r="N45" i="1"/>
  <c r="N46" i="1"/>
  <c r="N47" i="1"/>
  <c r="N48" i="1"/>
  <c r="N49" i="1"/>
  <c r="N50" i="1"/>
  <c r="N51" i="1"/>
  <c r="N52" i="1"/>
  <c r="N44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" i="1"/>
  <c r="M45" i="1"/>
  <c r="M46" i="1"/>
  <c r="M47" i="1"/>
  <c r="M48" i="1"/>
  <c r="M49" i="1"/>
  <c r="M50" i="1"/>
  <c r="M51" i="1"/>
  <c r="M52" i="1"/>
  <c r="M44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" i="1"/>
  <c r="L49" i="1"/>
  <c r="L50" i="1"/>
  <c r="L51" i="1"/>
  <c r="L52" i="1"/>
  <c r="L44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" i="1"/>
  <c r="K46" i="1"/>
  <c r="K47" i="1"/>
  <c r="K49" i="1"/>
  <c r="K51" i="1"/>
  <c r="K52" i="1"/>
  <c r="K44" i="1"/>
  <c r="K3" i="1"/>
  <c r="K4" i="1"/>
  <c r="K5" i="1"/>
  <c r="K7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" i="1"/>
  <c r="J45" i="1"/>
  <c r="J46" i="1"/>
  <c r="J47" i="1"/>
  <c r="J48" i="1"/>
  <c r="J49" i="1"/>
  <c r="J50" i="1"/>
  <c r="J51" i="1"/>
  <c r="J52" i="1"/>
  <c r="J4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44" i="1"/>
  <c r="Z45" i="1"/>
  <c r="Z46" i="1"/>
  <c r="Z47" i="1"/>
  <c r="Z48" i="1"/>
  <c r="Z49" i="1"/>
  <c r="Z50" i="1"/>
  <c r="Z51" i="1"/>
  <c r="Z52" i="1"/>
  <c r="Z2" i="1"/>
  <c r="W52" i="1" l="1"/>
  <c r="AD52" i="1"/>
  <c r="W26" i="1"/>
  <c r="W14" i="1"/>
  <c r="W47" i="1"/>
  <c r="W11" i="1"/>
  <c r="W25" i="1"/>
  <c r="W50" i="1"/>
  <c r="W24" i="1"/>
  <c r="W49" i="1"/>
  <c r="W12" i="1"/>
  <c r="W51" i="1"/>
  <c r="W48" i="1"/>
  <c r="AD50" i="1"/>
  <c r="W44" i="1"/>
  <c r="W23" i="1"/>
  <c r="W13" i="1"/>
  <c r="W46" i="1"/>
  <c r="W22" i="1"/>
  <c r="W10" i="1"/>
  <c r="AD49" i="1"/>
  <c r="W45" i="1"/>
  <c r="W21" i="1"/>
  <c r="W9" i="1"/>
  <c r="AD48" i="1"/>
  <c r="W20" i="1"/>
  <c r="W8" i="1"/>
  <c r="W19" i="1"/>
  <c r="W7" i="1"/>
  <c r="W18" i="1"/>
  <c r="W6" i="1"/>
  <c r="W2" i="1"/>
  <c r="W17" i="1"/>
  <c r="W5" i="1"/>
  <c r="W16" i="1"/>
  <c r="W4" i="1"/>
  <c r="W15" i="1"/>
  <c r="W3" i="1"/>
  <c r="X57" i="1"/>
  <c r="X58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57" i="1" s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44" i="1"/>
  <c r="X45" i="1"/>
  <c r="X46" i="1"/>
  <c r="X47" i="1"/>
  <c r="X48" i="1"/>
  <c r="X49" i="1"/>
  <c r="X50" i="1"/>
  <c r="X51" i="1"/>
  <c r="X52" i="1"/>
  <c r="X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2" i="1"/>
  <c r="AB57" i="1" l="1"/>
  <c r="AE58" i="1"/>
  <c r="AB56" i="1"/>
  <c r="V56" i="1"/>
  <c r="U56" i="1"/>
  <c r="W56" i="1"/>
  <c r="X56" i="1"/>
  <c r="X62" i="1" s="1"/>
  <c r="T56" i="1"/>
  <c r="V59" i="1"/>
  <c r="AD59" i="1"/>
  <c r="AF27" i="1"/>
  <c r="AF50" i="1"/>
  <c r="AF26" i="1"/>
  <c r="AF14" i="1"/>
  <c r="AF49" i="1"/>
  <c r="AF37" i="1"/>
  <c r="AF13" i="1"/>
  <c r="AF25" i="1"/>
  <c r="AF45" i="1"/>
  <c r="AF9" i="1"/>
  <c r="AF21" i="1"/>
  <c r="T57" i="1"/>
  <c r="T58" i="1"/>
  <c r="S59" i="1"/>
  <c r="AC56" i="1"/>
  <c r="AF18" i="1"/>
  <c r="AF6" i="1"/>
  <c r="X59" i="1"/>
  <c r="AC57" i="1"/>
  <c r="T59" i="1"/>
  <c r="AE59" i="1"/>
  <c r="U59" i="1"/>
  <c r="W57" i="1"/>
  <c r="V57" i="1"/>
  <c r="S57" i="1"/>
  <c r="AD57" i="1"/>
  <c r="AB59" i="1"/>
  <c r="AE56" i="1"/>
  <c r="AE62" i="1" s="1"/>
  <c r="AD56" i="1"/>
  <c r="AC59" i="1"/>
  <c r="U57" i="1"/>
  <c r="W59" i="1"/>
  <c r="AF3" i="1"/>
  <c r="AF2" i="1"/>
  <c r="AF4" i="1"/>
  <c r="AB58" i="1"/>
  <c r="AD58" i="1"/>
  <c r="W58" i="1"/>
  <c r="AF42" i="1"/>
  <c r="AF43" i="1"/>
  <c r="V58" i="1"/>
  <c r="U58" i="1"/>
  <c r="AC58" i="1"/>
  <c r="S58" i="1"/>
  <c r="AF39" i="1"/>
  <c r="AF38" i="1"/>
  <c r="AF33" i="1"/>
  <c r="AF32" i="1"/>
  <c r="AF31" i="1"/>
  <c r="AF30" i="1"/>
  <c r="AF48" i="1"/>
  <c r="AF36" i="1"/>
  <c r="AF24" i="1"/>
  <c r="AF12" i="1"/>
  <c r="AF47" i="1"/>
  <c r="AF35" i="1"/>
  <c r="AF23" i="1"/>
  <c r="AF11" i="1"/>
  <c r="AF46" i="1"/>
  <c r="AF34" i="1"/>
  <c r="AF22" i="1"/>
  <c r="AF10" i="1"/>
  <c r="AF44" i="1"/>
  <c r="AF20" i="1"/>
  <c r="AF8" i="1"/>
  <c r="AF19" i="1"/>
  <c r="AF7" i="1"/>
  <c r="AF41" i="1"/>
  <c r="AF29" i="1"/>
  <c r="AF17" i="1"/>
  <c r="AF5" i="1"/>
  <c r="AF52" i="1"/>
  <c r="AF40" i="1"/>
  <c r="AF28" i="1"/>
  <c r="AF16" i="1"/>
  <c r="AF51" i="1"/>
  <c r="AF15" i="1"/>
  <c r="T62" i="1" l="1"/>
  <c r="V61" i="1"/>
  <c r="W61" i="1"/>
  <c r="AD61" i="1"/>
  <c r="AC61" i="1"/>
  <c r="V62" i="1"/>
  <c r="S61" i="1"/>
  <c r="W62" i="1"/>
  <c r="U62" i="1"/>
  <c r="U61" i="1"/>
  <c r="T61" i="1"/>
  <c r="AC62" i="1"/>
  <c r="S62" i="1"/>
  <c r="AE61" i="1"/>
  <c r="AE63" i="1" s="1"/>
  <c r="AE64" i="1" s="1"/>
  <c r="AD62" i="1"/>
  <c r="X61" i="1"/>
  <c r="X63" i="1" s="1"/>
  <c r="X64" i="1" s="1"/>
  <c r="AF57" i="1"/>
  <c r="AB61" i="1"/>
  <c r="AF59" i="1"/>
  <c r="AF56" i="1"/>
  <c r="AB62" i="1"/>
  <c r="AF58" i="1"/>
  <c r="R11" i="1"/>
  <c r="Y11" i="1" s="1"/>
  <c r="AA11" i="1" s="1"/>
  <c r="AG11" i="1" s="1"/>
  <c r="R12" i="1"/>
  <c r="Y12" i="1" s="1"/>
  <c r="AA12" i="1" s="1"/>
  <c r="AG12" i="1" s="1"/>
  <c r="R13" i="1"/>
  <c r="Y13" i="1" s="1"/>
  <c r="AA13" i="1" s="1"/>
  <c r="AG13" i="1" s="1"/>
  <c r="R3" i="1"/>
  <c r="Y3" i="1" s="1"/>
  <c r="AA3" i="1" s="1"/>
  <c r="AG3" i="1" s="1"/>
  <c r="R4" i="1"/>
  <c r="Y4" i="1" s="1"/>
  <c r="AA4" i="1" s="1"/>
  <c r="AG4" i="1" s="1"/>
  <c r="R5" i="1"/>
  <c r="Y5" i="1" s="1"/>
  <c r="AA5" i="1" s="1"/>
  <c r="AG5" i="1" s="1"/>
  <c r="R6" i="1"/>
  <c r="Y6" i="1" s="1"/>
  <c r="AA6" i="1" s="1"/>
  <c r="AG6" i="1" s="1"/>
  <c r="R7" i="1"/>
  <c r="Y7" i="1" s="1"/>
  <c r="AA7" i="1" s="1"/>
  <c r="AG7" i="1" s="1"/>
  <c r="R8" i="1"/>
  <c r="Y8" i="1" s="1"/>
  <c r="AA8" i="1" s="1"/>
  <c r="AG8" i="1" s="1"/>
  <c r="R9" i="1"/>
  <c r="Y9" i="1" s="1"/>
  <c r="AA9" i="1" s="1"/>
  <c r="AG9" i="1" s="1"/>
  <c r="R10" i="1"/>
  <c r="Y10" i="1" s="1"/>
  <c r="AA10" i="1" s="1"/>
  <c r="AG10" i="1" s="1"/>
  <c r="R14" i="1"/>
  <c r="Y14" i="1" s="1"/>
  <c r="AA14" i="1" s="1"/>
  <c r="AG14" i="1" s="1"/>
  <c r="R15" i="1"/>
  <c r="Y15" i="1" s="1"/>
  <c r="AA15" i="1" s="1"/>
  <c r="AG15" i="1" s="1"/>
  <c r="R16" i="1"/>
  <c r="Y16" i="1" s="1"/>
  <c r="AA16" i="1" s="1"/>
  <c r="AG16" i="1" s="1"/>
  <c r="R17" i="1"/>
  <c r="Y17" i="1" s="1"/>
  <c r="AA17" i="1" s="1"/>
  <c r="AG17" i="1" s="1"/>
  <c r="R18" i="1"/>
  <c r="Y18" i="1" s="1"/>
  <c r="AA18" i="1" s="1"/>
  <c r="AG18" i="1" s="1"/>
  <c r="R19" i="1"/>
  <c r="Y19" i="1" s="1"/>
  <c r="AA19" i="1" s="1"/>
  <c r="AG19" i="1" s="1"/>
  <c r="R20" i="1"/>
  <c r="Y20" i="1" s="1"/>
  <c r="AA20" i="1" s="1"/>
  <c r="AG20" i="1" s="1"/>
  <c r="R21" i="1"/>
  <c r="Y21" i="1" s="1"/>
  <c r="AA21" i="1" s="1"/>
  <c r="AG21" i="1" s="1"/>
  <c r="R22" i="1"/>
  <c r="Y22" i="1" s="1"/>
  <c r="AA22" i="1" s="1"/>
  <c r="AG22" i="1" s="1"/>
  <c r="R23" i="1"/>
  <c r="Y23" i="1" s="1"/>
  <c r="AA23" i="1" s="1"/>
  <c r="AG23" i="1" s="1"/>
  <c r="R24" i="1"/>
  <c r="Y24" i="1" s="1"/>
  <c r="AA24" i="1" s="1"/>
  <c r="AG24" i="1" s="1"/>
  <c r="R25" i="1"/>
  <c r="Y25" i="1" s="1"/>
  <c r="AA25" i="1" s="1"/>
  <c r="AG25" i="1" s="1"/>
  <c r="R26" i="1"/>
  <c r="Y26" i="1" s="1"/>
  <c r="AA26" i="1" s="1"/>
  <c r="AG26" i="1" s="1"/>
  <c r="R27" i="1"/>
  <c r="R28" i="1"/>
  <c r="Y28" i="1" s="1"/>
  <c r="AA28" i="1" s="1"/>
  <c r="AG28" i="1" s="1"/>
  <c r="R29" i="1"/>
  <c r="Y29" i="1" s="1"/>
  <c r="AA29" i="1" s="1"/>
  <c r="AG29" i="1" s="1"/>
  <c r="R30" i="1"/>
  <c r="Y30" i="1" s="1"/>
  <c r="AA30" i="1" s="1"/>
  <c r="AG30" i="1" s="1"/>
  <c r="R31" i="1"/>
  <c r="Y31" i="1" s="1"/>
  <c r="AA31" i="1" s="1"/>
  <c r="AG31" i="1" s="1"/>
  <c r="R32" i="1"/>
  <c r="Y32" i="1" s="1"/>
  <c r="AA32" i="1" s="1"/>
  <c r="AG32" i="1" s="1"/>
  <c r="R33" i="1"/>
  <c r="Y33" i="1" s="1"/>
  <c r="AA33" i="1" s="1"/>
  <c r="AG33" i="1" s="1"/>
  <c r="R34" i="1"/>
  <c r="Y34" i="1" s="1"/>
  <c r="AA34" i="1" s="1"/>
  <c r="R35" i="1"/>
  <c r="Y35" i="1" s="1"/>
  <c r="AA35" i="1" s="1"/>
  <c r="AG35" i="1" s="1"/>
  <c r="R36" i="1"/>
  <c r="Y36" i="1" s="1"/>
  <c r="AA36" i="1" s="1"/>
  <c r="AG36" i="1" s="1"/>
  <c r="R37" i="1"/>
  <c r="Y37" i="1" s="1"/>
  <c r="AA37" i="1" s="1"/>
  <c r="AG37" i="1" s="1"/>
  <c r="R38" i="1"/>
  <c r="Y38" i="1" s="1"/>
  <c r="AA38" i="1" s="1"/>
  <c r="AG38" i="1" s="1"/>
  <c r="R39" i="1"/>
  <c r="Y39" i="1" s="1"/>
  <c r="AA39" i="1" s="1"/>
  <c r="AG39" i="1" s="1"/>
  <c r="R40" i="1"/>
  <c r="R41" i="1"/>
  <c r="Y41" i="1" s="1"/>
  <c r="AA41" i="1" s="1"/>
  <c r="AG41" i="1" s="1"/>
  <c r="R42" i="1"/>
  <c r="Y42" i="1" s="1"/>
  <c r="AA42" i="1" s="1"/>
  <c r="AG42" i="1" s="1"/>
  <c r="R43" i="1"/>
  <c r="Y43" i="1" s="1"/>
  <c r="AA43" i="1" s="1"/>
  <c r="AG43" i="1" s="1"/>
  <c r="R44" i="1"/>
  <c r="R45" i="1"/>
  <c r="Y45" i="1" s="1"/>
  <c r="AA45" i="1" s="1"/>
  <c r="AG45" i="1" s="1"/>
  <c r="R46" i="1"/>
  <c r="Y46" i="1" s="1"/>
  <c r="AA46" i="1" s="1"/>
  <c r="AG46" i="1" s="1"/>
  <c r="R47" i="1"/>
  <c r="Y47" i="1" s="1"/>
  <c r="AA47" i="1" s="1"/>
  <c r="AG47" i="1" s="1"/>
  <c r="R48" i="1"/>
  <c r="Y48" i="1" s="1"/>
  <c r="AA48" i="1" s="1"/>
  <c r="AG48" i="1" s="1"/>
  <c r="R49" i="1"/>
  <c r="Y49" i="1" s="1"/>
  <c r="AA49" i="1" s="1"/>
  <c r="AG49" i="1" s="1"/>
  <c r="R50" i="1"/>
  <c r="Y50" i="1" s="1"/>
  <c r="AA50" i="1" s="1"/>
  <c r="AG50" i="1" s="1"/>
  <c r="R51" i="1"/>
  <c r="Y51" i="1" s="1"/>
  <c r="AA51" i="1" s="1"/>
  <c r="AG51" i="1" s="1"/>
  <c r="R52" i="1"/>
  <c r="Y52" i="1" s="1"/>
  <c r="AA52" i="1" s="1"/>
  <c r="AG52" i="1" s="1"/>
  <c r="R2" i="1"/>
  <c r="T63" i="1" l="1"/>
  <c r="T64" i="1" s="1"/>
  <c r="V63" i="1"/>
  <c r="V64" i="1" s="1"/>
  <c r="W63" i="1"/>
  <c r="W64" i="1" s="1"/>
  <c r="AD63" i="1"/>
  <c r="AD64" i="1" s="1"/>
  <c r="AC63" i="1"/>
  <c r="AC64" i="1" s="1"/>
  <c r="S63" i="1"/>
  <c r="S64" i="1" s="1"/>
  <c r="U63" i="1"/>
  <c r="U64" i="1" s="1"/>
  <c r="AB63" i="1"/>
  <c r="AB64" i="1" s="1"/>
  <c r="AG34" i="1"/>
  <c r="AF61" i="1"/>
  <c r="AF62" i="1"/>
  <c r="Y27" i="1"/>
  <c r="AA27" i="1" s="1"/>
  <c r="Y2" i="1"/>
  <c r="Y44" i="1"/>
  <c r="AA44" i="1" s="1"/>
  <c r="AA59" i="1" s="1"/>
  <c r="Y40" i="1"/>
  <c r="AA40" i="1" s="1"/>
  <c r="AA58" i="1" s="1"/>
  <c r="AG27" i="1" l="1"/>
  <c r="AA57" i="1"/>
  <c r="AA2" i="1"/>
  <c r="R62" i="1"/>
  <c r="Y57" i="1"/>
  <c r="AG40" i="1"/>
  <c r="AG44" i="1"/>
  <c r="AG2" i="1"/>
  <c r="AF63" i="1"/>
  <c r="AF64" i="1" s="1"/>
  <c r="R61" i="1"/>
  <c r="Y59" i="1"/>
  <c r="AG57" i="1"/>
  <c r="Y58" i="1"/>
  <c r="R63" i="1" l="1"/>
  <c r="R64" i="1" s="1"/>
  <c r="AA61" i="1"/>
  <c r="AA62" i="1"/>
  <c r="Y61" i="1"/>
  <c r="Y62" i="1"/>
  <c r="AG56" i="1"/>
  <c r="AG59" i="1"/>
  <c r="AG58" i="1"/>
  <c r="AA63" i="1" l="1"/>
  <c r="AA64" i="1" s="1"/>
  <c r="Y63" i="1"/>
  <c r="Y64" i="1" s="1"/>
  <c r="AG62" i="1"/>
  <c r="AG61" i="1"/>
  <c r="AG63" i="1" l="1"/>
  <c r="AG6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tc={73EDD025-783F-4768-B6C6-6E6621A2EF01}</author>
    <author>tc={691178A6-6E0F-4FBB-B687-A266FCA7A1D7}</author>
    <author>tc={D13E9A4C-2AB0-478F-B6A2-960553DB3442}</author>
    <author>tc={915A872A-BBAB-43E8-802B-5D0CE0950A92}</author>
    <author>tc={201386C1-B991-4D64-8809-E0D2E4C3DA27}</author>
    <author>tc={94407DD1-9F9F-440A-B97A-466C79B99498}</author>
    <author>tc={7409E754-8777-429A-8F3A-7E4F93754079}</author>
    <author>tc={589702F8-FA89-4E2F-A4F3-1527EF065BA1}</author>
    <author>tc={2D993765-75F5-49FA-91FD-D7A8F41A3ED0}</author>
    <author>tc={B1120F9B-2C76-432F-BB66-8408FDB5CBA8}</author>
    <author>tc={830B22F3-9D80-4A9F-B935-EFDD8CE1C57A}</author>
    <author>tc={AB5EFE80-12B1-4B89-9EB0-1EC3CB4641C0}</author>
    <author>tc={0BE1CF59-6542-400B-8736-7497B1CA3461}</author>
    <author>tc={D33D5EB8-A247-41A3-9FF4-EB0ECC6A4580}</author>
    <author>tc={D273F4A2-527A-4FA5-8E6B-3883F7CAC9E7}</author>
    <author>tc={7444BFC5-CA3E-4769-A8A1-A327CBBD429C}</author>
    <author>tc={F3B8D358-9193-4DEE-9DC5-9B9CDFFEF174}</author>
    <author>tc={7177A46E-49C6-43E3-AABD-100C1B91FE26}</author>
    <author>tc={18CD9616-5003-42E8-838E-5DA3952BF7C0}</author>
    <author>tc={C2BE7BE8-EC32-4CAB-B199-6A4DC5602FE6}</author>
    <author>tc={2974B190-A5E2-4A3C-94D1-2C5C33DC8688}</author>
    <author>tc={47F799BA-EFEC-4B21-BAA1-8B30D16A98C7}</author>
    <author>tc={C4DF01AE-77B7-49E7-904E-B49BDE7ED141}</author>
    <author>tc={60787847-3A2C-4272-B3D3-E9F184B3AA2D}</author>
    <author>tc={BE359182-5E77-4C98-B272-1A64C10BF4BD}</author>
    <author>tc={EF4183E2-BC54-4F36-A161-2FD408E433B9}</author>
    <author>tc={073016D2-9541-43B3-95D4-FEBED184C359}</author>
    <author>tc={99A3FAF7-E57A-4C3C-8098-93EA12E451E9}</author>
    <author>tc={8EF7F1C4-1F8A-4930-BE6D-DB4DE0D3E75C}</author>
    <author>tc={371D0FAE-405C-472D-9019-C855EB540787}</author>
    <author>tc={2A5E4EEF-D24F-449E-BB01-A08A33121190}</author>
    <author>tc={73312CDF-8FD4-4A39-AFAB-2773DFBD0E7E}</author>
    <author>tc={638ED1FC-8A82-4525-8E0D-9FB16C866C55}</author>
    <author>tc={AD301800-996A-44A7-A8A1-A0E72DDA7EEE}</author>
    <author>tc={34D9FD0C-C923-4A9F-949B-12953991A15C}</author>
    <author>tc={AE9481D7-4476-403B-8541-16BCB964FA37}</author>
    <author>tc={544378C6-124C-4C92-A642-0AE43F3F3061}</author>
    <author>tc={00E8D40E-04F4-4F93-AB45-467AF4CC9362}</author>
    <author>tc={351259EF-3985-4698-AF5C-40B4E8213980}</author>
    <author>tc={ED26637F-FBCE-4F79-8C43-FED7D517BFB2}</author>
    <author>tc={4DDFA2D5-BA85-40F5-B9BE-AFB3430867B9}</author>
    <author>tc={29297ED3-A1F8-45DB-8894-83E4684C9CB7}</author>
    <author>tc={EFDEDEC3-3251-49D7-B8F8-775B538E2941}</author>
    <author>tc={B5188D8D-C0C6-4175-87BE-772A73E6CB11}</author>
    <author>tc={66CA20A2-0F08-4F4D-90A2-5C0926FD9D3D}</author>
    <author>tc={9D013F0B-84F0-4B8C-8916-5524E19E2129}</author>
    <author>tc={7813689E-9B6F-49FC-A9B2-338961C7EFC4}</author>
    <author>tc={692E4B72-3AF6-49DC-AA12-A6D2E4057EDD}</author>
    <author>tc={0BC2EF01-7A2F-4F3D-AE49-65515A710650}</author>
  </authors>
  <commentList>
    <comment ref="P27" authorId="0" shapeId="0" xr:uid="{73EDD025-783F-4768-B6C6-6E6621A2EF01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H28" authorId="1" shapeId="0" xr:uid="{691178A6-6E0F-4FBB-B687-A266FCA7A1D7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I28" authorId="2" shapeId="0" xr:uid="{D13E9A4C-2AB0-478F-B6A2-960553DB3442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L29" authorId="3" shapeId="0" xr:uid="{915A872A-BBAB-43E8-802B-5D0CE0950A92}">
      <text>
        <t>[Threaded comment]
Your version of Excel allows you to read this threaded comment; however, any edits to it will get removed if the file is opened in a newer version of Excel. Learn more: https://go.microsoft.com/fwlink/?linkid=870924
Comment:
    Likely has 2.</t>
      </text>
    </comment>
    <comment ref="M29" authorId="4" shapeId="0" xr:uid="{201386C1-B991-4D64-8809-E0D2E4C3DA27}">
      <text>
        <t>[Threaded comment]
Your version of Excel allows you to read this threaded comment; however, any edits to it will get removed if the file is opened in a newer version of Excel. Learn more: https://go.microsoft.com/fwlink/?linkid=870924
Comment:
    Pair of IS1001 MCs</t>
      </text>
    </comment>
    <comment ref="P29" authorId="5" shapeId="0" xr:uid="{94407DD1-9F9F-440A-B97A-466C79B99498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L30" authorId="6" shapeId="0" xr:uid="{7409E754-8777-429A-8F3A-7E4F93754079}">
      <text>
        <t>[Threaded comment]
Your version of Excel allows you to read this threaded comment; however, any edits to it will get removed if the file is opened in a newer version of Excel. Learn more: https://go.microsoft.com/fwlink/?linkid=870924
Comment:
    Likely has 2.</t>
      </text>
    </comment>
    <comment ref="M30" authorId="7" shapeId="0" xr:uid="{589702F8-FA89-4E2F-A4F3-1527EF065BA1}">
      <text>
        <t>[Threaded comment]
Your version of Excel allows you to read this threaded comment; however, any edits to it will get removed if the file is opened in a newer version of Excel. Learn more: https://go.microsoft.com/fwlink/?linkid=870924
Comment:
    Pair of IS1001 MCs</t>
      </text>
    </comment>
    <comment ref="P30" authorId="8" shapeId="0" xr:uid="{2D993765-75F5-49FA-91FD-D7A8F41A3ED0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Q31" authorId="9" shapeId="0" xr:uid="{B1120F9B-2C76-432F-BB66-8408FDB5CBA8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O32" authorId="10" shapeId="0" xr:uid="{830B22F3-9D80-4A9F-B935-EFDD8CE1C57A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P32" authorId="11" shapeId="0" xr:uid="{AB5EFE80-12B1-4B89-9EB0-1EC3CB4641C0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Q32" authorId="12" shapeId="0" xr:uid="{0BE1CF59-6542-400B-8736-7497B1CA3461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P33" authorId="13" shapeId="0" xr:uid="{D33D5EB8-A247-41A3-9FF4-EB0ECC6A4580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A34" authorId="14" shapeId="0" xr:uid="{D273F4A2-527A-4FA5-8E6B-3883F7CAC9E7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cost analysis, we should likely include infrastructure info for what we anticipate the site to be.
Reply:
    Uncertain</t>
      </text>
    </comment>
    <comment ref="J34" authorId="15" shapeId="0" xr:uid="{7444BFC5-CA3E-4769-A8A1-A327CBBD429C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N34" authorId="16" shapeId="0" xr:uid="{F3B8D358-9193-4DEE-9DC5-9B9CDFFEF174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 based on previous operations</t>
      </text>
    </comment>
    <comment ref="O34" authorId="17" shapeId="0" xr:uid="{7177A46E-49C6-43E3-AABD-100C1B91FE26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 what power supply it would use if re-installed</t>
      </text>
    </comment>
    <comment ref="P34" authorId="18" shapeId="0" xr:uid="{18CD9616-5003-42E8-838E-5DA3952BF7C0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Q34" authorId="19" shapeId="0" xr:uid="{C2BE7BE8-EC32-4CAB-B199-6A4DC5602FE6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 depending on power supply</t>
      </text>
    </comment>
    <comment ref="P35" authorId="20" shapeId="0" xr:uid="{2974B190-A5E2-4A3C-94D1-2C5C33DC8688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P36" authorId="21" shapeId="0" xr:uid="{47F799BA-EFEC-4B21-BAA1-8B30D16A98C7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Q36" authorId="22" shapeId="0" xr:uid="{C4DF01AE-77B7-49E7-904E-B49BDE7ED141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O37" authorId="23" shapeId="0" xr:uid="{60787847-3A2C-4272-B3D3-E9F184B3AA2D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P37" authorId="24" shapeId="0" xr:uid="{BE359182-5E77-4C98-B272-1A64C10BF4BD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Q37" authorId="25" shapeId="0" xr:uid="{EF4183E2-BC54-4F36-A161-2FD408E433B9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I38" authorId="26" shapeId="0" xr:uid="{073016D2-9541-43B3-95D4-FEBED184C359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 on BPA project</t>
      </text>
    </comment>
    <comment ref="J38" authorId="27" shapeId="0" xr:uid="{99A3FAF7-E57A-4C3C-8098-93EA12E451E9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L38" authorId="28" shapeId="0" xr:uid="{8EF7F1C4-1F8A-4930-BE6D-DB4DE0D3E75C}">
      <text>
        <t>[Threaded comment]
Your version of Excel allows you to read this threaded comment; however, any edits to it will get removed if the file is opened in a newer version of Excel. Learn more: https://go.microsoft.com/fwlink/?linkid=870924
Comment:
    Maybe has 2?</t>
      </text>
    </comment>
    <comment ref="M38" authorId="29" shapeId="0" xr:uid="{371D0FAE-405C-472D-9019-C855EB540787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Appears to have 2.</t>
      </text>
    </comment>
    <comment ref="P38" authorId="30" shapeId="0" xr:uid="{2A5E4EEF-D24F-449E-BB01-A08A33121190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H39" authorId="31" shapeId="0" xr:uid="{73312CDF-8FD4-4A39-AFAB-2773DFBD0E7E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I39" authorId="32" shapeId="0" xr:uid="{638ED1FC-8A82-4525-8E0D-9FB16C866C55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P39" authorId="33" shapeId="0" xr:uid="{AD301800-996A-44A7-A8A1-A0E72DDA7EEE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J40" authorId="34" shapeId="0" xr:uid="{34D9FD0C-C923-4A9F-949B-12953991A15C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N40" authorId="35" shapeId="0" xr:uid="{AE9481D7-4476-403B-8541-16BCB964FA37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O40" authorId="36" shapeId="0" xr:uid="{544378C6-124C-4C92-A642-0AE43F3F3061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P40" authorId="37" shapeId="0" xr:uid="{00E8D40E-04F4-4F93-AB45-467AF4CC9362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J41" authorId="38" shapeId="0" xr:uid="{351259EF-3985-4698-AF5C-40B4E8213980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N41" authorId="39" shapeId="0" xr:uid="{ED26637F-FBCE-4F79-8C43-FED7D517BFB2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O41" authorId="40" shapeId="0" xr:uid="{4DDFA2D5-BA85-40F5-B9BE-AFB3430867B9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P41" authorId="41" shapeId="0" xr:uid="{29297ED3-A1F8-45DB-8894-83E4684C9CB7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N42" authorId="42" shapeId="0" xr:uid="{EFDEDEC3-3251-49D7-B8F8-775B538E2941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O42" authorId="43" shapeId="0" xr:uid="{B5188D8D-C0C6-4175-87BE-772A73E6CB11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P42" authorId="44" shapeId="0" xr:uid="{66CA20A2-0F08-4F4D-90A2-5C0926FD9D3D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Q42" authorId="45" shapeId="0" xr:uid="{9D013F0B-84F0-4B8C-8916-5524E19E2129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N43" authorId="46" shapeId="0" xr:uid="{7813689E-9B6F-49FC-A9B2-338961C7EFC4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O43" authorId="47" shapeId="0" xr:uid="{692E4B72-3AF6-49DC-AA12-A6D2E4057EDD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P43" authorId="48" shapeId="0" xr:uid="{0BC2EF01-7A2F-4F3D-AE49-65515A710650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</commentList>
</comments>
</file>

<file path=xl/sharedStrings.xml><?xml version="1.0" encoding="utf-8"?>
<sst xmlns="http://schemas.openxmlformats.org/spreadsheetml/2006/main" count="1758" uniqueCount="376">
  <si>
    <t>WDFW</t>
  </si>
  <si>
    <t>BPA</t>
  </si>
  <si>
    <t>BPA FWP Contracts</t>
  </si>
  <si>
    <t>LSRCP, PCSRF, BOR Funded</t>
  </si>
  <si>
    <t>LAP</t>
  </si>
  <si>
    <t>Lapwai Creek, near its mouth</t>
  </si>
  <si>
    <t>Clearwater</t>
  </si>
  <si>
    <t>NPT</t>
  </si>
  <si>
    <t>JUL</t>
  </si>
  <si>
    <t>Potlatch River near Juliaetta</t>
  </si>
  <si>
    <t>IDFG</t>
  </si>
  <si>
    <t>LC1</t>
  </si>
  <si>
    <t>Lower Lolo Creek at rkm 21</t>
  </si>
  <si>
    <t>LC2</t>
  </si>
  <si>
    <t>Upper Lolo Creek at rkm 25</t>
  </si>
  <si>
    <t>LAW</t>
  </si>
  <si>
    <t>Lawyer Creek Seasonal IPTDS</t>
  </si>
  <si>
    <t>SC1</t>
  </si>
  <si>
    <t>Lower SF Clearwater R at rkm 1</t>
  </si>
  <si>
    <t>SC2</t>
  </si>
  <si>
    <t>Lower SF Clearwater R at rkm 2</t>
  </si>
  <si>
    <t>LRL</t>
  </si>
  <si>
    <t>Lower Lochsa River Array Site</t>
  </si>
  <si>
    <t>LRU</t>
  </si>
  <si>
    <t>Lochsa River Upper Site</t>
  </si>
  <si>
    <t>SW1</t>
  </si>
  <si>
    <t>Lower Selway River Array</t>
  </si>
  <si>
    <t>SW2</t>
  </si>
  <si>
    <t>Upper Selway River Array</t>
  </si>
  <si>
    <t>SC3</t>
  </si>
  <si>
    <t>South Fork Clearwater Site 3</t>
  </si>
  <si>
    <t>SC4</t>
  </si>
  <si>
    <t>South Fork Clearwater Site 4</t>
  </si>
  <si>
    <t>CRA</t>
  </si>
  <si>
    <t>Crooked River Array</t>
  </si>
  <si>
    <t>ACM</t>
  </si>
  <si>
    <t>Asotin Creek near mouth</t>
  </si>
  <si>
    <t>PSMFC</t>
  </si>
  <si>
    <t>JOC</t>
  </si>
  <si>
    <t>Joseph Creek ISA @ km 3</t>
  </si>
  <si>
    <t>Grande Ronde</t>
  </si>
  <si>
    <t>WEN</t>
  </si>
  <si>
    <t>Wenaha River Mouth</t>
  </si>
  <si>
    <t>ODFW</t>
  </si>
  <si>
    <t>WR1</t>
  </si>
  <si>
    <t>Wallowa River at river km 14</t>
  </si>
  <si>
    <t>MR1</t>
  </si>
  <si>
    <t>Minam River at river km 0.5</t>
  </si>
  <si>
    <t>WR2</t>
  </si>
  <si>
    <t>Wallowa River at rkm 32</t>
  </si>
  <si>
    <t>UGR</t>
  </si>
  <si>
    <t>Upper Grande Ronde at rkm 155</t>
  </si>
  <si>
    <t>LSRCP</t>
  </si>
  <si>
    <t>Salmon</t>
  </si>
  <si>
    <t>SFG</t>
  </si>
  <si>
    <t>SF Salmon at Guard Station Br.</t>
  </si>
  <si>
    <t>KRS</t>
  </si>
  <si>
    <t>SF Salmon River at Krassel Cr.</t>
  </si>
  <si>
    <t>TAY</t>
  </si>
  <si>
    <t>Big Creek at Taylor Ranch</t>
  </si>
  <si>
    <t>SBT</t>
  </si>
  <si>
    <t>MAR</t>
  </si>
  <si>
    <t>Marsh Cr at Lola Cr Campground</t>
  </si>
  <si>
    <t>PCA</t>
  </si>
  <si>
    <t>Panther Creek Array</t>
  </si>
  <si>
    <t>NFS</t>
  </si>
  <si>
    <t>North Fork Salmon River</t>
  </si>
  <si>
    <t>LLR</t>
  </si>
  <si>
    <t>Lower Lemhi River</t>
  </si>
  <si>
    <t>BHC</t>
  </si>
  <si>
    <t>Bohannon Creek Lemhi R Basin</t>
  </si>
  <si>
    <t>HYC</t>
  </si>
  <si>
    <t>Hayden Creek In-stream Array</t>
  </si>
  <si>
    <t>LRW</t>
  </si>
  <si>
    <t>Lemhi River Weir</t>
  </si>
  <si>
    <t>LLS</t>
  </si>
  <si>
    <t>Lemhi Little Springs Instream</t>
  </si>
  <si>
    <t>BTL</t>
  </si>
  <si>
    <t>Lower Big Timber, Lemhi Basin</t>
  </si>
  <si>
    <t>CAC</t>
  </si>
  <si>
    <t>Canyon Creek ISA @ km 1</t>
  </si>
  <si>
    <t>USE</t>
  </si>
  <si>
    <t>Upper Salmon River at rkm 437</t>
  </si>
  <si>
    <t>USI</t>
  </si>
  <si>
    <t>Upper Salmon River at rkm 460</t>
  </si>
  <si>
    <t>YFK</t>
  </si>
  <si>
    <t>Yankee Fork Salmon River</t>
  </si>
  <si>
    <t>VC2</t>
  </si>
  <si>
    <t>Valley Creek, Downstream Site</t>
  </si>
  <si>
    <t>NOAA</t>
  </si>
  <si>
    <t>COC</t>
  </si>
  <si>
    <t>Cow Creek ISA @ stream mouth</t>
  </si>
  <si>
    <t>Imnaha</t>
  </si>
  <si>
    <t>IR1</t>
  </si>
  <si>
    <t>Lower Imnaha River ISA @ km 7</t>
  </si>
  <si>
    <t>IR2</t>
  </si>
  <si>
    <t>Lower Imnaha River ISA @ km 10</t>
  </si>
  <si>
    <t>BSC</t>
  </si>
  <si>
    <t>Big Sheep Creek ISA at km 6</t>
  </si>
  <si>
    <t>IR3</t>
  </si>
  <si>
    <t>Upper Imnaha River ISA @ km 41</t>
  </si>
  <si>
    <t>Candidate for transfer to project</t>
  </si>
  <si>
    <t>USI (Proposed)</t>
  </si>
  <si>
    <t>USU (Proposed)</t>
  </si>
  <si>
    <t>CHA (Proposed)</t>
  </si>
  <si>
    <t>LSR (Proposed)</t>
  </si>
  <si>
    <t>Proposed New IPTDS</t>
  </si>
  <si>
    <t>Decommission, remove, or transfer from project</t>
  </si>
  <si>
    <t>Continue funding</t>
  </si>
  <si>
    <t>Salmon River above Pahsimeroi</t>
  </si>
  <si>
    <t>Salmon River above EF Salmon</t>
  </si>
  <si>
    <t>Chamberlain Creek</t>
  </si>
  <si>
    <t>Site Code</t>
  </si>
  <si>
    <t>Site Name</t>
  </si>
  <si>
    <t>IPTDS O&amp;M Site</t>
  </si>
  <si>
    <t>Category</t>
  </si>
  <si>
    <t>Subbasin</t>
  </si>
  <si>
    <t>Little Salmon River</t>
  </si>
  <si>
    <t>O&amp;M Agency</t>
  </si>
  <si>
    <t>O&amp;M Responsibility</t>
  </si>
  <si>
    <t>Current Funding Agency</t>
  </si>
  <si>
    <t>Current Funding Project</t>
  </si>
  <si>
    <t>Lower Snake</t>
  </si>
  <si>
    <t>Biomark, NPT</t>
  </si>
  <si>
    <t>Biomark, NPT, IDFG</t>
  </si>
  <si>
    <t>Biomark, NPT, NOAA</t>
  </si>
  <si>
    <t>Biomark, IDFG</t>
  </si>
  <si>
    <t>Communication Type</t>
  </si>
  <si>
    <t>River</t>
  </si>
  <si>
    <t>Landowner Type</t>
  </si>
  <si>
    <t>Landowner Contact</t>
  </si>
  <si>
    <t>Latitude</t>
  </si>
  <si>
    <t>Longitude</t>
  </si>
  <si>
    <t>Power Supply</t>
  </si>
  <si>
    <t>Enclosure Type</t>
  </si>
  <si>
    <t>Data Power Backup</t>
  </si>
  <si>
    <t>DC-DC Regulator</t>
  </si>
  <si>
    <t>DC-DC Interface</t>
  </si>
  <si>
    <t>Battery Switcher</t>
  </si>
  <si>
    <t>Battery Charger</t>
  </si>
  <si>
    <t>Batteries</t>
  </si>
  <si>
    <t>Solar Panels</t>
  </si>
  <si>
    <t>Propane Tank(s)</t>
  </si>
  <si>
    <t>Power Supply Conditions</t>
  </si>
  <si>
    <t>Transceiver</t>
  </si>
  <si>
    <t>Reader</t>
  </si>
  <si>
    <t>Datalogger Type</t>
  </si>
  <si>
    <t>Modem Type</t>
  </si>
  <si>
    <t>Modem Band</t>
  </si>
  <si>
    <t>Water Depth/Temp</t>
  </si>
  <si>
    <t>Air Temp</t>
  </si>
  <si>
    <t>Additional Components</t>
  </si>
  <si>
    <t>Electronics Conditions</t>
  </si>
  <si>
    <t>Antennas</t>
  </si>
  <si>
    <t>Antenna Type(s)</t>
  </si>
  <si>
    <t>Antenna Condition</t>
  </si>
  <si>
    <t>Modem Cost</t>
  </si>
  <si>
    <t>Datalogger Cost</t>
  </si>
  <si>
    <t>Transceiver Cost</t>
  </si>
  <si>
    <t>Reader Cost</t>
  </si>
  <si>
    <t>Antenna Cost</t>
  </si>
  <si>
    <t>Power Source Cost</t>
  </si>
  <si>
    <t>Miscellaneous Cost</t>
  </si>
  <si>
    <t>Total</t>
  </si>
  <si>
    <t>Battery Replacement</t>
  </si>
  <si>
    <t>Modem Airtime</t>
  </si>
  <si>
    <t>Power</t>
  </si>
  <si>
    <t>Data Management</t>
  </si>
  <si>
    <t>O&amp;M Rate</t>
  </si>
  <si>
    <t>O&amp;M Total</t>
  </si>
  <si>
    <t>Lolo Creek (Lower)</t>
  </si>
  <si>
    <t>Clearwater River</t>
  </si>
  <si>
    <t>Public</t>
  </si>
  <si>
    <t>BLM</t>
  </si>
  <si>
    <t>Grid Power</t>
  </si>
  <si>
    <t>Hoffman 3630, Job Box</t>
  </si>
  <si>
    <t>Biomark DCDC</t>
  </si>
  <si>
    <t>Biomark DCIB</t>
  </si>
  <si>
    <t>BG Switcher</t>
  </si>
  <si>
    <t>PS2408</t>
  </si>
  <si>
    <t>Good</t>
  </si>
  <si>
    <t>FS1001M</t>
  </si>
  <si>
    <t>Biomark MUX</t>
  </si>
  <si>
    <t>BioProbe3</t>
  </si>
  <si>
    <t>Satellite Modem</t>
  </si>
  <si>
    <t>Hughes 9502</t>
  </si>
  <si>
    <t>BGAN</t>
  </si>
  <si>
    <t>CS450</t>
  </si>
  <si>
    <t>CS107</t>
  </si>
  <si>
    <t>Biomark Stout</t>
  </si>
  <si>
    <t>Fair</t>
  </si>
  <si>
    <t>Lolo Creek (Upper)</t>
  </si>
  <si>
    <t>5060 Hybrid TEG</t>
  </si>
  <si>
    <t>Hoffman 3630</t>
  </si>
  <si>
    <t xml:space="preserve">8 25gal </t>
  </si>
  <si>
    <t>CS109</t>
  </si>
  <si>
    <t>South Fork Clearwater</t>
  </si>
  <si>
    <t>Kooskia</t>
  </si>
  <si>
    <t>Meanwell</t>
  </si>
  <si>
    <t xml:space="preserve">PS2408 </t>
  </si>
  <si>
    <t>IS1001-MTS</t>
  </si>
  <si>
    <t>Biomark IS1001</t>
  </si>
  <si>
    <t>Cellular Modem</t>
  </si>
  <si>
    <t>Cloudgate</t>
  </si>
  <si>
    <t>4G</t>
  </si>
  <si>
    <t>HDPE</t>
  </si>
  <si>
    <t>Joseph Creek</t>
  </si>
  <si>
    <t>Grande Ronde River</t>
  </si>
  <si>
    <t>Job Box</t>
  </si>
  <si>
    <t>Biomark Switcher</t>
  </si>
  <si>
    <t>Upper Grande Ronde</t>
  </si>
  <si>
    <t>Private</t>
  </si>
  <si>
    <t>D&amp;S Parsons Trust</t>
  </si>
  <si>
    <t>4 25gal</t>
  </si>
  <si>
    <t>Wallow River</t>
  </si>
  <si>
    <t>Oregon State Parks</t>
  </si>
  <si>
    <t>5060 TEG</t>
  </si>
  <si>
    <t xml:space="preserve">500gal </t>
  </si>
  <si>
    <t>Big Sheep Creek</t>
  </si>
  <si>
    <t>Imnaha River</t>
  </si>
  <si>
    <t>Buhler Ranch</t>
  </si>
  <si>
    <t>Cow Creek</t>
  </si>
  <si>
    <t>USFS</t>
  </si>
  <si>
    <t>Hoffman 3624</t>
  </si>
  <si>
    <t>Imnaha River 1</t>
  </si>
  <si>
    <t>McClaran Ranch</t>
  </si>
  <si>
    <t>Imnaha River 2</t>
  </si>
  <si>
    <t>Imnaha River 3</t>
  </si>
  <si>
    <t>Donald Marks</t>
  </si>
  <si>
    <t>Big Creek</t>
  </si>
  <si>
    <t xml:space="preserve">Salmon </t>
  </si>
  <si>
    <t>Middle Fork Salmon River</t>
  </si>
  <si>
    <t>University of Idaho</t>
  </si>
  <si>
    <t>Solar</t>
  </si>
  <si>
    <t>Custom (7)</t>
  </si>
  <si>
    <t>Acopian DCDC, Kepco DCDC</t>
  </si>
  <si>
    <t>Outback 60 (2)</t>
  </si>
  <si>
    <t>Bioprobe3</t>
  </si>
  <si>
    <t>Marsh Creek</t>
  </si>
  <si>
    <t>5120 TEG</t>
  </si>
  <si>
    <t>Custom</t>
  </si>
  <si>
    <t>1000gal</t>
  </si>
  <si>
    <t>ESSA0</t>
  </si>
  <si>
    <t>EF SF Salmon River (Lower)</t>
  </si>
  <si>
    <t>South Fork Salmon River</t>
  </si>
  <si>
    <t>500gal</t>
  </si>
  <si>
    <t>ESSB0</t>
  </si>
  <si>
    <t>EF SF Salmon River (Upper)</t>
  </si>
  <si>
    <t>Kepco DCDC</t>
  </si>
  <si>
    <t>SF Salmon River at Krassel Creek</t>
  </si>
  <si>
    <t>SF Guard Station</t>
  </si>
  <si>
    <t>ZENA0</t>
  </si>
  <si>
    <t>Secesh at Zena Creek Ranch (Lower)</t>
  </si>
  <si>
    <t>2.4 radio to B0</t>
  </si>
  <si>
    <t>Biomark Stout, PVC</t>
  </si>
  <si>
    <t>ZENB0</t>
  </si>
  <si>
    <t>Secesh at Zena Creek Ranch (Upper)</t>
  </si>
  <si>
    <t>None</t>
  </si>
  <si>
    <t>2.4 radio to A0</t>
  </si>
  <si>
    <t>ENA</t>
  </si>
  <si>
    <t>Entiat River at Ardenvoir</t>
  </si>
  <si>
    <t>Upper Columbia</t>
  </si>
  <si>
    <t>Entiat River</t>
  </si>
  <si>
    <t>Carol Hershey</t>
  </si>
  <si>
    <t xml:space="preserve">PS2405 </t>
  </si>
  <si>
    <t>PVC</t>
  </si>
  <si>
    <t>ENL</t>
  </si>
  <si>
    <t>Lower Entiat River</t>
  </si>
  <si>
    <t>ENS</t>
  </si>
  <si>
    <t>Entiat River at Stormy Creek</t>
  </si>
  <si>
    <t>James McCreary</t>
  </si>
  <si>
    <t>PVC, HDPE</t>
  </si>
  <si>
    <t>MAD</t>
  </si>
  <si>
    <t>Mad River</t>
  </si>
  <si>
    <t>Chelan Co. Fire Dist. No. 8</t>
  </si>
  <si>
    <t>RCT</t>
  </si>
  <si>
    <t>Roaring Creek Temporary Array</t>
  </si>
  <si>
    <t>Michael Cada</t>
  </si>
  <si>
    <t>Victron</t>
  </si>
  <si>
    <t>CHL</t>
  </si>
  <si>
    <t>Lower Chiwawa River</t>
  </si>
  <si>
    <t>Methow River</t>
  </si>
  <si>
    <t>Chelan Co. PUD</t>
  </si>
  <si>
    <t>Acopian DCDC</t>
  </si>
  <si>
    <t>CHU</t>
  </si>
  <si>
    <t>Upper Chiwawa River</t>
  </si>
  <si>
    <t>Cage</t>
  </si>
  <si>
    <t>2 120gal</t>
  </si>
  <si>
    <t>LWE</t>
  </si>
  <si>
    <t>Lower Wenatchee River</t>
  </si>
  <si>
    <t>Wenatchee River</t>
  </si>
  <si>
    <t>Phillip Dormaier</t>
  </si>
  <si>
    <t>NAL</t>
  </si>
  <si>
    <t>Lower Nason Creek</t>
  </si>
  <si>
    <t>Washington State Parks</t>
  </si>
  <si>
    <t>NAU</t>
  </si>
  <si>
    <t>Upper Nason Creek</t>
  </si>
  <si>
    <t>Highway ROW</t>
  </si>
  <si>
    <t>250gal</t>
  </si>
  <si>
    <t>PES</t>
  </si>
  <si>
    <t>Peshashtin Creek</t>
  </si>
  <si>
    <t>Gary Smithson</t>
  </si>
  <si>
    <t>UWE</t>
  </si>
  <si>
    <t>Upper Wenatchee River</t>
  </si>
  <si>
    <t>Cell booster</t>
  </si>
  <si>
    <t>Bohannon Creek</t>
  </si>
  <si>
    <t>Upper Salmon</t>
  </si>
  <si>
    <t>Lemhi River</t>
  </si>
  <si>
    <t>Vern England</t>
  </si>
  <si>
    <t>IS1001</t>
  </si>
  <si>
    <t>QST Switcher</t>
  </si>
  <si>
    <t>Lower Big Timber</t>
  </si>
  <si>
    <t>Merrill Beyeler</t>
  </si>
  <si>
    <t>Hoffman 2424</t>
  </si>
  <si>
    <t>Cayon Creek</t>
  </si>
  <si>
    <t>Hayden Creek</t>
  </si>
  <si>
    <t>900mhz radio to LRW, Bioprobe3</t>
  </si>
  <si>
    <t>Steve Herbst</t>
  </si>
  <si>
    <t>Lemhi Little Springs</t>
  </si>
  <si>
    <t>900mhz radio to HYC</t>
  </si>
  <si>
    <t>Upper Salmon River at Eleven Mile</t>
  </si>
  <si>
    <t>Salmon River</t>
  </si>
  <si>
    <t>Upper Salmon at Iron Creek</t>
  </si>
  <si>
    <t>Austin Koncz</t>
  </si>
  <si>
    <t>Valley Creek (Lower)</t>
  </si>
  <si>
    <t>PCB Switcher</t>
  </si>
  <si>
    <t>Lower Lochsa River</t>
  </si>
  <si>
    <t>Lochsa River</t>
  </si>
  <si>
    <t>3-Rivers Lodge</t>
  </si>
  <si>
    <t>Grid Power PLC</t>
  </si>
  <si>
    <t>PLC Switcher</t>
  </si>
  <si>
    <t>CS451</t>
  </si>
  <si>
    <t>Upper Lochsa River</t>
  </si>
  <si>
    <t>Hyw 12 ROW</t>
  </si>
  <si>
    <t>PS2415</t>
  </si>
  <si>
    <t>North Fork Salmon</t>
  </si>
  <si>
    <t>Crooked River</t>
  </si>
  <si>
    <t>EFSF Salmon River at Parks Cr. (Lower)</t>
  </si>
  <si>
    <t>EFSF Salmon River at Parks Cr. (Upper)</t>
  </si>
  <si>
    <t>Secesh River at Zena Cr. Ranch (Lower)</t>
  </si>
  <si>
    <t>Secesh River at Zena Cr. Ranch (Upper)</t>
  </si>
  <si>
    <t>Landline</t>
  </si>
  <si>
    <t>CR1000</t>
  </si>
  <si>
    <t>IS1001-MC</t>
  </si>
  <si>
    <t>QuBe</t>
  </si>
  <si>
    <t>Transceiver Type</t>
  </si>
  <si>
    <t>QuBE-310</t>
  </si>
  <si>
    <t>QuBE-IS1001</t>
  </si>
  <si>
    <t>Total Infrastructure</t>
  </si>
  <si>
    <t>Bimark RM310</t>
  </si>
  <si>
    <t>Fixed Costs</t>
  </si>
  <si>
    <t>Cost</t>
  </si>
  <si>
    <t>Antenna</t>
  </si>
  <si>
    <t>Solar Arrays</t>
  </si>
  <si>
    <t>Total O&amp;M</t>
  </si>
  <si>
    <t>Power Type</t>
  </si>
  <si>
    <t>Annual Power Cost</t>
  </si>
  <si>
    <t>Data Management (Month)</t>
  </si>
  <si>
    <t>Total Annual Operations</t>
  </si>
  <si>
    <t>2008-905-00 Supplementation Projects</t>
  </si>
  <si>
    <t>1983-350-03 Nez Perce Tribal Hatchery Monitoring and Evaluation (M&amp;E)</t>
  </si>
  <si>
    <t>2010-003-00 Lower South Fork Clearwater River Watershed</t>
  </si>
  <si>
    <t>2010-057-00 Snake Basin Steelhead Assessments</t>
  </si>
  <si>
    <t>1998-007-02 Grande Ronde Supplementation Monitoring &amp; Evaluation</t>
  </si>
  <si>
    <t>Category:</t>
  </si>
  <si>
    <t>Previous Cost Estimate:</t>
  </si>
  <si>
    <t>New Cost Estimate:</t>
  </si>
  <si>
    <t>Difference:</t>
  </si>
  <si>
    <t>Candidate for transfer to project_a</t>
  </si>
  <si>
    <t>Candidate for transfer to project_b</t>
  </si>
  <si>
    <t>Total Inf x O&amp;M Rate</t>
  </si>
  <si>
    <t>% Difference:</t>
  </si>
  <si>
    <t>IS1001-DLB</t>
  </si>
  <si>
    <t>Infrastructure Cost</t>
  </si>
  <si>
    <t>2018-002-00 IPTDS O&amp;M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</si>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</sst>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00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2"/>
      <name val="Times New Roman"/>
      <family val="1"/>
    </font>
    <font>
      <sz val="12"/>
      <name val="Times New Roman"/>
      <family val="1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6" fillId="0" borderId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85">
    <xf numFmtId="0" fontId="0" fillId="0" borderId="0" xfId="0"/>
    <xf numFmtId="0" fontId="0" fillId="0" borderId="1" xfId="0" applyBorder="1"/>
    <xf numFmtId="44" fontId="0" fillId="0" borderId="2" xfId="1" applyFont="1" applyFill="1" applyBorder="1"/>
    <xf numFmtId="44" fontId="0" fillId="0" borderId="4" xfId="1" applyFont="1" applyFill="1" applyBorder="1"/>
    <xf numFmtId="0" fontId="3" fillId="0" borderId="5" xfId="0" applyFont="1" applyBorder="1" applyAlignment="1">
      <alignment horizontal="center"/>
    </xf>
    <xf numFmtId="0" fontId="0" fillId="0" borderId="3" xfId="0" applyFill="1" applyBorder="1"/>
    <xf numFmtId="44" fontId="3" fillId="0" borderId="6" xfId="1" applyFont="1" applyFill="1" applyBorder="1" applyAlignment="1">
      <alignment horizontal="center"/>
    </xf>
    <xf numFmtId="0" fontId="0" fillId="0" borderId="1" xfId="0" applyFill="1" applyBorder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44" fontId="4" fillId="2" borderId="0" xfId="1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44" fontId="4" fillId="4" borderId="0" xfId="1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14" fontId="5" fillId="0" borderId="0" xfId="0" applyNumberFormat="1" applyFont="1" applyAlignment="1">
      <alignment horizontal="center"/>
    </xf>
    <xf numFmtId="44" fontId="5" fillId="2" borderId="0" xfId="1" applyFont="1" applyFill="1"/>
    <xf numFmtId="44" fontId="5" fillId="3" borderId="0" xfId="0" applyNumberFormat="1" applyFont="1" applyFill="1"/>
    <xf numFmtId="44" fontId="5" fillId="4" borderId="0" xfId="1" applyFont="1" applyFill="1"/>
    <xf numFmtId="44" fontId="5" fillId="5" borderId="0" xfId="0" applyNumberFormat="1" applyFont="1" applyFill="1"/>
    <xf numFmtId="44" fontId="5" fillId="6" borderId="0" xfId="0" applyNumberFormat="1" applyFont="1" applyFill="1"/>
    <xf numFmtId="14" fontId="5" fillId="0" borderId="0" xfId="0" applyNumberFormat="1" applyFont="1" applyFill="1" applyAlignment="1">
      <alignment horizontal="center"/>
    </xf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5" fillId="6" borderId="0" xfId="0" applyFont="1" applyFill="1"/>
    <xf numFmtId="14" fontId="5" fillId="0" borderId="0" xfId="0" applyNumberFormat="1" applyFont="1" applyAlignment="1">
      <alignment horizontal="left"/>
    </xf>
    <xf numFmtId="14" fontId="5" fillId="0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4" fontId="5" fillId="0" borderId="0" xfId="0" applyNumberFormat="1" applyFont="1" applyAlignment="1">
      <alignment horizontal="right"/>
    </xf>
    <xf numFmtId="44" fontId="5" fillId="3" borderId="0" xfId="1" applyFont="1" applyFill="1"/>
    <xf numFmtId="44" fontId="5" fillId="5" borderId="0" xfId="1" applyFont="1" applyFill="1"/>
    <xf numFmtId="44" fontId="5" fillId="6" borderId="0" xfId="1" applyFont="1" applyFill="1"/>
    <xf numFmtId="44" fontId="5" fillId="7" borderId="0" xfId="1" applyFont="1" applyFill="1"/>
    <xf numFmtId="9" fontId="5" fillId="3" borderId="0" xfId="2" applyFont="1" applyFill="1" applyAlignment="1">
      <alignment horizontal="center"/>
    </xf>
    <xf numFmtId="0" fontId="4" fillId="0" borderId="9" xfId="0" applyFont="1" applyBorder="1" applyAlignment="1">
      <alignment horizontal="right"/>
    </xf>
    <xf numFmtId="44" fontId="4" fillId="2" borderId="9" xfId="1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44" fontId="4" fillId="4" borderId="9" xfId="1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4" fillId="6" borderId="9" xfId="0" applyFont="1" applyFill="1" applyBorder="1" applyAlignment="1">
      <alignment horizontal="center"/>
    </xf>
    <xf numFmtId="44" fontId="4" fillId="2" borderId="0" xfId="1" applyFont="1" applyFill="1"/>
    <xf numFmtId="44" fontId="4" fillId="3" borderId="0" xfId="1" applyFont="1" applyFill="1"/>
    <xf numFmtId="44" fontId="4" fillId="4" borderId="0" xfId="1" applyFont="1" applyFill="1"/>
    <xf numFmtId="44" fontId="4" fillId="5" borderId="0" xfId="1" applyFont="1" applyFill="1"/>
    <xf numFmtId="44" fontId="4" fillId="6" borderId="0" xfId="1" applyFont="1" applyFill="1"/>
    <xf numFmtId="9" fontId="4" fillId="2" borderId="0" xfId="2" applyFont="1" applyFill="1"/>
    <xf numFmtId="9" fontId="4" fillId="3" borderId="0" xfId="2" applyFont="1" applyFill="1"/>
    <xf numFmtId="9" fontId="4" fillId="4" borderId="0" xfId="2" applyFont="1" applyFill="1"/>
    <xf numFmtId="9" fontId="4" fillId="5" borderId="0" xfId="2" applyFont="1" applyFill="1"/>
    <xf numFmtId="9" fontId="4" fillId="6" borderId="0" xfId="2" applyFont="1" applyFill="1"/>
    <xf numFmtId="14" fontId="5" fillId="7" borderId="0" xfId="0" applyNumberFormat="1" applyFont="1" applyFill="1" applyAlignment="1">
      <alignment horizontal="center"/>
    </xf>
    <xf numFmtId="0" fontId="5" fillId="0" borderId="0" xfId="0" applyFont="1" applyFill="1"/>
    <xf numFmtId="0" fontId="1" fillId="9" borderId="0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0" fontId="1" fillId="9" borderId="0" xfId="0" applyFont="1" applyFill="1" applyBorder="1"/>
    <xf numFmtId="0" fontId="1" fillId="8" borderId="0" xfId="0" applyFont="1" applyFill="1" applyBorder="1"/>
    <xf numFmtId="0" fontId="1" fillId="0" borderId="0" xfId="0" applyFont="1" applyBorder="1"/>
    <xf numFmtId="164" fontId="1" fillId="8" borderId="0" xfId="0" applyNumberFormat="1" applyFont="1" applyFill="1" applyBorder="1" applyAlignment="1">
      <alignment horizontal="center"/>
    </xf>
    <xf numFmtId="0" fontId="8" fillId="9" borderId="0" xfId="0" applyFont="1" applyFill="1" applyBorder="1" applyAlignment="1">
      <alignment horizontal="left"/>
    </xf>
    <xf numFmtId="0" fontId="8" fillId="8" borderId="0" xfId="0" applyFont="1" applyFill="1" applyBorder="1" applyAlignment="1">
      <alignment horizontal="left"/>
    </xf>
    <xf numFmtId="0" fontId="8" fillId="9" borderId="0" xfId="0" applyFont="1" applyFill="1" applyBorder="1" applyAlignment="1">
      <alignment horizontal="center"/>
    </xf>
    <xf numFmtId="0" fontId="8" fillId="8" borderId="0" xfId="0" applyFont="1" applyFill="1" applyBorder="1" applyAlignment="1">
      <alignment horizontal="center"/>
    </xf>
    <xf numFmtId="165" fontId="8" fillId="8" borderId="0" xfId="0" applyNumberFormat="1" applyFont="1" applyFill="1" applyBorder="1" applyAlignment="1">
      <alignment horizontal="left"/>
    </xf>
    <xf numFmtId="8" fontId="1" fillId="9" borderId="0" xfId="0" applyNumberFormat="1" applyFont="1" applyFill="1" applyBorder="1"/>
    <xf numFmtId="9" fontId="1" fillId="9" borderId="0" xfId="0" applyNumberFormat="1" applyFont="1" applyFill="1" applyBorder="1"/>
    <xf numFmtId="0" fontId="1" fillId="0" borderId="0" xfId="0" applyFont="1" applyBorder="1" applyAlignment="1">
      <alignment horizontal="center"/>
    </xf>
    <xf numFmtId="0" fontId="0" fillId="0" borderId="0" xfId="0" applyFill="1"/>
    <xf numFmtId="44" fontId="0" fillId="0" borderId="0" xfId="1" applyFont="1" applyFill="1"/>
    <xf numFmtId="0" fontId="3" fillId="0" borderId="6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44" fontId="0" fillId="0" borderId="0" xfId="1" applyFont="1" applyFill="1" applyBorder="1"/>
    <xf numFmtId="44" fontId="0" fillId="0" borderId="7" xfId="1" applyFont="1" applyFill="1" applyBorder="1"/>
    <xf numFmtId="0" fontId="0" fillId="0" borderId="0" xfId="0" applyFill="1" applyBorder="1"/>
    <xf numFmtId="0" fontId="3" fillId="0" borderId="5" xfId="0" applyFont="1" applyFill="1" applyBorder="1"/>
    <xf numFmtId="44" fontId="3" fillId="0" borderId="8" xfId="1" applyFont="1" applyFill="1" applyBorder="1"/>
    <xf numFmtId="44" fontId="3" fillId="0" borderId="6" xfId="1" applyFont="1" applyFill="1" applyBorder="1"/>
    <xf numFmtId="0" fontId="5" fillId="0" borderId="0" xfId="0" applyFont="1" applyFill="1" applyAlignment="1">
      <alignment horizontal="center"/>
    </xf>
  </cellXfs>
  <cellStyles count="6">
    <cellStyle name="Currency" xfId="1" builtinId="4"/>
    <cellStyle name="Currency 2" xfId="4" xr:uid="{F74B1D84-0A07-4508-9B1C-091AD709C6C2}"/>
    <cellStyle name="Normal" xfId="0" builtinId="0"/>
    <cellStyle name="Normal 2" xfId="3" xr:uid="{100849E5-EE6D-437D-ABBA-D449A0327291}"/>
    <cellStyle name="Percent" xfId="2" builtinId="5"/>
    <cellStyle name="Percent 2" xfId="5" xr:uid="{66E858B5-C61E-4A81-A071-A8967DB9DE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ke Ackerman" id="{C77DAA69-426B-4B66-A041-374F39380B56}" userId="S::MikeA@nezperce.org::0b47ff0e-31f3-4b4d-8b78-4e886886749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27" dT="2024-08-14T18:59:14.38" personId="{C77DAA69-426B-4B66-A041-374F39380B56}" id="{73EDD025-783F-4768-B6C6-6E6621A2EF01}">
    <text>Uncertain</text>
  </threadedComment>
  <threadedComment ref="H28" dT="2024-08-14T17:40:35.62" personId="{C77DAA69-426B-4B66-A041-374F39380B56}" id="{691178A6-6E0F-4FBB-B687-A266FCA7A1D7}">
    <text>Uncertain</text>
  </threadedComment>
  <threadedComment ref="I28" dT="2024-08-14T17:40:43.71" personId="{C77DAA69-426B-4B66-A041-374F39380B56}" id="{D13E9A4C-2AB0-478F-B6A2-960553DB3442}">
    <text>Uncertain</text>
  </threadedComment>
  <threadedComment ref="L29" dT="2024-07-09T21:29:40.26" personId="{C77DAA69-426B-4B66-A041-374F39380B56}" id="{915A872A-BBAB-43E8-802B-5D0CE0950A92}">
    <text>Likely has 2.</text>
  </threadedComment>
  <threadedComment ref="M29" dT="2024-07-09T21:30:03.69" personId="{C77DAA69-426B-4B66-A041-374F39380B56}" id="{201386C1-B991-4D64-8809-E0D2E4C3DA27}">
    <text>Pair of IS1001 MCs</text>
  </threadedComment>
  <threadedComment ref="P29" dT="2024-08-14T19:02:42.43" personId="{C77DAA69-426B-4B66-A041-374F39380B56}" id="{94407DD1-9F9F-440A-B97A-466C79B99498}">
    <text>Uncertain</text>
  </threadedComment>
  <threadedComment ref="L30" dT="2024-07-09T21:31:45.67" personId="{C77DAA69-426B-4B66-A041-374F39380B56}" id="{7409E754-8777-429A-8F3A-7E4F93754079}">
    <text>Likely has 2.</text>
  </threadedComment>
  <threadedComment ref="M30" dT="2024-07-09T21:32:00.73" personId="{C77DAA69-426B-4B66-A041-374F39380B56}" id="{589702F8-FA89-4E2F-A4F3-1527EF065BA1}">
    <text>Pair of IS1001 MCs</text>
  </threadedComment>
  <threadedComment ref="P30" dT="2024-08-14T19:04:29.71" personId="{C77DAA69-426B-4B66-A041-374F39380B56}" id="{2D993765-75F5-49FA-91FD-D7A8F41A3ED0}">
    <text>Uncertain</text>
  </threadedComment>
  <threadedComment ref="Q31" dT="2024-08-14T19:10:13.10" personId="{C77DAA69-426B-4B66-A041-374F39380B56}" id="{B1120F9B-2C76-432F-BB66-8408FDB5CBA8}">
    <text>Uncertain</text>
  </threadedComment>
  <threadedComment ref="O32" dT="2024-08-14T19:12:57.44" personId="{C77DAA69-426B-4B66-A041-374F39380B56}" id="{830B22F3-9D80-4A9F-B935-EFDD8CE1C57A}">
    <text>Uncertain</text>
  </threadedComment>
  <threadedComment ref="P32" dT="2024-08-14T19:13:05.45" personId="{C77DAA69-426B-4B66-A041-374F39380B56}" id="{AB5EFE80-12B1-4B89-9EB0-1EC3CB4641C0}">
    <text>Uncertain</text>
  </threadedComment>
  <threadedComment ref="Q32" dT="2024-08-14T19:13:14.12" personId="{C77DAA69-426B-4B66-A041-374F39380B56}" id="{0BE1CF59-6542-400B-8736-7497B1CA3461}">
    <text>Uncertain</text>
  </threadedComment>
  <threadedComment ref="P33" dT="2024-08-14T19:14:41.18" personId="{C77DAA69-426B-4B66-A041-374F39380B56}" id="{D33D5EB8-A247-41A3-9FF4-EB0ECC6A4580}">
    <text>Uncertain</text>
  </threadedComment>
  <threadedComment ref="A34" dT="2024-07-09T21:51:13.18" personId="{C77DAA69-426B-4B66-A041-374F39380B56}" id="{D273F4A2-527A-4FA5-8E6B-3883F7CAC9E7}">
    <text>For cost analysis, we should likely include infrastructure info for what we anticipate the site to be.</text>
  </threadedComment>
  <threadedComment ref="A34" dT="2024-08-14T19:09:53.72" personId="{C77DAA69-426B-4B66-A041-374F39380B56}" id="{2BF6CE01-89E4-49A5-B175-3A43D2BA2EA8}" parentId="{D273F4A2-527A-4FA5-8E6B-3883F7CAC9E7}">
    <text>Uncertain</text>
  </threadedComment>
  <threadedComment ref="J34" dT="2024-08-14T19:17:48.98" personId="{C77DAA69-426B-4B66-A041-374F39380B56}" id="{7444BFC5-CA3E-4769-A8A1-A327CBBD429C}">
    <text>Guesstimate</text>
  </threadedComment>
  <threadedComment ref="N34" dT="2024-08-14T19:18:12.69" personId="{C77DAA69-426B-4B66-A041-374F39380B56}" id="{F3B8D358-9193-4DEE-9DC5-9B9CDFFEF174}">
    <text>Guesstimate based on previous operations</text>
  </threadedComment>
  <threadedComment ref="O34" dT="2024-08-14T19:20:43.80" personId="{C77DAA69-426B-4B66-A041-374F39380B56}" id="{7177A46E-49C6-43E3-AABD-100C1B91FE26}">
    <text>Uncertain what power supply it would use if re-installed</text>
  </threadedComment>
  <threadedComment ref="P34" dT="2024-08-14T19:20:57.07" personId="{C77DAA69-426B-4B66-A041-374F39380B56}" id="{18CD9616-5003-42E8-838E-5DA3952BF7C0}">
    <text>Guesstimate</text>
  </threadedComment>
  <threadedComment ref="Q34" dT="2024-08-14T19:21:10.28" personId="{C77DAA69-426B-4B66-A041-374F39380B56}" id="{C2BE7BE8-EC32-4CAB-B199-6A4DC5602FE6}">
    <text>Uncertain depending on power supply</text>
  </threadedComment>
  <threadedComment ref="P35" dT="2024-08-14T19:22:26.47" personId="{C77DAA69-426B-4B66-A041-374F39380B56}" id="{2974B190-A5E2-4A3C-94D1-2C5C33DC8688}">
    <text>Guesstimate</text>
  </threadedComment>
  <threadedComment ref="P36" dT="2024-08-14T19:25:46.16" personId="{C77DAA69-426B-4B66-A041-374F39380B56}" id="{47F799BA-EFEC-4B21-BAA1-8B30D16A98C7}">
    <text>Guesstimate</text>
  </threadedComment>
  <threadedComment ref="Q36" dT="2024-08-14T19:25:54.82" personId="{C77DAA69-426B-4B66-A041-374F39380B56}" id="{C4DF01AE-77B7-49E7-904E-B49BDE7ED141}">
    <text>Guesstimate</text>
  </threadedComment>
  <threadedComment ref="O37" dT="2024-08-14T19:28:34.45" personId="{C77DAA69-426B-4B66-A041-374F39380B56}" id="{60787847-3A2C-4272-B3D3-E9F184B3AA2D}">
    <text>Uncertain</text>
  </threadedComment>
  <threadedComment ref="P37" dT="2024-08-14T19:28:42.57" personId="{C77DAA69-426B-4B66-A041-374F39380B56}" id="{BE359182-5E77-4C98-B272-1A64C10BF4BD}">
    <text>Uncertain</text>
  </threadedComment>
  <threadedComment ref="Q37" dT="2024-08-14T19:28:54.93" personId="{C77DAA69-426B-4B66-A041-374F39380B56}" id="{EF4183E2-BC54-4F36-A161-2FD408E433B9}">
    <text>Uncertain</text>
  </threadedComment>
  <threadedComment ref="I38" dT="2024-08-14T17:57:04.62" personId="{C77DAA69-426B-4B66-A041-374F39380B56}" id="{073016D2-9541-43B3-95D4-FEBED184C359}">
    <text>Uncertain on BPA project</text>
  </threadedComment>
  <threadedComment ref="J38" dT="2024-08-14T19:32:51.29" personId="{C77DAA69-426B-4B66-A041-374F39380B56}" id="{99A3FAF7-E57A-4C3C-8098-93EA12E451E9}">
    <text>Guesstimate</text>
  </threadedComment>
  <threadedComment ref="L38" dT="2024-07-09T22:17:43.42" personId="{C77DAA69-426B-4B66-A041-374F39380B56}" id="{8EF7F1C4-1F8A-4930-BE6D-DB4DE0D3E75C}">
    <text>Maybe has 2?</text>
  </threadedComment>
  <threadedComment ref="M38" dT="2024-07-09T22:17:53.68" personId="{C77DAA69-426B-4B66-A041-374F39380B56}" id="{371D0FAE-405C-472D-9019-C855EB540787}">
    <text>Appears to have 2.</text>
  </threadedComment>
  <threadedComment ref="P38" dT="2024-08-14T19:33:14.09" personId="{C77DAA69-426B-4B66-A041-374F39380B56}" id="{2A5E4EEF-D24F-449E-BB01-A08A33121190}">
    <text>Guesstimate</text>
  </threadedComment>
  <threadedComment ref="H39" dT="2024-08-14T17:58:42.15" personId="{C77DAA69-426B-4B66-A041-374F39380B56}" id="{73312CDF-8FD4-4A39-AFAB-2773DFBD0E7E}">
    <text>Uncertain</text>
  </threadedComment>
  <threadedComment ref="I39" dT="2024-08-14T17:58:50.94" personId="{C77DAA69-426B-4B66-A041-374F39380B56}" id="{638ED1FC-8A82-4525-8E0D-9FB16C866C55}">
    <text>Uncertain</text>
  </threadedComment>
  <threadedComment ref="P39" dT="2024-08-14T19:34:29.89" personId="{C77DAA69-426B-4B66-A041-374F39380B56}" id="{AD301800-996A-44A7-A8A1-A0E72DDA7EEE}">
    <text>Uncertain</text>
  </threadedComment>
  <threadedComment ref="J40" dT="2024-08-14T19:35:46.76" personId="{C77DAA69-426B-4B66-A041-374F39380B56}" id="{34D9FD0C-C923-4A9F-949B-12953991A15C}">
    <text>Guesstimate</text>
  </threadedComment>
  <threadedComment ref="N40" dT="2024-08-14T19:36:58.45" personId="{C77DAA69-426B-4B66-A041-374F39380B56}" id="{AE9481D7-4476-403B-8541-16BCB964FA37}">
    <text>Guesstimate</text>
  </threadedComment>
  <threadedComment ref="O40" dT="2024-08-14T19:37:07.31" personId="{C77DAA69-426B-4B66-A041-374F39380B56}" id="{544378C6-124C-4C92-A642-0AE43F3F3061}">
    <text>Guesstimate</text>
  </threadedComment>
  <threadedComment ref="P40" dT="2024-08-14T19:37:14.89" personId="{C77DAA69-426B-4B66-A041-374F39380B56}" id="{00E8D40E-04F4-4F93-AB45-467AF4CC9362}">
    <text>Guesstimate</text>
  </threadedComment>
  <threadedComment ref="J41" dT="2024-08-14T19:37:51.25" personId="{C77DAA69-426B-4B66-A041-374F39380B56}" id="{351259EF-3985-4698-AF5C-40B4E8213980}">
    <text>Guesstimate</text>
  </threadedComment>
  <threadedComment ref="N41" dT="2024-08-14T19:37:58.83" personId="{C77DAA69-426B-4B66-A041-374F39380B56}" id="{ED26637F-FBCE-4F79-8C43-FED7D517BFB2}">
    <text>Guesstimate</text>
  </threadedComment>
  <threadedComment ref="O41" dT="2024-08-14T19:38:06.04" personId="{C77DAA69-426B-4B66-A041-374F39380B56}" id="{4DDFA2D5-BA85-40F5-B9BE-AFB3430867B9}">
    <text>Guesstimate</text>
  </threadedComment>
  <threadedComment ref="P41" dT="2024-08-14T19:38:14.61" personId="{C77DAA69-426B-4B66-A041-374F39380B56}" id="{29297ED3-A1F8-45DB-8894-83E4684C9CB7}">
    <text>Guesstimate</text>
  </threadedComment>
  <threadedComment ref="N42" dT="2024-08-14T19:45:05.01" personId="{C77DAA69-426B-4B66-A041-374F39380B56}" id="{EFDEDEC3-3251-49D7-B8F8-775B538E2941}">
    <text>Guesstimate</text>
  </threadedComment>
  <threadedComment ref="O42" dT="2024-08-14T19:45:12.52" personId="{C77DAA69-426B-4B66-A041-374F39380B56}" id="{B5188D8D-C0C6-4175-87BE-772A73E6CB11}">
    <text>Guesstimate</text>
  </threadedComment>
  <threadedComment ref="P42" dT="2024-08-14T19:45:20.67" personId="{C77DAA69-426B-4B66-A041-374F39380B56}" id="{66CA20A2-0F08-4F4D-90A2-5C0926FD9D3D}">
    <text>Guesstimate</text>
  </threadedComment>
  <threadedComment ref="Q42" dT="2024-08-14T19:45:33.23" personId="{C77DAA69-426B-4B66-A041-374F39380B56}" id="{9D013F0B-84F0-4B8C-8916-5524E19E2129}">
    <text>Guesstimate</text>
  </threadedComment>
  <threadedComment ref="N43" dT="2024-08-14T19:46:40.04" personId="{C77DAA69-426B-4B66-A041-374F39380B56}" id="{7813689E-9B6F-49FC-A9B2-338961C7EFC4}">
    <text>Guesstimate</text>
  </threadedComment>
  <threadedComment ref="O43" dT="2024-08-14T19:46:49.76" personId="{C77DAA69-426B-4B66-A041-374F39380B56}" id="{692E4B72-3AF6-49DC-AA12-A6D2E4057EDD}">
    <text>Guesstimate</text>
  </threadedComment>
  <threadedComment ref="P43" dT="2024-08-14T19:46:57.56" personId="{C77DAA69-426B-4B66-A041-374F39380B56}" id="{0BC2EF01-7A2F-4F3D-AE49-65515A710650}">
    <text>Guesstimate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4"/>
  <sheetViews>
    <sheetView tabSelected="1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A18" sqref="A18"/>
    </sheetView>
  </sheetViews>
  <sheetFormatPr defaultRowHeight="10" x14ac:dyDescent="0.2"/>
  <cols>
    <col min="1" max="1" width="11.7265625" style="16" bestFit="1" customWidth="1"/>
    <col min="2" max="2" width="28.7265625" style="17" bestFit="1" customWidth="1"/>
    <col min="3" max="3" width="12.54296875" style="16" bestFit="1" customWidth="1"/>
    <col min="4" max="4" width="33.08984375" style="16" bestFit="1" customWidth="1"/>
    <col min="5" max="6" width="10.453125" style="16" bestFit="1" customWidth="1"/>
    <col min="7" max="7" width="15.6328125" style="16" bestFit="1" customWidth="1"/>
    <col min="8" max="8" width="19.453125" style="16" bestFit="1" customWidth="1"/>
    <col min="9" max="9" width="26.54296875" style="31" customWidth="1"/>
    <col min="10" max="10" width="17.1796875" style="17" bestFit="1" customWidth="1"/>
    <col min="11" max="11" width="13.1796875" style="17" bestFit="1" customWidth="1"/>
    <col min="12" max="12" width="14.1796875" style="17" bestFit="1" customWidth="1"/>
    <col min="13" max="13" width="11.08984375" style="17" bestFit="1" customWidth="1"/>
    <col min="14" max="14" width="8.1796875" style="16" bestFit="1" customWidth="1"/>
    <col min="15" max="15" width="12" style="17" bestFit="1" customWidth="1"/>
    <col min="16" max="16" width="7.7265625" style="16" bestFit="1" customWidth="1"/>
    <col min="17" max="17" width="13.26953125" style="16" customWidth="1"/>
    <col min="18" max="18" width="11.7265625" style="19" bestFit="1" customWidth="1"/>
    <col min="19" max="19" width="14.1796875" style="19" bestFit="1" customWidth="1"/>
    <col min="20" max="20" width="15.08984375" style="19" bestFit="1" customWidth="1"/>
    <col min="21" max="21" width="11.26953125" style="19" bestFit="1" customWidth="1"/>
    <col min="22" max="22" width="12.26953125" style="19" bestFit="1" customWidth="1"/>
    <col min="23" max="23" width="16.90625" style="19" bestFit="1" customWidth="1"/>
    <col min="24" max="24" width="17.1796875" style="19" bestFit="1" customWidth="1"/>
    <col min="25" max="25" width="15.6328125" style="25" bestFit="1" customWidth="1"/>
    <col min="26" max="26" width="8.1796875" style="25" bestFit="1" customWidth="1"/>
    <col min="27" max="27" width="15.90625" style="25" bestFit="1" customWidth="1"/>
    <col min="28" max="28" width="16.7265625" style="26" bestFit="1" customWidth="1"/>
    <col min="29" max="29" width="13.90625" style="21" bestFit="1" customWidth="1"/>
    <col min="30" max="30" width="10.1796875" style="21" bestFit="1" customWidth="1"/>
    <col min="31" max="31" width="15.54296875" style="21" bestFit="1" customWidth="1"/>
    <col min="32" max="32" width="19.1796875" style="27" bestFit="1" customWidth="1"/>
    <col min="33" max="33" width="10.1796875" style="28" bestFit="1" customWidth="1"/>
    <col min="34" max="16384" width="8.7265625" style="17"/>
  </cols>
  <sheetData>
    <row r="1" spans="1:33" s="8" customFormat="1" ht="10.5" x14ac:dyDescent="0.25">
      <c r="A1" s="8" t="s">
        <v>112</v>
      </c>
      <c r="B1" s="8" t="s">
        <v>113</v>
      </c>
      <c r="C1" s="9" t="s">
        <v>114</v>
      </c>
      <c r="D1" s="9" t="s">
        <v>115</v>
      </c>
      <c r="E1" s="8" t="s">
        <v>116</v>
      </c>
      <c r="F1" s="8" t="s">
        <v>118</v>
      </c>
      <c r="G1" s="8" t="s">
        <v>119</v>
      </c>
      <c r="H1" s="8" t="s">
        <v>120</v>
      </c>
      <c r="I1" s="8" t="s">
        <v>121</v>
      </c>
      <c r="J1" s="8" t="s">
        <v>127</v>
      </c>
      <c r="K1" s="8" t="s">
        <v>146</v>
      </c>
      <c r="L1" s="8" t="s">
        <v>345</v>
      </c>
      <c r="M1" s="8" t="s">
        <v>145</v>
      </c>
      <c r="N1" s="8" t="s">
        <v>153</v>
      </c>
      <c r="O1" s="8" t="s">
        <v>133</v>
      </c>
      <c r="P1" s="8" t="s">
        <v>140</v>
      </c>
      <c r="Q1" s="8" t="s">
        <v>141</v>
      </c>
      <c r="R1" s="10" t="s">
        <v>156</v>
      </c>
      <c r="S1" s="10" t="s">
        <v>157</v>
      </c>
      <c r="T1" s="10" t="s">
        <v>158</v>
      </c>
      <c r="U1" s="10" t="s">
        <v>159</v>
      </c>
      <c r="V1" s="10" t="s">
        <v>160</v>
      </c>
      <c r="W1" s="10" t="s">
        <v>161</v>
      </c>
      <c r="X1" s="10" t="s">
        <v>162</v>
      </c>
      <c r="Y1" s="11" t="s">
        <v>348</v>
      </c>
      <c r="Z1" s="11" t="s">
        <v>168</v>
      </c>
      <c r="AA1" s="11" t="s">
        <v>370</v>
      </c>
      <c r="AB1" s="12" t="s">
        <v>164</v>
      </c>
      <c r="AC1" s="13" t="s">
        <v>165</v>
      </c>
      <c r="AD1" s="13" t="s">
        <v>166</v>
      </c>
      <c r="AE1" s="13" t="s">
        <v>167</v>
      </c>
      <c r="AF1" s="14" t="s">
        <v>358</v>
      </c>
      <c r="AG1" s="15" t="s">
        <v>354</v>
      </c>
    </row>
    <row r="2" spans="1:33" x14ac:dyDescent="0.2">
      <c r="A2" s="16" t="s">
        <v>87</v>
      </c>
      <c r="B2" s="17" t="s">
        <v>88</v>
      </c>
      <c r="C2" s="18" t="b">
        <v>1</v>
      </c>
      <c r="D2" s="18" t="s">
        <v>108</v>
      </c>
      <c r="E2" s="16" t="s">
        <v>53</v>
      </c>
      <c r="F2" s="18" t="s">
        <v>89</v>
      </c>
      <c r="G2" s="18" t="s">
        <v>125</v>
      </c>
      <c r="H2" s="18" t="s">
        <v>1</v>
      </c>
      <c r="I2" s="29" t="s">
        <v>374</v>
      </c>
      <c r="J2" s="17" t="str">
        <f t="shared" ref="J2:J26" si="0">VLOOKUP(A2,om_table,23,FALSE)</f>
        <v>Cellular Modem</v>
      </c>
      <c r="K2" s="17" t="str">
        <f>VLOOKUP(A2,om_table,22,FALSE)</f>
        <v>BioProbe3</v>
      </c>
      <c r="L2" s="17" t="str">
        <f t="shared" ref="L2:L26" si="1">VLOOKUP(A2,om_table,20,FALSE)</f>
        <v>IS1001-MTS</v>
      </c>
      <c r="M2" s="58" t="str">
        <f t="shared" ref="M2:M26" si="2">VLOOKUP(A2,om_table,21,FALSE)</f>
        <v>Biomark IS1001</v>
      </c>
      <c r="N2" s="16">
        <f t="shared" ref="N2:N26" si="3">VLOOKUP(A2,om_table,30,FALSE)</f>
        <v>6</v>
      </c>
      <c r="O2" s="17" t="str">
        <f t="shared" ref="O2:O26" si="4">VLOOKUP(A2,om_table,9,FALSE)</f>
        <v>5120 TEG</v>
      </c>
      <c r="P2" s="16">
        <f t="shared" ref="P2:P26" si="5">VLOOKUP(A2,om_table,16,FALSE)</f>
        <v>4</v>
      </c>
      <c r="Q2" s="16">
        <f t="shared" ref="Q2:Q26" si="6">VLOOKUP(A2,om_table,17,FALSE)</f>
        <v>0</v>
      </c>
      <c r="R2" s="19">
        <f t="shared" ref="R2:R33" si="7">VLOOKUP(J2,communication,2,FALSE)</f>
        <v>742</v>
      </c>
      <c r="S2" s="19">
        <f t="shared" ref="S2:S33" si="8">IFERROR(VLOOKUP(K2,datalogger,2,FALSE),0)</f>
        <v>835</v>
      </c>
      <c r="T2" s="19">
        <f t="shared" ref="T2:T33" si="9">IFERROR(VLOOKUP(L2,transceiver,2,FALSE),0)</f>
        <v>4450</v>
      </c>
      <c r="U2" s="19">
        <f t="shared" ref="U2:U33" si="10">VLOOKUP(M2,reader,2,FALSE)*N2</f>
        <v>12504</v>
      </c>
      <c r="V2" s="19">
        <f t="shared" ref="V2:V33" si="11">N2*antenna_cost</f>
        <v>17610</v>
      </c>
      <c r="W2" s="19">
        <f t="shared" ref="W2:W33" si="12">_xlfn.IFS(O2="Grid Power", 2550, O2="Grid Power PLC", 3940, O2="5060 Hybrid TEG", 27903, O2="5060 TEG", 10479, O2="5120 TEG", 13874, O2="Solar", solar_array_cost*Q2)+(P2*battery_cost)</f>
        <v>15274</v>
      </c>
      <c r="X2" s="19">
        <f t="shared" ref="X2:X26" si="13">VLOOKUP(A2,om_table,40,FALSE)</f>
        <v>12500</v>
      </c>
      <c r="Y2" s="20">
        <f>SUM(R2:X2)</f>
        <v>63915</v>
      </c>
      <c r="Z2" s="39">
        <f t="shared" ref="Z2:Z26" si="14">VLOOKUP(A2,om_table,48,FALSE)</f>
        <v>0.08</v>
      </c>
      <c r="AA2" s="20">
        <f>Y2*Z2</f>
        <v>5113.2</v>
      </c>
      <c r="AB2" s="21">
        <f t="shared" ref="AB2:AB33" si="15">(P2*battery_replacement)/4</f>
        <v>364</v>
      </c>
      <c r="AC2" s="21">
        <f t="shared" ref="AC2:AC33" si="16">VLOOKUP(J2,communication,3,FALSE)</f>
        <v>300</v>
      </c>
      <c r="AD2" s="21">
        <f t="shared" ref="AD2:AD33" si="17">VLOOKUP(O2,power,3,FALSE)</f>
        <v>3120.75</v>
      </c>
      <c r="AE2" s="21">
        <f t="shared" ref="AE2:AE33" si="18">data_management_mnth*12</f>
        <v>1080</v>
      </c>
      <c r="AF2" s="22">
        <f t="shared" ref="AF2:AF4" si="19">SUM(AB2:AE2)</f>
        <v>4864.75</v>
      </c>
      <c r="AG2" s="23">
        <f>AF2+AA2</f>
        <v>9977.9500000000007</v>
      </c>
    </row>
    <row r="3" spans="1:33" x14ac:dyDescent="0.2">
      <c r="A3" s="16" t="s">
        <v>67</v>
      </c>
      <c r="B3" s="17" t="s">
        <v>68</v>
      </c>
      <c r="C3" s="18" t="b">
        <v>1</v>
      </c>
      <c r="D3" s="18" t="s">
        <v>108</v>
      </c>
      <c r="E3" s="16" t="s">
        <v>53</v>
      </c>
      <c r="F3" s="18" t="s">
        <v>10</v>
      </c>
      <c r="G3" s="18" t="s">
        <v>124</v>
      </c>
      <c r="H3" s="18" t="s">
        <v>1</v>
      </c>
      <c r="I3" s="29" t="s">
        <v>374</v>
      </c>
      <c r="J3" s="17" t="str">
        <f t="shared" si="0"/>
        <v>Cellular Modem</v>
      </c>
      <c r="K3" s="17" t="str">
        <f>VLOOKUP(A3,om_table,22,FALSE)</f>
        <v>BioProbe3</v>
      </c>
      <c r="L3" s="17" t="str">
        <f t="shared" si="1"/>
        <v>IS1001-MTS</v>
      </c>
      <c r="M3" s="58" t="str">
        <f t="shared" si="2"/>
        <v>Biomark IS1001</v>
      </c>
      <c r="N3" s="16">
        <f t="shared" si="3"/>
        <v>6</v>
      </c>
      <c r="O3" s="17" t="str">
        <f t="shared" si="4"/>
        <v>Grid Power</v>
      </c>
      <c r="P3" s="16">
        <f t="shared" si="5"/>
        <v>4</v>
      </c>
      <c r="Q3" s="16">
        <f t="shared" si="6"/>
        <v>0</v>
      </c>
      <c r="R3" s="19">
        <f t="shared" si="7"/>
        <v>742</v>
      </c>
      <c r="S3" s="19">
        <f t="shared" si="8"/>
        <v>835</v>
      </c>
      <c r="T3" s="19">
        <f t="shared" si="9"/>
        <v>4450</v>
      </c>
      <c r="U3" s="19">
        <f t="shared" si="10"/>
        <v>12504</v>
      </c>
      <c r="V3" s="19">
        <f t="shared" si="11"/>
        <v>17610</v>
      </c>
      <c r="W3" s="19">
        <f t="shared" si="12"/>
        <v>3950</v>
      </c>
      <c r="X3" s="19">
        <f t="shared" si="13"/>
        <v>12500</v>
      </c>
      <c r="Y3" s="20">
        <f t="shared" ref="Y3:Y52" si="20">SUM(R3:X3)</f>
        <v>52591</v>
      </c>
      <c r="Z3" s="39">
        <f t="shared" si="14"/>
        <v>0.08</v>
      </c>
      <c r="AA3" s="20">
        <f t="shared" ref="AA3:AA52" si="21">Y3*Z3</f>
        <v>4207.28</v>
      </c>
      <c r="AB3" s="21">
        <f t="shared" si="15"/>
        <v>364</v>
      </c>
      <c r="AC3" s="21">
        <f t="shared" si="16"/>
        <v>300</v>
      </c>
      <c r="AD3" s="21">
        <f t="shared" si="17"/>
        <v>120</v>
      </c>
      <c r="AE3" s="21">
        <f t="shared" si="18"/>
        <v>1080</v>
      </c>
      <c r="AF3" s="22">
        <f t="shared" si="19"/>
        <v>1864</v>
      </c>
      <c r="AG3" s="23">
        <f t="shared" ref="AG3:AG52" si="22">AF3+AA3</f>
        <v>6071.28</v>
      </c>
    </row>
    <row r="4" spans="1:33" x14ac:dyDescent="0.2">
      <c r="A4" s="16" t="s">
        <v>71</v>
      </c>
      <c r="B4" s="17" t="s">
        <v>72</v>
      </c>
      <c r="C4" s="18" t="b">
        <v>1</v>
      </c>
      <c r="D4" s="18" t="s">
        <v>108</v>
      </c>
      <c r="E4" s="16" t="s">
        <v>53</v>
      </c>
      <c r="F4" s="18" t="s">
        <v>10</v>
      </c>
      <c r="G4" s="18" t="s">
        <v>124</v>
      </c>
      <c r="H4" s="18" t="s">
        <v>1</v>
      </c>
      <c r="I4" s="29" t="s">
        <v>374</v>
      </c>
      <c r="J4" s="17" t="str">
        <f t="shared" si="0"/>
        <v>Cellular Modem</v>
      </c>
      <c r="K4" s="17" t="str">
        <f>VLOOKUP(A4,om_table,22,FALSE)</f>
        <v>BioProbe3</v>
      </c>
      <c r="L4" s="17" t="str">
        <f t="shared" si="1"/>
        <v>IS1001-MTS</v>
      </c>
      <c r="M4" s="58" t="str">
        <f t="shared" si="2"/>
        <v>Biomark IS1001</v>
      </c>
      <c r="N4" s="16">
        <f t="shared" si="3"/>
        <v>4</v>
      </c>
      <c r="O4" s="17" t="str">
        <f t="shared" si="4"/>
        <v>Grid Power</v>
      </c>
      <c r="P4" s="16">
        <f t="shared" si="5"/>
        <v>4</v>
      </c>
      <c r="Q4" s="16">
        <f t="shared" si="6"/>
        <v>0</v>
      </c>
      <c r="R4" s="19">
        <f t="shared" si="7"/>
        <v>742</v>
      </c>
      <c r="S4" s="19">
        <f t="shared" si="8"/>
        <v>835</v>
      </c>
      <c r="T4" s="19">
        <f t="shared" si="9"/>
        <v>4450</v>
      </c>
      <c r="U4" s="19">
        <f t="shared" si="10"/>
        <v>8336</v>
      </c>
      <c r="V4" s="19">
        <f t="shared" si="11"/>
        <v>11740</v>
      </c>
      <c r="W4" s="19">
        <f t="shared" si="12"/>
        <v>3950</v>
      </c>
      <c r="X4" s="19">
        <f t="shared" si="13"/>
        <v>12500</v>
      </c>
      <c r="Y4" s="20">
        <f t="shared" si="20"/>
        <v>42553</v>
      </c>
      <c r="Z4" s="39">
        <f t="shared" si="14"/>
        <v>0.08</v>
      </c>
      <c r="AA4" s="20">
        <f t="shared" si="21"/>
        <v>3404.2400000000002</v>
      </c>
      <c r="AB4" s="21">
        <f t="shared" si="15"/>
        <v>364</v>
      </c>
      <c r="AC4" s="21">
        <f t="shared" si="16"/>
        <v>300</v>
      </c>
      <c r="AD4" s="21">
        <f t="shared" si="17"/>
        <v>120</v>
      </c>
      <c r="AE4" s="21">
        <f t="shared" si="18"/>
        <v>1080</v>
      </c>
      <c r="AF4" s="22">
        <f t="shared" si="19"/>
        <v>1864</v>
      </c>
      <c r="AG4" s="23">
        <f t="shared" si="22"/>
        <v>5268.24</v>
      </c>
    </row>
    <row r="5" spans="1:33" x14ac:dyDescent="0.2">
      <c r="A5" s="16" t="s">
        <v>73</v>
      </c>
      <c r="B5" s="17" t="s">
        <v>74</v>
      </c>
      <c r="C5" s="18" t="b">
        <v>1</v>
      </c>
      <c r="D5" s="18" t="s">
        <v>108</v>
      </c>
      <c r="E5" s="16" t="s">
        <v>53</v>
      </c>
      <c r="F5" s="18" t="s">
        <v>10</v>
      </c>
      <c r="G5" s="18" t="s">
        <v>124</v>
      </c>
      <c r="H5" s="18" t="s">
        <v>1</v>
      </c>
      <c r="I5" s="29" t="s">
        <v>374</v>
      </c>
      <c r="J5" s="17" t="str">
        <f t="shared" si="0"/>
        <v>None</v>
      </c>
      <c r="K5" s="17" t="str">
        <f>VLOOKUP(A5,om_table,22,FALSE)</f>
        <v>BioProbe3</v>
      </c>
      <c r="L5" s="17" t="str">
        <f t="shared" si="1"/>
        <v>FS1001M</v>
      </c>
      <c r="M5" s="58" t="str">
        <f t="shared" si="2"/>
        <v>Biomark MUX</v>
      </c>
      <c r="N5" s="16">
        <f t="shared" si="3"/>
        <v>6</v>
      </c>
      <c r="O5" s="17" t="str">
        <f t="shared" si="4"/>
        <v>Grid Power</v>
      </c>
      <c r="P5" s="16">
        <f t="shared" si="5"/>
        <v>4</v>
      </c>
      <c r="Q5" s="16">
        <f t="shared" si="6"/>
        <v>0</v>
      </c>
      <c r="R5" s="19">
        <f t="shared" si="7"/>
        <v>0</v>
      </c>
      <c r="S5" s="19">
        <f t="shared" si="8"/>
        <v>835</v>
      </c>
      <c r="T5" s="19">
        <f t="shared" si="9"/>
        <v>8500</v>
      </c>
      <c r="U5" s="19">
        <f t="shared" si="10"/>
        <v>0</v>
      </c>
      <c r="V5" s="19">
        <f t="shared" si="11"/>
        <v>17610</v>
      </c>
      <c r="W5" s="19">
        <f t="shared" si="12"/>
        <v>3950</v>
      </c>
      <c r="X5" s="19">
        <f t="shared" si="13"/>
        <v>12500</v>
      </c>
      <c r="Y5" s="20">
        <f t="shared" si="20"/>
        <v>43395</v>
      </c>
      <c r="Z5" s="39">
        <f t="shared" si="14"/>
        <v>0.1</v>
      </c>
      <c r="AA5" s="20">
        <f t="shared" si="21"/>
        <v>4339.5</v>
      </c>
      <c r="AB5" s="21">
        <f t="shared" si="15"/>
        <v>364</v>
      </c>
      <c r="AC5" s="21">
        <f t="shared" si="16"/>
        <v>0</v>
      </c>
      <c r="AD5" s="21">
        <f t="shared" si="17"/>
        <v>120</v>
      </c>
      <c r="AE5" s="21">
        <f t="shared" si="18"/>
        <v>1080</v>
      </c>
      <c r="AF5" s="22">
        <f>SUM(AB5:AE5)</f>
        <v>1564</v>
      </c>
      <c r="AG5" s="23">
        <f t="shared" si="22"/>
        <v>5903.5</v>
      </c>
    </row>
    <row r="6" spans="1:33" x14ac:dyDescent="0.2">
      <c r="A6" s="16" t="s">
        <v>65</v>
      </c>
      <c r="B6" s="17" t="s">
        <v>66</v>
      </c>
      <c r="C6" s="18" t="b">
        <v>1</v>
      </c>
      <c r="D6" s="18" t="s">
        <v>108</v>
      </c>
      <c r="E6" s="16" t="s">
        <v>53</v>
      </c>
      <c r="F6" s="18" t="s">
        <v>10</v>
      </c>
      <c r="G6" s="18" t="s">
        <v>124</v>
      </c>
      <c r="H6" s="18" t="s">
        <v>1</v>
      </c>
      <c r="I6" s="29" t="s">
        <v>374</v>
      </c>
      <c r="J6" s="17" t="str">
        <f t="shared" si="0"/>
        <v>Satellite Modem</v>
      </c>
      <c r="L6" s="17" t="str">
        <f t="shared" si="1"/>
        <v>IS1001-MTS</v>
      </c>
      <c r="M6" s="58" t="str">
        <f t="shared" si="2"/>
        <v>Biomark IS1001</v>
      </c>
      <c r="N6" s="16">
        <f t="shared" si="3"/>
        <v>6</v>
      </c>
      <c r="O6" s="17" t="str">
        <f t="shared" si="4"/>
        <v>Grid Power</v>
      </c>
      <c r="P6" s="16">
        <f t="shared" si="5"/>
        <v>4</v>
      </c>
      <c r="Q6" s="16">
        <f t="shared" si="6"/>
        <v>0</v>
      </c>
      <c r="R6" s="19">
        <f t="shared" si="7"/>
        <v>2000</v>
      </c>
      <c r="S6" s="19">
        <f t="shared" si="8"/>
        <v>0</v>
      </c>
      <c r="T6" s="19">
        <f t="shared" si="9"/>
        <v>4450</v>
      </c>
      <c r="U6" s="19">
        <f t="shared" si="10"/>
        <v>12504</v>
      </c>
      <c r="V6" s="19">
        <f t="shared" si="11"/>
        <v>17610</v>
      </c>
      <c r="W6" s="19">
        <f t="shared" si="12"/>
        <v>3950</v>
      </c>
      <c r="X6" s="19">
        <f t="shared" si="13"/>
        <v>12500</v>
      </c>
      <c r="Y6" s="20">
        <f t="shared" si="20"/>
        <v>53014</v>
      </c>
      <c r="Z6" s="39">
        <f t="shared" si="14"/>
        <v>0.08</v>
      </c>
      <c r="AA6" s="20">
        <f t="shared" si="21"/>
        <v>4241.12</v>
      </c>
      <c r="AB6" s="21">
        <f t="shared" si="15"/>
        <v>364</v>
      </c>
      <c r="AC6" s="21">
        <f t="shared" si="16"/>
        <v>1440</v>
      </c>
      <c r="AD6" s="21">
        <f t="shared" si="17"/>
        <v>120</v>
      </c>
      <c r="AE6" s="21">
        <f t="shared" si="18"/>
        <v>1080</v>
      </c>
      <c r="AF6" s="22">
        <f t="shared" ref="AF6:AF52" si="23">SUM(AB6:AE6)</f>
        <v>3004</v>
      </c>
      <c r="AG6" s="23">
        <f t="shared" si="22"/>
        <v>7245.12</v>
      </c>
    </row>
    <row r="7" spans="1:33" x14ac:dyDescent="0.2">
      <c r="A7" s="16" t="s">
        <v>81</v>
      </c>
      <c r="B7" s="17" t="s">
        <v>82</v>
      </c>
      <c r="C7" s="18" t="b">
        <v>1</v>
      </c>
      <c r="D7" s="18" t="s">
        <v>108</v>
      </c>
      <c r="E7" s="16" t="s">
        <v>53</v>
      </c>
      <c r="F7" s="18" t="s">
        <v>10</v>
      </c>
      <c r="G7" s="18" t="s">
        <v>124</v>
      </c>
      <c r="H7" s="18" t="s">
        <v>1</v>
      </c>
      <c r="I7" s="29" t="s">
        <v>374</v>
      </c>
      <c r="J7" s="17" t="str">
        <f t="shared" si="0"/>
        <v>Cellular Modem</v>
      </c>
      <c r="K7" s="17" t="str">
        <f>VLOOKUP(A7,om_table,22,FALSE)</f>
        <v>BioProbe3</v>
      </c>
      <c r="L7" s="17" t="str">
        <f t="shared" si="1"/>
        <v>FS1001M</v>
      </c>
      <c r="M7" s="58" t="str">
        <f t="shared" si="2"/>
        <v>Biomark MUX</v>
      </c>
      <c r="N7" s="16">
        <f t="shared" si="3"/>
        <v>6</v>
      </c>
      <c r="O7" s="17" t="str">
        <f t="shared" si="4"/>
        <v>5060 TEG</v>
      </c>
      <c r="P7" s="16">
        <f t="shared" si="5"/>
        <v>0</v>
      </c>
      <c r="Q7" s="16">
        <f t="shared" si="6"/>
        <v>0</v>
      </c>
      <c r="R7" s="19">
        <f t="shared" si="7"/>
        <v>742</v>
      </c>
      <c r="S7" s="19">
        <f t="shared" si="8"/>
        <v>835</v>
      </c>
      <c r="T7" s="19">
        <f t="shared" si="9"/>
        <v>8500</v>
      </c>
      <c r="U7" s="19">
        <f t="shared" si="10"/>
        <v>0</v>
      </c>
      <c r="V7" s="19">
        <f t="shared" si="11"/>
        <v>17610</v>
      </c>
      <c r="W7" s="19">
        <f t="shared" si="12"/>
        <v>10479</v>
      </c>
      <c r="X7" s="19">
        <f t="shared" si="13"/>
        <v>12500</v>
      </c>
      <c r="Y7" s="20">
        <f t="shared" si="20"/>
        <v>50666</v>
      </c>
      <c r="Z7" s="39">
        <f t="shared" si="14"/>
        <v>0.1</v>
      </c>
      <c r="AA7" s="20">
        <f t="shared" si="21"/>
        <v>5066.6000000000004</v>
      </c>
      <c r="AB7" s="21">
        <f t="shared" si="15"/>
        <v>0</v>
      </c>
      <c r="AC7" s="21">
        <f t="shared" si="16"/>
        <v>300</v>
      </c>
      <c r="AD7" s="21">
        <f t="shared" si="17"/>
        <v>1560.38</v>
      </c>
      <c r="AE7" s="21">
        <f t="shared" si="18"/>
        <v>1080</v>
      </c>
      <c r="AF7" s="22">
        <f t="shared" si="23"/>
        <v>2940.38</v>
      </c>
      <c r="AG7" s="23">
        <f t="shared" si="22"/>
        <v>8006.9800000000005</v>
      </c>
    </row>
    <row r="8" spans="1:33" x14ac:dyDescent="0.2">
      <c r="A8" s="16" t="s">
        <v>61</v>
      </c>
      <c r="B8" s="17" t="s">
        <v>62</v>
      </c>
      <c r="C8" s="18" t="b">
        <v>1</v>
      </c>
      <c r="D8" s="18" t="s">
        <v>108</v>
      </c>
      <c r="E8" s="16" t="s">
        <v>53</v>
      </c>
      <c r="F8" s="18" t="s">
        <v>10</v>
      </c>
      <c r="G8" s="18" t="s">
        <v>124</v>
      </c>
      <c r="H8" s="18" t="s">
        <v>1</v>
      </c>
      <c r="I8" s="29" t="s">
        <v>374</v>
      </c>
      <c r="J8" s="17" t="str">
        <f t="shared" si="0"/>
        <v>Satellite Modem</v>
      </c>
      <c r="L8" s="17" t="str">
        <f t="shared" si="1"/>
        <v>IS1001-MTS</v>
      </c>
      <c r="M8" s="58" t="str">
        <f t="shared" si="2"/>
        <v>Biomark IS1001</v>
      </c>
      <c r="N8" s="16">
        <f t="shared" si="3"/>
        <v>8</v>
      </c>
      <c r="O8" s="17" t="str">
        <f t="shared" si="4"/>
        <v>5120 TEG</v>
      </c>
      <c r="P8" s="16">
        <f t="shared" si="5"/>
        <v>0</v>
      </c>
      <c r="Q8" s="16">
        <f t="shared" si="6"/>
        <v>0</v>
      </c>
      <c r="R8" s="19">
        <f t="shared" si="7"/>
        <v>2000</v>
      </c>
      <c r="S8" s="19">
        <f t="shared" si="8"/>
        <v>0</v>
      </c>
      <c r="T8" s="19">
        <f t="shared" si="9"/>
        <v>4450</v>
      </c>
      <c r="U8" s="19">
        <f t="shared" si="10"/>
        <v>16672</v>
      </c>
      <c r="V8" s="19">
        <f t="shared" si="11"/>
        <v>23480</v>
      </c>
      <c r="W8" s="19">
        <f t="shared" si="12"/>
        <v>13874</v>
      </c>
      <c r="X8" s="19">
        <f t="shared" si="13"/>
        <v>12500</v>
      </c>
      <c r="Y8" s="20">
        <f t="shared" si="20"/>
        <v>72976</v>
      </c>
      <c r="Z8" s="39">
        <f t="shared" si="14"/>
        <v>0.08</v>
      </c>
      <c r="AA8" s="20">
        <f t="shared" si="21"/>
        <v>5838.08</v>
      </c>
      <c r="AB8" s="21">
        <f t="shared" si="15"/>
        <v>0</v>
      </c>
      <c r="AC8" s="21">
        <f t="shared" si="16"/>
        <v>1440</v>
      </c>
      <c r="AD8" s="21">
        <f t="shared" si="17"/>
        <v>3120.75</v>
      </c>
      <c r="AE8" s="21">
        <f t="shared" si="18"/>
        <v>1080</v>
      </c>
      <c r="AF8" s="22">
        <f t="shared" si="23"/>
        <v>5640.75</v>
      </c>
      <c r="AG8" s="23">
        <f t="shared" si="22"/>
        <v>11478.83</v>
      </c>
    </row>
    <row r="9" spans="1:33" x14ac:dyDescent="0.2">
      <c r="A9" s="16" t="s">
        <v>58</v>
      </c>
      <c r="B9" s="17" t="s">
        <v>59</v>
      </c>
      <c r="C9" s="18" t="b">
        <v>1</v>
      </c>
      <c r="D9" s="18" t="s">
        <v>108</v>
      </c>
      <c r="E9" s="16" t="s">
        <v>53</v>
      </c>
      <c r="F9" s="18" t="s">
        <v>10</v>
      </c>
      <c r="G9" s="18" t="s">
        <v>123</v>
      </c>
      <c r="H9" s="18" t="s">
        <v>1</v>
      </c>
      <c r="I9" s="29" t="s">
        <v>374</v>
      </c>
      <c r="J9" s="17" t="str">
        <f t="shared" si="0"/>
        <v>Satellite Modem</v>
      </c>
      <c r="K9" s="17" t="str">
        <f t="shared" ref="K9:K26" si="24">VLOOKUP(A9,om_table,22,FALSE)</f>
        <v>BioProbe3</v>
      </c>
      <c r="L9" s="17" t="str">
        <f t="shared" si="1"/>
        <v>IS1001-MTS</v>
      </c>
      <c r="M9" s="58" t="str">
        <f t="shared" si="2"/>
        <v>Biomark IS1001</v>
      </c>
      <c r="N9" s="16">
        <f t="shared" si="3"/>
        <v>12</v>
      </c>
      <c r="O9" s="17" t="str">
        <f t="shared" si="4"/>
        <v>Solar</v>
      </c>
      <c r="P9" s="16">
        <f t="shared" si="5"/>
        <v>24</v>
      </c>
      <c r="Q9" s="16">
        <f t="shared" si="6"/>
        <v>16</v>
      </c>
      <c r="R9" s="19">
        <f t="shared" si="7"/>
        <v>2000</v>
      </c>
      <c r="S9" s="19">
        <f t="shared" si="8"/>
        <v>835</v>
      </c>
      <c r="T9" s="19">
        <f t="shared" si="9"/>
        <v>4450</v>
      </c>
      <c r="U9" s="19">
        <f t="shared" si="10"/>
        <v>25008</v>
      </c>
      <c r="V9" s="19">
        <f t="shared" si="11"/>
        <v>35220</v>
      </c>
      <c r="W9" s="19">
        <f t="shared" si="12"/>
        <v>51696</v>
      </c>
      <c r="X9" s="19">
        <f t="shared" si="13"/>
        <v>12500</v>
      </c>
      <c r="Y9" s="20">
        <f t="shared" si="20"/>
        <v>131709</v>
      </c>
      <c r="Z9" s="39">
        <f t="shared" si="14"/>
        <v>0.08</v>
      </c>
      <c r="AA9" s="20">
        <f t="shared" si="21"/>
        <v>10536.72</v>
      </c>
      <c r="AB9" s="21">
        <f t="shared" si="15"/>
        <v>2184</v>
      </c>
      <c r="AC9" s="21">
        <f t="shared" si="16"/>
        <v>1440</v>
      </c>
      <c r="AD9" s="21">
        <f t="shared" si="17"/>
        <v>0</v>
      </c>
      <c r="AE9" s="21">
        <f t="shared" si="18"/>
        <v>1080</v>
      </c>
      <c r="AF9" s="22">
        <f t="shared" si="23"/>
        <v>4704</v>
      </c>
      <c r="AG9" s="23">
        <f t="shared" si="22"/>
        <v>15240.72</v>
      </c>
    </row>
    <row r="10" spans="1:33" x14ac:dyDescent="0.2">
      <c r="A10" s="16" t="s">
        <v>242</v>
      </c>
      <c r="B10" s="17" t="s">
        <v>337</v>
      </c>
      <c r="C10" s="18" t="b">
        <v>1</v>
      </c>
      <c r="D10" s="18" t="s">
        <v>108</v>
      </c>
      <c r="E10" s="16" t="s">
        <v>53</v>
      </c>
      <c r="F10" s="18" t="s">
        <v>7</v>
      </c>
      <c r="G10" s="18" t="s">
        <v>123</v>
      </c>
      <c r="H10" s="18" t="s">
        <v>1</v>
      </c>
      <c r="I10" s="29" t="s">
        <v>374</v>
      </c>
      <c r="J10" s="17" t="str">
        <f t="shared" si="0"/>
        <v>Satellite Modem</v>
      </c>
      <c r="K10" s="17" t="str">
        <f t="shared" si="24"/>
        <v>BioProbe3</v>
      </c>
      <c r="L10" s="17" t="str">
        <f t="shared" si="1"/>
        <v>FS1001M</v>
      </c>
      <c r="M10" s="58" t="str">
        <f t="shared" si="2"/>
        <v>Biomark MUX</v>
      </c>
      <c r="N10" s="16">
        <f t="shared" si="3"/>
        <v>4</v>
      </c>
      <c r="O10" s="17" t="str">
        <f t="shared" si="4"/>
        <v>5060 TEG</v>
      </c>
      <c r="P10" s="16">
        <f t="shared" si="5"/>
        <v>0</v>
      </c>
      <c r="Q10" s="16">
        <f t="shared" si="6"/>
        <v>0</v>
      </c>
      <c r="R10" s="19">
        <f t="shared" si="7"/>
        <v>2000</v>
      </c>
      <c r="S10" s="19">
        <f t="shared" si="8"/>
        <v>835</v>
      </c>
      <c r="T10" s="19">
        <f t="shared" si="9"/>
        <v>8500</v>
      </c>
      <c r="U10" s="19">
        <f t="shared" si="10"/>
        <v>0</v>
      </c>
      <c r="V10" s="19">
        <f t="shared" si="11"/>
        <v>11740</v>
      </c>
      <c r="W10" s="19">
        <f t="shared" si="12"/>
        <v>10479</v>
      </c>
      <c r="X10" s="19">
        <f t="shared" si="13"/>
        <v>12500</v>
      </c>
      <c r="Y10" s="20">
        <f t="shared" si="20"/>
        <v>46054</v>
      </c>
      <c r="Z10" s="39">
        <f t="shared" si="14"/>
        <v>0.1</v>
      </c>
      <c r="AA10" s="20">
        <f t="shared" si="21"/>
        <v>4605.4000000000005</v>
      </c>
      <c r="AB10" s="21">
        <f t="shared" si="15"/>
        <v>0</v>
      </c>
      <c r="AC10" s="21">
        <f t="shared" si="16"/>
        <v>1440</v>
      </c>
      <c r="AD10" s="21">
        <f t="shared" si="17"/>
        <v>1560.38</v>
      </c>
      <c r="AE10" s="21">
        <f t="shared" si="18"/>
        <v>1080</v>
      </c>
      <c r="AF10" s="22">
        <f t="shared" si="23"/>
        <v>4080.38</v>
      </c>
      <c r="AG10" s="23">
        <f t="shared" si="22"/>
        <v>8685.7800000000007</v>
      </c>
    </row>
    <row r="11" spans="1:33" x14ac:dyDescent="0.2">
      <c r="A11" s="16" t="s">
        <v>246</v>
      </c>
      <c r="B11" s="17" t="s">
        <v>338</v>
      </c>
      <c r="C11" s="18" t="b">
        <v>1</v>
      </c>
      <c r="D11" s="18" t="s">
        <v>108</v>
      </c>
      <c r="E11" s="16" t="s">
        <v>53</v>
      </c>
      <c r="F11" s="18" t="s">
        <v>7</v>
      </c>
      <c r="G11" s="18" t="s">
        <v>123</v>
      </c>
      <c r="H11" s="18" t="s">
        <v>1</v>
      </c>
      <c r="I11" s="29" t="s">
        <v>374</v>
      </c>
      <c r="J11" s="17" t="str">
        <f t="shared" si="0"/>
        <v>Satellite Modem</v>
      </c>
      <c r="K11" s="17" t="str">
        <f t="shared" si="24"/>
        <v>BioProbe3</v>
      </c>
      <c r="L11" s="17" t="str">
        <f t="shared" si="1"/>
        <v>FS1001M</v>
      </c>
      <c r="M11" s="58" t="str">
        <f t="shared" si="2"/>
        <v>Biomark MUX</v>
      </c>
      <c r="N11" s="16">
        <f t="shared" si="3"/>
        <v>4</v>
      </c>
      <c r="O11" s="17" t="str">
        <f t="shared" si="4"/>
        <v>5060 TEG</v>
      </c>
      <c r="P11" s="16">
        <f t="shared" si="5"/>
        <v>0</v>
      </c>
      <c r="Q11" s="16">
        <f t="shared" si="6"/>
        <v>0</v>
      </c>
      <c r="R11" s="19">
        <f t="shared" si="7"/>
        <v>2000</v>
      </c>
      <c r="S11" s="19">
        <f t="shared" si="8"/>
        <v>835</v>
      </c>
      <c r="T11" s="19">
        <f t="shared" si="9"/>
        <v>8500</v>
      </c>
      <c r="U11" s="19">
        <f t="shared" si="10"/>
        <v>0</v>
      </c>
      <c r="V11" s="19">
        <f t="shared" si="11"/>
        <v>11740</v>
      </c>
      <c r="W11" s="19">
        <f t="shared" si="12"/>
        <v>10479</v>
      </c>
      <c r="X11" s="19">
        <f t="shared" si="13"/>
        <v>12500</v>
      </c>
      <c r="Y11" s="20">
        <f t="shared" si="20"/>
        <v>46054</v>
      </c>
      <c r="Z11" s="39">
        <f t="shared" si="14"/>
        <v>0.1</v>
      </c>
      <c r="AA11" s="20">
        <f t="shared" si="21"/>
        <v>4605.4000000000005</v>
      </c>
      <c r="AB11" s="21">
        <f t="shared" si="15"/>
        <v>0</v>
      </c>
      <c r="AC11" s="21">
        <f t="shared" si="16"/>
        <v>1440</v>
      </c>
      <c r="AD11" s="21">
        <f t="shared" si="17"/>
        <v>1560.38</v>
      </c>
      <c r="AE11" s="21">
        <f t="shared" si="18"/>
        <v>1080</v>
      </c>
      <c r="AF11" s="22">
        <f t="shared" si="23"/>
        <v>4080.38</v>
      </c>
      <c r="AG11" s="23">
        <f t="shared" si="22"/>
        <v>8685.7800000000007</v>
      </c>
    </row>
    <row r="12" spans="1:33" x14ac:dyDescent="0.2">
      <c r="A12" s="16" t="s">
        <v>251</v>
      </c>
      <c r="B12" s="17" t="s">
        <v>339</v>
      </c>
      <c r="C12" s="18" t="b">
        <v>1</v>
      </c>
      <c r="D12" s="18" t="s">
        <v>108</v>
      </c>
      <c r="E12" s="16" t="s">
        <v>53</v>
      </c>
      <c r="F12" s="18" t="s">
        <v>7</v>
      </c>
      <c r="G12" s="18" t="s">
        <v>123</v>
      </c>
      <c r="H12" s="18" t="s">
        <v>1</v>
      </c>
      <c r="I12" s="29" t="s">
        <v>374</v>
      </c>
      <c r="J12" s="17" t="str">
        <f t="shared" si="0"/>
        <v>Satellite Modem</v>
      </c>
      <c r="K12" s="17" t="str">
        <f t="shared" si="24"/>
        <v>BioProbe3</v>
      </c>
      <c r="L12" s="17" t="str">
        <f t="shared" si="1"/>
        <v>FS1001M</v>
      </c>
      <c r="M12" s="58" t="str">
        <f t="shared" si="2"/>
        <v>Biomark MUX</v>
      </c>
      <c r="N12" s="16">
        <f t="shared" si="3"/>
        <v>6</v>
      </c>
      <c r="O12" s="17" t="str">
        <f t="shared" si="4"/>
        <v>5060 TEG</v>
      </c>
      <c r="P12" s="16">
        <f t="shared" si="5"/>
        <v>4</v>
      </c>
      <c r="Q12" s="16">
        <f t="shared" si="6"/>
        <v>0</v>
      </c>
      <c r="R12" s="19">
        <f t="shared" si="7"/>
        <v>2000</v>
      </c>
      <c r="S12" s="19">
        <f t="shared" si="8"/>
        <v>835</v>
      </c>
      <c r="T12" s="19">
        <f t="shared" si="9"/>
        <v>8500</v>
      </c>
      <c r="U12" s="19">
        <f t="shared" si="10"/>
        <v>0</v>
      </c>
      <c r="V12" s="19">
        <f t="shared" si="11"/>
        <v>17610</v>
      </c>
      <c r="W12" s="19">
        <f t="shared" si="12"/>
        <v>11879</v>
      </c>
      <c r="X12" s="19">
        <f t="shared" si="13"/>
        <v>12500</v>
      </c>
      <c r="Y12" s="20">
        <f t="shared" si="20"/>
        <v>53324</v>
      </c>
      <c r="Z12" s="39">
        <f t="shared" si="14"/>
        <v>0.1</v>
      </c>
      <c r="AA12" s="20">
        <f t="shared" si="21"/>
        <v>5332.4000000000005</v>
      </c>
      <c r="AB12" s="21">
        <f t="shared" si="15"/>
        <v>364</v>
      </c>
      <c r="AC12" s="21">
        <f t="shared" si="16"/>
        <v>1440</v>
      </c>
      <c r="AD12" s="21">
        <f t="shared" si="17"/>
        <v>1560.38</v>
      </c>
      <c r="AE12" s="21">
        <f t="shared" si="18"/>
        <v>1080</v>
      </c>
      <c r="AF12" s="22">
        <f t="shared" si="23"/>
        <v>4444.38</v>
      </c>
      <c r="AG12" s="23">
        <f t="shared" si="22"/>
        <v>9776.7800000000007</v>
      </c>
    </row>
    <row r="13" spans="1:33" x14ac:dyDescent="0.2">
      <c r="A13" s="16" t="s">
        <v>255</v>
      </c>
      <c r="B13" s="17" t="s">
        <v>340</v>
      </c>
      <c r="C13" s="18" t="b">
        <v>1</v>
      </c>
      <c r="D13" s="18" t="s">
        <v>108</v>
      </c>
      <c r="E13" s="16" t="s">
        <v>53</v>
      </c>
      <c r="F13" s="18" t="s">
        <v>7</v>
      </c>
      <c r="G13" s="18" t="s">
        <v>123</v>
      </c>
      <c r="H13" s="18" t="s">
        <v>1</v>
      </c>
      <c r="I13" s="29" t="s">
        <v>374</v>
      </c>
      <c r="J13" s="17" t="str">
        <f t="shared" si="0"/>
        <v>Satellite Modem</v>
      </c>
      <c r="K13" s="17" t="str">
        <f t="shared" si="24"/>
        <v>BioProbe3</v>
      </c>
      <c r="L13" s="17" t="str">
        <f t="shared" si="1"/>
        <v>FS1001M</v>
      </c>
      <c r="M13" s="58" t="str">
        <f t="shared" si="2"/>
        <v>Biomark MUX</v>
      </c>
      <c r="N13" s="16">
        <f t="shared" si="3"/>
        <v>4</v>
      </c>
      <c r="O13" s="17" t="str">
        <f t="shared" si="4"/>
        <v>5060 TEG</v>
      </c>
      <c r="P13" s="16">
        <f t="shared" si="5"/>
        <v>4</v>
      </c>
      <c r="Q13" s="16">
        <f t="shared" si="6"/>
        <v>0</v>
      </c>
      <c r="R13" s="19">
        <f t="shared" si="7"/>
        <v>2000</v>
      </c>
      <c r="S13" s="19">
        <f t="shared" si="8"/>
        <v>835</v>
      </c>
      <c r="T13" s="19">
        <f t="shared" si="9"/>
        <v>8500</v>
      </c>
      <c r="U13" s="19">
        <f t="shared" si="10"/>
        <v>0</v>
      </c>
      <c r="V13" s="19">
        <f t="shared" si="11"/>
        <v>11740</v>
      </c>
      <c r="W13" s="19">
        <f t="shared" si="12"/>
        <v>11879</v>
      </c>
      <c r="X13" s="19">
        <f t="shared" si="13"/>
        <v>12500</v>
      </c>
      <c r="Y13" s="20">
        <f t="shared" si="20"/>
        <v>47454</v>
      </c>
      <c r="Z13" s="39">
        <f t="shared" si="14"/>
        <v>0.1</v>
      </c>
      <c r="AA13" s="20">
        <f t="shared" si="21"/>
        <v>4745.4000000000005</v>
      </c>
      <c r="AB13" s="21">
        <f t="shared" si="15"/>
        <v>364</v>
      </c>
      <c r="AC13" s="21">
        <f t="shared" si="16"/>
        <v>1440</v>
      </c>
      <c r="AD13" s="21">
        <f t="shared" si="17"/>
        <v>1560.38</v>
      </c>
      <c r="AE13" s="21">
        <f t="shared" si="18"/>
        <v>1080</v>
      </c>
      <c r="AF13" s="22">
        <f t="shared" si="23"/>
        <v>4444.38</v>
      </c>
      <c r="AG13" s="23">
        <f t="shared" si="22"/>
        <v>9189.7800000000007</v>
      </c>
    </row>
    <row r="14" spans="1:33" x14ac:dyDescent="0.2">
      <c r="A14" s="16" t="s">
        <v>56</v>
      </c>
      <c r="B14" s="17" t="s">
        <v>57</v>
      </c>
      <c r="C14" s="18" t="b">
        <v>1</v>
      </c>
      <c r="D14" s="18" t="s">
        <v>108</v>
      </c>
      <c r="E14" s="16" t="s">
        <v>53</v>
      </c>
      <c r="F14" s="18" t="s">
        <v>7</v>
      </c>
      <c r="G14" s="18" t="s">
        <v>123</v>
      </c>
      <c r="H14" s="18" t="s">
        <v>1</v>
      </c>
      <c r="I14" s="29" t="s">
        <v>374</v>
      </c>
      <c r="J14" s="17" t="str">
        <f t="shared" si="0"/>
        <v>Satellite Modem</v>
      </c>
      <c r="K14" s="17" t="str">
        <f t="shared" si="24"/>
        <v>BioProbe3</v>
      </c>
      <c r="L14" s="17" t="str">
        <f t="shared" si="1"/>
        <v>IS1001-MTS</v>
      </c>
      <c r="M14" s="58" t="str">
        <f t="shared" si="2"/>
        <v>Biomark IS1001</v>
      </c>
      <c r="N14" s="16">
        <f t="shared" si="3"/>
        <v>10</v>
      </c>
      <c r="O14" s="17" t="str">
        <f t="shared" si="4"/>
        <v>5120 TEG</v>
      </c>
      <c r="P14" s="16">
        <f t="shared" si="5"/>
        <v>0</v>
      </c>
      <c r="Q14" s="16">
        <f t="shared" si="6"/>
        <v>0</v>
      </c>
      <c r="R14" s="19">
        <f t="shared" si="7"/>
        <v>2000</v>
      </c>
      <c r="S14" s="19">
        <f t="shared" si="8"/>
        <v>835</v>
      </c>
      <c r="T14" s="19">
        <f t="shared" si="9"/>
        <v>4450</v>
      </c>
      <c r="U14" s="19">
        <f t="shared" si="10"/>
        <v>20840</v>
      </c>
      <c r="V14" s="19">
        <f t="shared" si="11"/>
        <v>29350</v>
      </c>
      <c r="W14" s="19">
        <f t="shared" si="12"/>
        <v>13874</v>
      </c>
      <c r="X14" s="19">
        <f t="shared" si="13"/>
        <v>12500</v>
      </c>
      <c r="Y14" s="20">
        <f t="shared" si="20"/>
        <v>83849</v>
      </c>
      <c r="Z14" s="39">
        <f t="shared" si="14"/>
        <v>0.08</v>
      </c>
      <c r="AA14" s="20">
        <f t="shared" si="21"/>
        <v>6707.92</v>
      </c>
      <c r="AB14" s="21">
        <f t="shared" si="15"/>
        <v>0</v>
      </c>
      <c r="AC14" s="21">
        <f t="shared" si="16"/>
        <v>1440</v>
      </c>
      <c r="AD14" s="21">
        <f t="shared" si="17"/>
        <v>3120.75</v>
      </c>
      <c r="AE14" s="21">
        <f t="shared" si="18"/>
        <v>1080</v>
      </c>
      <c r="AF14" s="22">
        <f t="shared" si="23"/>
        <v>5640.75</v>
      </c>
      <c r="AG14" s="23">
        <f t="shared" si="22"/>
        <v>12348.67</v>
      </c>
    </row>
    <row r="15" spans="1:33" x14ac:dyDescent="0.2">
      <c r="A15" s="16" t="s">
        <v>21</v>
      </c>
      <c r="B15" s="17" t="s">
        <v>22</v>
      </c>
      <c r="C15" s="18" t="b">
        <v>1</v>
      </c>
      <c r="D15" s="18" t="s">
        <v>108</v>
      </c>
      <c r="E15" s="16" t="s">
        <v>6</v>
      </c>
      <c r="F15" s="18" t="s">
        <v>10</v>
      </c>
      <c r="G15" s="18" t="s">
        <v>123</v>
      </c>
      <c r="H15" s="18" t="s">
        <v>1</v>
      </c>
      <c r="I15" s="29" t="s">
        <v>374</v>
      </c>
      <c r="J15" s="17" t="str">
        <f t="shared" si="0"/>
        <v>Satellite Modem</v>
      </c>
      <c r="K15" s="17" t="str">
        <f t="shared" si="24"/>
        <v>BioProbe3</v>
      </c>
      <c r="L15" s="17" t="str">
        <f t="shared" si="1"/>
        <v>IS1001-MTS</v>
      </c>
      <c r="M15" s="58" t="str">
        <f t="shared" si="2"/>
        <v>Biomark IS1001</v>
      </c>
      <c r="N15" s="16">
        <f t="shared" si="3"/>
        <v>13</v>
      </c>
      <c r="O15" s="17" t="str">
        <f t="shared" si="4"/>
        <v>Grid Power PLC</v>
      </c>
      <c r="P15" s="16">
        <f t="shared" si="5"/>
        <v>4</v>
      </c>
      <c r="Q15" s="16">
        <f t="shared" si="6"/>
        <v>0</v>
      </c>
      <c r="R15" s="19">
        <f t="shared" si="7"/>
        <v>2000</v>
      </c>
      <c r="S15" s="19">
        <f t="shared" si="8"/>
        <v>835</v>
      </c>
      <c r="T15" s="19">
        <f t="shared" si="9"/>
        <v>4450</v>
      </c>
      <c r="U15" s="19">
        <f t="shared" si="10"/>
        <v>27092</v>
      </c>
      <c r="V15" s="19">
        <f t="shared" si="11"/>
        <v>38155</v>
      </c>
      <c r="W15" s="19">
        <f t="shared" si="12"/>
        <v>5340</v>
      </c>
      <c r="X15" s="19">
        <f t="shared" si="13"/>
        <v>12500</v>
      </c>
      <c r="Y15" s="20">
        <f t="shared" si="20"/>
        <v>90372</v>
      </c>
      <c r="Z15" s="39">
        <f t="shared" si="14"/>
        <v>0.08</v>
      </c>
      <c r="AA15" s="20">
        <f t="shared" si="21"/>
        <v>7229.76</v>
      </c>
      <c r="AB15" s="21">
        <f t="shared" si="15"/>
        <v>364</v>
      </c>
      <c r="AC15" s="21">
        <f t="shared" si="16"/>
        <v>1440</v>
      </c>
      <c r="AD15" s="21">
        <f t="shared" si="17"/>
        <v>120</v>
      </c>
      <c r="AE15" s="21">
        <f t="shared" si="18"/>
        <v>1080</v>
      </c>
      <c r="AF15" s="22">
        <f t="shared" si="23"/>
        <v>3004</v>
      </c>
      <c r="AG15" s="23">
        <f t="shared" si="22"/>
        <v>10233.76</v>
      </c>
    </row>
    <row r="16" spans="1:33" x14ac:dyDescent="0.2">
      <c r="A16" s="16" t="s">
        <v>23</v>
      </c>
      <c r="B16" s="17" t="s">
        <v>24</v>
      </c>
      <c r="C16" s="18" t="b">
        <v>1</v>
      </c>
      <c r="D16" s="18" t="s">
        <v>108</v>
      </c>
      <c r="E16" s="16" t="s">
        <v>6</v>
      </c>
      <c r="F16" s="18" t="s">
        <v>10</v>
      </c>
      <c r="G16" s="18" t="s">
        <v>123</v>
      </c>
      <c r="H16" s="18" t="s">
        <v>1</v>
      </c>
      <c r="I16" s="29" t="s">
        <v>374</v>
      </c>
      <c r="J16" s="17" t="str">
        <f t="shared" si="0"/>
        <v>Satellite Modem</v>
      </c>
      <c r="K16" s="17" t="str">
        <f t="shared" si="24"/>
        <v>BioProbe3</v>
      </c>
      <c r="L16" s="17" t="str">
        <f t="shared" si="1"/>
        <v>IS1001-MTS</v>
      </c>
      <c r="M16" s="58" t="str">
        <f t="shared" si="2"/>
        <v>Biomark IS1001</v>
      </c>
      <c r="N16" s="16">
        <f t="shared" si="3"/>
        <v>19</v>
      </c>
      <c r="O16" s="17" t="str">
        <f t="shared" si="4"/>
        <v>Grid Power PLC</v>
      </c>
      <c r="P16" s="16">
        <f t="shared" si="5"/>
        <v>4</v>
      </c>
      <c r="Q16" s="16">
        <f t="shared" si="6"/>
        <v>0</v>
      </c>
      <c r="R16" s="19">
        <f t="shared" si="7"/>
        <v>2000</v>
      </c>
      <c r="S16" s="19">
        <f t="shared" si="8"/>
        <v>835</v>
      </c>
      <c r="T16" s="19">
        <f t="shared" si="9"/>
        <v>4450</v>
      </c>
      <c r="U16" s="19">
        <f t="shared" si="10"/>
        <v>39596</v>
      </c>
      <c r="V16" s="19">
        <f t="shared" si="11"/>
        <v>55765</v>
      </c>
      <c r="W16" s="19">
        <f t="shared" si="12"/>
        <v>5340</v>
      </c>
      <c r="X16" s="19">
        <f t="shared" si="13"/>
        <v>12500</v>
      </c>
      <c r="Y16" s="20">
        <f t="shared" si="20"/>
        <v>120486</v>
      </c>
      <c r="Z16" s="39">
        <f t="shared" si="14"/>
        <v>0.08</v>
      </c>
      <c r="AA16" s="20">
        <f t="shared" si="21"/>
        <v>9638.880000000001</v>
      </c>
      <c r="AB16" s="21">
        <f t="shared" si="15"/>
        <v>364</v>
      </c>
      <c r="AC16" s="21">
        <f t="shared" si="16"/>
        <v>1440</v>
      </c>
      <c r="AD16" s="21">
        <f t="shared" si="17"/>
        <v>120</v>
      </c>
      <c r="AE16" s="21">
        <f t="shared" si="18"/>
        <v>1080</v>
      </c>
      <c r="AF16" s="22">
        <f t="shared" si="23"/>
        <v>3004</v>
      </c>
      <c r="AG16" s="23">
        <f t="shared" si="22"/>
        <v>12642.880000000001</v>
      </c>
    </row>
    <row r="17" spans="1:33" x14ac:dyDescent="0.2">
      <c r="A17" s="16" t="s">
        <v>17</v>
      </c>
      <c r="B17" s="17" t="s">
        <v>18</v>
      </c>
      <c r="C17" s="18" t="b">
        <v>1</v>
      </c>
      <c r="D17" s="18" t="s">
        <v>108</v>
      </c>
      <c r="E17" s="16" t="s">
        <v>6</v>
      </c>
      <c r="F17" s="18" t="s">
        <v>7</v>
      </c>
      <c r="G17" s="18" t="s">
        <v>123</v>
      </c>
      <c r="H17" s="18" t="s">
        <v>1</v>
      </c>
      <c r="I17" s="29" t="s">
        <v>374</v>
      </c>
      <c r="J17" s="17" t="str">
        <f t="shared" si="0"/>
        <v>Cellular Modem</v>
      </c>
      <c r="K17" s="17" t="str">
        <f t="shared" si="24"/>
        <v>BioProbe3</v>
      </c>
      <c r="L17" s="17" t="str">
        <f t="shared" si="1"/>
        <v>IS1001-MTS</v>
      </c>
      <c r="M17" s="58" t="str">
        <f t="shared" si="2"/>
        <v>Biomark IS1001</v>
      </c>
      <c r="N17" s="16">
        <f t="shared" si="3"/>
        <v>7</v>
      </c>
      <c r="O17" s="17" t="str">
        <f t="shared" si="4"/>
        <v>Grid Power</v>
      </c>
      <c r="P17" s="16">
        <f t="shared" si="5"/>
        <v>4</v>
      </c>
      <c r="Q17" s="16">
        <f t="shared" si="6"/>
        <v>0</v>
      </c>
      <c r="R17" s="19">
        <f t="shared" si="7"/>
        <v>742</v>
      </c>
      <c r="S17" s="19">
        <f t="shared" si="8"/>
        <v>835</v>
      </c>
      <c r="T17" s="19">
        <f t="shared" si="9"/>
        <v>4450</v>
      </c>
      <c r="U17" s="19">
        <f t="shared" si="10"/>
        <v>14588</v>
      </c>
      <c r="V17" s="19">
        <f t="shared" si="11"/>
        <v>20545</v>
      </c>
      <c r="W17" s="19">
        <f t="shared" si="12"/>
        <v>3950</v>
      </c>
      <c r="X17" s="19">
        <f t="shared" si="13"/>
        <v>12500</v>
      </c>
      <c r="Y17" s="20">
        <f t="shared" si="20"/>
        <v>57610</v>
      </c>
      <c r="Z17" s="39">
        <f t="shared" si="14"/>
        <v>0.08</v>
      </c>
      <c r="AA17" s="20">
        <f t="shared" si="21"/>
        <v>4608.8</v>
      </c>
      <c r="AB17" s="21">
        <f t="shared" si="15"/>
        <v>364</v>
      </c>
      <c r="AC17" s="21">
        <f t="shared" si="16"/>
        <v>300</v>
      </c>
      <c r="AD17" s="21">
        <f t="shared" si="17"/>
        <v>120</v>
      </c>
      <c r="AE17" s="21">
        <f t="shared" si="18"/>
        <v>1080</v>
      </c>
      <c r="AF17" s="22">
        <f t="shared" si="23"/>
        <v>1864</v>
      </c>
      <c r="AG17" s="23">
        <f t="shared" si="22"/>
        <v>6472.8</v>
      </c>
    </row>
    <row r="18" spans="1:33" x14ac:dyDescent="0.2">
      <c r="A18" s="16" t="s">
        <v>19</v>
      </c>
      <c r="B18" s="17" t="s">
        <v>20</v>
      </c>
      <c r="C18" s="18" t="b">
        <v>1</v>
      </c>
      <c r="D18" s="18" t="s">
        <v>108</v>
      </c>
      <c r="E18" s="16" t="s">
        <v>6</v>
      </c>
      <c r="F18" s="18" t="s">
        <v>7</v>
      </c>
      <c r="G18" s="18" t="s">
        <v>123</v>
      </c>
      <c r="H18" s="18" t="s">
        <v>1</v>
      </c>
      <c r="I18" s="29" t="s">
        <v>374</v>
      </c>
      <c r="J18" s="17" t="str">
        <f t="shared" si="0"/>
        <v>Cellular Modem</v>
      </c>
      <c r="K18" s="17" t="str">
        <f t="shared" si="24"/>
        <v>BioProbe3</v>
      </c>
      <c r="L18" s="17" t="str">
        <f t="shared" si="1"/>
        <v>FS1001M</v>
      </c>
      <c r="M18" s="58" t="str">
        <f t="shared" si="2"/>
        <v>Biomark MUX</v>
      </c>
      <c r="N18" s="16">
        <f t="shared" si="3"/>
        <v>6</v>
      </c>
      <c r="O18" s="17" t="str">
        <f t="shared" si="4"/>
        <v>Grid Power</v>
      </c>
      <c r="P18" s="16">
        <f t="shared" si="5"/>
        <v>4</v>
      </c>
      <c r="Q18" s="16">
        <f t="shared" si="6"/>
        <v>0</v>
      </c>
      <c r="R18" s="19">
        <f t="shared" si="7"/>
        <v>742</v>
      </c>
      <c r="S18" s="19">
        <f t="shared" si="8"/>
        <v>835</v>
      </c>
      <c r="T18" s="19">
        <f t="shared" si="9"/>
        <v>8500</v>
      </c>
      <c r="U18" s="19">
        <f t="shared" si="10"/>
        <v>0</v>
      </c>
      <c r="V18" s="19">
        <f t="shared" si="11"/>
        <v>17610</v>
      </c>
      <c r="W18" s="19">
        <f t="shared" si="12"/>
        <v>3950</v>
      </c>
      <c r="X18" s="19">
        <f t="shared" si="13"/>
        <v>12500</v>
      </c>
      <c r="Y18" s="20">
        <f t="shared" si="20"/>
        <v>44137</v>
      </c>
      <c r="Z18" s="39">
        <f t="shared" si="14"/>
        <v>0.1</v>
      </c>
      <c r="AA18" s="20">
        <f t="shared" si="21"/>
        <v>4413.7</v>
      </c>
      <c r="AB18" s="21">
        <f t="shared" si="15"/>
        <v>364</v>
      </c>
      <c r="AC18" s="21">
        <f t="shared" si="16"/>
        <v>300</v>
      </c>
      <c r="AD18" s="21">
        <f t="shared" si="17"/>
        <v>120</v>
      </c>
      <c r="AE18" s="21">
        <f t="shared" si="18"/>
        <v>1080</v>
      </c>
      <c r="AF18" s="22">
        <f t="shared" si="23"/>
        <v>1864</v>
      </c>
      <c r="AG18" s="23">
        <f t="shared" si="22"/>
        <v>6277.7</v>
      </c>
    </row>
    <row r="19" spans="1:33" x14ac:dyDescent="0.2">
      <c r="A19" s="16" t="s">
        <v>11</v>
      </c>
      <c r="B19" s="17" t="s">
        <v>12</v>
      </c>
      <c r="C19" s="18" t="b">
        <v>1</v>
      </c>
      <c r="D19" s="18" t="s">
        <v>108</v>
      </c>
      <c r="E19" s="16" t="s">
        <v>6</v>
      </c>
      <c r="F19" s="18" t="s">
        <v>7</v>
      </c>
      <c r="G19" s="18" t="s">
        <v>123</v>
      </c>
      <c r="H19" s="18" t="s">
        <v>1</v>
      </c>
      <c r="I19" s="29" t="s">
        <v>374</v>
      </c>
      <c r="J19" s="17" t="str">
        <f t="shared" si="0"/>
        <v>Satellite Modem</v>
      </c>
      <c r="K19" s="17" t="str">
        <f t="shared" si="24"/>
        <v>BioProbe3</v>
      </c>
      <c r="L19" s="17" t="str">
        <f t="shared" si="1"/>
        <v>FS1001M</v>
      </c>
      <c r="M19" s="58" t="str">
        <f t="shared" si="2"/>
        <v>Biomark MUX</v>
      </c>
      <c r="N19" s="16">
        <f t="shared" si="3"/>
        <v>4</v>
      </c>
      <c r="O19" s="17" t="str">
        <f t="shared" si="4"/>
        <v>Grid Power</v>
      </c>
      <c r="P19" s="16">
        <f t="shared" si="5"/>
        <v>4</v>
      </c>
      <c r="Q19" s="16">
        <f t="shared" si="6"/>
        <v>0</v>
      </c>
      <c r="R19" s="19">
        <f t="shared" si="7"/>
        <v>2000</v>
      </c>
      <c r="S19" s="19">
        <f t="shared" si="8"/>
        <v>835</v>
      </c>
      <c r="T19" s="19">
        <f t="shared" si="9"/>
        <v>8500</v>
      </c>
      <c r="U19" s="19">
        <f t="shared" si="10"/>
        <v>0</v>
      </c>
      <c r="V19" s="19">
        <f t="shared" si="11"/>
        <v>11740</v>
      </c>
      <c r="W19" s="19">
        <f t="shared" si="12"/>
        <v>3950</v>
      </c>
      <c r="X19" s="19">
        <f t="shared" si="13"/>
        <v>12500</v>
      </c>
      <c r="Y19" s="20">
        <f t="shared" si="20"/>
        <v>39525</v>
      </c>
      <c r="Z19" s="39">
        <f t="shared" si="14"/>
        <v>0.1</v>
      </c>
      <c r="AA19" s="20">
        <f t="shared" si="21"/>
        <v>3952.5</v>
      </c>
      <c r="AB19" s="21">
        <f t="shared" si="15"/>
        <v>364</v>
      </c>
      <c r="AC19" s="21">
        <f t="shared" si="16"/>
        <v>1440</v>
      </c>
      <c r="AD19" s="21">
        <f t="shared" si="17"/>
        <v>120</v>
      </c>
      <c r="AE19" s="21">
        <f t="shared" si="18"/>
        <v>1080</v>
      </c>
      <c r="AF19" s="22">
        <f t="shared" si="23"/>
        <v>3004</v>
      </c>
      <c r="AG19" s="23">
        <f t="shared" si="22"/>
        <v>6956.5</v>
      </c>
    </row>
    <row r="20" spans="1:33" x14ac:dyDescent="0.2">
      <c r="A20" s="16" t="s">
        <v>13</v>
      </c>
      <c r="B20" s="17" t="s">
        <v>14</v>
      </c>
      <c r="C20" s="18" t="b">
        <v>1</v>
      </c>
      <c r="D20" s="18" t="s">
        <v>108</v>
      </c>
      <c r="E20" s="16" t="s">
        <v>6</v>
      </c>
      <c r="F20" s="18" t="s">
        <v>7</v>
      </c>
      <c r="G20" s="18" t="s">
        <v>123</v>
      </c>
      <c r="H20" s="18" t="s">
        <v>1</v>
      </c>
      <c r="I20" s="29" t="s">
        <v>374</v>
      </c>
      <c r="J20" s="17" t="str">
        <f t="shared" si="0"/>
        <v>Satellite Modem</v>
      </c>
      <c r="K20" s="17" t="str">
        <f t="shared" si="24"/>
        <v>BioProbe3</v>
      </c>
      <c r="L20" s="17" t="str">
        <f t="shared" si="1"/>
        <v>FS1001M</v>
      </c>
      <c r="M20" s="58" t="str">
        <f t="shared" si="2"/>
        <v>Biomark MUX</v>
      </c>
      <c r="N20" s="16">
        <f t="shared" si="3"/>
        <v>4</v>
      </c>
      <c r="O20" s="17" t="str">
        <f t="shared" si="4"/>
        <v>5060 Hybrid TEG</v>
      </c>
      <c r="P20" s="16">
        <f t="shared" si="5"/>
        <v>6</v>
      </c>
      <c r="Q20" s="16">
        <f t="shared" si="6"/>
        <v>4</v>
      </c>
      <c r="R20" s="19">
        <f t="shared" si="7"/>
        <v>2000</v>
      </c>
      <c r="S20" s="19">
        <f t="shared" si="8"/>
        <v>835</v>
      </c>
      <c r="T20" s="19">
        <f t="shared" si="9"/>
        <v>8500</v>
      </c>
      <c r="U20" s="19">
        <f t="shared" si="10"/>
        <v>0</v>
      </c>
      <c r="V20" s="19">
        <f t="shared" si="11"/>
        <v>11740</v>
      </c>
      <c r="W20" s="19">
        <f t="shared" si="12"/>
        <v>30003</v>
      </c>
      <c r="X20" s="19">
        <f t="shared" si="13"/>
        <v>12500</v>
      </c>
      <c r="Y20" s="20">
        <f t="shared" si="20"/>
        <v>65578</v>
      </c>
      <c r="Z20" s="39">
        <f t="shared" si="14"/>
        <v>0.1</v>
      </c>
      <c r="AA20" s="20">
        <f t="shared" si="21"/>
        <v>6557.8</v>
      </c>
      <c r="AB20" s="21">
        <f t="shared" si="15"/>
        <v>546</v>
      </c>
      <c r="AC20" s="21">
        <f t="shared" si="16"/>
        <v>1440</v>
      </c>
      <c r="AD20" s="21">
        <f t="shared" si="17"/>
        <v>780.19</v>
      </c>
      <c r="AE20" s="21">
        <f t="shared" si="18"/>
        <v>1080</v>
      </c>
      <c r="AF20" s="22">
        <f t="shared" si="23"/>
        <v>3846.19</v>
      </c>
      <c r="AG20" s="23">
        <f t="shared" si="22"/>
        <v>10403.99</v>
      </c>
    </row>
    <row r="21" spans="1:33" x14ac:dyDescent="0.2">
      <c r="A21" s="16" t="s">
        <v>93</v>
      </c>
      <c r="B21" s="17" t="s">
        <v>94</v>
      </c>
      <c r="C21" s="18" t="b">
        <v>1</v>
      </c>
      <c r="D21" s="18" t="s">
        <v>108</v>
      </c>
      <c r="E21" s="16" t="s">
        <v>92</v>
      </c>
      <c r="F21" s="18" t="s">
        <v>7</v>
      </c>
      <c r="G21" s="18" t="s">
        <v>123</v>
      </c>
      <c r="H21" s="18" t="s">
        <v>1</v>
      </c>
      <c r="I21" s="29" t="s">
        <v>374</v>
      </c>
      <c r="J21" s="17" t="str">
        <f t="shared" si="0"/>
        <v>Satellite Modem</v>
      </c>
      <c r="K21" s="17" t="str">
        <f t="shared" si="24"/>
        <v>BioProbe3</v>
      </c>
      <c r="L21" s="17" t="str">
        <f t="shared" si="1"/>
        <v>FS1001M</v>
      </c>
      <c r="M21" s="58" t="str">
        <f t="shared" si="2"/>
        <v>Biomark MUX</v>
      </c>
      <c r="N21" s="16">
        <f t="shared" si="3"/>
        <v>4</v>
      </c>
      <c r="O21" s="17" t="str">
        <f t="shared" si="4"/>
        <v>5060 Hybrid TEG</v>
      </c>
      <c r="P21" s="16">
        <f t="shared" si="5"/>
        <v>6</v>
      </c>
      <c r="Q21" s="16">
        <f t="shared" si="6"/>
        <v>4</v>
      </c>
      <c r="R21" s="19">
        <f t="shared" si="7"/>
        <v>2000</v>
      </c>
      <c r="S21" s="19">
        <f t="shared" si="8"/>
        <v>835</v>
      </c>
      <c r="T21" s="19">
        <f t="shared" si="9"/>
        <v>8500</v>
      </c>
      <c r="U21" s="19">
        <f t="shared" si="10"/>
        <v>0</v>
      </c>
      <c r="V21" s="19">
        <f t="shared" si="11"/>
        <v>11740</v>
      </c>
      <c r="W21" s="19">
        <f t="shared" si="12"/>
        <v>30003</v>
      </c>
      <c r="X21" s="19">
        <f t="shared" si="13"/>
        <v>12500</v>
      </c>
      <c r="Y21" s="20">
        <f t="shared" si="20"/>
        <v>65578</v>
      </c>
      <c r="Z21" s="39">
        <f t="shared" si="14"/>
        <v>0.1</v>
      </c>
      <c r="AA21" s="20">
        <f t="shared" si="21"/>
        <v>6557.8</v>
      </c>
      <c r="AB21" s="21">
        <f t="shared" si="15"/>
        <v>546</v>
      </c>
      <c r="AC21" s="21">
        <f t="shared" si="16"/>
        <v>1440</v>
      </c>
      <c r="AD21" s="21">
        <f t="shared" si="17"/>
        <v>780.19</v>
      </c>
      <c r="AE21" s="21">
        <f t="shared" si="18"/>
        <v>1080</v>
      </c>
      <c r="AF21" s="22">
        <f t="shared" si="23"/>
        <v>3846.19</v>
      </c>
      <c r="AG21" s="23">
        <f t="shared" si="22"/>
        <v>10403.99</v>
      </c>
    </row>
    <row r="22" spans="1:33" x14ac:dyDescent="0.2">
      <c r="A22" s="16" t="s">
        <v>95</v>
      </c>
      <c r="B22" s="17" t="s">
        <v>96</v>
      </c>
      <c r="C22" s="18" t="b">
        <v>1</v>
      </c>
      <c r="D22" s="18" t="s">
        <v>108</v>
      </c>
      <c r="E22" s="16" t="s">
        <v>92</v>
      </c>
      <c r="F22" s="18" t="s">
        <v>7</v>
      </c>
      <c r="G22" s="18" t="s">
        <v>123</v>
      </c>
      <c r="H22" s="18" t="s">
        <v>1</v>
      </c>
      <c r="I22" s="29" t="s">
        <v>374</v>
      </c>
      <c r="J22" s="17" t="str">
        <f t="shared" si="0"/>
        <v>Satellite Modem</v>
      </c>
      <c r="K22" s="17" t="str">
        <f t="shared" si="24"/>
        <v>BioProbe3</v>
      </c>
      <c r="L22" s="17" t="str">
        <f t="shared" si="1"/>
        <v>FS1001M</v>
      </c>
      <c r="M22" s="58" t="str">
        <f t="shared" si="2"/>
        <v>Biomark MUX</v>
      </c>
      <c r="N22" s="16">
        <f t="shared" si="3"/>
        <v>5</v>
      </c>
      <c r="O22" s="17" t="str">
        <f t="shared" si="4"/>
        <v>5060 Hybrid TEG</v>
      </c>
      <c r="P22" s="16">
        <f t="shared" si="5"/>
        <v>6</v>
      </c>
      <c r="Q22" s="16">
        <f t="shared" si="6"/>
        <v>4</v>
      </c>
      <c r="R22" s="19">
        <f t="shared" si="7"/>
        <v>2000</v>
      </c>
      <c r="S22" s="19">
        <f t="shared" si="8"/>
        <v>835</v>
      </c>
      <c r="T22" s="19">
        <f t="shared" si="9"/>
        <v>8500</v>
      </c>
      <c r="U22" s="19">
        <f t="shared" si="10"/>
        <v>0</v>
      </c>
      <c r="V22" s="19">
        <f t="shared" si="11"/>
        <v>14675</v>
      </c>
      <c r="W22" s="19">
        <f t="shared" si="12"/>
        <v>30003</v>
      </c>
      <c r="X22" s="19">
        <f t="shared" si="13"/>
        <v>12500</v>
      </c>
      <c r="Y22" s="20">
        <f t="shared" si="20"/>
        <v>68513</v>
      </c>
      <c r="Z22" s="39">
        <f t="shared" si="14"/>
        <v>0.1</v>
      </c>
      <c r="AA22" s="20">
        <f t="shared" si="21"/>
        <v>6851.3</v>
      </c>
      <c r="AB22" s="21">
        <f t="shared" si="15"/>
        <v>546</v>
      </c>
      <c r="AC22" s="21">
        <f t="shared" si="16"/>
        <v>1440</v>
      </c>
      <c r="AD22" s="21">
        <f t="shared" si="17"/>
        <v>780.19</v>
      </c>
      <c r="AE22" s="21">
        <f t="shared" si="18"/>
        <v>1080</v>
      </c>
      <c r="AF22" s="22">
        <f t="shared" si="23"/>
        <v>3846.19</v>
      </c>
      <c r="AG22" s="23">
        <f t="shared" si="22"/>
        <v>10697.49</v>
      </c>
    </row>
    <row r="23" spans="1:33" x14ac:dyDescent="0.2">
      <c r="A23" s="16" t="s">
        <v>99</v>
      </c>
      <c r="B23" s="17" t="s">
        <v>100</v>
      </c>
      <c r="C23" s="18" t="b">
        <v>1</v>
      </c>
      <c r="D23" s="18" t="s">
        <v>108</v>
      </c>
      <c r="E23" s="16" t="s">
        <v>92</v>
      </c>
      <c r="F23" s="18" t="s">
        <v>7</v>
      </c>
      <c r="G23" s="18" t="s">
        <v>123</v>
      </c>
      <c r="H23" s="18" t="s">
        <v>1</v>
      </c>
      <c r="I23" s="29" t="s">
        <v>374</v>
      </c>
      <c r="J23" s="17" t="str">
        <f t="shared" si="0"/>
        <v>Satellite Modem</v>
      </c>
      <c r="K23" s="17" t="str">
        <f t="shared" si="24"/>
        <v>BioProbe3</v>
      </c>
      <c r="L23" s="17" t="str">
        <f t="shared" si="1"/>
        <v>FS1001M</v>
      </c>
      <c r="M23" s="58" t="str">
        <f t="shared" si="2"/>
        <v>Biomark MUX</v>
      </c>
      <c r="N23" s="16">
        <f t="shared" si="3"/>
        <v>6</v>
      </c>
      <c r="O23" s="17" t="str">
        <f t="shared" si="4"/>
        <v>Grid Power</v>
      </c>
      <c r="P23" s="16">
        <f t="shared" si="5"/>
        <v>4</v>
      </c>
      <c r="Q23" s="16">
        <f t="shared" si="6"/>
        <v>0</v>
      </c>
      <c r="R23" s="19">
        <f t="shared" si="7"/>
        <v>2000</v>
      </c>
      <c r="S23" s="19">
        <f t="shared" si="8"/>
        <v>835</v>
      </c>
      <c r="T23" s="19">
        <f t="shared" si="9"/>
        <v>8500</v>
      </c>
      <c r="U23" s="19">
        <f t="shared" si="10"/>
        <v>0</v>
      </c>
      <c r="V23" s="19">
        <f t="shared" si="11"/>
        <v>17610</v>
      </c>
      <c r="W23" s="19">
        <f t="shared" si="12"/>
        <v>3950</v>
      </c>
      <c r="X23" s="19">
        <f t="shared" si="13"/>
        <v>12500</v>
      </c>
      <c r="Y23" s="20">
        <f t="shared" si="20"/>
        <v>45395</v>
      </c>
      <c r="Z23" s="39">
        <f t="shared" si="14"/>
        <v>0.1</v>
      </c>
      <c r="AA23" s="20">
        <f t="shared" si="21"/>
        <v>4539.5</v>
      </c>
      <c r="AB23" s="21">
        <f t="shared" si="15"/>
        <v>364</v>
      </c>
      <c r="AC23" s="21">
        <f t="shared" si="16"/>
        <v>1440</v>
      </c>
      <c r="AD23" s="21">
        <f t="shared" si="17"/>
        <v>120</v>
      </c>
      <c r="AE23" s="21">
        <f t="shared" si="18"/>
        <v>1080</v>
      </c>
      <c r="AF23" s="22">
        <f t="shared" si="23"/>
        <v>3004</v>
      </c>
      <c r="AG23" s="23">
        <f t="shared" si="22"/>
        <v>7543.5</v>
      </c>
    </row>
    <row r="24" spans="1:33" x14ac:dyDescent="0.2">
      <c r="A24" s="16" t="s">
        <v>50</v>
      </c>
      <c r="B24" s="17" t="s">
        <v>51</v>
      </c>
      <c r="C24" s="18" t="b">
        <v>1</v>
      </c>
      <c r="D24" s="18" t="s">
        <v>108</v>
      </c>
      <c r="E24" s="16" t="s">
        <v>40</v>
      </c>
      <c r="F24" s="18" t="s">
        <v>7</v>
      </c>
      <c r="G24" s="18" t="s">
        <v>123</v>
      </c>
      <c r="H24" s="18" t="s">
        <v>1</v>
      </c>
      <c r="I24" s="29" t="s">
        <v>374</v>
      </c>
      <c r="J24" s="17" t="str">
        <f t="shared" si="0"/>
        <v>Cellular Modem</v>
      </c>
      <c r="K24" s="17" t="str">
        <f t="shared" si="24"/>
        <v>BioProbe3</v>
      </c>
      <c r="L24" s="17" t="str">
        <f t="shared" si="1"/>
        <v>FS1001M</v>
      </c>
      <c r="M24" s="58" t="str">
        <f t="shared" si="2"/>
        <v>Biomark MUX</v>
      </c>
      <c r="N24" s="16">
        <f t="shared" si="3"/>
        <v>6</v>
      </c>
      <c r="O24" s="17" t="str">
        <f t="shared" si="4"/>
        <v>5060 Hybrid TEG</v>
      </c>
      <c r="P24" s="16">
        <f t="shared" si="5"/>
        <v>6</v>
      </c>
      <c r="Q24" s="16">
        <f t="shared" si="6"/>
        <v>4</v>
      </c>
      <c r="R24" s="19">
        <f t="shared" si="7"/>
        <v>742</v>
      </c>
      <c r="S24" s="19">
        <f t="shared" si="8"/>
        <v>835</v>
      </c>
      <c r="T24" s="19">
        <f t="shared" si="9"/>
        <v>8500</v>
      </c>
      <c r="U24" s="19">
        <f t="shared" si="10"/>
        <v>0</v>
      </c>
      <c r="V24" s="19">
        <f t="shared" si="11"/>
        <v>17610</v>
      </c>
      <c r="W24" s="19">
        <f t="shared" si="12"/>
        <v>30003</v>
      </c>
      <c r="X24" s="19">
        <f t="shared" si="13"/>
        <v>12500</v>
      </c>
      <c r="Y24" s="20">
        <f t="shared" si="20"/>
        <v>70190</v>
      </c>
      <c r="Z24" s="39">
        <f t="shared" si="14"/>
        <v>0.1</v>
      </c>
      <c r="AA24" s="20">
        <f t="shared" si="21"/>
        <v>7019</v>
      </c>
      <c r="AB24" s="21">
        <f t="shared" si="15"/>
        <v>546</v>
      </c>
      <c r="AC24" s="21">
        <f t="shared" si="16"/>
        <v>300</v>
      </c>
      <c r="AD24" s="21">
        <f t="shared" si="17"/>
        <v>780.19</v>
      </c>
      <c r="AE24" s="21">
        <f t="shared" si="18"/>
        <v>1080</v>
      </c>
      <c r="AF24" s="22">
        <f t="shared" si="23"/>
        <v>2706.19</v>
      </c>
      <c r="AG24" s="23">
        <f t="shared" si="22"/>
        <v>9725.19</v>
      </c>
    </row>
    <row r="25" spans="1:33" x14ac:dyDescent="0.2">
      <c r="A25" s="16" t="s">
        <v>44</v>
      </c>
      <c r="B25" s="17" t="s">
        <v>45</v>
      </c>
      <c r="C25" s="18" t="b">
        <v>1</v>
      </c>
      <c r="D25" s="18" t="s">
        <v>108</v>
      </c>
      <c r="E25" s="16" t="s">
        <v>40</v>
      </c>
      <c r="F25" s="18" t="s">
        <v>7</v>
      </c>
      <c r="G25" s="18" t="s">
        <v>123</v>
      </c>
      <c r="H25" s="18" t="s">
        <v>1</v>
      </c>
      <c r="I25" s="29" t="s">
        <v>374</v>
      </c>
      <c r="J25" s="17" t="str">
        <f t="shared" si="0"/>
        <v>Satellite Modem</v>
      </c>
      <c r="K25" s="17" t="str">
        <f t="shared" si="24"/>
        <v>BioProbe3</v>
      </c>
      <c r="L25" s="17" t="str">
        <f t="shared" si="1"/>
        <v>FS1001M</v>
      </c>
      <c r="M25" s="58" t="str">
        <f t="shared" si="2"/>
        <v>Biomark MUX</v>
      </c>
      <c r="N25" s="16">
        <f t="shared" si="3"/>
        <v>6</v>
      </c>
      <c r="O25" s="17" t="str">
        <f t="shared" si="4"/>
        <v>5060 TEG</v>
      </c>
      <c r="P25" s="16">
        <f t="shared" si="5"/>
        <v>0</v>
      </c>
      <c r="Q25" s="16">
        <f t="shared" si="6"/>
        <v>0</v>
      </c>
      <c r="R25" s="19">
        <f t="shared" si="7"/>
        <v>2000</v>
      </c>
      <c r="S25" s="19">
        <f t="shared" si="8"/>
        <v>835</v>
      </c>
      <c r="T25" s="19">
        <f t="shared" si="9"/>
        <v>8500</v>
      </c>
      <c r="U25" s="19">
        <f t="shared" si="10"/>
        <v>0</v>
      </c>
      <c r="V25" s="19">
        <f t="shared" si="11"/>
        <v>17610</v>
      </c>
      <c r="W25" s="19">
        <f t="shared" si="12"/>
        <v>10479</v>
      </c>
      <c r="X25" s="19">
        <f t="shared" si="13"/>
        <v>12500</v>
      </c>
      <c r="Y25" s="20">
        <f t="shared" si="20"/>
        <v>51924</v>
      </c>
      <c r="Z25" s="39">
        <f t="shared" si="14"/>
        <v>0.1</v>
      </c>
      <c r="AA25" s="20">
        <f t="shared" si="21"/>
        <v>5192.4000000000005</v>
      </c>
      <c r="AB25" s="21">
        <f t="shared" si="15"/>
        <v>0</v>
      </c>
      <c r="AC25" s="21">
        <f t="shared" si="16"/>
        <v>1440</v>
      </c>
      <c r="AD25" s="21">
        <f t="shared" si="17"/>
        <v>1560.38</v>
      </c>
      <c r="AE25" s="21">
        <f t="shared" si="18"/>
        <v>1080</v>
      </c>
      <c r="AF25" s="22">
        <f t="shared" si="23"/>
        <v>4080.38</v>
      </c>
      <c r="AG25" s="23">
        <f t="shared" si="22"/>
        <v>9272.7800000000007</v>
      </c>
    </row>
    <row r="26" spans="1:33" x14ac:dyDescent="0.2">
      <c r="A26" s="16" t="s">
        <v>38</v>
      </c>
      <c r="B26" s="17" t="s">
        <v>39</v>
      </c>
      <c r="C26" s="18" t="b">
        <v>1</v>
      </c>
      <c r="D26" s="18" t="s">
        <v>108</v>
      </c>
      <c r="E26" s="16" t="s">
        <v>40</v>
      </c>
      <c r="F26" s="18" t="s">
        <v>7</v>
      </c>
      <c r="G26" s="18" t="s">
        <v>123</v>
      </c>
      <c r="H26" s="18" t="s">
        <v>1</v>
      </c>
      <c r="I26" s="29" t="s">
        <v>374</v>
      </c>
      <c r="J26" s="17" t="str">
        <f t="shared" si="0"/>
        <v>Satellite Modem</v>
      </c>
      <c r="K26" s="17" t="str">
        <f t="shared" si="24"/>
        <v>BioProbe3</v>
      </c>
      <c r="L26" s="17" t="str">
        <f t="shared" si="1"/>
        <v>IS1001-MTS</v>
      </c>
      <c r="M26" s="58" t="str">
        <f t="shared" si="2"/>
        <v>Biomark IS1001</v>
      </c>
      <c r="N26" s="16">
        <f t="shared" si="3"/>
        <v>4</v>
      </c>
      <c r="O26" s="17" t="str">
        <f t="shared" si="4"/>
        <v>Grid Power</v>
      </c>
      <c r="P26" s="16">
        <f t="shared" si="5"/>
        <v>4</v>
      </c>
      <c r="Q26" s="16">
        <f t="shared" si="6"/>
        <v>0</v>
      </c>
      <c r="R26" s="19">
        <f t="shared" si="7"/>
        <v>2000</v>
      </c>
      <c r="S26" s="19">
        <f t="shared" si="8"/>
        <v>835</v>
      </c>
      <c r="T26" s="19">
        <f t="shared" si="9"/>
        <v>4450</v>
      </c>
      <c r="U26" s="19">
        <f t="shared" si="10"/>
        <v>8336</v>
      </c>
      <c r="V26" s="19">
        <f t="shared" si="11"/>
        <v>11740</v>
      </c>
      <c r="W26" s="19">
        <f t="shared" si="12"/>
        <v>3950</v>
      </c>
      <c r="X26" s="19">
        <f t="shared" si="13"/>
        <v>12500</v>
      </c>
      <c r="Y26" s="20">
        <f t="shared" si="20"/>
        <v>43811</v>
      </c>
      <c r="Z26" s="39">
        <f t="shared" si="14"/>
        <v>0.08</v>
      </c>
      <c r="AA26" s="20">
        <f t="shared" si="21"/>
        <v>3504.88</v>
      </c>
      <c r="AB26" s="21">
        <f t="shared" si="15"/>
        <v>364</v>
      </c>
      <c r="AC26" s="21">
        <f t="shared" si="16"/>
        <v>1440</v>
      </c>
      <c r="AD26" s="21">
        <f t="shared" si="17"/>
        <v>120</v>
      </c>
      <c r="AE26" s="21">
        <f t="shared" si="18"/>
        <v>1080</v>
      </c>
      <c r="AF26" s="22">
        <f t="shared" si="23"/>
        <v>3004</v>
      </c>
      <c r="AG26" s="23">
        <f t="shared" si="22"/>
        <v>6508.88</v>
      </c>
    </row>
    <row r="27" spans="1:33" x14ac:dyDescent="0.2">
      <c r="A27" s="16" t="s">
        <v>63</v>
      </c>
      <c r="B27" s="17" t="s">
        <v>64</v>
      </c>
      <c r="C27" s="18" t="b">
        <v>0</v>
      </c>
      <c r="D27" s="18" t="s">
        <v>101</v>
      </c>
      <c r="E27" s="16" t="s">
        <v>53</v>
      </c>
      <c r="F27" s="18" t="s">
        <v>60</v>
      </c>
      <c r="G27" s="18" t="s">
        <v>60</v>
      </c>
      <c r="H27" s="24" t="s">
        <v>1</v>
      </c>
      <c r="I27" s="30" t="s">
        <v>359</v>
      </c>
      <c r="J27" s="58" t="s">
        <v>184</v>
      </c>
      <c r="K27" s="58" t="s">
        <v>183</v>
      </c>
      <c r="L27" s="58" t="s">
        <v>200</v>
      </c>
      <c r="M27" s="58" t="s">
        <v>201</v>
      </c>
      <c r="N27" s="84">
        <v>6</v>
      </c>
      <c r="O27" s="58" t="s">
        <v>216</v>
      </c>
      <c r="P27" s="84">
        <v>4</v>
      </c>
      <c r="Q27" s="84">
        <v>0</v>
      </c>
      <c r="R27" s="19">
        <f t="shared" si="7"/>
        <v>2000</v>
      </c>
      <c r="S27" s="19">
        <f t="shared" si="8"/>
        <v>835</v>
      </c>
      <c r="T27" s="19">
        <f t="shared" si="9"/>
        <v>4450</v>
      </c>
      <c r="U27" s="19">
        <f t="shared" si="10"/>
        <v>12504</v>
      </c>
      <c r="V27" s="19">
        <f t="shared" si="11"/>
        <v>17610</v>
      </c>
      <c r="W27" s="19">
        <f t="shared" si="12"/>
        <v>11879</v>
      </c>
      <c r="X27" s="38">
        <v>12500</v>
      </c>
      <c r="Y27" s="20">
        <f t="shared" si="20"/>
        <v>61778</v>
      </c>
      <c r="Z27" s="39">
        <v>0.08</v>
      </c>
      <c r="AA27" s="20">
        <f t="shared" si="21"/>
        <v>4942.24</v>
      </c>
      <c r="AB27" s="21">
        <f t="shared" si="15"/>
        <v>364</v>
      </c>
      <c r="AC27" s="21">
        <f t="shared" si="16"/>
        <v>1440</v>
      </c>
      <c r="AD27" s="21">
        <f t="shared" si="17"/>
        <v>1560.38</v>
      </c>
      <c r="AE27" s="21">
        <f t="shared" si="18"/>
        <v>1080</v>
      </c>
      <c r="AF27" s="22">
        <f t="shared" si="23"/>
        <v>4444.38</v>
      </c>
      <c r="AG27" s="23">
        <f t="shared" si="22"/>
        <v>9386.619999999999</v>
      </c>
    </row>
    <row r="28" spans="1:33" x14ac:dyDescent="0.2">
      <c r="A28" s="16" t="s">
        <v>85</v>
      </c>
      <c r="B28" s="17" t="s">
        <v>86</v>
      </c>
      <c r="C28" s="18" t="b">
        <v>0</v>
      </c>
      <c r="D28" s="18" t="s">
        <v>101</v>
      </c>
      <c r="E28" s="16" t="s">
        <v>53</v>
      </c>
      <c r="F28" s="18" t="s">
        <v>60</v>
      </c>
      <c r="G28" s="18" t="s">
        <v>60</v>
      </c>
      <c r="H28" s="24" t="s">
        <v>52</v>
      </c>
      <c r="I28" s="30" t="s">
        <v>3</v>
      </c>
      <c r="J28" s="58" t="s">
        <v>341</v>
      </c>
      <c r="K28" s="58" t="s">
        <v>183</v>
      </c>
      <c r="L28" s="58" t="s">
        <v>181</v>
      </c>
      <c r="M28" s="58" t="s">
        <v>182</v>
      </c>
      <c r="N28" s="84">
        <v>4</v>
      </c>
      <c r="O28" s="58" t="s">
        <v>174</v>
      </c>
      <c r="P28" s="84">
        <v>0</v>
      </c>
      <c r="Q28" s="84">
        <v>0</v>
      </c>
      <c r="R28" s="19">
        <f t="shared" si="7"/>
        <v>400</v>
      </c>
      <c r="S28" s="19">
        <f t="shared" si="8"/>
        <v>835</v>
      </c>
      <c r="T28" s="19">
        <f t="shared" si="9"/>
        <v>8500</v>
      </c>
      <c r="U28" s="19">
        <f t="shared" si="10"/>
        <v>0</v>
      </c>
      <c r="V28" s="19">
        <f t="shared" si="11"/>
        <v>11740</v>
      </c>
      <c r="W28" s="19">
        <f t="shared" si="12"/>
        <v>2550</v>
      </c>
      <c r="X28" s="38">
        <v>12500</v>
      </c>
      <c r="Y28" s="20">
        <f t="shared" si="20"/>
        <v>36525</v>
      </c>
      <c r="Z28" s="39">
        <v>0.1</v>
      </c>
      <c r="AA28" s="20">
        <f t="shared" si="21"/>
        <v>3652.5</v>
      </c>
      <c r="AB28" s="21">
        <f t="shared" si="15"/>
        <v>0</v>
      </c>
      <c r="AC28" s="21">
        <f t="shared" si="16"/>
        <v>0</v>
      </c>
      <c r="AD28" s="21">
        <f t="shared" si="17"/>
        <v>120</v>
      </c>
      <c r="AE28" s="21">
        <f t="shared" si="18"/>
        <v>1080</v>
      </c>
      <c r="AF28" s="22">
        <f t="shared" si="23"/>
        <v>1200</v>
      </c>
      <c r="AG28" s="23">
        <f t="shared" si="22"/>
        <v>4852.5</v>
      </c>
    </row>
    <row r="29" spans="1:33" x14ac:dyDescent="0.2">
      <c r="A29" s="16" t="s">
        <v>25</v>
      </c>
      <c r="B29" s="17" t="s">
        <v>26</v>
      </c>
      <c r="C29" s="18" t="b">
        <v>0</v>
      </c>
      <c r="D29" s="18" t="s">
        <v>101</v>
      </c>
      <c r="E29" s="16" t="s">
        <v>6</v>
      </c>
      <c r="F29" s="18" t="s">
        <v>7</v>
      </c>
      <c r="G29" s="18" t="s">
        <v>123</v>
      </c>
      <c r="H29" s="24" t="s">
        <v>1</v>
      </c>
      <c r="I29" s="30" t="s">
        <v>360</v>
      </c>
      <c r="J29" s="58" t="s">
        <v>184</v>
      </c>
      <c r="K29" s="58" t="s">
        <v>183</v>
      </c>
      <c r="L29" s="58" t="s">
        <v>200</v>
      </c>
      <c r="M29" s="58" t="s">
        <v>201</v>
      </c>
      <c r="N29" s="84">
        <v>19</v>
      </c>
      <c r="O29" s="58" t="s">
        <v>174</v>
      </c>
      <c r="P29" s="84">
        <v>4</v>
      </c>
      <c r="Q29" s="84">
        <v>0</v>
      </c>
      <c r="R29" s="19">
        <f t="shared" si="7"/>
        <v>2000</v>
      </c>
      <c r="S29" s="19">
        <f t="shared" si="8"/>
        <v>835</v>
      </c>
      <c r="T29" s="19">
        <f t="shared" si="9"/>
        <v>4450</v>
      </c>
      <c r="U29" s="19">
        <f t="shared" si="10"/>
        <v>39596</v>
      </c>
      <c r="V29" s="19">
        <f t="shared" si="11"/>
        <v>55765</v>
      </c>
      <c r="W29" s="19">
        <f t="shared" si="12"/>
        <v>3950</v>
      </c>
      <c r="X29" s="38">
        <v>12500</v>
      </c>
      <c r="Y29" s="20">
        <f t="shared" si="20"/>
        <v>119096</v>
      </c>
      <c r="Z29" s="39">
        <v>0.08</v>
      </c>
      <c r="AA29" s="20">
        <f t="shared" si="21"/>
        <v>9527.68</v>
      </c>
      <c r="AB29" s="21">
        <f t="shared" si="15"/>
        <v>364</v>
      </c>
      <c r="AC29" s="21">
        <f t="shared" si="16"/>
        <v>1440</v>
      </c>
      <c r="AD29" s="21">
        <f t="shared" si="17"/>
        <v>120</v>
      </c>
      <c r="AE29" s="21">
        <f t="shared" si="18"/>
        <v>1080</v>
      </c>
      <c r="AF29" s="22">
        <f t="shared" si="23"/>
        <v>3004</v>
      </c>
      <c r="AG29" s="23">
        <f t="shared" si="22"/>
        <v>12531.68</v>
      </c>
    </row>
    <row r="30" spans="1:33" x14ac:dyDescent="0.2">
      <c r="A30" s="16" t="s">
        <v>27</v>
      </c>
      <c r="B30" s="17" t="s">
        <v>28</v>
      </c>
      <c r="C30" s="18" t="b">
        <v>0</v>
      </c>
      <c r="D30" s="18" t="s">
        <v>101</v>
      </c>
      <c r="E30" s="16" t="s">
        <v>6</v>
      </c>
      <c r="F30" s="18" t="s">
        <v>7</v>
      </c>
      <c r="G30" s="18" t="s">
        <v>123</v>
      </c>
      <c r="H30" s="24" t="s">
        <v>1</v>
      </c>
      <c r="I30" s="30" t="s">
        <v>360</v>
      </c>
      <c r="J30" s="58" t="s">
        <v>184</v>
      </c>
      <c r="K30" s="58" t="s">
        <v>183</v>
      </c>
      <c r="L30" s="58" t="s">
        <v>200</v>
      </c>
      <c r="M30" s="58" t="s">
        <v>201</v>
      </c>
      <c r="N30" s="84">
        <v>18</v>
      </c>
      <c r="O30" s="58" t="s">
        <v>174</v>
      </c>
      <c r="P30" s="84">
        <v>4</v>
      </c>
      <c r="Q30" s="84">
        <v>0</v>
      </c>
      <c r="R30" s="19">
        <f t="shared" si="7"/>
        <v>2000</v>
      </c>
      <c r="S30" s="19">
        <f t="shared" si="8"/>
        <v>835</v>
      </c>
      <c r="T30" s="19">
        <f t="shared" si="9"/>
        <v>4450</v>
      </c>
      <c r="U30" s="19">
        <f t="shared" si="10"/>
        <v>37512</v>
      </c>
      <c r="V30" s="19">
        <f t="shared" si="11"/>
        <v>52830</v>
      </c>
      <c r="W30" s="19">
        <f t="shared" si="12"/>
        <v>3950</v>
      </c>
      <c r="X30" s="38">
        <v>12500</v>
      </c>
      <c r="Y30" s="20">
        <f t="shared" si="20"/>
        <v>114077</v>
      </c>
      <c r="Z30" s="39">
        <v>0.08</v>
      </c>
      <c r="AA30" s="20">
        <f t="shared" si="21"/>
        <v>9126.16</v>
      </c>
      <c r="AB30" s="21">
        <f t="shared" si="15"/>
        <v>364</v>
      </c>
      <c r="AC30" s="21">
        <f t="shared" si="16"/>
        <v>1440</v>
      </c>
      <c r="AD30" s="21">
        <f t="shared" si="17"/>
        <v>120</v>
      </c>
      <c r="AE30" s="21">
        <f t="shared" si="18"/>
        <v>1080</v>
      </c>
      <c r="AF30" s="22">
        <f t="shared" si="23"/>
        <v>3004</v>
      </c>
      <c r="AG30" s="23">
        <f t="shared" si="22"/>
        <v>12130.16</v>
      </c>
    </row>
    <row r="31" spans="1:33" x14ac:dyDescent="0.2">
      <c r="A31" s="16" t="s">
        <v>29</v>
      </c>
      <c r="B31" s="17" t="s">
        <v>30</v>
      </c>
      <c r="C31" s="18" t="b">
        <v>0</v>
      </c>
      <c r="D31" s="18" t="s">
        <v>368</v>
      </c>
      <c r="E31" s="16" t="s">
        <v>6</v>
      </c>
      <c r="F31" s="18" t="s">
        <v>7</v>
      </c>
      <c r="G31" s="18" t="s">
        <v>7</v>
      </c>
      <c r="H31" s="24" t="s">
        <v>1</v>
      </c>
      <c r="I31" s="30" t="s">
        <v>361</v>
      </c>
      <c r="J31" s="58" t="s">
        <v>184</v>
      </c>
      <c r="K31" s="58" t="s">
        <v>183</v>
      </c>
      <c r="L31" s="58" t="s">
        <v>200</v>
      </c>
      <c r="M31" s="58" t="s">
        <v>201</v>
      </c>
      <c r="N31" s="84">
        <v>5</v>
      </c>
      <c r="O31" s="58" t="s">
        <v>233</v>
      </c>
      <c r="P31" s="84">
        <v>4</v>
      </c>
      <c r="Q31" s="84">
        <v>4</v>
      </c>
      <c r="R31" s="19">
        <f t="shared" si="7"/>
        <v>2000</v>
      </c>
      <c r="S31" s="19">
        <f t="shared" si="8"/>
        <v>835</v>
      </c>
      <c r="T31" s="19">
        <f t="shared" si="9"/>
        <v>4450</v>
      </c>
      <c r="U31" s="19">
        <f t="shared" si="10"/>
        <v>10420</v>
      </c>
      <c r="V31" s="19">
        <f t="shared" si="11"/>
        <v>14675</v>
      </c>
      <c r="W31" s="19">
        <f t="shared" si="12"/>
        <v>12224</v>
      </c>
      <c r="X31" s="38">
        <v>12500</v>
      </c>
      <c r="Y31" s="20">
        <f t="shared" si="20"/>
        <v>57104</v>
      </c>
      <c r="Z31" s="39">
        <v>0.08</v>
      </c>
      <c r="AA31" s="20">
        <f t="shared" si="21"/>
        <v>4568.32</v>
      </c>
      <c r="AB31" s="21">
        <f t="shared" si="15"/>
        <v>364</v>
      </c>
      <c r="AC31" s="21">
        <f t="shared" si="16"/>
        <v>1440</v>
      </c>
      <c r="AD31" s="21">
        <f t="shared" si="17"/>
        <v>0</v>
      </c>
      <c r="AE31" s="21">
        <f t="shared" si="18"/>
        <v>1080</v>
      </c>
      <c r="AF31" s="22">
        <f t="shared" si="23"/>
        <v>2884</v>
      </c>
      <c r="AG31" s="23">
        <f t="shared" si="22"/>
        <v>7452.32</v>
      </c>
    </row>
    <row r="32" spans="1:33" x14ac:dyDescent="0.2">
      <c r="A32" s="16" t="s">
        <v>31</v>
      </c>
      <c r="B32" s="17" t="s">
        <v>32</v>
      </c>
      <c r="C32" s="18" t="b">
        <v>0</v>
      </c>
      <c r="D32" s="18" t="s">
        <v>101</v>
      </c>
      <c r="E32" s="16" t="s">
        <v>6</v>
      </c>
      <c r="F32" s="18" t="s">
        <v>7</v>
      </c>
      <c r="G32" s="18" t="s">
        <v>7</v>
      </c>
      <c r="H32" s="24" t="s">
        <v>1</v>
      </c>
      <c r="I32" s="30" t="s">
        <v>361</v>
      </c>
      <c r="J32" s="58" t="s">
        <v>184</v>
      </c>
      <c r="K32" s="58" t="s">
        <v>183</v>
      </c>
      <c r="L32" s="58" t="s">
        <v>200</v>
      </c>
      <c r="M32" s="58" t="s">
        <v>201</v>
      </c>
      <c r="N32" s="84">
        <v>9</v>
      </c>
      <c r="O32" s="58" t="s">
        <v>233</v>
      </c>
      <c r="P32" s="84">
        <v>4</v>
      </c>
      <c r="Q32" s="84">
        <v>4</v>
      </c>
      <c r="R32" s="19">
        <f t="shared" si="7"/>
        <v>2000</v>
      </c>
      <c r="S32" s="19">
        <f t="shared" si="8"/>
        <v>835</v>
      </c>
      <c r="T32" s="19">
        <f t="shared" si="9"/>
        <v>4450</v>
      </c>
      <c r="U32" s="19">
        <f t="shared" si="10"/>
        <v>18756</v>
      </c>
      <c r="V32" s="19">
        <f t="shared" si="11"/>
        <v>26415</v>
      </c>
      <c r="W32" s="19">
        <f t="shared" si="12"/>
        <v>12224</v>
      </c>
      <c r="X32" s="38">
        <v>12500</v>
      </c>
      <c r="Y32" s="20">
        <f t="shared" si="20"/>
        <v>77180</v>
      </c>
      <c r="Z32" s="39">
        <v>0.08</v>
      </c>
      <c r="AA32" s="20">
        <f t="shared" si="21"/>
        <v>6174.4000000000005</v>
      </c>
      <c r="AB32" s="21">
        <f t="shared" si="15"/>
        <v>364</v>
      </c>
      <c r="AC32" s="21">
        <f t="shared" si="16"/>
        <v>1440</v>
      </c>
      <c r="AD32" s="21">
        <f t="shared" si="17"/>
        <v>0</v>
      </c>
      <c r="AE32" s="21">
        <f t="shared" si="18"/>
        <v>1080</v>
      </c>
      <c r="AF32" s="22">
        <f t="shared" si="23"/>
        <v>2884</v>
      </c>
      <c r="AG32" s="23">
        <f t="shared" si="22"/>
        <v>9058.4000000000015</v>
      </c>
    </row>
    <row r="33" spans="1:33" x14ac:dyDescent="0.2">
      <c r="A33" s="16" t="s">
        <v>15</v>
      </c>
      <c r="B33" s="17" t="s">
        <v>16</v>
      </c>
      <c r="C33" s="18" t="b">
        <v>0</v>
      </c>
      <c r="D33" s="18" t="s">
        <v>369</v>
      </c>
      <c r="E33" s="16" t="s">
        <v>6</v>
      </c>
      <c r="F33" s="18" t="s">
        <v>7</v>
      </c>
      <c r="G33" s="18" t="s">
        <v>7</v>
      </c>
      <c r="H33" s="24" t="s">
        <v>1</v>
      </c>
      <c r="I33" s="30" t="s">
        <v>362</v>
      </c>
      <c r="J33" s="58" t="s">
        <v>257</v>
      </c>
      <c r="K33" s="58" t="s">
        <v>183</v>
      </c>
      <c r="L33" s="58" t="s">
        <v>200</v>
      </c>
      <c r="M33" s="58" t="s">
        <v>201</v>
      </c>
      <c r="N33" s="84">
        <v>4</v>
      </c>
      <c r="O33" s="58" t="s">
        <v>174</v>
      </c>
      <c r="P33" s="84">
        <v>4</v>
      </c>
      <c r="Q33" s="84">
        <v>0</v>
      </c>
      <c r="R33" s="19">
        <f t="shared" si="7"/>
        <v>0</v>
      </c>
      <c r="S33" s="19">
        <f t="shared" si="8"/>
        <v>835</v>
      </c>
      <c r="T33" s="19">
        <f t="shared" si="9"/>
        <v>4450</v>
      </c>
      <c r="U33" s="19">
        <f t="shared" si="10"/>
        <v>8336</v>
      </c>
      <c r="V33" s="19">
        <f t="shared" si="11"/>
        <v>11740</v>
      </c>
      <c r="W33" s="19">
        <f t="shared" si="12"/>
        <v>3950</v>
      </c>
      <c r="X33" s="38">
        <v>12500</v>
      </c>
      <c r="Y33" s="20">
        <f t="shared" si="20"/>
        <v>41811</v>
      </c>
      <c r="Z33" s="39">
        <v>0.08</v>
      </c>
      <c r="AA33" s="20">
        <f t="shared" si="21"/>
        <v>3344.88</v>
      </c>
      <c r="AB33" s="21">
        <f t="shared" si="15"/>
        <v>364</v>
      </c>
      <c r="AC33" s="21">
        <f t="shared" si="16"/>
        <v>0</v>
      </c>
      <c r="AD33" s="21">
        <f t="shared" si="17"/>
        <v>120</v>
      </c>
      <c r="AE33" s="21">
        <f t="shared" si="18"/>
        <v>1080</v>
      </c>
      <c r="AF33" s="22">
        <f t="shared" si="23"/>
        <v>1564</v>
      </c>
      <c r="AG33" s="23">
        <f t="shared" si="22"/>
        <v>4908.88</v>
      </c>
    </row>
    <row r="34" spans="1:33" x14ac:dyDescent="0.2">
      <c r="A34" s="16" t="s">
        <v>8</v>
      </c>
      <c r="B34" s="17" t="s">
        <v>9</v>
      </c>
      <c r="C34" s="18" t="b">
        <v>0</v>
      </c>
      <c r="D34" s="18" t="s">
        <v>101</v>
      </c>
      <c r="E34" s="16" t="s">
        <v>6</v>
      </c>
      <c r="F34" s="18" t="s">
        <v>10</v>
      </c>
      <c r="G34" s="18" t="s">
        <v>10</v>
      </c>
      <c r="H34" s="24" t="s">
        <v>375</v>
      </c>
      <c r="I34" s="30" t="s">
        <v>375</v>
      </c>
      <c r="J34" s="58" t="s">
        <v>202</v>
      </c>
      <c r="K34" s="58" t="s">
        <v>183</v>
      </c>
      <c r="L34" s="58" t="s">
        <v>200</v>
      </c>
      <c r="M34" s="58" t="s">
        <v>201</v>
      </c>
      <c r="N34" s="84">
        <v>8</v>
      </c>
      <c r="O34" s="58" t="s">
        <v>174</v>
      </c>
      <c r="P34" s="84">
        <v>4</v>
      </c>
      <c r="Q34" s="84">
        <v>0</v>
      </c>
      <c r="R34" s="19">
        <f t="shared" ref="R34:R52" si="25">VLOOKUP(J34,communication,2,FALSE)</f>
        <v>742</v>
      </c>
      <c r="S34" s="19">
        <f t="shared" ref="S34:S52" si="26">IFERROR(VLOOKUP(K34,datalogger,2,FALSE),0)</f>
        <v>835</v>
      </c>
      <c r="T34" s="19">
        <f t="shared" ref="T34:T52" si="27">IFERROR(VLOOKUP(L34,transceiver,2,FALSE),0)</f>
        <v>4450</v>
      </c>
      <c r="U34" s="19">
        <f t="shared" ref="U34:U52" si="28">VLOOKUP(M34,reader,2,FALSE)*N34</f>
        <v>16672</v>
      </c>
      <c r="V34" s="19">
        <f t="shared" ref="V34:V52" si="29">N34*antenna_cost</f>
        <v>23480</v>
      </c>
      <c r="W34" s="19">
        <f t="shared" ref="W34:W52" si="30">_xlfn.IFS(O34="Grid Power", 2550, O34="Grid Power PLC", 3940, O34="5060 Hybrid TEG", 27903, O34="5060 TEG", 10479, O34="5120 TEG", 13874, O34="Solar", solar_array_cost*Q34)+(P34*battery_cost)</f>
        <v>3950</v>
      </c>
      <c r="X34" s="38">
        <v>12500</v>
      </c>
      <c r="Y34" s="20">
        <f t="shared" si="20"/>
        <v>62629</v>
      </c>
      <c r="Z34" s="39">
        <v>0.08</v>
      </c>
      <c r="AA34" s="20">
        <f t="shared" si="21"/>
        <v>5010.32</v>
      </c>
      <c r="AB34" s="21">
        <f t="shared" ref="AB34:AB52" si="31">(P34*battery_replacement)/4</f>
        <v>364</v>
      </c>
      <c r="AC34" s="21">
        <f t="shared" ref="AC34:AC52" si="32">VLOOKUP(J34,communication,3,FALSE)</f>
        <v>300</v>
      </c>
      <c r="AD34" s="21">
        <f t="shared" ref="AD34:AD52" si="33">VLOOKUP(O34,power,3,FALSE)</f>
        <v>120</v>
      </c>
      <c r="AE34" s="21">
        <f t="shared" ref="AE34:AE52" si="34">data_management_mnth*12</f>
        <v>1080</v>
      </c>
      <c r="AF34" s="22">
        <f t="shared" si="23"/>
        <v>1864</v>
      </c>
      <c r="AG34" s="23">
        <f t="shared" si="22"/>
        <v>6874.32</v>
      </c>
    </row>
    <row r="35" spans="1:33" x14ac:dyDescent="0.2">
      <c r="A35" s="16" t="s">
        <v>4</v>
      </c>
      <c r="B35" s="17" t="s">
        <v>5</v>
      </c>
      <c r="C35" s="18" t="b">
        <v>0</v>
      </c>
      <c r="D35" s="18" t="s">
        <v>369</v>
      </c>
      <c r="E35" s="16" t="s">
        <v>6</v>
      </c>
      <c r="F35" s="18" t="s">
        <v>7</v>
      </c>
      <c r="G35" s="18" t="s">
        <v>7</v>
      </c>
      <c r="H35" s="24" t="s">
        <v>375</v>
      </c>
      <c r="I35" s="30" t="s">
        <v>375</v>
      </c>
      <c r="J35" s="58" t="s">
        <v>202</v>
      </c>
      <c r="K35" s="58" t="s">
        <v>183</v>
      </c>
      <c r="L35" s="58" t="s">
        <v>200</v>
      </c>
      <c r="M35" s="58" t="s">
        <v>201</v>
      </c>
      <c r="N35" s="84">
        <v>4</v>
      </c>
      <c r="O35" s="58" t="s">
        <v>174</v>
      </c>
      <c r="P35" s="84">
        <v>4</v>
      </c>
      <c r="Q35" s="84">
        <v>0</v>
      </c>
      <c r="R35" s="19">
        <f t="shared" si="25"/>
        <v>742</v>
      </c>
      <c r="S35" s="19">
        <f t="shared" si="26"/>
        <v>835</v>
      </c>
      <c r="T35" s="19">
        <f t="shared" si="27"/>
        <v>4450</v>
      </c>
      <c r="U35" s="19">
        <f t="shared" si="28"/>
        <v>8336</v>
      </c>
      <c r="V35" s="19">
        <f t="shared" si="29"/>
        <v>11740</v>
      </c>
      <c r="W35" s="19">
        <f t="shared" si="30"/>
        <v>3950</v>
      </c>
      <c r="X35" s="38">
        <v>12500</v>
      </c>
      <c r="Y35" s="20">
        <f t="shared" si="20"/>
        <v>42553</v>
      </c>
      <c r="Z35" s="39">
        <v>0.08</v>
      </c>
      <c r="AA35" s="20">
        <f t="shared" si="21"/>
        <v>3404.2400000000002</v>
      </c>
      <c r="AB35" s="21">
        <f t="shared" si="31"/>
        <v>364</v>
      </c>
      <c r="AC35" s="21">
        <f t="shared" si="32"/>
        <v>300</v>
      </c>
      <c r="AD35" s="21">
        <f t="shared" si="33"/>
        <v>120</v>
      </c>
      <c r="AE35" s="21">
        <f t="shared" si="34"/>
        <v>1080</v>
      </c>
      <c r="AF35" s="22">
        <f t="shared" si="23"/>
        <v>1864</v>
      </c>
      <c r="AG35" s="23">
        <f t="shared" si="22"/>
        <v>5268.24</v>
      </c>
    </row>
    <row r="36" spans="1:33" x14ac:dyDescent="0.2">
      <c r="A36" s="16" t="s">
        <v>48</v>
      </c>
      <c r="B36" s="17" t="s">
        <v>49</v>
      </c>
      <c r="C36" s="18" t="b">
        <v>0</v>
      </c>
      <c r="D36" s="18" t="s">
        <v>101</v>
      </c>
      <c r="E36" s="16" t="s">
        <v>40</v>
      </c>
      <c r="F36" s="18" t="s">
        <v>7</v>
      </c>
      <c r="G36" s="18" t="s">
        <v>7</v>
      </c>
      <c r="H36" s="24" t="s">
        <v>1</v>
      </c>
      <c r="I36" s="30" t="s">
        <v>363</v>
      </c>
      <c r="J36" s="58" t="s">
        <v>184</v>
      </c>
      <c r="K36" s="58" t="s">
        <v>183</v>
      </c>
      <c r="L36" s="58" t="s">
        <v>200</v>
      </c>
      <c r="M36" s="58" t="s">
        <v>201</v>
      </c>
      <c r="N36" s="84">
        <v>4</v>
      </c>
      <c r="O36" s="58" t="s">
        <v>216</v>
      </c>
      <c r="P36" s="84">
        <v>4</v>
      </c>
      <c r="Q36" s="84">
        <v>4</v>
      </c>
      <c r="R36" s="19">
        <f t="shared" si="25"/>
        <v>2000</v>
      </c>
      <c r="S36" s="19">
        <f t="shared" si="26"/>
        <v>835</v>
      </c>
      <c r="T36" s="19">
        <f t="shared" si="27"/>
        <v>4450</v>
      </c>
      <c r="U36" s="19">
        <f t="shared" si="28"/>
        <v>8336</v>
      </c>
      <c r="V36" s="19">
        <f t="shared" si="29"/>
        <v>11740</v>
      </c>
      <c r="W36" s="19">
        <f t="shared" si="30"/>
        <v>11879</v>
      </c>
      <c r="X36" s="38">
        <v>12500</v>
      </c>
      <c r="Y36" s="20">
        <f t="shared" si="20"/>
        <v>51740</v>
      </c>
      <c r="Z36" s="39">
        <v>0.08</v>
      </c>
      <c r="AA36" s="20">
        <f t="shared" si="21"/>
        <v>4139.2</v>
      </c>
      <c r="AB36" s="21">
        <f t="shared" si="31"/>
        <v>364</v>
      </c>
      <c r="AC36" s="21">
        <f t="shared" si="32"/>
        <v>1440</v>
      </c>
      <c r="AD36" s="21">
        <f t="shared" si="33"/>
        <v>1560.38</v>
      </c>
      <c r="AE36" s="21">
        <f t="shared" si="34"/>
        <v>1080</v>
      </c>
      <c r="AF36" s="22">
        <f t="shared" si="23"/>
        <v>4444.38</v>
      </c>
      <c r="AG36" s="23">
        <f t="shared" si="22"/>
        <v>8583.58</v>
      </c>
    </row>
    <row r="37" spans="1:33" x14ac:dyDescent="0.2">
      <c r="A37" s="16" t="s">
        <v>46</v>
      </c>
      <c r="B37" s="17" t="s">
        <v>47</v>
      </c>
      <c r="C37" s="18" t="b">
        <v>0</v>
      </c>
      <c r="D37" s="18" t="s">
        <v>101</v>
      </c>
      <c r="E37" s="16" t="s">
        <v>40</v>
      </c>
      <c r="F37" s="18" t="s">
        <v>7</v>
      </c>
      <c r="G37" s="18" t="s">
        <v>7</v>
      </c>
      <c r="H37" s="24" t="s">
        <v>1</v>
      </c>
      <c r="I37" s="30" t="s">
        <v>363</v>
      </c>
      <c r="J37" s="58" t="s">
        <v>257</v>
      </c>
      <c r="K37" s="58" t="s">
        <v>183</v>
      </c>
      <c r="L37" s="58" t="s">
        <v>200</v>
      </c>
      <c r="M37" s="58" t="s">
        <v>201</v>
      </c>
      <c r="N37" s="84">
        <v>10</v>
      </c>
      <c r="O37" s="58" t="s">
        <v>239</v>
      </c>
      <c r="P37" s="84">
        <v>4</v>
      </c>
      <c r="Q37" s="84">
        <v>0</v>
      </c>
      <c r="R37" s="19">
        <f t="shared" si="25"/>
        <v>0</v>
      </c>
      <c r="S37" s="19">
        <f t="shared" si="26"/>
        <v>835</v>
      </c>
      <c r="T37" s="19">
        <f t="shared" si="27"/>
        <v>4450</v>
      </c>
      <c r="U37" s="19">
        <f t="shared" si="28"/>
        <v>20840</v>
      </c>
      <c r="V37" s="19">
        <f t="shared" si="29"/>
        <v>29350</v>
      </c>
      <c r="W37" s="19">
        <f t="shared" si="30"/>
        <v>15274</v>
      </c>
      <c r="X37" s="38">
        <v>12500</v>
      </c>
      <c r="Y37" s="20">
        <f t="shared" si="20"/>
        <v>83249</v>
      </c>
      <c r="Z37" s="39">
        <v>0.08</v>
      </c>
      <c r="AA37" s="20">
        <f t="shared" si="21"/>
        <v>6659.92</v>
      </c>
      <c r="AB37" s="21">
        <f t="shared" si="31"/>
        <v>364</v>
      </c>
      <c r="AC37" s="21">
        <f t="shared" si="32"/>
        <v>0</v>
      </c>
      <c r="AD37" s="21">
        <f t="shared" si="33"/>
        <v>3120.75</v>
      </c>
      <c r="AE37" s="21">
        <f t="shared" si="34"/>
        <v>1080</v>
      </c>
      <c r="AF37" s="22">
        <f t="shared" si="23"/>
        <v>4564.75</v>
      </c>
      <c r="AG37" s="23">
        <f t="shared" si="22"/>
        <v>11224.67</v>
      </c>
    </row>
    <row r="38" spans="1:33" x14ac:dyDescent="0.2">
      <c r="A38" s="16" t="s">
        <v>41</v>
      </c>
      <c r="B38" s="17" t="s">
        <v>42</v>
      </c>
      <c r="C38" s="18" t="b">
        <v>0</v>
      </c>
      <c r="D38" s="18" t="s">
        <v>101</v>
      </c>
      <c r="E38" s="16" t="s">
        <v>40</v>
      </c>
      <c r="F38" s="18" t="s">
        <v>43</v>
      </c>
      <c r="G38" s="18" t="s">
        <v>43</v>
      </c>
      <c r="H38" s="24" t="s">
        <v>1</v>
      </c>
      <c r="I38" s="30" t="s">
        <v>2</v>
      </c>
      <c r="J38" s="58" t="s">
        <v>184</v>
      </c>
      <c r="K38" s="58" t="s">
        <v>183</v>
      </c>
      <c r="L38" s="58" t="s">
        <v>200</v>
      </c>
      <c r="M38" s="58" t="s">
        <v>201</v>
      </c>
      <c r="N38" s="84">
        <v>5</v>
      </c>
      <c r="O38" s="58" t="s">
        <v>174</v>
      </c>
      <c r="P38" s="84">
        <v>4</v>
      </c>
      <c r="Q38" s="84">
        <v>0</v>
      </c>
      <c r="R38" s="19">
        <f t="shared" si="25"/>
        <v>2000</v>
      </c>
      <c r="S38" s="19">
        <f t="shared" si="26"/>
        <v>835</v>
      </c>
      <c r="T38" s="19">
        <f t="shared" si="27"/>
        <v>4450</v>
      </c>
      <c r="U38" s="19">
        <f t="shared" si="28"/>
        <v>10420</v>
      </c>
      <c r="V38" s="19">
        <f t="shared" si="29"/>
        <v>14675</v>
      </c>
      <c r="W38" s="19">
        <f t="shared" si="30"/>
        <v>3950</v>
      </c>
      <c r="X38" s="38">
        <v>12500</v>
      </c>
      <c r="Y38" s="20">
        <f t="shared" si="20"/>
        <v>48830</v>
      </c>
      <c r="Z38" s="39">
        <v>0.08</v>
      </c>
      <c r="AA38" s="20">
        <f t="shared" si="21"/>
        <v>3906.4</v>
      </c>
      <c r="AB38" s="21">
        <f t="shared" si="31"/>
        <v>364</v>
      </c>
      <c r="AC38" s="21">
        <f t="shared" si="32"/>
        <v>1440</v>
      </c>
      <c r="AD38" s="21">
        <f t="shared" si="33"/>
        <v>120</v>
      </c>
      <c r="AE38" s="21">
        <f t="shared" si="34"/>
        <v>1080</v>
      </c>
      <c r="AF38" s="22">
        <f t="shared" si="23"/>
        <v>3004</v>
      </c>
      <c r="AG38" s="23">
        <f t="shared" si="22"/>
        <v>6910.4</v>
      </c>
    </row>
    <row r="39" spans="1:33" x14ac:dyDescent="0.2">
      <c r="A39" s="16" t="s">
        <v>35</v>
      </c>
      <c r="B39" s="17" t="s">
        <v>36</v>
      </c>
      <c r="C39" s="18" t="b">
        <v>0</v>
      </c>
      <c r="D39" s="18" t="s">
        <v>101</v>
      </c>
      <c r="E39" s="16" t="s">
        <v>122</v>
      </c>
      <c r="F39" s="18" t="s">
        <v>0</v>
      </c>
      <c r="G39" s="18" t="s">
        <v>0</v>
      </c>
      <c r="H39" s="24" t="s">
        <v>37</v>
      </c>
      <c r="I39" s="30" t="s">
        <v>3</v>
      </c>
      <c r="J39" s="58" t="s">
        <v>202</v>
      </c>
      <c r="K39" s="58" t="s">
        <v>183</v>
      </c>
      <c r="L39" s="58" t="s">
        <v>200</v>
      </c>
      <c r="M39" s="58" t="s">
        <v>201</v>
      </c>
      <c r="N39" s="84">
        <v>6</v>
      </c>
      <c r="O39" s="58" t="s">
        <v>174</v>
      </c>
      <c r="P39" s="84">
        <v>4</v>
      </c>
      <c r="Q39" s="84">
        <v>0</v>
      </c>
      <c r="R39" s="19">
        <f t="shared" si="25"/>
        <v>742</v>
      </c>
      <c r="S39" s="19">
        <f t="shared" si="26"/>
        <v>835</v>
      </c>
      <c r="T39" s="19">
        <f t="shared" si="27"/>
        <v>4450</v>
      </c>
      <c r="U39" s="19">
        <f t="shared" si="28"/>
        <v>12504</v>
      </c>
      <c r="V39" s="19">
        <f t="shared" si="29"/>
        <v>17610</v>
      </c>
      <c r="W39" s="19">
        <f t="shared" si="30"/>
        <v>3950</v>
      </c>
      <c r="X39" s="38">
        <v>12500</v>
      </c>
      <c r="Y39" s="20">
        <f t="shared" si="20"/>
        <v>52591</v>
      </c>
      <c r="Z39" s="39">
        <v>0.08</v>
      </c>
      <c r="AA39" s="20">
        <f t="shared" si="21"/>
        <v>4207.28</v>
      </c>
      <c r="AB39" s="21">
        <f t="shared" si="31"/>
        <v>364</v>
      </c>
      <c r="AC39" s="21">
        <f t="shared" si="32"/>
        <v>300</v>
      </c>
      <c r="AD39" s="21">
        <f t="shared" si="33"/>
        <v>120</v>
      </c>
      <c r="AE39" s="21">
        <f t="shared" si="34"/>
        <v>1080</v>
      </c>
      <c r="AF39" s="22">
        <f t="shared" si="23"/>
        <v>1864</v>
      </c>
      <c r="AG39" s="23">
        <f t="shared" si="22"/>
        <v>6071.28</v>
      </c>
    </row>
    <row r="40" spans="1:33" x14ac:dyDescent="0.2">
      <c r="A40" s="16" t="s">
        <v>103</v>
      </c>
      <c r="B40" s="17" t="s">
        <v>110</v>
      </c>
      <c r="C40" s="18" t="b">
        <v>0</v>
      </c>
      <c r="D40" s="18" t="s">
        <v>106</v>
      </c>
      <c r="E40" s="16" t="s">
        <v>53</v>
      </c>
      <c r="F40" s="24"/>
      <c r="G40" s="24"/>
      <c r="H40" s="24"/>
      <c r="I40" s="30"/>
      <c r="J40" s="58" t="s">
        <v>184</v>
      </c>
      <c r="K40" s="58" t="s">
        <v>183</v>
      </c>
      <c r="L40" s="58" t="s">
        <v>200</v>
      </c>
      <c r="M40" s="58" t="s">
        <v>201</v>
      </c>
      <c r="N40" s="84">
        <v>12</v>
      </c>
      <c r="O40" s="58" t="s">
        <v>239</v>
      </c>
      <c r="P40" s="84">
        <v>4</v>
      </c>
      <c r="Q40" s="84">
        <v>0</v>
      </c>
      <c r="R40" s="19">
        <f t="shared" si="25"/>
        <v>2000</v>
      </c>
      <c r="S40" s="19">
        <f t="shared" si="26"/>
        <v>835</v>
      </c>
      <c r="T40" s="19">
        <f t="shared" si="27"/>
        <v>4450</v>
      </c>
      <c r="U40" s="19">
        <f t="shared" si="28"/>
        <v>25008</v>
      </c>
      <c r="V40" s="19">
        <f t="shared" si="29"/>
        <v>35220</v>
      </c>
      <c r="W40" s="19">
        <f t="shared" si="30"/>
        <v>15274</v>
      </c>
      <c r="X40" s="38">
        <v>12500</v>
      </c>
      <c r="Y40" s="20">
        <f t="shared" si="20"/>
        <v>95287</v>
      </c>
      <c r="Z40" s="39">
        <v>0.08</v>
      </c>
      <c r="AA40" s="20">
        <f t="shared" si="21"/>
        <v>7622.96</v>
      </c>
      <c r="AB40" s="21">
        <f t="shared" si="31"/>
        <v>364</v>
      </c>
      <c r="AC40" s="21">
        <f t="shared" si="32"/>
        <v>1440</v>
      </c>
      <c r="AD40" s="21">
        <f t="shared" si="33"/>
        <v>3120.75</v>
      </c>
      <c r="AE40" s="21">
        <f t="shared" si="34"/>
        <v>1080</v>
      </c>
      <c r="AF40" s="22">
        <f t="shared" si="23"/>
        <v>6004.75</v>
      </c>
      <c r="AG40" s="23">
        <f t="shared" si="22"/>
        <v>13627.71</v>
      </c>
    </row>
    <row r="41" spans="1:33" x14ac:dyDescent="0.2">
      <c r="A41" s="16" t="s">
        <v>102</v>
      </c>
      <c r="B41" s="17" t="s">
        <v>109</v>
      </c>
      <c r="C41" s="18" t="b">
        <v>0</v>
      </c>
      <c r="D41" s="18" t="s">
        <v>106</v>
      </c>
      <c r="E41" s="16" t="s">
        <v>53</v>
      </c>
      <c r="F41" s="24"/>
      <c r="G41" s="24"/>
      <c r="H41" s="24"/>
      <c r="I41" s="30"/>
      <c r="J41" s="58" t="s">
        <v>184</v>
      </c>
      <c r="K41" s="58" t="s">
        <v>183</v>
      </c>
      <c r="L41" s="58" t="s">
        <v>200</v>
      </c>
      <c r="M41" s="58" t="s">
        <v>201</v>
      </c>
      <c r="N41" s="84">
        <v>12</v>
      </c>
      <c r="O41" s="58" t="s">
        <v>239</v>
      </c>
      <c r="P41" s="84">
        <v>4</v>
      </c>
      <c r="Q41" s="84">
        <v>0</v>
      </c>
      <c r="R41" s="19">
        <f t="shared" si="25"/>
        <v>2000</v>
      </c>
      <c r="S41" s="19">
        <f t="shared" si="26"/>
        <v>835</v>
      </c>
      <c r="T41" s="19">
        <f t="shared" si="27"/>
        <v>4450</v>
      </c>
      <c r="U41" s="19">
        <f t="shared" si="28"/>
        <v>25008</v>
      </c>
      <c r="V41" s="19">
        <f t="shared" si="29"/>
        <v>35220</v>
      </c>
      <c r="W41" s="19">
        <f t="shared" si="30"/>
        <v>15274</v>
      </c>
      <c r="X41" s="38">
        <v>12500</v>
      </c>
      <c r="Y41" s="20">
        <f t="shared" si="20"/>
        <v>95287</v>
      </c>
      <c r="Z41" s="39">
        <v>0.08</v>
      </c>
      <c r="AA41" s="20">
        <f t="shared" si="21"/>
        <v>7622.96</v>
      </c>
      <c r="AB41" s="21">
        <f t="shared" si="31"/>
        <v>364</v>
      </c>
      <c r="AC41" s="21">
        <f t="shared" si="32"/>
        <v>1440</v>
      </c>
      <c r="AD41" s="21">
        <f t="shared" si="33"/>
        <v>3120.75</v>
      </c>
      <c r="AE41" s="21">
        <f t="shared" si="34"/>
        <v>1080</v>
      </c>
      <c r="AF41" s="22">
        <f t="shared" si="23"/>
        <v>6004.75</v>
      </c>
      <c r="AG41" s="23">
        <f t="shared" si="22"/>
        <v>13627.71</v>
      </c>
    </row>
    <row r="42" spans="1:33" x14ac:dyDescent="0.2">
      <c r="A42" s="16" t="s">
        <v>104</v>
      </c>
      <c r="B42" s="17" t="s">
        <v>111</v>
      </c>
      <c r="C42" s="18" t="b">
        <v>0</v>
      </c>
      <c r="D42" s="18" t="s">
        <v>106</v>
      </c>
      <c r="E42" s="16" t="s">
        <v>53</v>
      </c>
      <c r="F42" s="24"/>
      <c r="G42" s="24"/>
      <c r="H42" s="24"/>
      <c r="I42" s="30"/>
      <c r="J42" s="58" t="s">
        <v>184</v>
      </c>
      <c r="K42" s="58" t="s">
        <v>183</v>
      </c>
      <c r="L42" s="58" t="s">
        <v>200</v>
      </c>
      <c r="M42" s="58" t="s">
        <v>201</v>
      </c>
      <c r="N42" s="84">
        <v>8</v>
      </c>
      <c r="O42" s="58" t="s">
        <v>192</v>
      </c>
      <c r="P42" s="84">
        <v>4</v>
      </c>
      <c r="Q42" s="84">
        <v>8</v>
      </c>
      <c r="R42" s="19">
        <f t="shared" si="25"/>
        <v>2000</v>
      </c>
      <c r="S42" s="19">
        <f t="shared" si="26"/>
        <v>835</v>
      </c>
      <c r="T42" s="19">
        <f t="shared" si="27"/>
        <v>4450</v>
      </c>
      <c r="U42" s="19">
        <f t="shared" si="28"/>
        <v>16672</v>
      </c>
      <c r="V42" s="19">
        <f t="shared" si="29"/>
        <v>23480</v>
      </c>
      <c r="W42" s="19">
        <f t="shared" si="30"/>
        <v>29303</v>
      </c>
      <c r="X42" s="38">
        <v>12500</v>
      </c>
      <c r="Y42" s="20">
        <f t="shared" si="20"/>
        <v>89240</v>
      </c>
      <c r="Z42" s="39">
        <v>0.08</v>
      </c>
      <c r="AA42" s="20">
        <f t="shared" si="21"/>
        <v>7139.2</v>
      </c>
      <c r="AB42" s="21">
        <f t="shared" si="31"/>
        <v>364</v>
      </c>
      <c r="AC42" s="21">
        <f t="shared" si="32"/>
        <v>1440</v>
      </c>
      <c r="AD42" s="21">
        <f t="shared" si="33"/>
        <v>780.19</v>
      </c>
      <c r="AE42" s="21">
        <f t="shared" si="34"/>
        <v>1080</v>
      </c>
      <c r="AF42" s="22">
        <f t="shared" si="23"/>
        <v>3664.19</v>
      </c>
      <c r="AG42" s="23">
        <f t="shared" si="22"/>
        <v>10803.39</v>
      </c>
    </row>
    <row r="43" spans="1:33" x14ac:dyDescent="0.2">
      <c r="A43" s="16" t="s">
        <v>105</v>
      </c>
      <c r="B43" s="17" t="s">
        <v>117</v>
      </c>
      <c r="C43" s="18" t="b">
        <v>0</v>
      </c>
      <c r="D43" s="18" t="s">
        <v>106</v>
      </c>
      <c r="E43" s="16" t="s">
        <v>53</v>
      </c>
      <c r="F43" s="24"/>
      <c r="G43" s="24"/>
      <c r="H43" s="24"/>
      <c r="I43" s="30"/>
      <c r="J43" s="58" t="s">
        <v>202</v>
      </c>
      <c r="K43" s="58" t="s">
        <v>183</v>
      </c>
      <c r="L43" s="58" t="s">
        <v>200</v>
      </c>
      <c r="M43" s="58" t="s">
        <v>201</v>
      </c>
      <c r="N43" s="84">
        <v>8</v>
      </c>
      <c r="O43" s="58" t="s">
        <v>174</v>
      </c>
      <c r="P43" s="84">
        <v>4</v>
      </c>
      <c r="Q43" s="84">
        <v>0</v>
      </c>
      <c r="R43" s="19">
        <f t="shared" si="25"/>
        <v>742</v>
      </c>
      <c r="S43" s="19">
        <f t="shared" si="26"/>
        <v>835</v>
      </c>
      <c r="T43" s="19">
        <f t="shared" si="27"/>
        <v>4450</v>
      </c>
      <c r="U43" s="19">
        <f t="shared" si="28"/>
        <v>16672</v>
      </c>
      <c r="V43" s="19">
        <f t="shared" si="29"/>
        <v>23480</v>
      </c>
      <c r="W43" s="19">
        <f t="shared" si="30"/>
        <v>3950</v>
      </c>
      <c r="X43" s="38">
        <v>12500</v>
      </c>
      <c r="Y43" s="20">
        <f t="shared" si="20"/>
        <v>62629</v>
      </c>
      <c r="Z43" s="39">
        <v>0.08</v>
      </c>
      <c r="AA43" s="20">
        <f t="shared" si="21"/>
        <v>5010.32</v>
      </c>
      <c r="AB43" s="21">
        <f t="shared" si="31"/>
        <v>364</v>
      </c>
      <c r="AC43" s="21">
        <f t="shared" si="32"/>
        <v>300</v>
      </c>
      <c r="AD43" s="21">
        <f t="shared" si="33"/>
        <v>120</v>
      </c>
      <c r="AE43" s="21">
        <f t="shared" si="34"/>
        <v>1080</v>
      </c>
      <c r="AF43" s="22">
        <f t="shared" si="23"/>
        <v>1864</v>
      </c>
      <c r="AG43" s="23">
        <f t="shared" si="22"/>
        <v>6874.32</v>
      </c>
    </row>
    <row r="44" spans="1:33" x14ac:dyDescent="0.2">
      <c r="A44" s="16" t="s">
        <v>83</v>
      </c>
      <c r="B44" s="17" t="s">
        <v>84</v>
      </c>
      <c r="C44" s="18" t="b">
        <v>1</v>
      </c>
      <c r="D44" s="18" t="s">
        <v>107</v>
      </c>
      <c r="E44" s="16" t="s">
        <v>53</v>
      </c>
      <c r="F44" s="18" t="s">
        <v>10</v>
      </c>
      <c r="G44" s="18" t="s">
        <v>124</v>
      </c>
      <c r="H44" s="18" t="s">
        <v>1</v>
      </c>
      <c r="I44" s="29" t="s">
        <v>374</v>
      </c>
      <c r="J44" s="17" t="str">
        <f t="shared" ref="J44:J52" si="35">VLOOKUP(A44,om_table,23,FALSE)</f>
        <v>Cellular Modem</v>
      </c>
      <c r="K44" s="17" t="str">
        <f>VLOOKUP(A44,om_table,22,FALSE)</f>
        <v>BioProbe3</v>
      </c>
      <c r="L44" s="17" t="str">
        <f>VLOOKUP(A44,om_table,20,FALSE)</f>
        <v>FS1001M</v>
      </c>
      <c r="M44" s="58" t="str">
        <f t="shared" ref="M44:M52" si="36">VLOOKUP(A44,om_table,21,FALSE)</f>
        <v>Biomark MUX</v>
      </c>
      <c r="N44" s="16">
        <f t="shared" ref="N44:N52" si="37">VLOOKUP(A44,om_table,30,FALSE)</f>
        <v>6</v>
      </c>
      <c r="O44" s="17" t="str">
        <f t="shared" ref="O44:O52" si="38">VLOOKUP(A44,om_table,9,FALSE)</f>
        <v>Grid Power</v>
      </c>
      <c r="P44" s="16">
        <f t="shared" ref="P44:P52" si="39">VLOOKUP(A44,om_table,16,FALSE)</f>
        <v>4</v>
      </c>
      <c r="Q44" s="16">
        <f t="shared" ref="Q44:Q52" si="40">VLOOKUP(A44,om_table,17,FALSE)</f>
        <v>0</v>
      </c>
      <c r="R44" s="19">
        <f t="shared" si="25"/>
        <v>742</v>
      </c>
      <c r="S44" s="19">
        <f t="shared" si="26"/>
        <v>835</v>
      </c>
      <c r="T44" s="19">
        <f t="shared" si="27"/>
        <v>8500</v>
      </c>
      <c r="U44" s="19">
        <f t="shared" si="28"/>
        <v>0</v>
      </c>
      <c r="V44" s="19">
        <f t="shared" si="29"/>
        <v>17610</v>
      </c>
      <c r="W44" s="19">
        <f t="shared" si="30"/>
        <v>3950</v>
      </c>
      <c r="X44" s="19">
        <f t="shared" ref="X44:X52" si="41">VLOOKUP(A44,om_table,40,FALSE)</f>
        <v>12500</v>
      </c>
      <c r="Y44" s="20">
        <f t="shared" si="20"/>
        <v>44137</v>
      </c>
      <c r="Z44" s="39">
        <f t="shared" ref="Z44:Z52" si="42">VLOOKUP(A44,om_table,48,FALSE)</f>
        <v>0.1</v>
      </c>
      <c r="AA44" s="20">
        <f t="shared" si="21"/>
        <v>4413.7</v>
      </c>
      <c r="AB44" s="21">
        <f t="shared" si="31"/>
        <v>364</v>
      </c>
      <c r="AC44" s="21">
        <f t="shared" si="32"/>
        <v>300</v>
      </c>
      <c r="AD44" s="21">
        <f t="shared" si="33"/>
        <v>120</v>
      </c>
      <c r="AE44" s="21">
        <f t="shared" si="34"/>
        <v>1080</v>
      </c>
      <c r="AF44" s="22">
        <f t="shared" si="23"/>
        <v>1864</v>
      </c>
      <c r="AG44" s="23">
        <f t="shared" si="22"/>
        <v>6277.7</v>
      </c>
    </row>
    <row r="45" spans="1:33" x14ac:dyDescent="0.2">
      <c r="A45" s="16" t="s">
        <v>79</v>
      </c>
      <c r="B45" s="17" t="s">
        <v>80</v>
      </c>
      <c r="C45" s="18" t="b">
        <v>1</v>
      </c>
      <c r="D45" s="18" t="s">
        <v>107</v>
      </c>
      <c r="E45" s="16" t="s">
        <v>53</v>
      </c>
      <c r="F45" s="18" t="s">
        <v>10</v>
      </c>
      <c r="G45" s="18" t="s">
        <v>124</v>
      </c>
      <c r="H45" s="18" t="s">
        <v>1</v>
      </c>
      <c r="I45" s="29" t="s">
        <v>374</v>
      </c>
      <c r="J45" s="17" t="str">
        <f t="shared" si="35"/>
        <v>Cellular Modem</v>
      </c>
      <c r="M45" s="58" t="str">
        <f t="shared" si="36"/>
        <v>Biomark IS1001</v>
      </c>
      <c r="N45" s="16">
        <f t="shared" si="37"/>
        <v>2</v>
      </c>
      <c r="O45" s="17" t="str">
        <f t="shared" si="38"/>
        <v>Solar</v>
      </c>
      <c r="P45" s="16">
        <f t="shared" si="39"/>
        <v>4</v>
      </c>
      <c r="Q45" s="16">
        <f t="shared" si="40"/>
        <v>4</v>
      </c>
      <c r="R45" s="19">
        <f t="shared" si="25"/>
        <v>742</v>
      </c>
      <c r="S45" s="19">
        <f t="shared" si="26"/>
        <v>0</v>
      </c>
      <c r="T45" s="19">
        <f t="shared" si="27"/>
        <v>0</v>
      </c>
      <c r="U45" s="19">
        <f t="shared" si="28"/>
        <v>4168</v>
      </c>
      <c r="V45" s="19">
        <f t="shared" si="29"/>
        <v>5870</v>
      </c>
      <c r="W45" s="19">
        <f t="shared" si="30"/>
        <v>12224</v>
      </c>
      <c r="X45" s="19">
        <f t="shared" si="41"/>
        <v>5000</v>
      </c>
      <c r="Y45" s="20">
        <f t="shared" si="20"/>
        <v>28004</v>
      </c>
      <c r="Z45" s="39">
        <f t="shared" si="42"/>
        <v>0.08</v>
      </c>
      <c r="AA45" s="20">
        <f t="shared" si="21"/>
        <v>2240.3200000000002</v>
      </c>
      <c r="AB45" s="21">
        <f t="shared" si="31"/>
        <v>364</v>
      </c>
      <c r="AC45" s="21">
        <f t="shared" si="32"/>
        <v>300</v>
      </c>
      <c r="AD45" s="21">
        <f t="shared" si="33"/>
        <v>0</v>
      </c>
      <c r="AE45" s="21">
        <f t="shared" si="34"/>
        <v>1080</v>
      </c>
      <c r="AF45" s="22">
        <f t="shared" si="23"/>
        <v>1744</v>
      </c>
      <c r="AG45" s="23">
        <f t="shared" si="22"/>
        <v>3984.32</v>
      </c>
    </row>
    <row r="46" spans="1:33" x14ac:dyDescent="0.2">
      <c r="A46" s="16" t="s">
        <v>77</v>
      </c>
      <c r="B46" s="17" t="s">
        <v>78</v>
      </c>
      <c r="C46" s="18" t="b">
        <v>1</v>
      </c>
      <c r="D46" s="18" t="s">
        <v>107</v>
      </c>
      <c r="E46" s="16" t="s">
        <v>53</v>
      </c>
      <c r="F46" s="18" t="s">
        <v>10</v>
      </c>
      <c r="G46" s="18" t="s">
        <v>124</v>
      </c>
      <c r="H46" s="18" t="s">
        <v>1</v>
      </c>
      <c r="I46" s="29" t="s">
        <v>374</v>
      </c>
      <c r="J46" s="17" t="str">
        <f t="shared" si="35"/>
        <v>Cellular Modem</v>
      </c>
      <c r="K46" s="17" t="str">
        <f>VLOOKUP(A46,om_table,22,FALSE)</f>
        <v>BioProbe3</v>
      </c>
      <c r="M46" s="58" t="str">
        <f t="shared" si="36"/>
        <v>Biomark IS1001</v>
      </c>
      <c r="N46" s="16">
        <f t="shared" si="37"/>
        <v>2</v>
      </c>
      <c r="O46" s="17" t="str">
        <f t="shared" si="38"/>
        <v>Solar</v>
      </c>
      <c r="P46" s="16">
        <f t="shared" si="39"/>
        <v>6</v>
      </c>
      <c r="Q46" s="16">
        <f t="shared" si="40"/>
        <v>4</v>
      </c>
      <c r="R46" s="19">
        <f t="shared" si="25"/>
        <v>742</v>
      </c>
      <c r="S46" s="19">
        <f t="shared" si="26"/>
        <v>835</v>
      </c>
      <c r="T46" s="19">
        <f t="shared" si="27"/>
        <v>0</v>
      </c>
      <c r="U46" s="19">
        <f t="shared" si="28"/>
        <v>4168</v>
      </c>
      <c r="V46" s="19">
        <f t="shared" si="29"/>
        <v>5870</v>
      </c>
      <c r="W46" s="19">
        <f t="shared" si="30"/>
        <v>12924</v>
      </c>
      <c r="X46" s="19">
        <f t="shared" si="41"/>
        <v>5000</v>
      </c>
      <c r="Y46" s="20">
        <f t="shared" si="20"/>
        <v>29539</v>
      </c>
      <c r="Z46" s="39">
        <f t="shared" si="42"/>
        <v>0.08</v>
      </c>
      <c r="AA46" s="20">
        <f t="shared" si="21"/>
        <v>2363.12</v>
      </c>
      <c r="AB46" s="21">
        <f t="shared" si="31"/>
        <v>546</v>
      </c>
      <c r="AC46" s="21">
        <f t="shared" si="32"/>
        <v>300</v>
      </c>
      <c r="AD46" s="21">
        <f t="shared" si="33"/>
        <v>0</v>
      </c>
      <c r="AE46" s="21">
        <f t="shared" si="34"/>
        <v>1080</v>
      </c>
      <c r="AF46" s="22">
        <f t="shared" si="23"/>
        <v>1926</v>
      </c>
      <c r="AG46" s="23">
        <f t="shared" si="22"/>
        <v>4289.12</v>
      </c>
    </row>
    <row r="47" spans="1:33" x14ac:dyDescent="0.2">
      <c r="A47" s="16" t="s">
        <v>75</v>
      </c>
      <c r="B47" s="17" t="s">
        <v>76</v>
      </c>
      <c r="C47" s="18" t="b">
        <v>1</v>
      </c>
      <c r="D47" s="18" t="s">
        <v>107</v>
      </c>
      <c r="E47" s="16" t="s">
        <v>53</v>
      </c>
      <c r="F47" s="18" t="s">
        <v>10</v>
      </c>
      <c r="G47" s="18" t="s">
        <v>124</v>
      </c>
      <c r="H47" s="18" t="s">
        <v>1</v>
      </c>
      <c r="I47" s="29" t="s">
        <v>374</v>
      </c>
      <c r="J47" s="17" t="str">
        <f t="shared" si="35"/>
        <v>Cellular Modem</v>
      </c>
      <c r="K47" s="17" t="str">
        <f>VLOOKUP(A47,om_table,22,FALSE)</f>
        <v>BioProbe3</v>
      </c>
      <c r="M47" s="58" t="str">
        <f t="shared" si="36"/>
        <v>Biomark IS1001</v>
      </c>
      <c r="N47" s="16">
        <f t="shared" si="37"/>
        <v>2</v>
      </c>
      <c r="O47" s="17" t="str">
        <f t="shared" si="38"/>
        <v>Grid Power</v>
      </c>
      <c r="P47" s="16">
        <f t="shared" si="39"/>
        <v>4</v>
      </c>
      <c r="Q47" s="16">
        <f t="shared" si="40"/>
        <v>0</v>
      </c>
      <c r="R47" s="19">
        <f t="shared" si="25"/>
        <v>742</v>
      </c>
      <c r="S47" s="19">
        <f t="shared" si="26"/>
        <v>835</v>
      </c>
      <c r="T47" s="19">
        <f t="shared" si="27"/>
        <v>0</v>
      </c>
      <c r="U47" s="19">
        <f t="shared" si="28"/>
        <v>4168</v>
      </c>
      <c r="V47" s="19">
        <f t="shared" si="29"/>
        <v>5870</v>
      </c>
      <c r="W47" s="19">
        <f t="shared" si="30"/>
        <v>3950</v>
      </c>
      <c r="X47" s="19">
        <f t="shared" si="41"/>
        <v>5000</v>
      </c>
      <c r="Y47" s="20">
        <f t="shared" si="20"/>
        <v>20565</v>
      </c>
      <c r="Z47" s="39">
        <f t="shared" si="42"/>
        <v>0.08</v>
      </c>
      <c r="AA47" s="20">
        <f t="shared" si="21"/>
        <v>1645.2</v>
      </c>
      <c r="AB47" s="21">
        <f t="shared" si="31"/>
        <v>364</v>
      </c>
      <c r="AC47" s="21">
        <f t="shared" si="32"/>
        <v>300</v>
      </c>
      <c r="AD47" s="21">
        <f t="shared" si="33"/>
        <v>120</v>
      </c>
      <c r="AE47" s="21">
        <f t="shared" si="34"/>
        <v>1080</v>
      </c>
      <c r="AF47" s="22">
        <f t="shared" si="23"/>
        <v>1864</v>
      </c>
      <c r="AG47" s="23">
        <f t="shared" si="22"/>
        <v>3509.2</v>
      </c>
    </row>
    <row r="48" spans="1:33" x14ac:dyDescent="0.2">
      <c r="A48" s="16" t="s">
        <v>69</v>
      </c>
      <c r="B48" s="17" t="s">
        <v>70</v>
      </c>
      <c r="C48" s="18" t="b">
        <v>1</v>
      </c>
      <c r="D48" s="18" t="s">
        <v>107</v>
      </c>
      <c r="E48" s="16" t="s">
        <v>53</v>
      </c>
      <c r="F48" s="18" t="s">
        <v>10</v>
      </c>
      <c r="G48" s="18" t="s">
        <v>124</v>
      </c>
      <c r="H48" s="18" t="s">
        <v>1</v>
      </c>
      <c r="I48" s="29" t="s">
        <v>374</v>
      </c>
      <c r="J48" s="17" t="str">
        <f t="shared" si="35"/>
        <v>Cellular Modem</v>
      </c>
      <c r="M48" s="58" t="str">
        <f t="shared" si="36"/>
        <v>Biomark IS1001</v>
      </c>
      <c r="N48" s="16">
        <f t="shared" si="37"/>
        <v>2</v>
      </c>
      <c r="O48" s="17" t="str">
        <f t="shared" si="38"/>
        <v>Grid Power</v>
      </c>
      <c r="P48" s="16">
        <f t="shared" si="39"/>
        <v>4</v>
      </c>
      <c r="Q48" s="16">
        <f t="shared" si="40"/>
        <v>0</v>
      </c>
      <c r="R48" s="19">
        <f t="shared" si="25"/>
        <v>742</v>
      </c>
      <c r="S48" s="19">
        <f t="shared" si="26"/>
        <v>0</v>
      </c>
      <c r="T48" s="19">
        <f t="shared" si="27"/>
        <v>0</v>
      </c>
      <c r="U48" s="19">
        <f t="shared" si="28"/>
        <v>4168</v>
      </c>
      <c r="V48" s="19">
        <f t="shared" si="29"/>
        <v>5870</v>
      </c>
      <c r="W48" s="19">
        <f t="shared" si="30"/>
        <v>3950</v>
      </c>
      <c r="X48" s="19">
        <f t="shared" si="41"/>
        <v>5000</v>
      </c>
      <c r="Y48" s="20">
        <f t="shared" si="20"/>
        <v>19730</v>
      </c>
      <c r="Z48" s="39">
        <f t="shared" si="42"/>
        <v>0.08</v>
      </c>
      <c r="AA48" s="20">
        <f t="shared" si="21"/>
        <v>1578.4</v>
      </c>
      <c r="AB48" s="21">
        <f t="shared" si="31"/>
        <v>364</v>
      </c>
      <c r="AC48" s="21">
        <f t="shared" si="32"/>
        <v>300</v>
      </c>
      <c r="AD48" s="21">
        <f t="shared" si="33"/>
        <v>120</v>
      </c>
      <c r="AE48" s="21">
        <f t="shared" si="34"/>
        <v>1080</v>
      </c>
      <c r="AF48" s="22">
        <f t="shared" si="23"/>
        <v>1864</v>
      </c>
      <c r="AG48" s="23">
        <f t="shared" si="22"/>
        <v>3442.4</v>
      </c>
    </row>
    <row r="49" spans="1:33" x14ac:dyDescent="0.2">
      <c r="A49" s="16" t="s">
        <v>54</v>
      </c>
      <c r="B49" s="17" t="s">
        <v>55</v>
      </c>
      <c r="C49" s="18" t="b">
        <v>1</v>
      </c>
      <c r="D49" s="18" t="s">
        <v>107</v>
      </c>
      <c r="E49" s="16" t="s">
        <v>53</v>
      </c>
      <c r="F49" s="18" t="s">
        <v>7</v>
      </c>
      <c r="G49" s="18" t="s">
        <v>123</v>
      </c>
      <c r="H49" s="18" t="s">
        <v>1</v>
      </c>
      <c r="I49" s="29" t="s">
        <v>374</v>
      </c>
      <c r="J49" s="17" t="str">
        <f t="shared" si="35"/>
        <v>Satellite Modem</v>
      </c>
      <c r="K49" s="17" t="str">
        <f>VLOOKUP(A49,om_table,22,FALSE)</f>
        <v>BioProbe3</v>
      </c>
      <c r="L49" s="17" t="str">
        <f>VLOOKUP(A49,om_table,20,FALSE)</f>
        <v>IS1001-MTS</v>
      </c>
      <c r="M49" s="58" t="str">
        <f t="shared" si="36"/>
        <v>Biomark IS1001</v>
      </c>
      <c r="N49" s="16">
        <f t="shared" si="37"/>
        <v>9</v>
      </c>
      <c r="O49" s="17" t="str">
        <f t="shared" si="38"/>
        <v>5060 Hybrid TEG</v>
      </c>
      <c r="P49" s="16">
        <f t="shared" si="39"/>
        <v>4</v>
      </c>
      <c r="Q49" s="16">
        <f t="shared" si="40"/>
        <v>4</v>
      </c>
      <c r="R49" s="19">
        <f t="shared" si="25"/>
        <v>2000</v>
      </c>
      <c r="S49" s="19">
        <f t="shared" si="26"/>
        <v>835</v>
      </c>
      <c r="T49" s="19">
        <f t="shared" si="27"/>
        <v>4450</v>
      </c>
      <c r="U49" s="19">
        <f t="shared" si="28"/>
        <v>18756</v>
      </c>
      <c r="V49" s="19">
        <f t="shared" si="29"/>
        <v>26415</v>
      </c>
      <c r="W49" s="19">
        <f t="shared" si="30"/>
        <v>29303</v>
      </c>
      <c r="X49" s="19">
        <f t="shared" si="41"/>
        <v>12500</v>
      </c>
      <c r="Y49" s="20">
        <f t="shared" si="20"/>
        <v>94259</v>
      </c>
      <c r="Z49" s="39">
        <f t="shared" si="42"/>
        <v>0.08</v>
      </c>
      <c r="AA49" s="20">
        <f t="shared" si="21"/>
        <v>7540.72</v>
      </c>
      <c r="AB49" s="21">
        <f t="shared" si="31"/>
        <v>364</v>
      </c>
      <c r="AC49" s="21">
        <f t="shared" si="32"/>
        <v>1440</v>
      </c>
      <c r="AD49" s="21">
        <f t="shared" si="33"/>
        <v>780.19</v>
      </c>
      <c r="AE49" s="21">
        <f t="shared" si="34"/>
        <v>1080</v>
      </c>
      <c r="AF49" s="22">
        <f t="shared" si="23"/>
        <v>3664.19</v>
      </c>
      <c r="AG49" s="23">
        <f t="shared" si="22"/>
        <v>11204.91</v>
      </c>
    </row>
    <row r="50" spans="1:33" x14ac:dyDescent="0.2">
      <c r="A50" s="16" t="s">
        <v>33</v>
      </c>
      <c r="B50" s="17" t="s">
        <v>34</v>
      </c>
      <c r="C50" s="18" t="b">
        <v>1</v>
      </c>
      <c r="D50" s="57" t="s">
        <v>108</v>
      </c>
      <c r="E50" s="16" t="s">
        <v>6</v>
      </c>
      <c r="F50" s="18" t="s">
        <v>10</v>
      </c>
      <c r="G50" s="18" t="s">
        <v>126</v>
      </c>
      <c r="H50" s="18" t="s">
        <v>1</v>
      </c>
      <c r="I50" s="29" t="s">
        <v>374</v>
      </c>
      <c r="J50" s="17" t="str">
        <f t="shared" si="35"/>
        <v>Satellite Modem</v>
      </c>
      <c r="L50" s="17" t="str">
        <f>VLOOKUP(A50,om_table,20,FALSE)</f>
        <v>IS1001-MTS</v>
      </c>
      <c r="M50" s="58" t="str">
        <f t="shared" si="36"/>
        <v>Biomark IS1001</v>
      </c>
      <c r="N50" s="16">
        <f t="shared" si="37"/>
        <v>4</v>
      </c>
      <c r="O50" s="17" t="str">
        <f t="shared" si="38"/>
        <v>Grid Power</v>
      </c>
      <c r="P50" s="16">
        <f t="shared" si="39"/>
        <v>4</v>
      </c>
      <c r="Q50" s="16">
        <f t="shared" si="40"/>
        <v>0</v>
      </c>
      <c r="R50" s="19">
        <f t="shared" si="25"/>
        <v>2000</v>
      </c>
      <c r="S50" s="19">
        <f t="shared" si="26"/>
        <v>0</v>
      </c>
      <c r="T50" s="19">
        <f t="shared" si="27"/>
        <v>4450</v>
      </c>
      <c r="U50" s="19">
        <f t="shared" si="28"/>
        <v>8336</v>
      </c>
      <c r="V50" s="19">
        <f t="shared" si="29"/>
        <v>11740</v>
      </c>
      <c r="W50" s="19">
        <f t="shared" si="30"/>
        <v>3950</v>
      </c>
      <c r="X50" s="19">
        <f t="shared" si="41"/>
        <v>12500</v>
      </c>
      <c r="Y50" s="20">
        <f t="shared" si="20"/>
        <v>42976</v>
      </c>
      <c r="Z50" s="39">
        <f t="shared" si="42"/>
        <v>0.08</v>
      </c>
      <c r="AA50" s="20">
        <f t="shared" si="21"/>
        <v>3438.08</v>
      </c>
      <c r="AB50" s="21">
        <f t="shared" si="31"/>
        <v>364</v>
      </c>
      <c r="AC50" s="21">
        <f t="shared" si="32"/>
        <v>1440</v>
      </c>
      <c r="AD50" s="21">
        <f t="shared" si="33"/>
        <v>120</v>
      </c>
      <c r="AE50" s="21">
        <f t="shared" si="34"/>
        <v>1080</v>
      </c>
      <c r="AF50" s="22">
        <f t="shared" si="23"/>
        <v>3004</v>
      </c>
      <c r="AG50" s="23">
        <f t="shared" si="22"/>
        <v>6442.08</v>
      </c>
    </row>
    <row r="51" spans="1:33" x14ac:dyDescent="0.2">
      <c r="A51" s="16" t="s">
        <v>97</v>
      </c>
      <c r="B51" s="17" t="s">
        <v>98</v>
      </c>
      <c r="C51" s="18" t="b">
        <v>1</v>
      </c>
      <c r="D51" s="18" t="s">
        <v>107</v>
      </c>
      <c r="E51" s="16" t="s">
        <v>92</v>
      </c>
      <c r="F51" s="18" t="s">
        <v>7</v>
      </c>
      <c r="G51" s="18" t="s">
        <v>123</v>
      </c>
      <c r="H51" s="18" t="s">
        <v>1</v>
      </c>
      <c r="I51" s="29" t="s">
        <v>374</v>
      </c>
      <c r="J51" s="17" t="str">
        <f t="shared" si="35"/>
        <v>Satellite Modem</v>
      </c>
      <c r="K51" s="17" t="str">
        <f>VLOOKUP(A51,om_table,22,FALSE)</f>
        <v>BioProbe3</v>
      </c>
      <c r="L51" s="17" t="str">
        <f>VLOOKUP(A51,om_table,20,FALSE)</f>
        <v>FS1001M</v>
      </c>
      <c r="M51" s="58" t="str">
        <f t="shared" si="36"/>
        <v>Biomark MUX</v>
      </c>
      <c r="N51" s="16">
        <f t="shared" si="37"/>
        <v>4</v>
      </c>
      <c r="O51" s="17" t="str">
        <f t="shared" si="38"/>
        <v>5060 TEG</v>
      </c>
      <c r="P51" s="16">
        <f t="shared" si="39"/>
        <v>0</v>
      </c>
      <c r="Q51" s="16">
        <f t="shared" si="40"/>
        <v>0</v>
      </c>
      <c r="R51" s="19">
        <f t="shared" si="25"/>
        <v>2000</v>
      </c>
      <c r="S51" s="19">
        <f t="shared" si="26"/>
        <v>835</v>
      </c>
      <c r="T51" s="19">
        <f t="shared" si="27"/>
        <v>8500</v>
      </c>
      <c r="U51" s="19">
        <f t="shared" si="28"/>
        <v>0</v>
      </c>
      <c r="V51" s="19">
        <f t="shared" si="29"/>
        <v>11740</v>
      </c>
      <c r="W51" s="19">
        <f t="shared" si="30"/>
        <v>10479</v>
      </c>
      <c r="X51" s="19">
        <f t="shared" si="41"/>
        <v>12500</v>
      </c>
      <c r="Y51" s="20">
        <f t="shared" si="20"/>
        <v>46054</v>
      </c>
      <c r="Z51" s="39">
        <f t="shared" si="42"/>
        <v>0.1</v>
      </c>
      <c r="AA51" s="20">
        <f t="shared" si="21"/>
        <v>4605.4000000000005</v>
      </c>
      <c r="AB51" s="21">
        <f t="shared" si="31"/>
        <v>0</v>
      </c>
      <c r="AC51" s="21">
        <f t="shared" si="32"/>
        <v>1440</v>
      </c>
      <c r="AD51" s="21">
        <f t="shared" si="33"/>
        <v>1560.38</v>
      </c>
      <c r="AE51" s="21">
        <f t="shared" si="34"/>
        <v>1080</v>
      </c>
      <c r="AF51" s="22">
        <f t="shared" si="23"/>
        <v>4080.38</v>
      </c>
      <c r="AG51" s="23">
        <f t="shared" si="22"/>
        <v>8685.7800000000007</v>
      </c>
    </row>
    <row r="52" spans="1:33" x14ac:dyDescent="0.2">
      <c r="A52" s="16" t="s">
        <v>90</v>
      </c>
      <c r="B52" s="17" t="s">
        <v>91</v>
      </c>
      <c r="C52" s="18" t="b">
        <v>1</v>
      </c>
      <c r="D52" s="18" t="s">
        <v>107</v>
      </c>
      <c r="E52" s="16" t="s">
        <v>92</v>
      </c>
      <c r="F52" s="18" t="s">
        <v>7</v>
      </c>
      <c r="G52" s="18" t="s">
        <v>123</v>
      </c>
      <c r="H52" s="18" t="s">
        <v>1</v>
      </c>
      <c r="I52" s="29" t="s">
        <v>374</v>
      </c>
      <c r="J52" s="17" t="str">
        <f t="shared" si="35"/>
        <v>Satellite Modem</v>
      </c>
      <c r="K52" s="17" t="str">
        <f>VLOOKUP(A52,om_table,22,FALSE)</f>
        <v>BioProbe3</v>
      </c>
      <c r="L52" s="17" t="str">
        <f>VLOOKUP(A52,om_table,20,FALSE)</f>
        <v>FS1001M</v>
      </c>
      <c r="M52" s="58" t="str">
        <f t="shared" si="36"/>
        <v>Biomark MUX</v>
      </c>
      <c r="N52" s="16">
        <f t="shared" si="37"/>
        <v>2</v>
      </c>
      <c r="O52" s="17" t="str">
        <f t="shared" si="38"/>
        <v>5060 TEG</v>
      </c>
      <c r="P52" s="16">
        <f t="shared" si="39"/>
        <v>0</v>
      </c>
      <c r="Q52" s="16">
        <f t="shared" si="40"/>
        <v>0</v>
      </c>
      <c r="R52" s="19">
        <f t="shared" si="25"/>
        <v>2000</v>
      </c>
      <c r="S52" s="19">
        <f t="shared" si="26"/>
        <v>835</v>
      </c>
      <c r="T52" s="19">
        <f t="shared" si="27"/>
        <v>8500</v>
      </c>
      <c r="U52" s="19">
        <f t="shared" si="28"/>
        <v>0</v>
      </c>
      <c r="V52" s="19">
        <f t="shared" si="29"/>
        <v>5870</v>
      </c>
      <c r="W52" s="19">
        <f t="shared" si="30"/>
        <v>10479</v>
      </c>
      <c r="X52" s="19">
        <f t="shared" si="41"/>
        <v>5000</v>
      </c>
      <c r="Y52" s="20">
        <f t="shared" si="20"/>
        <v>32684</v>
      </c>
      <c r="Z52" s="39">
        <f t="shared" si="42"/>
        <v>0.1</v>
      </c>
      <c r="AA52" s="20">
        <f t="shared" si="21"/>
        <v>3268.4</v>
      </c>
      <c r="AB52" s="21">
        <f t="shared" si="31"/>
        <v>0</v>
      </c>
      <c r="AC52" s="21">
        <f t="shared" si="32"/>
        <v>1440</v>
      </c>
      <c r="AD52" s="21">
        <f t="shared" si="33"/>
        <v>1560.38</v>
      </c>
      <c r="AE52" s="21">
        <f t="shared" si="34"/>
        <v>1080</v>
      </c>
      <c r="AF52" s="22">
        <f t="shared" si="23"/>
        <v>4080.38</v>
      </c>
      <c r="AG52" s="23">
        <f t="shared" si="22"/>
        <v>7348.7800000000007</v>
      </c>
    </row>
    <row r="53" spans="1:33" x14ac:dyDescent="0.2">
      <c r="C53" s="18"/>
      <c r="D53" s="18"/>
      <c r="F53" s="18"/>
      <c r="G53" s="18"/>
      <c r="H53" s="18"/>
      <c r="I53" s="29"/>
    </row>
    <row r="55" spans="1:33" ht="10.5" x14ac:dyDescent="0.25">
      <c r="Q55" s="40" t="s">
        <v>364</v>
      </c>
      <c r="R55" s="41" t="s">
        <v>156</v>
      </c>
      <c r="S55" s="41" t="s">
        <v>157</v>
      </c>
      <c r="T55" s="41" t="s">
        <v>158</v>
      </c>
      <c r="U55" s="41" t="s">
        <v>159</v>
      </c>
      <c r="V55" s="41" t="s">
        <v>160</v>
      </c>
      <c r="W55" s="41" t="s">
        <v>161</v>
      </c>
      <c r="X55" s="41" t="s">
        <v>162</v>
      </c>
      <c r="Y55" s="42" t="s">
        <v>348</v>
      </c>
      <c r="Z55" s="42" t="s">
        <v>168</v>
      </c>
      <c r="AA55" s="42" t="s">
        <v>370</v>
      </c>
      <c r="AB55" s="43" t="s">
        <v>164</v>
      </c>
      <c r="AC55" s="44" t="s">
        <v>165</v>
      </c>
      <c r="AD55" s="44" t="s">
        <v>166</v>
      </c>
      <c r="AE55" s="44" t="s">
        <v>167</v>
      </c>
      <c r="AF55" s="45" t="s">
        <v>358</v>
      </c>
      <c r="AG55" s="46" t="s">
        <v>354</v>
      </c>
    </row>
    <row r="56" spans="1:33" x14ac:dyDescent="0.2">
      <c r="Q56" s="32" t="s">
        <v>108</v>
      </c>
      <c r="R56" s="19">
        <f>SUMIFS(R$2:R$52,$D$2:$D$52,$Q56,R$2:R$52,"&lt;&gt;#N/A")</f>
        <v>41194</v>
      </c>
      <c r="S56" s="19">
        <f>SUMIFS(S$2:S$52,$D$2:$D$52,$Q56,S$2:S$52,"&lt;&gt;#N/A")</f>
        <v>19205</v>
      </c>
      <c r="T56" s="19">
        <f t="shared" ref="T56:X56" si="43">SUMIFS(T$2:T$52,$D$2:$D$52,$Q56,T$2:T$52,"&lt;&gt;#N/A")</f>
        <v>172400</v>
      </c>
      <c r="U56" s="19">
        <f t="shared" si="43"/>
        <v>206316</v>
      </c>
      <c r="V56" s="19">
        <f t="shared" si="43"/>
        <v>498950</v>
      </c>
      <c r="W56" s="19">
        <f t="shared" si="43"/>
        <v>330584</v>
      </c>
      <c r="X56" s="19">
        <f t="shared" si="43"/>
        <v>325000</v>
      </c>
      <c r="Y56" s="35">
        <f>SUMIFS(Y$2:Y$52,$D$2:$D$52,$Q56,Y$2:Y$52,"&lt;&gt;#N/A")</f>
        <v>1593649</v>
      </c>
      <c r="Z56" s="35"/>
      <c r="AA56" s="35">
        <f>SUMIFS(AA$2:AA$52,$D$2:$D$52,$Q56,AA$2:AA$52,"&lt;&gt;#N/A")</f>
        <v>142247.66</v>
      </c>
      <c r="AB56" s="21">
        <f>SUMIFS(AB$2:AB$52,$D$2:$D$52,$Q56,AB$2:AB$52,"&lt;&gt;#N/A")</f>
        <v>9828</v>
      </c>
      <c r="AC56" s="21">
        <f>SUMIFS(AC$2:AC$52,$D$2:$D$52,$Q56,AC$2:AC$52,"&lt;&gt;#N/A")</f>
        <v>28020</v>
      </c>
      <c r="AD56" s="21">
        <f t="shared" ref="AD56:AG56" si="44">SUMIFS(AD$2:AD$52,$D$2:$D$52,$Q56,AD$2:AD$52,"&lt;&gt;#N/A")</f>
        <v>23285.29</v>
      </c>
      <c r="AE56" s="21">
        <f t="shared" si="44"/>
        <v>28080</v>
      </c>
      <c r="AF56" s="36">
        <f t="shared" si="44"/>
        <v>89213.290000000008</v>
      </c>
      <c r="AG56" s="37">
        <f t="shared" si="44"/>
        <v>231460.94999999995</v>
      </c>
    </row>
    <row r="57" spans="1:33" x14ac:dyDescent="0.2">
      <c r="Q57" s="32" t="s">
        <v>101</v>
      </c>
      <c r="R57" s="19">
        <f>SUMIFS(R$2:R$52,$D$2:$D$52,$Q57,R$2:R$52,"&lt;&gt;#N/A")</f>
        <v>13884</v>
      </c>
      <c r="S57" s="19">
        <f t="shared" ref="S57:AG59" si="45">SUMIFS(S$2:S$52,$D$2:$D$52,$Q57,S$2:S$52,"&lt;&gt;#N/A")</f>
        <v>8350</v>
      </c>
      <c r="T57" s="19">
        <f t="shared" si="45"/>
        <v>48550</v>
      </c>
      <c r="U57" s="19">
        <f t="shared" si="45"/>
        <v>177140</v>
      </c>
      <c r="V57" s="19">
        <f t="shared" si="45"/>
        <v>261215</v>
      </c>
      <c r="W57" s="19">
        <f t="shared" si="45"/>
        <v>73556</v>
      </c>
      <c r="X57" s="19">
        <f t="shared" si="45"/>
        <v>125000</v>
      </c>
      <c r="Y57" s="35">
        <f t="shared" si="45"/>
        <v>707695</v>
      </c>
      <c r="Z57" s="35"/>
      <c r="AA57" s="35">
        <f>SUMIFS(AA$2:AA$52,$D$2:$D$52,$Q57,AA$2:AA$52,"&lt;&gt;#N/A")</f>
        <v>57346.099999999991</v>
      </c>
      <c r="AB57" s="21">
        <f>SUMIFS(AB$2:AB$52,$D$2:$D$52,$Q57,AB$2:AB$52,"&lt;&gt;#N/A")</f>
        <v>3276</v>
      </c>
      <c r="AC57" s="21">
        <f t="shared" si="45"/>
        <v>9240</v>
      </c>
      <c r="AD57" s="21">
        <f t="shared" si="45"/>
        <v>6961.51</v>
      </c>
      <c r="AE57" s="21">
        <f t="shared" si="45"/>
        <v>10800</v>
      </c>
      <c r="AF57" s="36">
        <f t="shared" si="45"/>
        <v>30277.510000000002</v>
      </c>
      <c r="AG57" s="37">
        <f t="shared" si="45"/>
        <v>87623.61</v>
      </c>
    </row>
    <row r="58" spans="1:33" x14ac:dyDescent="0.2">
      <c r="Q58" s="32" t="s">
        <v>106</v>
      </c>
      <c r="R58" s="19">
        <f>SUMIFS(R$2:R$52,$D$2:$D$52,$Q58,R$2:R$52,"&lt;&gt;#N/A")</f>
        <v>6742</v>
      </c>
      <c r="S58" s="19">
        <f t="shared" si="45"/>
        <v>3340</v>
      </c>
      <c r="T58" s="19">
        <f t="shared" si="45"/>
        <v>17800</v>
      </c>
      <c r="U58" s="19">
        <f t="shared" si="45"/>
        <v>83360</v>
      </c>
      <c r="V58" s="19">
        <f t="shared" si="45"/>
        <v>117400</v>
      </c>
      <c r="W58" s="19">
        <f t="shared" si="45"/>
        <v>63801</v>
      </c>
      <c r="X58" s="19">
        <f t="shared" si="45"/>
        <v>50000</v>
      </c>
      <c r="Y58" s="35">
        <f t="shared" si="45"/>
        <v>342443</v>
      </c>
      <c r="Z58" s="35"/>
      <c r="AA58" s="35">
        <f>SUMIFS(AA$2:AA$52,$D$2:$D$52,$Q58,AA$2:AA$52,"&lt;&gt;#N/A")</f>
        <v>27395.439999999999</v>
      </c>
      <c r="AB58" s="21">
        <f t="shared" si="45"/>
        <v>1456</v>
      </c>
      <c r="AC58" s="21">
        <f t="shared" si="45"/>
        <v>4620</v>
      </c>
      <c r="AD58" s="21">
        <f t="shared" si="45"/>
        <v>7141.6900000000005</v>
      </c>
      <c r="AE58" s="21">
        <f t="shared" si="45"/>
        <v>4320</v>
      </c>
      <c r="AF58" s="36">
        <f t="shared" si="45"/>
        <v>17537.690000000002</v>
      </c>
      <c r="AG58" s="37">
        <f t="shared" si="45"/>
        <v>44933.13</v>
      </c>
    </row>
    <row r="59" spans="1:33" x14ac:dyDescent="0.2">
      <c r="Q59" s="34" t="s">
        <v>107</v>
      </c>
      <c r="R59" s="19">
        <f>SUMIFS(R$2:R$52,$D$2:$D$52,$Q59,R$2:R$52,"&lt;&gt;#N/A")</f>
        <v>9710</v>
      </c>
      <c r="S59" s="19">
        <f t="shared" si="45"/>
        <v>5010</v>
      </c>
      <c r="T59" s="19">
        <f t="shared" si="45"/>
        <v>29950</v>
      </c>
      <c r="U59" s="19">
        <f t="shared" si="45"/>
        <v>35428</v>
      </c>
      <c r="V59" s="19">
        <f t="shared" si="45"/>
        <v>85115</v>
      </c>
      <c r="W59" s="19">
        <f t="shared" si="45"/>
        <v>87259</v>
      </c>
      <c r="X59" s="19">
        <f t="shared" si="45"/>
        <v>62500</v>
      </c>
      <c r="Y59" s="35">
        <f t="shared" si="45"/>
        <v>314972</v>
      </c>
      <c r="Z59" s="35"/>
      <c r="AA59" s="35">
        <f>SUMIFS(AA$2:AA$52,$D$2:$D$52,$Q59,AA$2:AA$52,"&lt;&gt;#N/A")</f>
        <v>27655.260000000002</v>
      </c>
      <c r="AB59" s="21">
        <f t="shared" si="45"/>
        <v>2366</v>
      </c>
      <c r="AC59" s="21">
        <f t="shared" si="45"/>
        <v>5820</v>
      </c>
      <c r="AD59" s="21">
        <f t="shared" si="45"/>
        <v>4260.9500000000007</v>
      </c>
      <c r="AE59" s="21">
        <f t="shared" si="45"/>
        <v>8640</v>
      </c>
      <c r="AF59" s="36">
        <f t="shared" si="45"/>
        <v>21086.95</v>
      </c>
      <c r="AG59" s="37">
        <f t="shared" si="45"/>
        <v>48742.21</v>
      </c>
    </row>
    <row r="61" spans="1:33" ht="10.5" x14ac:dyDescent="0.25">
      <c r="Q61" s="33" t="s">
        <v>365</v>
      </c>
      <c r="R61" s="47">
        <f>R56+R59</f>
        <v>50904</v>
      </c>
      <c r="S61" s="47">
        <f t="shared" ref="S61:AG61" si="46">S56+S59</f>
        <v>24215</v>
      </c>
      <c r="T61" s="47">
        <f t="shared" si="46"/>
        <v>202350</v>
      </c>
      <c r="U61" s="47">
        <f t="shared" si="46"/>
        <v>241744</v>
      </c>
      <c r="V61" s="47">
        <f t="shared" si="46"/>
        <v>584065</v>
      </c>
      <c r="W61" s="47">
        <f t="shared" si="46"/>
        <v>417843</v>
      </c>
      <c r="X61" s="47">
        <f t="shared" si="46"/>
        <v>387500</v>
      </c>
      <c r="Y61" s="48">
        <f t="shared" si="46"/>
        <v>1908621</v>
      </c>
      <c r="Z61" s="48"/>
      <c r="AA61" s="48">
        <f t="shared" ref="AA61" si="47">AA56+AA59</f>
        <v>169902.92</v>
      </c>
      <c r="AB61" s="49">
        <f t="shared" si="46"/>
        <v>12194</v>
      </c>
      <c r="AC61" s="49">
        <f t="shared" si="46"/>
        <v>33840</v>
      </c>
      <c r="AD61" s="49">
        <f t="shared" si="46"/>
        <v>27546.240000000002</v>
      </c>
      <c r="AE61" s="49">
        <f t="shared" si="46"/>
        <v>36720</v>
      </c>
      <c r="AF61" s="50">
        <f t="shared" si="46"/>
        <v>110300.24</v>
      </c>
      <c r="AG61" s="51">
        <f t="shared" si="46"/>
        <v>280203.15999999997</v>
      </c>
    </row>
    <row r="62" spans="1:33" ht="10.5" x14ac:dyDescent="0.25">
      <c r="Q62" s="33" t="s">
        <v>366</v>
      </c>
      <c r="R62" s="47">
        <f>SUM(R56:R58)</f>
        <v>61820</v>
      </c>
      <c r="S62" s="47">
        <f t="shared" ref="S62:AG62" si="48">SUM(S56:S58)</f>
        <v>30895</v>
      </c>
      <c r="T62" s="47">
        <f t="shared" si="48"/>
        <v>238750</v>
      </c>
      <c r="U62" s="47">
        <f t="shared" si="48"/>
        <v>466816</v>
      </c>
      <c r="V62" s="47">
        <f t="shared" si="48"/>
        <v>877565</v>
      </c>
      <c r="W62" s="47">
        <f t="shared" si="48"/>
        <v>467941</v>
      </c>
      <c r="X62" s="47">
        <f t="shared" si="48"/>
        <v>500000</v>
      </c>
      <c r="Y62" s="48">
        <f t="shared" si="48"/>
        <v>2643787</v>
      </c>
      <c r="Z62" s="48"/>
      <c r="AA62" s="48">
        <f t="shared" ref="AA62" si="49">SUM(AA56:AA58)</f>
        <v>226989.2</v>
      </c>
      <c r="AB62" s="49">
        <f t="shared" si="48"/>
        <v>14560</v>
      </c>
      <c r="AC62" s="49">
        <f t="shared" si="48"/>
        <v>41880</v>
      </c>
      <c r="AD62" s="49">
        <f t="shared" si="48"/>
        <v>37388.490000000005</v>
      </c>
      <c r="AE62" s="49">
        <f t="shared" si="48"/>
        <v>43200</v>
      </c>
      <c r="AF62" s="50">
        <f t="shared" si="48"/>
        <v>137028.49000000002</v>
      </c>
      <c r="AG62" s="51">
        <f t="shared" si="48"/>
        <v>364017.68999999994</v>
      </c>
    </row>
    <row r="63" spans="1:33" ht="10.5" x14ac:dyDescent="0.25">
      <c r="Q63" s="33" t="s">
        <v>367</v>
      </c>
      <c r="R63" s="47">
        <f>R62-R61</f>
        <v>10916</v>
      </c>
      <c r="S63" s="47">
        <f t="shared" ref="S63:AG63" si="50">S62-S61</f>
        <v>6680</v>
      </c>
      <c r="T63" s="47">
        <f t="shared" si="50"/>
        <v>36400</v>
      </c>
      <c r="U63" s="47">
        <f t="shared" si="50"/>
        <v>225072</v>
      </c>
      <c r="V63" s="47">
        <f t="shared" si="50"/>
        <v>293500</v>
      </c>
      <c r="W63" s="47">
        <f t="shared" si="50"/>
        <v>50098</v>
      </c>
      <c r="X63" s="47">
        <f t="shared" si="50"/>
        <v>112500</v>
      </c>
      <c r="Y63" s="48">
        <f t="shared" si="50"/>
        <v>735166</v>
      </c>
      <c r="Z63" s="48"/>
      <c r="AA63" s="48">
        <f t="shared" si="50"/>
        <v>57086.28</v>
      </c>
      <c r="AB63" s="49">
        <f t="shared" si="50"/>
        <v>2366</v>
      </c>
      <c r="AC63" s="49">
        <f t="shared" si="50"/>
        <v>8040</v>
      </c>
      <c r="AD63" s="49">
        <f t="shared" si="50"/>
        <v>9842.2500000000036</v>
      </c>
      <c r="AE63" s="49">
        <f t="shared" si="50"/>
        <v>6480</v>
      </c>
      <c r="AF63" s="50">
        <f t="shared" si="50"/>
        <v>26728.250000000015</v>
      </c>
      <c r="AG63" s="51">
        <f t="shared" si="50"/>
        <v>83814.52999999997</v>
      </c>
    </row>
    <row r="64" spans="1:33" ht="10.5" x14ac:dyDescent="0.25">
      <c r="Q64" s="33" t="s">
        <v>371</v>
      </c>
      <c r="R64" s="52">
        <f>R63/R61</f>
        <v>0.21444287285871444</v>
      </c>
      <c r="S64" s="52">
        <f t="shared" ref="S64:AG64" si="51">S63/S61</f>
        <v>0.27586206896551724</v>
      </c>
      <c r="T64" s="52">
        <f t="shared" si="51"/>
        <v>0.17988633555720288</v>
      </c>
      <c r="U64" s="52">
        <f t="shared" si="51"/>
        <v>0.93103448275862066</v>
      </c>
      <c r="V64" s="52">
        <f t="shared" si="51"/>
        <v>0.50251256281407031</v>
      </c>
      <c r="W64" s="52">
        <f t="shared" si="51"/>
        <v>0.11989670761506116</v>
      </c>
      <c r="X64" s="52">
        <f t="shared" si="51"/>
        <v>0.29032258064516131</v>
      </c>
      <c r="Y64" s="53">
        <f t="shared" si="51"/>
        <v>0.38518176212040001</v>
      </c>
      <c r="Z64" s="53"/>
      <c r="AA64" s="53">
        <f t="shared" si="51"/>
        <v>0.33599351912256714</v>
      </c>
      <c r="AB64" s="54">
        <f t="shared" si="51"/>
        <v>0.19402985074626866</v>
      </c>
      <c r="AC64" s="54">
        <f t="shared" si="51"/>
        <v>0.23758865248226951</v>
      </c>
      <c r="AD64" s="54">
        <f t="shared" si="51"/>
        <v>0.35729921760646838</v>
      </c>
      <c r="AE64" s="54">
        <f t="shared" si="51"/>
        <v>0.17647058823529413</v>
      </c>
      <c r="AF64" s="55">
        <f t="shared" si="51"/>
        <v>0.24232268216279504</v>
      </c>
      <c r="AG64" s="56">
        <f t="shared" si="51"/>
        <v>0.29912057380080931</v>
      </c>
    </row>
  </sheetData>
  <sortState xmlns:xlrd2="http://schemas.microsoft.com/office/spreadsheetml/2017/richdata2" ref="A15:I53">
    <sortCondition ref="D28:D53"/>
  </sortState>
  <phoneticPr fontId="8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A2C2A-A63B-4175-BFD5-FBED9F37A1FC}">
  <dimension ref="A1:AW47"/>
  <sheetViews>
    <sheetView topLeftCell="AB1" workbookViewId="0">
      <selection sqref="A1:AW1"/>
    </sheetView>
  </sheetViews>
  <sheetFormatPr defaultRowHeight="10.5" x14ac:dyDescent="0.25"/>
  <cols>
    <col min="1" max="1" width="6.90625" style="72" customWidth="1"/>
    <col min="2" max="2" width="24.08984375" style="72" bestFit="1" customWidth="1"/>
    <col min="3" max="3" width="11.26953125" style="72" bestFit="1" customWidth="1"/>
    <col min="4" max="4" width="17.26953125" style="72" bestFit="1" customWidth="1"/>
    <col min="5" max="5" width="11.453125" style="72" bestFit="1" customWidth="1"/>
    <col min="6" max="6" width="17.54296875" style="72" bestFit="1" customWidth="1"/>
    <col min="7" max="7" width="7.1796875" style="72" bestFit="1" customWidth="1"/>
    <col min="8" max="8" width="8.36328125" style="72" bestFit="1" customWidth="1"/>
    <col min="9" max="9" width="11.26953125" style="63" bestFit="1" customWidth="1"/>
    <col min="10" max="10" width="15.54296875" style="63" bestFit="1" customWidth="1"/>
    <col min="11" max="11" width="13.453125" style="63" bestFit="1" customWidth="1"/>
    <col min="12" max="12" width="18.6328125" style="63" bestFit="1" customWidth="1"/>
    <col min="13" max="13" width="11" style="63" bestFit="1" customWidth="1"/>
    <col min="14" max="14" width="12.08984375" style="63" bestFit="1" customWidth="1"/>
    <col min="15" max="15" width="11" style="63" bestFit="1" customWidth="1"/>
    <col min="16" max="16" width="7" style="63" bestFit="1" customWidth="1"/>
    <col min="17" max="17" width="8.90625" style="63" bestFit="1" customWidth="1"/>
    <col min="18" max="18" width="11.1796875" style="63" bestFit="1" customWidth="1"/>
    <col min="19" max="19" width="17" style="63" bestFit="1" customWidth="1"/>
    <col min="20" max="20" width="8.453125" style="63" bestFit="1" customWidth="1"/>
    <col min="21" max="21" width="10.90625" style="63" bestFit="1" customWidth="1"/>
    <col min="22" max="22" width="11.26953125" style="63" bestFit="1" customWidth="1"/>
    <col min="23" max="23" width="14.54296875" style="63" bestFit="1" customWidth="1"/>
    <col min="24" max="24" width="9.26953125" style="63" bestFit="1" customWidth="1"/>
    <col min="25" max="25" width="9.36328125" style="63" bestFit="1" customWidth="1"/>
    <col min="26" max="26" width="13.453125" style="63" bestFit="1" customWidth="1"/>
    <col min="27" max="27" width="6.54296875" style="63" bestFit="1" customWidth="1"/>
    <col min="28" max="28" width="22.1796875" style="63" bestFit="1" customWidth="1"/>
    <col min="29" max="29" width="15.36328125" style="63" bestFit="1" customWidth="1"/>
    <col min="30" max="30" width="7.1796875" style="63" bestFit="1" customWidth="1"/>
    <col min="31" max="31" width="13.1796875" style="63" bestFit="1" customWidth="1"/>
    <col min="32" max="32" width="13.08984375" style="63" bestFit="1" customWidth="1"/>
    <col min="33" max="33" width="6.90625" style="63" bestFit="1" customWidth="1"/>
    <col min="34" max="34" width="9.08984375" style="63" bestFit="1" customWidth="1"/>
    <col min="35" max="35" width="11.26953125" style="63" bestFit="1" customWidth="1"/>
    <col min="36" max="36" width="11.6328125" style="63" bestFit="1" customWidth="1"/>
    <col min="37" max="37" width="9.36328125" style="63" bestFit="1" customWidth="1"/>
    <col min="38" max="38" width="9.6328125" style="63" bestFit="1" customWidth="1"/>
    <col min="39" max="39" width="13" style="63" bestFit="1" customWidth="1"/>
    <col min="40" max="40" width="13.7265625" style="63" bestFit="1" customWidth="1"/>
    <col min="41" max="41" width="10.36328125" style="63" bestFit="1" customWidth="1"/>
    <col min="42" max="42" width="6.90625" style="63" bestFit="1" customWidth="1"/>
    <col min="43" max="43" width="14.81640625" style="63" bestFit="1" customWidth="1"/>
    <col min="44" max="44" width="11" style="63" bestFit="1" customWidth="1"/>
    <col min="45" max="45" width="8" style="63" bestFit="1" customWidth="1"/>
    <col min="46" max="46" width="13.1796875" style="63" bestFit="1" customWidth="1"/>
    <col min="47" max="47" width="8" style="63" bestFit="1" customWidth="1"/>
    <col min="48" max="48" width="7.54296875" style="63" bestFit="1" customWidth="1"/>
    <col min="49" max="49" width="8.81640625" style="63" bestFit="1" customWidth="1"/>
    <col min="50" max="16384" width="8.7265625" style="63"/>
  </cols>
  <sheetData>
    <row r="1" spans="1:49" x14ac:dyDescent="0.25">
      <c r="A1" s="59" t="s">
        <v>112</v>
      </c>
      <c r="B1" s="59" t="s">
        <v>113</v>
      </c>
      <c r="C1" s="59" t="s">
        <v>116</v>
      </c>
      <c r="D1" s="59" t="s">
        <v>128</v>
      </c>
      <c r="E1" s="60" t="s">
        <v>129</v>
      </c>
      <c r="F1" s="60" t="s">
        <v>130</v>
      </c>
      <c r="G1" s="60" t="s">
        <v>131</v>
      </c>
      <c r="H1" s="60" t="s">
        <v>132</v>
      </c>
      <c r="I1" s="61" t="s">
        <v>133</v>
      </c>
      <c r="J1" s="61" t="s">
        <v>134</v>
      </c>
      <c r="K1" s="61" t="s">
        <v>135</v>
      </c>
      <c r="L1" s="61" t="s">
        <v>136</v>
      </c>
      <c r="M1" s="61" t="s">
        <v>137</v>
      </c>
      <c r="N1" s="61" t="s">
        <v>138</v>
      </c>
      <c r="O1" s="61" t="s">
        <v>139</v>
      </c>
      <c r="P1" s="61" t="s">
        <v>140</v>
      </c>
      <c r="Q1" s="61" t="s">
        <v>141</v>
      </c>
      <c r="R1" s="61" t="s">
        <v>142</v>
      </c>
      <c r="S1" s="61" t="s">
        <v>143</v>
      </c>
      <c r="T1" s="62" t="s">
        <v>144</v>
      </c>
      <c r="U1" s="62" t="s">
        <v>145</v>
      </c>
      <c r="V1" s="62" t="s">
        <v>146</v>
      </c>
      <c r="W1" s="62" t="s">
        <v>127</v>
      </c>
      <c r="X1" s="62" t="s">
        <v>147</v>
      </c>
      <c r="Y1" s="62" t="s">
        <v>148</v>
      </c>
      <c r="Z1" s="62" t="s">
        <v>149</v>
      </c>
      <c r="AA1" s="62" t="s">
        <v>150</v>
      </c>
      <c r="AB1" s="62" t="s">
        <v>151</v>
      </c>
      <c r="AC1" s="62" t="s">
        <v>152</v>
      </c>
      <c r="AD1" s="61" t="s">
        <v>153</v>
      </c>
      <c r="AE1" s="61" t="s">
        <v>154</v>
      </c>
      <c r="AF1" s="61" t="s">
        <v>155</v>
      </c>
      <c r="AG1" s="62" t="s">
        <v>112</v>
      </c>
      <c r="AH1" s="62" t="s">
        <v>156</v>
      </c>
      <c r="AI1" s="62" t="s">
        <v>157</v>
      </c>
      <c r="AJ1" s="62" t="s">
        <v>158</v>
      </c>
      <c r="AK1" s="62" t="s">
        <v>159</v>
      </c>
      <c r="AL1" s="62" t="s">
        <v>160</v>
      </c>
      <c r="AM1" s="62" t="s">
        <v>161</v>
      </c>
      <c r="AN1" s="62" t="s">
        <v>162</v>
      </c>
      <c r="AO1" s="62" t="s">
        <v>163</v>
      </c>
      <c r="AP1" s="61" t="s">
        <v>112</v>
      </c>
      <c r="AQ1" s="61" t="s">
        <v>164</v>
      </c>
      <c r="AR1" s="61" t="s">
        <v>165</v>
      </c>
      <c r="AS1" s="61" t="s">
        <v>166</v>
      </c>
      <c r="AT1" s="61" t="s">
        <v>167</v>
      </c>
      <c r="AU1" s="61" t="s">
        <v>163</v>
      </c>
      <c r="AV1" s="61" t="s">
        <v>168</v>
      </c>
      <c r="AW1" s="61" t="s">
        <v>169</v>
      </c>
    </row>
    <row r="2" spans="1:49" x14ac:dyDescent="0.25">
      <c r="A2" s="59" t="s">
        <v>11</v>
      </c>
      <c r="B2" s="59" t="s">
        <v>170</v>
      </c>
      <c r="C2" s="59" t="s">
        <v>122</v>
      </c>
      <c r="D2" s="59" t="s">
        <v>171</v>
      </c>
      <c r="E2" s="60" t="s">
        <v>172</v>
      </c>
      <c r="F2" s="60" t="s">
        <v>173</v>
      </c>
      <c r="G2" s="64">
        <v>46.294360150000003</v>
      </c>
      <c r="H2" s="64">
        <v>-115.9761598</v>
      </c>
      <c r="I2" s="65" t="s">
        <v>174</v>
      </c>
      <c r="J2" s="65" t="s">
        <v>175</v>
      </c>
      <c r="K2" s="65"/>
      <c r="L2" s="65" t="s">
        <v>176</v>
      </c>
      <c r="M2" s="65" t="s">
        <v>177</v>
      </c>
      <c r="N2" s="65" t="s">
        <v>178</v>
      </c>
      <c r="O2" s="65" t="s">
        <v>179</v>
      </c>
      <c r="P2" s="65">
        <v>4</v>
      </c>
      <c r="Q2" s="65"/>
      <c r="R2" s="65"/>
      <c r="S2" s="65" t="s">
        <v>180</v>
      </c>
      <c r="T2" s="66" t="s">
        <v>181</v>
      </c>
      <c r="U2" s="66" t="s">
        <v>182</v>
      </c>
      <c r="V2" s="66" t="s">
        <v>183</v>
      </c>
      <c r="W2" s="66" t="s">
        <v>184</v>
      </c>
      <c r="X2" s="66" t="s">
        <v>185</v>
      </c>
      <c r="Y2" s="66" t="s">
        <v>186</v>
      </c>
      <c r="Z2" s="66" t="s">
        <v>187</v>
      </c>
      <c r="AA2" s="66" t="s">
        <v>188</v>
      </c>
      <c r="AB2" s="66"/>
      <c r="AC2" s="66" t="s">
        <v>180</v>
      </c>
      <c r="AD2" s="67">
        <v>4</v>
      </c>
      <c r="AE2" s="65" t="s">
        <v>189</v>
      </c>
      <c r="AF2" s="65" t="s">
        <v>190</v>
      </c>
      <c r="AG2" s="68" t="s">
        <v>11</v>
      </c>
      <c r="AH2" s="69">
        <v>2000</v>
      </c>
      <c r="AI2" s="69">
        <v>835</v>
      </c>
      <c r="AJ2" s="69">
        <v>8500</v>
      </c>
      <c r="AK2" s="69">
        <v>0</v>
      </c>
      <c r="AL2" s="69">
        <v>11740</v>
      </c>
      <c r="AM2" s="69">
        <v>3950</v>
      </c>
      <c r="AN2" s="69">
        <v>12500</v>
      </c>
      <c r="AO2" s="69">
        <v>39525</v>
      </c>
      <c r="AP2" s="61" t="s">
        <v>11</v>
      </c>
      <c r="AQ2" s="70">
        <v>364</v>
      </c>
      <c r="AR2" s="70">
        <v>1440</v>
      </c>
      <c r="AS2" s="70">
        <v>120</v>
      </c>
      <c r="AT2" s="70">
        <v>1080</v>
      </c>
      <c r="AU2" s="70">
        <v>3004</v>
      </c>
      <c r="AV2" s="71">
        <v>0.1</v>
      </c>
      <c r="AW2" s="70">
        <v>6956.5</v>
      </c>
    </row>
    <row r="3" spans="1:49" x14ac:dyDescent="0.25">
      <c r="A3" s="59" t="s">
        <v>13</v>
      </c>
      <c r="B3" s="59" t="s">
        <v>191</v>
      </c>
      <c r="C3" s="59" t="s">
        <v>122</v>
      </c>
      <c r="D3" s="59" t="s">
        <v>171</v>
      </c>
      <c r="E3" s="60" t="s">
        <v>172</v>
      </c>
      <c r="F3" s="60" t="s">
        <v>173</v>
      </c>
      <c r="G3" s="64">
        <v>46.29049792</v>
      </c>
      <c r="H3" s="64">
        <v>-115.93374710000001</v>
      </c>
      <c r="I3" s="65" t="s">
        <v>192</v>
      </c>
      <c r="J3" s="65" t="s">
        <v>193</v>
      </c>
      <c r="K3" s="65"/>
      <c r="L3" s="65" t="s">
        <v>176</v>
      </c>
      <c r="M3" s="65" t="s">
        <v>177</v>
      </c>
      <c r="N3" s="65"/>
      <c r="O3" s="65"/>
      <c r="P3" s="65">
        <v>6</v>
      </c>
      <c r="Q3" s="65">
        <v>4</v>
      </c>
      <c r="R3" s="65" t="s">
        <v>194</v>
      </c>
      <c r="S3" s="65" t="s">
        <v>180</v>
      </c>
      <c r="T3" s="66" t="s">
        <v>181</v>
      </c>
      <c r="U3" s="66" t="s">
        <v>182</v>
      </c>
      <c r="V3" s="66" t="s">
        <v>183</v>
      </c>
      <c r="W3" s="66" t="s">
        <v>184</v>
      </c>
      <c r="X3" s="66" t="s">
        <v>185</v>
      </c>
      <c r="Y3" s="66" t="s">
        <v>186</v>
      </c>
      <c r="Z3" s="66" t="s">
        <v>187</v>
      </c>
      <c r="AA3" s="66" t="s">
        <v>195</v>
      </c>
      <c r="AB3" s="66"/>
      <c r="AC3" s="66" t="s">
        <v>180</v>
      </c>
      <c r="AD3" s="67">
        <v>4</v>
      </c>
      <c r="AE3" s="65" t="s">
        <v>189</v>
      </c>
      <c r="AF3" s="65" t="s">
        <v>180</v>
      </c>
      <c r="AG3" s="68" t="s">
        <v>13</v>
      </c>
      <c r="AH3" s="69">
        <v>2000</v>
      </c>
      <c r="AI3" s="69">
        <v>835</v>
      </c>
      <c r="AJ3" s="69">
        <v>8500</v>
      </c>
      <c r="AK3" s="69">
        <v>0</v>
      </c>
      <c r="AL3" s="69">
        <v>11740</v>
      </c>
      <c r="AM3" s="69">
        <v>30003</v>
      </c>
      <c r="AN3" s="69">
        <v>12500</v>
      </c>
      <c r="AO3" s="69">
        <v>65578</v>
      </c>
      <c r="AP3" s="61" t="s">
        <v>13</v>
      </c>
      <c r="AQ3" s="70">
        <v>546</v>
      </c>
      <c r="AR3" s="70">
        <v>1440</v>
      </c>
      <c r="AS3" s="70">
        <v>780.19</v>
      </c>
      <c r="AT3" s="70">
        <v>1080</v>
      </c>
      <c r="AU3" s="70">
        <v>3846.19</v>
      </c>
      <c r="AV3" s="71">
        <v>0.1</v>
      </c>
      <c r="AW3" s="70">
        <v>10403.99</v>
      </c>
    </row>
    <row r="4" spans="1:49" x14ac:dyDescent="0.25">
      <c r="A4" s="59" t="s">
        <v>17</v>
      </c>
      <c r="B4" s="59" t="s">
        <v>196</v>
      </c>
      <c r="C4" s="59" t="s">
        <v>122</v>
      </c>
      <c r="D4" s="59" t="s">
        <v>171</v>
      </c>
      <c r="E4" s="60" t="s">
        <v>172</v>
      </c>
      <c r="F4" s="60" t="s">
        <v>197</v>
      </c>
      <c r="G4" s="64">
        <v>46.136999000000003</v>
      </c>
      <c r="H4" s="64">
        <v>-115.98120299999999</v>
      </c>
      <c r="I4" s="65" t="s">
        <v>174</v>
      </c>
      <c r="J4" s="65" t="s">
        <v>193</v>
      </c>
      <c r="K4" s="65"/>
      <c r="L4" s="65" t="s">
        <v>198</v>
      </c>
      <c r="M4" s="65"/>
      <c r="N4" s="65" t="s">
        <v>178</v>
      </c>
      <c r="O4" s="65" t="s">
        <v>199</v>
      </c>
      <c r="P4" s="65">
        <v>4</v>
      </c>
      <c r="Q4" s="65"/>
      <c r="R4" s="65"/>
      <c r="S4" s="65" t="s">
        <v>180</v>
      </c>
      <c r="T4" s="66" t="s">
        <v>200</v>
      </c>
      <c r="U4" s="66" t="s">
        <v>201</v>
      </c>
      <c r="V4" s="66" t="s">
        <v>183</v>
      </c>
      <c r="W4" s="66" t="s">
        <v>202</v>
      </c>
      <c r="X4" s="66" t="s">
        <v>203</v>
      </c>
      <c r="Y4" s="66" t="s">
        <v>204</v>
      </c>
      <c r="Z4" s="66" t="s">
        <v>187</v>
      </c>
      <c r="AA4" s="66" t="s">
        <v>195</v>
      </c>
      <c r="AB4" s="66"/>
      <c r="AC4" s="66" t="s">
        <v>180</v>
      </c>
      <c r="AD4" s="67">
        <v>7</v>
      </c>
      <c r="AE4" s="65" t="s">
        <v>205</v>
      </c>
      <c r="AF4" s="65" t="s">
        <v>180</v>
      </c>
      <c r="AG4" s="68" t="s">
        <v>17</v>
      </c>
      <c r="AH4" s="69">
        <v>742</v>
      </c>
      <c r="AI4" s="69">
        <v>835</v>
      </c>
      <c r="AJ4" s="69">
        <v>4450</v>
      </c>
      <c r="AK4" s="69">
        <v>14588</v>
      </c>
      <c r="AL4" s="69">
        <v>20545</v>
      </c>
      <c r="AM4" s="69">
        <v>3950</v>
      </c>
      <c r="AN4" s="69">
        <v>12500</v>
      </c>
      <c r="AO4" s="69">
        <v>57610</v>
      </c>
      <c r="AP4" s="61" t="s">
        <v>17</v>
      </c>
      <c r="AQ4" s="70">
        <v>364</v>
      </c>
      <c r="AR4" s="70">
        <v>300</v>
      </c>
      <c r="AS4" s="70">
        <v>120</v>
      </c>
      <c r="AT4" s="70">
        <v>1080</v>
      </c>
      <c r="AU4" s="70">
        <v>1864</v>
      </c>
      <c r="AV4" s="71">
        <v>0.08</v>
      </c>
      <c r="AW4" s="70">
        <v>6472.8</v>
      </c>
    </row>
    <row r="5" spans="1:49" x14ac:dyDescent="0.25">
      <c r="A5" s="59" t="s">
        <v>19</v>
      </c>
      <c r="B5" s="59" t="s">
        <v>196</v>
      </c>
      <c r="C5" s="59" t="s">
        <v>122</v>
      </c>
      <c r="D5" s="59" t="s">
        <v>171</v>
      </c>
      <c r="E5" s="60" t="s">
        <v>172</v>
      </c>
      <c r="F5" s="60" t="s">
        <v>197</v>
      </c>
      <c r="G5" s="64">
        <v>46.127223000000001</v>
      </c>
      <c r="H5" s="64">
        <v>-115.9777</v>
      </c>
      <c r="I5" s="65" t="s">
        <v>174</v>
      </c>
      <c r="J5" s="65" t="s">
        <v>193</v>
      </c>
      <c r="K5" s="65"/>
      <c r="L5" s="65" t="s">
        <v>176</v>
      </c>
      <c r="M5" s="65" t="s">
        <v>177</v>
      </c>
      <c r="N5" s="65" t="s">
        <v>178</v>
      </c>
      <c r="O5" s="65" t="s">
        <v>199</v>
      </c>
      <c r="P5" s="65">
        <v>4</v>
      </c>
      <c r="Q5" s="65"/>
      <c r="R5" s="65"/>
      <c r="S5" s="65" t="s">
        <v>180</v>
      </c>
      <c r="T5" s="66" t="s">
        <v>181</v>
      </c>
      <c r="U5" s="66" t="s">
        <v>182</v>
      </c>
      <c r="V5" s="66" t="s">
        <v>183</v>
      </c>
      <c r="W5" s="66" t="s">
        <v>202</v>
      </c>
      <c r="X5" s="66" t="s">
        <v>203</v>
      </c>
      <c r="Y5" s="66" t="s">
        <v>204</v>
      </c>
      <c r="Z5" s="66" t="s">
        <v>187</v>
      </c>
      <c r="AA5" s="66" t="s">
        <v>195</v>
      </c>
      <c r="AB5" s="66"/>
      <c r="AC5" s="66" t="s">
        <v>180</v>
      </c>
      <c r="AD5" s="67">
        <v>6</v>
      </c>
      <c r="AE5" s="65" t="s">
        <v>189</v>
      </c>
      <c r="AF5" s="65" t="s">
        <v>190</v>
      </c>
      <c r="AG5" s="68" t="s">
        <v>19</v>
      </c>
      <c r="AH5" s="69">
        <v>742</v>
      </c>
      <c r="AI5" s="69">
        <v>835</v>
      </c>
      <c r="AJ5" s="69">
        <v>8500</v>
      </c>
      <c r="AK5" s="69">
        <v>0</v>
      </c>
      <c r="AL5" s="69">
        <v>17610</v>
      </c>
      <c r="AM5" s="69">
        <v>3950</v>
      </c>
      <c r="AN5" s="69">
        <v>12500</v>
      </c>
      <c r="AO5" s="69">
        <v>44137</v>
      </c>
      <c r="AP5" s="61" t="s">
        <v>19</v>
      </c>
      <c r="AQ5" s="70">
        <v>364</v>
      </c>
      <c r="AR5" s="70">
        <v>300</v>
      </c>
      <c r="AS5" s="70">
        <v>120</v>
      </c>
      <c r="AT5" s="70">
        <v>1080</v>
      </c>
      <c r="AU5" s="70">
        <v>1864</v>
      </c>
      <c r="AV5" s="71">
        <v>0.1</v>
      </c>
      <c r="AW5" s="70">
        <v>6277.7</v>
      </c>
    </row>
    <row r="6" spans="1:49" x14ac:dyDescent="0.25">
      <c r="A6" s="59" t="s">
        <v>38</v>
      </c>
      <c r="B6" s="59" t="s">
        <v>206</v>
      </c>
      <c r="C6" s="59" t="s">
        <v>122</v>
      </c>
      <c r="D6" s="59" t="s">
        <v>207</v>
      </c>
      <c r="E6" s="60" t="s">
        <v>172</v>
      </c>
      <c r="F6" s="60" t="s">
        <v>0</v>
      </c>
      <c r="G6" s="64">
        <v>46.030237059999997</v>
      </c>
      <c r="H6" s="64">
        <v>-117.016408</v>
      </c>
      <c r="I6" s="65" t="s">
        <v>174</v>
      </c>
      <c r="J6" s="65" t="s">
        <v>208</v>
      </c>
      <c r="K6" s="65"/>
      <c r="L6" s="65" t="s">
        <v>198</v>
      </c>
      <c r="M6" s="65"/>
      <c r="N6" s="65" t="s">
        <v>209</v>
      </c>
      <c r="O6" s="65" t="s">
        <v>179</v>
      </c>
      <c r="P6" s="65">
        <v>4</v>
      </c>
      <c r="Q6" s="65"/>
      <c r="R6" s="65"/>
      <c r="S6" s="65" t="s">
        <v>180</v>
      </c>
      <c r="T6" s="66" t="s">
        <v>200</v>
      </c>
      <c r="U6" s="66" t="s">
        <v>201</v>
      </c>
      <c r="V6" s="66" t="s">
        <v>183</v>
      </c>
      <c r="W6" s="66" t="s">
        <v>184</v>
      </c>
      <c r="X6" s="66" t="s">
        <v>185</v>
      </c>
      <c r="Y6" s="66" t="s">
        <v>186</v>
      </c>
      <c r="Z6" s="66" t="s">
        <v>187</v>
      </c>
      <c r="AA6" s="66" t="s">
        <v>195</v>
      </c>
      <c r="AB6" s="66"/>
      <c r="AC6" s="66" t="s">
        <v>180</v>
      </c>
      <c r="AD6" s="67">
        <v>4</v>
      </c>
      <c r="AE6" s="65" t="s">
        <v>205</v>
      </c>
      <c r="AF6" s="65" t="s">
        <v>180</v>
      </c>
      <c r="AG6" s="68" t="s">
        <v>38</v>
      </c>
      <c r="AH6" s="69">
        <v>2000</v>
      </c>
      <c r="AI6" s="69">
        <v>835</v>
      </c>
      <c r="AJ6" s="69">
        <v>4450</v>
      </c>
      <c r="AK6" s="69">
        <v>8336</v>
      </c>
      <c r="AL6" s="69">
        <v>11740</v>
      </c>
      <c r="AM6" s="69">
        <v>3950</v>
      </c>
      <c r="AN6" s="69">
        <v>12500</v>
      </c>
      <c r="AO6" s="69">
        <v>43811</v>
      </c>
      <c r="AP6" s="61" t="s">
        <v>38</v>
      </c>
      <c r="AQ6" s="70">
        <v>364</v>
      </c>
      <c r="AR6" s="70">
        <v>1440</v>
      </c>
      <c r="AS6" s="70">
        <v>120</v>
      </c>
      <c r="AT6" s="70">
        <v>1080</v>
      </c>
      <c r="AU6" s="70">
        <v>3004</v>
      </c>
      <c r="AV6" s="71">
        <v>0.08</v>
      </c>
      <c r="AW6" s="70">
        <v>6508.88</v>
      </c>
    </row>
    <row r="7" spans="1:49" x14ac:dyDescent="0.25">
      <c r="A7" s="59" t="s">
        <v>50</v>
      </c>
      <c r="B7" s="59" t="s">
        <v>210</v>
      </c>
      <c r="C7" s="59" t="s">
        <v>122</v>
      </c>
      <c r="D7" s="59" t="s">
        <v>207</v>
      </c>
      <c r="E7" s="60" t="s">
        <v>211</v>
      </c>
      <c r="F7" s="60" t="s">
        <v>212</v>
      </c>
      <c r="G7" s="64">
        <v>45.593519669999999</v>
      </c>
      <c r="H7" s="64">
        <v>-117.9033787</v>
      </c>
      <c r="I7" s="65" t="s">
        <v>192</v>
      </c>
      <c r="J7" s="65" t="s">
        <v>193</v>
      </c>
      <c r="K7" s="65"/>
      <c r="L7" s="65" t="s">
        <v>176</v>
      </c>
      <c r="M7" s="65" t="s">
        <v>177</v>
      </c>
      <c r="N7" s="65"/>
      <c r="O7" s="65"/>
      <c r="P7" s="65">
        <v>6</v>
      </c>
      <c r="Q7" s="65">
        <v>4</v>
      </c>
      <c r="R7" s="65" t="s">
        <v>213</v>
      </c>
      <c r="S7" s="65" t="s">
        <v>180</v>
      </c>
      <c r="T7" s="66" t="s">
        <v>181</v>
      </c>
      <c r="U7" s="66" t="s">
        <v>182</v>
      </c>
      <c r="V7" s="66" t="s">
        <v>183</v>
      </c>
      <c r="W7" s="66" t="s">
        <v>202</v>
      </c>
      <c r="X7" s="66" t="s">
        <v>203</v>
      </c>
      <c r="Y7" s="66" t="s">
        <v>204</v>
      </c>
      <c r="Z7" s="66" t="s">
        <v>187</v>
      </c>
      <c r="AA7" s="66" t="s">
        <v>195</v>
      </c>
      <c r="AB7" s="66"/>
      <c r="AC7" s="66" t="s">
        <v>180</v>
      </c>
      <c r="AD7" s="67">
        <v>6</v>
      </c>
      <c r="AE7" s="65" t="s">
        <v>189</v>
      </c>
      <c r="AF7" s="65" t="s">
        <v>180</v>
      </c>
      <c r="AG7" s="68" t="s">
        <v>50</v>
      </c>
      <c r="AH7" s="69">
        <v>742</v>
      </c>
      <c r="AI7" s="69">
        <v>835</v>
      </c>
      <c r="AJ7" s="69">
        <v>8500</v>
      </c>
      <c r="AK7" s="69">
        <v>0</v>
      </c>
      <c r="AL7" s="69">
        <v>17610</v>
      </c>
      <c r="AM7" s="69">
        <v>30003</v>
      </c>
      <c r="AN7" s="69">
        <v>12500</v>
      </c>
      <c r="AO7" s="69">
        <v>70190</v>
      </c>
      <c r="AP7" s="61" t="s">
        <v>50</v>
      </c>
      <c r="AQ7" s="70">
        <v>546</v>
      </c>
      <c r="AR7" s="70">
        <v>300</v>
      </c>
      <c r="AS7" s="70">
        <v>780.19</v>
      </c>
      <c r="AT7" s="70">
        <v>1080</v>
      </c>
      <c r="AU7" s="70">
        <v>2706.19</v>
      </c>
      <c r="AV7" s="71">
        <v>0.1</v>
      </c>
      <c r="AW7" s="70">
        <v>9725.19</v>
      </c>
    </row>
    <row r="8" spans="1:49" x14ac:dyDescent="0.25">
      <c r="A8" s="59" t="s">
        <v>44</v>
      </c>
      <c r="B8" s="59" t="s">
        <v>214</v>
      </c>
      <c r="C8" s="59" t="s">
        <v>122</v>
      </c>
      <c r="D8" s="59" t="s">
        <v>207</v>
      </c>
      <c r="E8" s="60" t="s">
        <v>172</v>
      </c>
      <c r="F8" s="60" t="s">
        <v>215</v>
      </c>
      <c r="G8" s="64">
        <v>45.633679409999999</v>
      </c>
      <c r="H8" s="64">
        <v>-117.7337567</v>
      </c>
      <c r="I8" s="65" t="s">
        <v>216</v>
      </c>
      <c r="J8" s="65" t="s">
        <v>193</v>
      </c>
      <c r="K8" s="65"/>
      <c r="L8" s="65" t="s">
        <v>176</v>
      </c>
      <c r="M8" s="65" t="s">
        <v>177</v>
      </c>
      <c r="N8" s="65"/>
      <c r="O8" s="65"/>
      <c r="P8" s="65"/>
      <c r="Q8" s="65"/>
      <c r="R8" s="65" t="s">
        <v>217</v>
      </c>
      <c r="S8" s="65" t="s">
        <v>180</v>
      </c>
      <c r="T8" s="66" t="s">
        <v>181</v>
      </c>
      <c r="U8" s="66" t="s">
        <v>182</v>
      </c>
      <c r="V8" s="66" t="s">
        <v>183</v>
      </c>
      <c r="W8" s="66" t="s">
        <v>184</v>
      </c>
      <c r="X8" s="66" t="s">
        <v>185</v>
      </c>
      <c r="Y8" s="66" t="s">
        <v>186</v>
      </c>
      <c r="Z8" s="66" t="s">
        <v>187</v>
      </c>
      <c r="AA8" s="66" t="s">
        <v>195</v>
      </c>
      <c r="AB8" s="66"/>
      <c r="AC8" s="66" t="s">
        <v>180</v>
      </c>
      <c r="AD8" s="67">
        <v>6</v>
      </c>
      <c r="AE8" s="65" t="s">
        <v>189</v>
      </c>
      <c r="AF8" s="65" t="s">
        <v>180</v>
      </c>
      <c r="AG8" s="68" t="s">
        <v>44</v>
      </c>
      <c r="AH8" s="69">
        <v>2000</v>
      </c>
      <c r="AI8" s="69">
        <v>835</v>
      </c>
      <c r="AJ8" s="69">
        <v>8500</v>
      </c>
      <c r="AK8" s="69">
        <v>0</v>
      </c>
      <c r="AL8" s="69">
        <v>17610</v>
      </c>
      <c r="AM8" s="69">
        <v>10479</v>
      </c>
      <c r="AN8" s="69">
        <v>12500</v>
      </c>
      <c r="AO8" s="69">
        <v>51924</v>
      </c>
      <c r="AP8" s="61" t="s">
        <v>44</v>
      </c>
      <c r="AQ8" s="70">
        <v>0</v>
      </c>
      <c r="AR8" s="70">
        <v>1440</v>
      </c>
      <c r="AS8" s="70">
        <v>1560.38</v>
      </c>
      <c r="AT8" s="70">
        <v>1080</v>
      </c>
      <c r="AU8" s="70">
        <v>4080.38</v>
      </c>
      <c r="AV8" s="71">
        <v>0.1</v>
      </c>
      <c r="AW8" s="70">
        <v>9272.7800000000007</v>
      </c>
    </row>
    <row r="9" spans="1:49" x14ac:dyDescent="0.25">
      <c r="A9" s="59" t="s">
        <v>97</v>
      </c>
      <c r="B9" s="59" t="s">
        <v>218</v>
      </c>
      <c r="C9" s="59" t="s">
        <v>122</v>
      </c>
      <c r="D9" s="59" t="s">
        <v>219</v>
      </c>
      <c r="E9" s="60" t="s">
        <v>211</v>
      </c>
      <c r="F9" s="60" t="s">
        <v>220</v>
      </c>
      <c r="G9" s="64">
        <v>45.506482089999999</v>
      </c>
      <c r="H9" s="64">
        <v>-116.8507347</v>
      </c>
      <c r="I9" s="65" t="s">
        <v>216</v>
      </c>
      <c r="J9" s="65" t="s">
        <v>193</v>
      </c>
      <c r="K9" s="65"/>
      <c r="L9" s="65" t="s">
        <v>176</v>
      </c>
      <c r="M9" s="65" t="s">
        <v>177</v>
      </c>
      <c r="N9" s="65"/>
      <c r="O9" s="65"/>
      <c r="P9" s="65"/>
      <c r="Q9" s="65"/>
      <c r="R9" s="65" t="s">
        <v>217</v>
      </c>
      <c r="S9" s="65" t="s">
        <v>180</v>
      </c>
      <c r="T9" s="66" t="s">
        <v>181</v>
      </c>
      <c r="U9" s="66" t="s">
        <v>182</v>
      </c>
      <c r="V9" s="66" t="s">
        <v>183</v>
      </c>
      <c r="W9" s="66" t="s">
        <v>184</v>
      </c>
      <c r="X9" s="66" t="s">
        <v>185</v>
      </c>
      <c r="Y9" s="66" t="s">
        <v>186</v>
      </c>
      <c r="Z9" s="66" t="s">
        <v>187</v>
      </c>
      <c r="AA9" s="66" t="s">
        <v>195</v>
      </c>
      <c r="AB9" s="66"/>
      <c r="AC9" s="66" t="s">
        <v>180</v>
      </c>
      <c r="AD9" s="67">
        <v>4</v>
      </c>
      <c r="AE9" s="65" t="s">
        <v>189</v>
      </c>
      <c r="AF9" s="65" t="s">
        <v>180</v>
      </c>
      <c r="AG9" s="68" t="s">
        <v>97</v>
      </c>
      <c r="AH9" s="69">
        <v>2000</v>
      </c>
      <c r="AI9" s="69">
        <v>835</v>
      </c>
      <c r="AJ9" s="69">
        <v>8500</v>
      </c>
      <c r="AK9" s="69">
        <v>0</v>
      </c>
      <c r="AL9" s="69">
        <v>11740</v>
      </c>
      <c r="AM9" s="69">
        <v>10479</v>
      </c>
      <c r="AN9" s="69">
        <v>12500</v>
      </c>
      <c r="AO9" s="69">
        <v>46054</v>
      </c>
      <c r="AP9" s="61" t="s">
        <v>97</v>
      </c>
      <c r="AQ9" s="70">
        <v>0</v>
      </c>
      <c r="AR9" s="70">
        <v>1440</v>
      </c>
      <c r="AS9" s="70">
        <v>1560.38</v>
      </c>
      <c r="AT9" s="70">
        <v>1080</v>
      </c>
      <c r="AU9" s="70">
        <v>4080.38</v>
      </c>
      <c r="AV9" s="71">
        <v>0.1</v>
      </c>
      <c r="AW9" s="70">
        <v>8685.7800000000007</v>
      </c>
    </row>
    <row r="10" spans="1:49" x14ac:dyDescent="0.25">
      <c r="A10" s="59" t="s">
        <v>90</v>
      </c>
      <c r="B10" s="59" t="s">
        <v>221</v>
      </c>
      <c r="C10" s="59" t="s">
        <v>122</v>
      </c>
      <c r="D10" s="59" t="s">
        <v>219</v>
      </c>
      <c r="E10" s="60" t="s">
        <v>172</v>
      </c>
      <c r="F10" s="60" t="s">
        <v>222</v>
      </c>
      <c r="G10" s="64">
        <v>45.767740000000003</v>
      </c>
      <c r="H10" s="64">
        <v>-116.74403700000001</v>
      </c>
      <c r="I10" s="65" t="s">
        <v>216</v>
      </c>
      <c r="J10" s="65" t="s">
        <v>223</v>
      </c>
      <c r="K10" s="65"/>
      <c r="L10" s="65" t="s">
        <v>176</v>
      </c>
      <c r="M10" s="65" t="s">
        <v>177</v>
      </c>
      <c r="N10" s="65"/>
      <c r="O10" s="65"/>
      <c r="P10" s="65"/>
      <c r="Q10" s="65"/>
      <c r="R10" s="65" t="s">
        <v>217</v>
      </c>
      <c r="S10" s="65" t="s">
        <v>180</v>
      </c>
      <c r="T10" s="66" t="s">
        <v>181</v>
      </c>
      <c r="U10" s="66" t="s">
        <v>182</v>
      </c>
      <c r="V10" s="66" t="s">
        <v>183</v>
      </c>
      <c r="W10" s="66" t="s">
        <v>184</v>
      </c>
      <c r="X10" s="66" t="s">
        <v>185</v>
      </c>
      <c r="Y10" s="66" t="s">
        <v>186</v>
      </c>
      <c r="Z10" s="66" t="s">
        <v>187</v>
      </c>
      <c r="AA10" s="66" t="s">
        <v>195</v>
      </c>
      <c r="AB10" s="66"/>
      <c r="AC10" s="66" t="s">
        <v>180</v>
      </c>
      <c r="AD10" s="67">
        <v>2</v>
      </c>
      <c r="AE10" s="65" t="s">
        <v>189</v>
      </c>
      <c r="AF10" s="65" t="s">
        <v>180</v>
      </c>
      <c r="AG10" s="68" t="s">
        <v>90</v>
      </c>
      <c r="AH10" s="69">
        <v>2000</v>
      </c>
      <c r="AI10" s="69">
        <v>835</v>
      </c>
      <c r="AJ10" s="69">
        <v>8500</v>
      </c>
      <c r="AK10" s="69">
        <v>0</v>
      </c>
      <c r="AL10" s="69">
        <v>5870</v>
      </c>
      <c r="AM10" s="69">
        <v>10479</v>
      </c>
      <c r="AN10" s="69">
        <v>5000</v>
      </c>
      <c r="AO10" s="69">
        <v>32684</v>
      </c>
      <c r="AP10" s="61" t="s">
        <v>90</v>
      </c>
      <c r="AQ10" s="70">
        <v>0</v>
      </c>
      <c r="AR10" s="70">
        <v>1440</v>
      </c>
      <c r="AS10" s="70">
        <v>1560.38</v>
      </c>
      <c r="AT10" s="70">
        <v>1080</v>
      </c>
      <c r="AU10" s="70">
        <v>4080.38</v>
      </c>
      <c r="AV10" s="71">
        <v>0.1</v>
      </c>
      <c r="AW10" s="70">
        <v>7348.7800000000007</v>
      </c>
    </row>
    <row r="11" spans="1:49" x14ac:dyDescent="0.25">
      <c r="A11" s="59" t="s">
        <v>93</v>
      </c>
      <c r="B11" s="59" t="s">
        <v>224</v>
      </c>
      <c r="C11" s="59" t="s">
        <v>122</v>
      </c>
      <c r="D11" s="59" t="s">
        <v>219</v>
      </c>
      <c r="E11" s="60" t="s">
        <v>211</v>
      </c>
      <c r="F11" s="60" t="s">
        <v>225</v>
      </c>
      <c r="G11" s="64">
        <v>45.761052419999999</v>
      </c>
      <c r="H11" s="64">
        <v>-116.7502308</v>
      </c>
      <c r="I11" s="65" t="s">
        <v>192</v>
      </c>
      <c r="J11" s="65" t="s">
        <v>193</v>
      </c>
      <c r="K11" s="65"/>
      <c r="L11" s="65" t="s">
        <v>176</v>
      </c>
      <c r="M11" s="65" t="s">
        <v>177</v>
      </c>
      <c r="N11" s="65"/>
      <c r="O11" s="65"/>
      <c r="P11" s="65">
        <v>6</v>
      </c>
      <c r="Q11" s="65">
        <v>4</v>
      </c>
      <c r="R11" s="65" t="s">
        <v>217</v>
      </c>
      <c r="S11" s="65" t="s">
        <v>180</v>
      </c>
      <c r="T11" s="66" t="s">
        <v>181</v>
      </c>
      <c r="U11" s="66" t="s">
        <v>182</v>
      </c>
      <c r="V11" s="66" t="s">
        <v>183</v>
      </c>
      <c r="W11" s="66" t="s">
        <v>184</v>
      </c>
      <c r="X11" s="66" t="s">
        <v>185</v>
      </c>
      <c r="Y11" s="66" t="s">
        <v>186</v>
      </c>
      <c r="Z11" s="66" t="s">
        <v>187</v>
      </c>
      <c r="AA11" s="66" t="s">
        <v>195</v>
      </c>
      <c r="AB11" s="66"/>
      <c r="AC11" s="66" t="s">
        <v>180</v>
      </c>
      <c r="AD11" s="67">
        <v>4</v>
      </c>
      <c r="AE11" s="65" t="s">
        <v>189</v>
      </c>
      <c r="AF11" s="65" t="s">
        <v>180</v>
      </c>
      <c r="AG11" s="68" t="s">
        <v>93</v>
      </c>
      <c r="AH11" s="69">
        <v>2000</v>
      </c>
      <c r="AI11" s="69">
        <v>835</v>
      </c>
      <c r="AJ11" s="69">
        <v>8500</v>
      </c>
      <c r="AK11" s="69">
        <v>0</v>
      </c>
      <c r="AL11" s="69">
        <v>11740</v>
      </c>
      <c r="AM11" s="69">
        <v>30003</v>
      </c>
      <c r="AN11" s="69">
        <v>12500</v>
      </c>
      <c r="AO11" s="69">
        <v>65578</v>
      </c>
      <c r="AP11" s="61" t="s">
        <v>93</v>
      </c>
      <c r="AQ11" s="70">
        <v>546</v>
      </c>
      <c r="AR11" s="70">
        <v>1440</v>
      </c>
      <c r="AS11" s="70">
        <v>780.19</v>
      </c>
      <c r="AT11" s="70">
        <v>1080</v>
      </c>
      <c r="AU11" s="70">
        <v>3846.19</v>
      </c>
      <c r="AV11" s="71">
        <v>0.1</v>
      </c>
      <c r="AW11" s="70">
        <v>10403.99</v>
      </c>
    </row>
    <row r="12" spans="1:49" x14ac:dyDescent="0.25">
      <c r="A12" s="59" t="s">
        <v>95</v>
      </c>
      <c r="B12" s="59" t="s">
        <v>226</v>
      </c>
      <c r="C12" s="59" t="s">
        <v>122</v>
      </c>
      <c r="D12" s="59" t="s">
        <v>219</v>
      </c>
      <c r="E12" s="60" t="s">
        <v>172</v>
      </c>
      <c r="F12" s="60" t="s">
        <v>222</v>
      </c>
      <c r="G12" s="64">
        <v>45.742702350000002</v>
      </c>
      <c r="H12" s="64">
        <v>-116.764304</v>
      </c>
      <c r="I12" s="65" t="s">
        <v>192</v>
      </c>
      <c r="J12" s="65" t="s">
        <v>193</v>
      </c>
      <c r="K12" s="65"/>
      <c r="L12" s="65" t="s">
        <v>176</v>
      </c>
      <c r="M12" s="65" t="s">
        <v>177</v>
      </c>
      <c r="N12" s="65"/>
      <c r="O12" s="65"/>
      <c r="P12" s="65">
        <v>6</v>
      </c>
      <c r="Q12" s="65">
        <v>4</v>
      </c>
      <c r="R12" s="65" t="s">
        <v>213</v>
      </c>
      <c r="S12" s="65" t="s">
        <v>180</v>
      </c>
      <c r="T12" s="66" t="s">
        <v>181</v>
      </c>
      <c r="U12" s="66" t="s">
        <v>182</v>
      </c>
      <c r="V12" s="66" t="s">
        <v>183</v>
      </c>
      <c r="W12" s="66" t="s">
        <v>184</v>
      </c>
      <c r="X12" s="66" t="s">
        <v>185</v>
      </c>
      <c r="Y12" s="66" t="s">
        <v>186</v>
      </c>
      <c r="Z12" s="66" t="s">
        <v>187</v>
      </c>
      <c r="AA12" s="66" t="s">
        <v>195</v>
      </c>
      <c r="AB12" s="66"/>
      <c r="AC12" s="66" t="s">
        <v>180</v>
      </c>
      <c r="AD12" s="67">
        <v>5</v>
      </c>
      <c r="AE12" s="65" t="s">
        <v>189</v>
      </c>
      <c r="AF12" s="65" t="s">
        <v>180</v>
      </c>
      <c r="AG12" s="68" t="s">
        <v>95</v>
      </c>
      <c r="AH12" s="69">
        <v>2000</v>
      </c>
      <c r="AI12" s="69">
        <v>835</v>
      </c>
      <c r="AJ12" s="69">
        <v>8500</v>
      </c>
      <c r="AK12" s="69">
        <v>0</v>
      </c>
      <c r="AL12" s="69">
        <v>14675</v>
      </c>
      <c r="AM12" s="69">
        <v>30003</v>
      </c>
      <c r="AN12" s="69">
        <v>12500</v>
      </c>
      <c r="AO12" s="69">
        <v>68513</v>
      </c>
      <c r="AP12" s="61" t="s">
        <v>95</v>
      </c>
      <c r="AQ12" s="70">
        <v>546</v>
      </c>
      <c r="AR12" s="70">
        <v>1440</v>
      </c>
      <c r="AS12" s="70">
        <v>780.19</v>
      </c>
      <c r="AT12" s="70">
        <v>1080</v>
      </c>
      <c r="AU12" s="70">
        <v>3846.19</v>
      </c>
      <c r="AV12" s="71">
        <v>0.1</v>
      </c>
      <c r="AW12" s="70">
        <v>10697.49</v>
      </c>
    </row>
    <row r="13" spans="1:49" x14ac:dyDescent="0.25">
      <c r="A13" s="59" t="s">
        <v>99</v>
      </c>
      <c r="B13" s="59" t="s">
        <v>227</v>
      </c>
      <c r="C13" s="59" t="s">
        <v>122</v>
      </c>
      <c r="D13" s="59" t="s">
        <v>219</v>
      </c>
      <c r="E13" s="60" t="s">
        <v>211</v>
      </c>
      <c r="F13" s="60" t="s">
        <v>228</v>
      </c>
      <c r="G13" s="64">
        <v>45.489956890000002</v>
      </c>
      <c r="H13" s="64">
        <v>-116.8040963</v>
      </c>
      <c r="I13" s="65" t="s">
        <v>174</v>
      </c>
      <c r="J13" s="65" t="s">
        <v>193</v>
      </c>
      <c r="K13" s="65"/>
      <c r="L13" s="65" t="s">
        <v>176</v>
      </c>
      <c r="M13" s="65" t="s">
        <v>177</v>
      </c>
      <c r="N13" s="65" t="s">
        <v>178</v>
      </c>
      <c r="O13" s="65" t="s">
        <v>199</v>
      </c>
      <c r="P13" s="65">
        <v>4</v>
      </c>
      <c r="Q13" s="65"/>
      <c r="R13" s="65"/>
      <c r="S13" s="65" t="s">
        <v>180</v>
      </c>
      <c r="T13" s="66" t="s">
        <v>181</v>
      </c>
      <c r="U13" s="66" t="s">
        <v>182</v>
      </c>
      <c r="V13" s="66" t="s">
        <v>183</v>
      </c>
      <c r="W13" s="66" t="s">
        <v>184</v>
      </c>
      <c r="X13" s="66" t="s">
        <v>185</v>
      </c>
      <c r="Y13" s="66" t="s">
        <v>186</v>
      </c>
      <c r="Z13" s="66" t="s">
        <v>187</v>
      </c>
      <c r="AA13" s="66" t="s">
        <v>195</v>
      </c>
      <c r="AB13" s="66"/>
      <c r="AC13" s="66" t="s">
        <v>180</v>
      </c>
      <c r="AD13" s="67">
        <v>6</v>
      </c>
      <c r="AE13" s="65" t="s">
        <v>189</v>
      </c>
      <c r="AF13" s="65" t="s">
        <v>180</v>
      </c>
      <c r="AG13" s="68" t="s">
        <v>99</v>
      </c>
      <c r="AH13" s="69">
        <v>2000</v>
      </c>
      <c r="AI13" s="69">
        <v>835</v>
      </c>
      <c r="AJ13" s="69">
        <v>8500</v>
      </c>
      <c r="AK13" s="69">
        <v>0</v>
      </c>
      <c r="AL13" s="69">
        <v>17610</v>
      </c>
      <c r="AM13" s="69">
        <v>3950</v>
      </c>
      <c r="AN13" s="69">
        <v>12500</v>
      </c>
      <c r="AO13" s="69">
        <v>45395</v>
      </c>
      <c r="AP13" s="61" t="s">
        <v>99</v>
      </c>
      <c r="AQ13" s="70">
        <v>364</v>
      </c>
      <c r="AR13" s="70">
        <v>1440</v>
      </c>
      <c r="AS13" s="70">
        <v>120</v>
      </c>
      <c r="AT13" s="70">
        <v>1080</v>
      </c>
      <c r="AU13" s="70">
        <v>3004</v>
      </c>
      <c r="AV13" s="71">
        <v>0.1</v>
      </c>
      <c r="AW13" s="70">
        <v>7543.5</v>
      </c>
    </row>
    <row r="14" spans="1:49" x14ac:dyDescent="0.25">
      <c r="A14" s="59" t="s">
        <v>58</v>
      </c>
      <c r="B14" s="59" t="s">
        <v>229</v>
      </c>
      <c r="C14" s="59" t="s">
        <v>230</v>
      </c>
      <c r="D14" s="59" t="s">
        <v>231</v>
      </c>
      <c r="E14" s="60" t="s">
        <v>172</v>
      </c>
      <c r="F14" s="60" t="s">
        <v>232</v>
      </c>
      <c r="G14" s="64">
        <v>45.103563999999999</v>
      </c>
      <c r="H14" s="64">
        <v>-114.853927</v>
      </c>
      <c r="I14" s="65" t="s">
        <v>233</v>
      </c>
      <c r="J14" s="65" t="s">
        <v>234</v>
      </c>
      <c r="K14" s="65"/>
      <c r="L14" s="65" t="s">
        <v>235</v>
      </c>
      <c r="M14" s="65"/>
      <c r="N14" s="65"/>
      <c r="O14" s="65" t="s">
        <v>236</v>
      </c>
      <c r="P14" s="65">
        <v>24</v>
      </c>
      <c r="Q14" s="65">
        <v>16</v>
      </c>
      <c r="R14" s="65"/>
      <c r="S14" s="65" t="s">
        <v>180</v>
      </c>
      <c r="T14" s="66" t="s">
        <v>200</v>
      </c>
      <c r="U14" s="66" t="s">
        <v>201</v>
      </c>
      <c r="V14" s="66" t="s">
        <v>183</v>
      </c>
      <c r="W14" s="66" t="s">
        <v>184</v>
      </c>
      <c r="X14" s="66" t="s">
        <v>185</v>
      </c>
      <c r="Y14" s="66" t="s">
        <v>186</v>
      </c>
      <c r="Z14" s="66" t="s">
        <v>187</v>
      </c>
      <c r="AA14" s="66" t="s">
        <v>195</v>
      </c>
      <c r="AB14" s="66" t="s">
        <v>237</v>
      </c>
      <c r="AC14" s="66" t="s">
        <v>180</v>
      </c>
      <c r="AD14" s="67">
        <v>12</v>
      </c>
      <c r="AE14" s="65" t="s">
        <v>205</v>
      </c>
      <c r="AF14" s="65" t="s">
        <v>180</v>
      </c>
      <c r="AG14" s="68" t="s">
        <v>58</v>
      </c>
      <c r="AH14" s="69">
        <v>2000</v>
      </c>
      <c r="AI14" s="69">
        <v>835</v>
      </c>
      <c r="AJ14" s="69">
        <v>4450</v>
      </c>
      <c r="AK14" s="69">
        <v>25008</v>
      </c>
      <c r="AL14" s="69">
        <v>35220</v>
      </c>
      <c r="AM14" s="69">
        <v>51696</v>
      </c>
      <c r="AN14" s="69">
        <v>12500</v>
      </c>
      <c r="AO14" s="69">
        <v>131709</v>
      </c>
      <c r="AP14" s="61" t="s">
        <v>58</v>
      </c>
      <c r="AQ14" s="70">
        <v>2184</v>
      </c>
      <c r="AR14" s="70">
        <v>1440</v>
      </c>
      <c r="AS14" s="70">
        <v>0</v>
      </c>
      <c r="AT14" s="70">
        <v>1080</v>
      </c>
      <c r="AU14" s="70">
        <v>4704</v>
      </c>
      <c r="AV14" s="71">
        <v>0.08</v>
      </c>
      <c r="AW14" s="70">
        <v>15240.72</v>
      </c>
    </row>
    <row r="15" spans="1:49" x14ac:dyDescent="0.25">
      <c r="A15" s="59" t="s">
        <v>61</v>
      </c>
      <c r="B15" s="59" t="s">
        <v>238</v>
      </c>
      <c r="C15" s="59" t="s">
        <v>230</v>
      </c>
      <c r="D15" s="59" t="s">
        <v>231</v>
      </c>
      <c r="E15" s="60" t="s">
        <v>172</v>
      </c>
      <c r="F15" s="60" t="s">
        <v>222</v>
      </c>
      <c r="G15" s="64">
        <v>44.408025000000002</v>
      </c>
      <c r="H15" s="64">
        <v>-115.179452</v>
      </c>
      <c r="I15" s="65" t="s">
        <v>239</v>
      </c>
      <c r="J15" s="65" t="s">
        <v>240</v>
      </c>
      <c r="K15" s="65"/>
      <c r="L15" s="65"/>
      <c r="M15" s="65"/>
      <c r="N15" s="65"/>
      <c r="O15" s="65"/>
      <c r="P15" s="65"/>
      <c r="Q15" s="65"/>
      <c r="R15" s="65" t="s">
        <v>241</v>
      </c>
      <c r="S15" s="65" t="s">
        <v>180</v>
      </c>
      <c r="T15" s="66" t="s">
        <v>200</v>
      </c>
      <c r="U15" s="66" t="s">
        <v>201</v>
      </c>
      <c r="V15" s="66"/>
      <c r="W15" s="66" t="s">
        <v>184</v>
      </c>
      <c r="X15" s="66" t="s">
        <v>185</v>
      </c>
      <c r="Y15" s="66" t="s">
        <v>186</v>
      </c>
      <c r="Z15" s="66"/>
      <c r="AA15" s="66"/>
      <c r="AB15" s="66"/>
      <c r="AC15" s="66" t="s">
        <v>180</v>
      </c>
      <c r="AD15" s="67">
        <v>8</v>
      </c>
      <c r="AE15" s="65" t="s">
        <v>205</v>
      </c>
      <c r="AF15" s="65" t="s">
        <v>180</v>
      </c>
      <c r="AG15" s="68" t="s">
        <v>61</v>
      </c>
      <c r="AH15" s="69">
        <v>2000</v>
      </c>
      <c r="AI15" s="69">
        <v>0</v>
      </c>
      <c r="AJ15" s="69">
        <v>4450</v>
      </c>
      <c r="AK15" s="69">
        <v>16672</v>
      </c>
      <c r="AL15" s="69">
        <v>23480</v>
      </c>
      <c r="AM15" s="69">
        <v>13874</v>
      </c>
      <c r="AN15" s="69">
        <v>12500</v>
      </c>
      <c r="AO15" s="69">
        <v>72976</v>
      </c>
      <c r="AP15" s="61" t="s">
        <v>61</v>
      </c>
      <c r="AQ15" s="70">
        <v>0</v>
      </c>
      <c r="AR15" s="70">
        <v>1440</v>
      </c>
      <c r="AS15" s="70">
        <v>3120.75</v>
      </c>
      <c r="AT15" s="70">
        <v>1080</v>
      </c>
      <c r="AU15" s="70">
        <v>5640.75</v>
      </c>
      <c r="AV15" s="71">
        <v>0.08</v>
      </c>
      <c r="AW15" s="70">
        <v>11478.83</v>
      </c>
    </row>
    <row r="16" spans="1:49" x14ac:dyDescent="0.25">
      <c r="A16" s="59" t="s">
        <v>242</v>
      </c>
      <c r="B16" s="59" t="s">
        <v>243</v>
      </c>
      <c r="C16" s="59" t="s">
        <v>230</v>
      </c>
      <c r="D16" s="59" t="s">
        <v>244</v>
      </c>
      <c r="E16" s="60" t="s">
        <v>172</v>
      </c>
      <c r="F16" s="60" t="s">
        <v>222</v>
      </c>
      <c r="G16" s="64">
        <v>44.955719999999999</v>
      </c>
      <c r="H16" s="64">
        <v>-115.537978</v>
      </c>
      <c r="I16" s="65" t="s">
        <v>216</v>
      </c>
      <c r="J16" s="65" t="s">
        <v>223</v>
      </c>
      <c r="K16" s="65"/>
      <c r="L16" s="65" t="s">
        <v>176</v>
      </c>
      <c r="M16" s="65" t="s">
        <v>177</v>
      </c>
      <c r="N16" s="65"/>
      <c r="O16" s="65"/>
      <c r="P16" s="65"/>
      <c r="Q16" s="65"/>
      <c r="R16" s="65" t="s">
        <v>245</v>
      </c>
      <c r="S16" s="65" t="s">
        <v>180</v>
      </c>
      <c r="T16" s="66" t="s">
        <v>181</v>
      </c>
      <c r="U16" s="66" t="s">
        <v>182</v>
      </c>
      <c r="V16" s="66" t="s">
        <v>183</v>
      </c>
      <c r="W16" s="66" t="s">
        <v>184</v>
      </c>
      <c r="X16" s="66" t="s">
        <v>185</v>
      </c>
      <c r="Y16" s="66" t="s">
        <v>186</v>
      </c>
      <c r="Z16" s="66" t="s">
        <v>187</v>
      </c>
      <c r="AA16" s="66" t="s">
        <v>195</v>
      </c>
      <c r="AB16" s="66"/>
      <c r="AC16" s="66" t="s">
        <v>180</v>
      </c>
      <c r="AD16" s="67">
        <v>4</v>
      </c>
      <c r="AE16" s="65" t="s">
        <v>189</v>
      </c>
      <c r="AF16" s="65" t="s">
        <v>180</v>
      </c>
      <c r="AG16" s="68" t="s">
        <v>242</v>
      </c>
      <c r="AH16" s="69">
        <v>2000</v>
      </c>
      <c r="AI16" s="69">
        <v>835</v>
      </c>
      <c r="AJ16" s="69">
        <v>8500</v>
      </c>
      <c r="AK16" s="69">
        <v>0</v>
      </c>
      <c r="AL16" s="69">
        <v>11740</v>
      </c>
      <c r="AM16" s="69">
        <v>10479</v>
      </c>
      <c r="AN16" s="69">
        <v>12500</v>
      </c>
      <c r="AO16" s="69">
        <v>46054</v>
      </c>
      <c r="AP16" s="61" t="s">
        <v>242</v>
      </c>
      <c r="AQ16" s="70">
        <v>0</v>
      </c>
      <c r="AR16" s="70">
        <v>1440</v>
      </c>
      <c r="AS16" s="70">
        <v>1560.38</v>
      </c>
      <c r="AT16" s="70">
        <v>1080</v>
      </c>
      <c r="AU16" s="70">
        <v>4080.38</v>
      </c>
      <c r="AV16" s="71">
        <v>0.1</v>
      </c>
      <c r="AW16" s="70">
        <v>8685.7800000000007</v>
      </c>
    </row>
    <row r="17" spans="1:49" x14ac:dyDescent="0.25">
      <c r="A17" s="59" t="s">
        <v>246</v>
      </c>
      <c r="B17" s="59" t="s">
        <v>247</v>
      </c>
      <c r="C17" s="59" t="s">
        <v>230</v>
      </c>
      <c r="D17" s="59" t="s">
        <v>244</v>
      </c>
      <c r="E17" s="60" t="s">
        <v>172</v>
      </c>
      <c r="F17" s="60" t="s">
        <v>222</v>
      </c>
      <c r="G17" s="64">
        <v>44.957540999999999</v>
      </c>
      <c r="H17" s="64">
        <v>-115.528927</v>
      </c>
      <c r="I17" s="65" t="s">
        <v>216</v>
      </c>
      <c r="J17" s="65" t="s">
        <v>223</v>
      </c>
      <c r="K17" s="65"/>
      <c r="L17" s="65" t="s">
        <v>248</v>
      </c>
      <c r="M17" s="65" t="s">
        <v>177</v>
      </c>
      <c r="N17" s="65"/>
      <c r="O17" s="65"/>
      <c r="P17" s="65"/>
      <c r="Q17" s="65"/>
      <c r="R17" s="65" t="s">
        <v>245</v>
      </c>
      <c r="S17" s="65" t="s">
        <v>180</v>
      </c>
      <c r="T17" s="66" t="s">
        <v>181</v>
      </c>
      <c r="U17" s="66" t="s">
        <v>182</v>
      </c>
      <c r="V17" s="66" t="s">
        <v>183</v>
      </c>
      <c r="W17" s="66" t="s">
        <v>184</v>
      </c>
      <c r="X17" s="66" t="s">
        <v>185</v>
      </c>
      <c r="Y17" s="66" t="s">
        <v>186</v>
      </c>
      <c r="Z17" s="66" t="s">
        <v>187</v>
      </c>
      <c r="AA17" s="66" t="s">
        <v>195</v>
      </c>
      <c r="AB17" s="66"/>
      <c r="AC17" s="66" t="s">
        <v>180</v>
      </c>
      <c r="AD17" s="67">
        <v>4</v>
      </c>
      <c r="AE17" s="65" t="s">
        <v>189</v>
      </c>
      <c r="AF17" s="65" t="s">
        <v>180</v>
      </c>
      <c r="AG17" s="68" t="s">
        <v>246</v>
      </c>
      <c r="AH17" s="69">
        <v>2000</v>
      </c>
      <c r="AI17" s="69">
        <v>835</v>
      </c>
      <c r="AJ17" s="69">
        <v>8500</v>
      </c>
      <c r="AK17" s="69">
        <v>0</v>
      </c>
      <c r="AL17" s="69">
        <v>11740</v>
      </c>
      <c r="AM17" s="69">
        <v>10479</v>
      </c>
      <c r="AN17" s="69">
        <v>12500</v>
      </c>
      <c r="AO17" s="69">
        <v>46054</v>
      </c>
      <c r="AP17" s="61" t="s">
        <v>246</v>
      </c>
      <c r="AQ17" s="70">
        <v>0</v>
      </c>
      <c r="AR17" s="70">
        <v>1440</v>
      </c>
      <c r="AS17" s="70">
        <v>1560.38</v>
      </c>
      <c r="AT17" s="70">
        <v>1080</v>
      </c>
      <c r="AU17" s="70">
        <v>4080.38</v>
      </c>
      <c r="AV17" s="71">
        <v>0.1</v>
      </c>
      <c r="AW17" s="70">
        <v>8685.7800000000007</v>
      </c>
    </row>
    <row r="18" spans="1:49" x14ac:dyDescent="0.25">
      <c r="A18" s="59" t="s">
        <v>56</v>
      </c>
      <c r="B18" s="59" t="s">
        <v>249</v>
      </c>
      <c r="C18" s="59" t="s">
        <v>230</v>
      </c>
      <c r="D18" s="59" t="s">
        <v>244</v>
      </c>
      <c r="E18" s="60" t="s">
        <v>172</v>
      </c>
      <c r="F18" s="60" t="s">
        <v>222</v>
      </c>
      <c r="G18" s="64">
        <v>44.978471550000002</v>
      </c>
      <c r="H18" s="64">
        <v>-115.7269938</v>
      </c>
      <c r="I18" s="65" t="s">
        <v>239</v>
      </c>
      <c r="J18" s="65" t="s">
        <v>193</v>
      </c>
      <c r="K18" s="65"/>
      <c r="L18" s="65" t="s">
        <v>248</v>
      </c>
      <c r="M18" s="65" t="s">
        <v>177</v>
      </c>
      <c r="N18" s="65"/>
      <c r="O18" s="65"/>
      <c r="P18" s="65"/>
      <c r="Q18" s="65"/>
      <c r="R18" s="65"/>
      <c r="S18" s="65" t="s">
        <v>180</v>
      </c>
      <c r="T18" s="66" t="s">
        <v>200</v>
      </c>
      <c r="U18" s="66" t="s">
        <v>201</v>
      </c>
      <c r="V18" s="66" t="s">
        <v>183</v>
      </c>
      <c r="W18" s="66" t="s">
        <v>184</v>
      </c>
      <c r="X18" s="66" t="s">
        <v>185</v>
      </c>
      <c r="Y18" s="66" t="s">
        <v>186</v>
      </c>
      <c r="Z18" s="66" t="s">
        <v>187</v>
      </c>
      <c r="AA18" s="66" t="s">
        <v>195</v>
      </c>
      <c r="AB18" s="66"/>
      <c r="AC18" s="66" t="s">
        <v>180</v>
      </c>
      <c r="AD18" s="67">
        <v>10</v>
      </c>
      <c r="AE18" s="65" t="s">
        <v>205</v>
      </c>
      <c r="AF18" s="65" t="s">
        <v>180</v>
      </c>
      <c r="AG18" s="68" t="s">
        <v>56</v>
      </c>
      <c r="AH18" s="69">
        <v>2000</v>
      </c>
      <c r="AI18" s="69">
        <v>835</v>
      </c>
      <c r="AJ18" s="69">
        <v>4450</v>
      </c>
      <c r="AK18" s="69">
        <v>20840</v>
      </c>
      <c r="AL18" s="69">
        <v>29350</v>
      </c>
      <c r="AM18" s="69">
        <v>13874</v>
      </c>
      <c r="AN18" s="69">
        <v>12500</v>
      </c>
      <c r="AO18" s="69">
        <v>83849</v>
      </c>
      <c r="AP18" s="61" t="s">
        <v>56</v>
      </c>
      <c r="AQ18" s="70">
        <v>0</v>
      </c>
      <c r="AR18" s="70">
        <v>1440</v>
      </c>
      <c r="AS18" s="70">
        <v>3120.75</v>
      </c>
      <c r="AT18" s="70">
        <v>1080</v>
      </c>
      <c r="AU18" s="70">
        <v>5640.75</v>
      </c>
      <c r="AV18" s="71">
        <v>0.08</v>
      </c>
      <c r="AW18" s="70">
        <v>12348.67</v>
      </c>
    </row>
    <row r="19" spans="1:49" x14ac:dyDescent="0.25">
      <c r="A19" s="59" t="s">
        <v>54</v>
      </c>
      <c r="B19" s="59" t="s">
        <v>250</v>
      </c>
      <c r="C19" s="59" t="s">
        <v>230</v>
      </c>
      <c r="D19" s="59" t="s">
        <v>244</v>
      </c>
      <c r="E19" s="60" t="s">
        <v>172</v>
      </c>
      <c r="F19" s="60" t="s">
        <v>222</v>
      </c>
      <c r="G19" s="64">
        <v>45.175655999999996</v>
      </c>
      <c r="H19" s="64">
        <v>-115.579713</v>
      </c>
      <c r="I19" s="65" t="s">
        <v>192</v>
      </c>
      <c r="J19" s="65" t="s">
        <v>193</v>
      </c>
      <c r="K19" s="65"/>
      <c r="L19" s="65" t="s">
        <v>176</v>
      </c>
      <c r="M19" s="65" t="s">
        <v>177</v>
      </c>
      <c r="N19" s="65"/>
      <c r="O19" s="65"/>
      <c r="P19" s="65">
        <v>4</v>
      </c>
      <c r="Q19" s="65">
        <v>4</v>
      </c>
      <c r="R19" s="65" t="s">
        <v>245</v>
      </c>
      <c r="S19" s="65" t="s">
        <v>180</v>
      </c>
      <c r="T19" s="66" t="s">
        <v>200</v>
      </c>
      <c r="U19" s="66" t="s">
        <v>201</v>
      </c>
      <c r="V19" s="66" t="s">
        <v>183</v>
      </c>
      <c r="W19" s="66" t="s">
        <v>184</v>
      </c>
      <c r="X19" s="66" t="s">
        <v>185</v>
      </c>
      <c r="Y19" s="66" t="s">
        <v>186</v>
      </c>
      <c r="Z19" s="66" t="s">
        <v>187</v>
      </c>
      <c r="AA19" s="66" t="s">
        <v>195</v>
      </c>
      <c r="AB19" s="66"/>
      <c r="AC19" s="66" t="s">
        <v>180</v>
      </c>
      <c r="AD19" s="67">
        <v>9</v>
      </c>
      <c r="AE19" s="65" t="s">
        <v>205</v>
      </c>
      <c r="AF19" s="65" t="s">
        <v>180</v>
      </c>
      <c r="AG19" s="68" t="s">
        <v>54</v>
      </c>
      <c r="AH19" s="69">
        <v>2000</v>
      </c>
      <c r="AI19" s="69">
        <v>835</v>
      </c>
      <c r="AJ19" s="69">
        <v>4450</v>
      </c>
      <c r="AK19" s="69">
        <v>18756</v>
      </c>
      <c r="AL19" s="69">
        <v>26415</v>
      </c>
      <c r="AM19" s="69">
        <v>29303</v>
      </c>
      <c r="AN19" s="69">
        <v>12500</v>
      </c>
      <c r="AO19" s="69">
        <v>94259</v>
      </c>
      <c r="AP19" s="61" t="s">
        <v>54</v>
      </c>
      <c r="AQ19" s="70">
        <v>364</v>
      </c>
      <c r="AR19" s="70">
        <v>1440</v>
      </c>
      <c r="AS19" s="70">
        <v>780.19</v>
      </c>
      <c r="AT19" s="70">
        <v>1080</v>
      </c>
      <c r="AU19" s="70">
        <v>3664.19</v>
      </c>
      <c r="AV19" s="71">
        <v>0.08</v>
      </c>
      <c r="AW19" s="70">
        <v>11204.91</v>
      </c>
    </row>
    <row r="20" spans="1:49" x14ac:dyDescent="0.25">
      <c r="A20" s="59" t="s">
        <v>251</v>
      </c>
      <c r="B20" s="59" t="s">
        <v>252</v>
      </c>
      <c r="C20" s="59" t="s">
        <v>230</v>
      </c>
      <c r="D20" s="59" t="s">
        <v>244</v>
      </c>
      <c r="E20" s="60" t="s">
        <v>172</v>
      </c>
      <c r="F20" s="60" t="s">
        <v>222</v>
      </c>
      <c r="G20" s="64">
        <v>45.033403999999997</v>
      </c>
      <c r="H20" s="64">
        <v>-115.73215500000001</v>
      </c>
      <c r="I20" s="65" t="s">
        <v>216</v>
      </c>
      <c r="J20" s="65" t="s">
        <v>223</v>
      </c>
      <c r="K20" s="65"/>
      <c r="L20" s="65" t="s">
        <v>248</v>
      </c>
      <c r="M20" s="65" t="s">
        <v>177</v>
      </c>
      <c r="N20" s="65" t="s">
        <v>178</v>
      </c>
      <c r="O20" s="65" t="s">
        <v>179</v>
      </c>
      <c r="P20" s="65">
        <v>4</v>
      </c>
      <c r="Q20" s="65"/>
      <c r="R20" s="65" t="s">
        <v>245</v>
      </c>
      <c r="S20" s="65" t="s">
        <v>180</v>
      </c>
      <c r="T20" s="66" t="s">
        <v>181</v>
      </c>
      <c r="U20" s="66" t="s">
        <v>182</v>
      </c>
      <c r="V20" s="66" t="s">
        <v>183</v>
      </c>
      <c r="W20" s="66" t="s">
        <v>184</v>
      </c>
      <c r="X20" s="66" t="s">
        <v>185</v>
      </c>
      <c r="Y20" s="66" t="s">
        <v>186</v>
      </c>
      <c r="Z20" s="66" t="s">
        <v>187</v>
      </c>
      <c r="AA20" s="66" t="s">
        <v>195</v>
      </c>
      <c r="AB20" s="66" t="s">
        <v>253</v>
      </c>
      <c r="AC20" s="66" t="s">
        <v>180</v>
      </c>
      <c r="AD20" s="67">
        <v>6</v>
      </c>
      <c r="AE20" s="65" t="s">
        <v>254</v>
      </c>
      <c r="AF20" s="65" t="s">
        <v>180</v>
      </c>
      <c r="AG20" s="68" t="s">
        <v>251</v>
      </c>
      <c r="AH20" s="69">
        <v>2000</v>
      </c>
      <c r="AI20" s="69">
        <v>835</v>
      </c>
      <c r="AJ20" s="69">
        <v>8500</v>
      </c>
      <c r="AK20" s="69">
        <v>0</v>
      </c>
      <c r="AL20" s="69">
        <v>17610</v>
      </c>
      <c r="AM20" s="69">
        <v>11879</v>
      </c>
      <c r="AN20" s="69">
        <v>12500</v>
      </c>
      <c r="AO20" s="69">
        <v>53324</v>
      </c>
      <c r="AP20" s="61" t="s">
        <v>251</v>
      </c>
      <c r="AQ20" s="70">
        <v>364</v>
      </c>
      <c r="AR20" s="70">
        <v>1440</v>
      </c>
      <c r="AS20" s="70">
        <v>1560.38</v>
      </c>
      <c r="AT20" s="70">
        <v>1080</v>
      </c>
      <c r="AU20" s="70">
        <v>4444.38</v>
      </c>
      <c r="AV20" s="71">
        <v>0.1</v>
      </c>
      <c r="AW20" s="70">
        <v>9776.7800000000007</v>
      </c>
    </row>
    <row r="21" spans="1:49" x14ac:dyDescent="0.25">
      <c r="A21" s="59" t="s">
        <v>255</v>
      </c>
      <c r="B21" s="59" t="s">
        <v>256</v>
      </c>
      <c r="C21" s="59" t="s">
        <v>230</v>
      </c>
      <c r="D21" s="59" t="s">
        <v>244</v>
      </c>
      <c r="E21" s="60" t="s">
        <v>172</v>
      </c>
      <c r="F21" s="60" t="s">
        <v>222</v>
      </c>
      <c r="G21" s="64">
        <v>45.033400999999998</v>
      </c>
      <c r="H21" s="64">
        <v>-115.73373100000001</v>
      </c>
      <c r="I21" s="65" t="s">
        <v>216</v>
      </c>
      <c r="J21" s="65" t="s">
        <v>223</v>
      </c>
      <c r="K21" s="65"/>
      <c r="L21" s="65" t="s">
        <v>248</v>
      </c>
      <c r="M21" s="65" t="s">
        <v>177</v>
      </c>
      <c r="N21" s="65" t="s">
        <v>178</v>
      </c>
      <c r="O21" s="65" t="s">
        <v>179</v>
      </c>
      <c r="P21" s="65">
        <v>4</v>
      </c>
      <c r="Q21" s="65"/>
      <c r="R21" s="65" t="s">
        <v>245</v>
      </c>
      <c r="S21" s="65" t="s">
        <v>180</v>
      </c>
      <c r="T21" s="66" t="s">
        <v>181</v>
      </c>
      <c r="U21" s="66" t="s">
        <v>182</v>
      </c>
      <c r="V21" s="66" t="s">
        <v>183</v>
      </c>
      <c r="W21" s="66" t="s">
        <v>184</v>
      </c>
      <c r="X21" s="66" t="s">
        <v>257</v>
      </c>
      <c r="Y21" s="66" t="s">
        <v>257</v>
      </c>
      <c r="Z21" s="66" t="s">
        <v>187</v>
      </c>
      <c r="AA21" s="66" t="s">
        <v>195</v>
      </c>
      <c r="AB21" s="66" t="s">
        <v>258</v>
      </c>
      <c r="AC21" s="66" t="s">
        <v>180</v>
      </c>
      <c r="AD21" s="67">
        <v>4</v>
      </c>
      <c r="AE21" s="65" t="s">
        <v>254</v>
      </c>
      <c r="AF21" s="65" t="s">
        <v>180</v>
      </c>
      <c r="AG21" s="68" t="s">
        <v>255</v>
      </c>
      <c r="AH21" s="69">
        <v>2000</v>
      </c>
      <c r="AI21" s="69">
        <v>835</v>
      </c>
      <c r="AJ21" s="69">
        <v>8500</v>
      </c>
      <c r="AK21" s="69">
        <v>0</v>
      </c>
      <c r="AL21" s="69">
        <v>11740</v>
      </c>
      <c r="AM21" s="69">
        <v>11879</v>
      </c>
      <c r="AN21" s="69">
        <v>12500</v>
      </c>
      <c r="AO21" s="69">
        <v>47454</v>
      </c>
      <c r="AP21" s="61" t="s">
        <v>255</v>
      </c>
      <c r="AQ21" s="70">
        <v>364</v>
      </c>
      <c r="AR21" s="70">
        <v>1440</v>
      </c>
      <c r="AS21" s="70">
        <v>1560.38</v>
      </c>
      <c r="AT21" s="70">
        <v>1080</v>
      </c>
      <c r="AU21" s="70">
        <v>4444.38</v>
      </c>
      <c r="AV21" s="71">
        <v>0.1</v>
      </c>
      <c r="AW21" s="70">
        <v>9189.7800000000007</v>
      </c>
    </row>
    <row r="22" spans="1:49" x14ac:dyDescent="0.25">
      <c r="A22" s="59" t="s">
        <v>259</v>
      </c>
      <c r="B22" s="59" t="s">
        <v>260</v>
      </c>
      <c r="C22" s="59" t="s">
        <v>261</v>
      </c>
      <c r="D22" s="59" t="s">
        <v>262</v>
      </c>
      <c r="E22" s="60" t="s">
        <v>211</v>
      </c>
      <c r="F22" s="60" t="s">
        <v>263</v>
      </c>
      <c r="G22" s="64">
        <v>47.738596000000001</v>
      </c>
      <c r="H22" s="64">
        <v>-120.362548</v>
      </c>
      <c r="I22" s="65" t="s">
        <v>174</v>
      </c>
      <c r="J22" s="65" t="s">
        <v>208</v>
      </c>
      <c r="K22" s="65"/>
      <c r="L22" s="65"/>
      <c r="M22" s="65"/>
      <c r="N22" s="65" t="s">
        <v>209</v>
      </c>
      <c r="O22" s="65" t="s">
        <v>264</v>
      </c>
      <c r="P22" s="65">
        <v>4</v>
      </c>
      <c r="Q22" s="65"/>
      <c r="R22" s="65"/>
      <c r="S22" s="65" t="s">
        <v>190</v>
      </c>
      <c r="T22" s="66" t="s">
        <v>181</v>
      </c>
      <c r="U22" s="66" t="s">
        <v>182</v>
      </c>
      <c r="V22" s="66" t="s">
        <v>183</v>
      </c>
      <c r="W22" s="66" t="s">
        <v>184</v>
      </c>
      <c r="X22" s="66" t="s">
        <v>185</v>
      </c>
      <c r="Y22" s="66" t="s">
        <v>186</v>
      </c>
      <c r="Z22" s="66" t="s">
        <v>187</v>
      </c>
      <c r="AA22" s="66" t="s">
        <v>195</v>
      </c>
      <c r="AB22" s="66"/>
      <c r="AC22" s="66" t="s">
        <v>190</v>
      </c>
      <c r="AD22" s="67">
        <v>6</v>
      </c>
      <c r="AE22" s="65" t="s">
        <v>265</v>
      </c>
      <c r="AF22" s="65" t="s">
        <v>190</v>
      </c>
      <c r="AG22" s="68" t="s">
        <v>259</v>
      </c>
      <c r="AH22" s="69">
        <v>2000</v>
      </c>
      <c r="AI22" s="69">
        <v>835</v>
      </c>
      <c r="AJ22" s="69">
        <v>8500</v>
      </c>
      <c r="AK22" s="69">
        <v>0</v>
      </c>
      <c r="AL22" s="69">
        <v>17610</v>
      </c>
      <c r="AM22" s="69">
        <v>3950</v>
      </c>
      <c r="AN22" s="69">
        <v>12500</v>
      </c>
      <c r="AO22" s="69">
        <v>45395</v>
      </c>
      <c r="AP22" s="61" t="s">
        <v>259</v>
      </c>
      <c r="AQ22" s="70">
        <v>364</v>
      </c>
      <c r="AR22" s="70">
        <v>1440</v>
      </c>
      <c r="AS22" s="70">
        <v>120</v>
      </c>
      <c r="AT22" s="70">
        <v>1080</v>
      </c>
      <c r="AU22" s="70">
        <v>3004</v>
      </c>
      <c r="AV22" s="71">
        <v>0.1</v>
      </c>
      <c r="AW22" s="70">
        <v>7543.5</v>
      </c>
    </row>
    <row r="23" spans="1:49" x14ac:dyDescent="0.25">
      <c r="A23" s="59" t="s">
        <v>266</v>
      </c>
      <c r="B23" s="59" t="s">
        <v>267</v>
      </c>
      <c r="C23" s="59" t="s">
        <v>261</v>
      </c>
      <c r="D23" s="59" t="s">
        <v>262</v>
      </c>
      <c r="E23" s="60" t="s">
        <v>172</v>
      </c>
      <c r="F23" s="60" t="s">
        <v>0</v>
      </c>
      <c r="G23" s="64">
        <v>47.663781999999998</v>
      </c>
      <c r="H23" s="64">
        <v>-120.24281999999999</v>
      </c>
      <c r="I23" s="65" t="s">
        <v>174</v>
      </c>
      <c r="J23" s="65" t="s">
        <v>208</v>
      </c>
      <c r="K23" s="65" t="s">
        <v>257</v>
      </c>
      <c r="L23" s="65"/>
      <c r="M23" s="65"/>
      <c r="N23" s="65" t="s">
        <v>209</v>
      </c>
      <c r="O23" s="65" t="s">
        <v>264</v>
      </c>
      <c r="P23" s="65">
        <v>4</v>
      </c>
      <c r="Q23" s="65"/>
      <c r="R23" s="65"/>
      <c r="S23" s="65" t="s">
        <v>180</v>
      </c>
      <c r="T23" s="66" t="s">
        <v>200</v>
      </c>
      <c r="U23" s="66" t="s">
        <v>201</v>
      </c>
      <c r="V23" s="66" t="s">
        <v>183</v>
      </c>
      <c r="W23" s="66" t="s">
        <v>184</v>
      </c>
      <c r="X23" s="66" t="s">
        <v>185</v>
      </c>
      <c r="Y23" s="66" t="s">
        <v>186</v>
      </c>
      <c r="Z23" s="66" t="s">
        <v>187</v>
      </c>
      <c r="AA23" s="66" t="s">
        <v>195</v>
      </c>
      <c r="AB23" s="66"/>
      <c r="AC23" s="66" t="s">
        <v>180</v>
      </c>
      <c r="AD23" s="67">
        <v>6</v>
      </c>
      <c r="AE23" s="65" t="s">
        <v>205</v>
      </c>
      <c r="AF23" s="65" t="s">
        <v>180</v>
      </c>
      <c r="AG23" s="68" t="s">
        <v>266</v>
      </c>
      <c r="AH23" s="69">
        <v>2000</v>
      </c>
      <c r="AI23" s="69">
        <v>835</v>
      </c>
      <c r="AJ23" s="69">
        <v>4450</v>
      </c>
      <c r="AK23" s="69">
        <v>12504</v>
      </c>
      <c r="AL23" s="69">
        <v>17610</v>
      </c>
      <c r="AM23" s="69">
        <v>3950</v>
      </c>
      <c r="AN23" s="69">
        <v>12500</v>
      </c>
      <c r="AO23" s="69">
        <v>53849</v>
      </c>
      <c r="AP23" s="61" t="s">
        <v>266</v>
      </c>
      <c r="AQ23" s="70">
        <v>364</v>
      </c>
      <c r="AR23" s="70">
        <v>1440</v>
      </c>
      <c r="AS23" s="70">
        <v>120</v>
      </c>
      <c r="AT23" s="70">
        <v>1080</v>
      </c>
      <c r="AU23" s="70">
        <v>3004</v>
      </c>
      <c r="AV23" s="71">
        <v>0.08</v>
      </c>
      <c r="AW23" s="70">
        <v>7311.92</v>
      </c>
    </row>
    <row r="24" spans="1:49" x14ac:dyDescent="0.25">
      <c r="A24" s="59" t="s">
        <v>268</v>
      </c>
      <c r="B24" s="59" t="s">
        <v>269</v>
      </c>
      <c r="C24" s="59" t="s">
        <v>261</v>
      </c>
      <c r="D24" s="59" t="s">
        <v>262</v>
      </c>
      <c r="E24" s="60" t="s">
        <v>211</v>
      </c>
      <c r="F24" s="60" t="s">
        <v>270</v>
      </c>
      <c r="G24" s="64">
        <v>47.856935</v>
      </c>
      <c r="H24" s="64">
        <v>-120.42251</v>
      </c>
      <c r="I24" s="65" t="s">
        <v>174</v>
      </c>
      <c r="J24" s="65" t="s">
        <v>208</v>
      </c>
      <c r="K24" s="65"/>
      <c r="L24" s="65"/>
      <c r="M24" s="65"/>
      <c r="N24" s="65" t="s">
        <v>209</v>
      </c>
      <c r="O24" s="65" t="s">
        <v>264</v>
      </c>
      <c r="P24" s="65">
        <v>4</v>
      </c>
      <c r="Q24" s="65"/>
      <c r="R24" s="65"/>
      <c r="S24" s="65" t="s">
        <v>190</v>
      </c>
      <c r="T24" s="66" t="s">
        <v>181</v>
      </c>
      <c r="U24" s="66" t="s">
        <v>182</v>
      </c>
      <c r="V24" s="66" t="s">
        <v>183</v>
      </c>
      <c r="W24" s="66" t="s">
        <v>184</v>
      </c>
      <c r="X24" s="66" t="s">
        <v>185</v>
      </c>
      <c r="Y24" s="66" t="s">
        <v>186</v>
      </c>
      <c r="Z24" s="66" t="s">
        <v>187</v>
      </c>
      <c r="AA24" s="66" t="s">
        <v>195</v>
      </c>
      <c r="AB24" s="66"/>
      <c r="AC24" s="66" t="s">
        <v>180</v>
      </c>
      <c r="AD24" s="67">
        <v>6</v>
      </c>
      <c r="AE24" s="65" t="s">
        <v>271</v>
      </c>
      <c r="AF24" s="65" t="s">
        <v>190</v>
      </c>
      <c r="AG24" s="68" t="s">
        <v>268</v>
      </c>
      <c r="AH24" s="69">
        <v>2000</v>
      </c>
      <c r="AI24" s="69">
        <v>835</v>
      </c>
      <c r="AJ24" s="69">
        <v>8500</v>
      </c>
      <c r="AK24" s="69">
        <v>0</v>
      </c>
      <c r="AL24" s="69">
        <v>17610</v>
      </c>
      <c r="AM24" s="69">
        <v>3950</v>
      </c>
      <c r="AN24" s="69">
        <v>12500</v>
      </c>
      <c r="AO24" s="69">
        <v>45395</v>
      </c>
      <c r="AP24" s="61" t="s">
        <v>268</v>
      </c>
      <c r="AQ24" s="70">
        <v>364</v>
      </c>
      <c r="AR24" s="70">
        <v>1440</v>
      </c>
      <c r="AS24" s="70">
        <v>120</v>
      </c>
      <c r="AT24" s="70">
        <v>1080</v>
      </c>
      <c r="AU24" s="70">
        <v>3004</v>
      </c>
      <c r="AV24" s="71">
        <v>0.1</v>
      </c>
      <c r="AW24" s="70">
        <v>7543.5</v>
      </c>
    </row>
    <row r="25" spans="1:49" x14ac:dyDescent="0.25">
      <c r="A25" s="59" t="s">
        <v>272</v>
      </c>
      <c r="B25" s="59" t="s">
        <v>273</v>
      </c>
      <c r="C25" s="59" t="s">
        <v>261</v>
      </c>
      <c r="D25" s="59" t="s">
        <v>262</v>
      </c>
      <c r="E25" s="60" t="s">
        <v>172</v>
      </c>
      <c r="F25" s="60" t="s">
        <v>274</v>
      </c>
      <c r="G25" s="64">
        <v>47.736874</v>
      </c>
      <c r="H25" s="64">
        <v>-120.368694</v>
      </c>
      <c r="I25" s="65" t="s">
        <v>174</v>
      </c>
      <c r="J25" s="65" t="s">
        <v>208</v>
      </c>
      <c r="K25" s="65"/>
      <c r="L25" s="65"/>
      <c r="M25" s="65"/>
      <c r="N25" s="65" t="s">
        <v>209</v>
      </c>
      <c r="O25" s="65" t="s">
        <v>264</v>
      </c>
      <c r="P25" s="65">
        <v>4</v>
      </c>
      <c r="Q25" s="65"/>
      <c r="R25" s="65"/>
      <c r="S25" s="65" t="s">
        <v>190</v>
      </c>
      <c r="T25" s="66" t="s">
        <v>181</v>
      </c>
      <c r="U25" s="66" t="s">
        <v>182</v>
      </c>
      <c r="V25" s="66" t="s">
        <v>183</v>
      </c>
      <c r="W25" s="66" t="s">
        <v>184</v>
      </c>
      <c r="X25" s="66" t="s">
        <v>185</v>
      </c>
      <c r="Y25" s="66" t="s">
        <v>186</v>
      </c>
      <c r="Z25" s="66" t="s">
        <v>187</v>
      </c>
      <c r="AA25" s="66" t="s">
        <v>195</v>
      </c>
      <c r="AB25" s="66"/>
      <c r="AC25" s="66" t="s">
        <v>190</v>
      </c>
      <c r="AD25" s="67">
        <v>6</v>
      </c>
      <c r="AE25" s="65" t="s">
        <v>271</v>
      </c>
      <c r="AF25" s="65" t="s">
        <v>190</v>
      </c>
      <c r="AG25" s="68" t="s">
        <v>272</v>
      </c>
      <c r="AH25" s="69">
        <v>2000</v>
      </c>
      <c r="AI25" s="69">
        <v>835</v>
      </c>
      <c r="AJ25" s="69">
        <v>8500</v>
      </c>
      <c r="AK25" s="69">
        <v>0</v>
      </c>
      <c r="AL25" s="69">
        <v>17610</v>
      </c>
      <c r="AM25" s="69">
        <v>3950</v>
      </c>
      <c r="AN25" s="69">
        <v>12500</v>
      </c>
      <c r="AO25" s="69">
        <v>45395</v>
      </c>
      <c r="AP25" s="61" t="s">
        <v>272</v>
      </c>
      <c r="AQ25" s="70">
        <v>364</v>
      </c>
      <c r="AR25" s="70">
        <v>1440</v>
      </c>
      <c r="AS25" s="70">
        <v>120</v>
      </c>
      <c r="AT25" s="70">
        <v>1080</v>
      </c>
      <c r="AU25" s="70">
        <v>3004</v>
      </c>
      <c r="AV25" s="71">
        <v>0.1</v>
      </c>
      <c r="AW25" s="70">
        <v>7543.5</v>
      </c>
    </row>
    <row r="26" spans="1:49" x14ac:dyDescent="0.25">
      <c r="A26" s="59" t="s">
        <v>275</v>
      </c>
      <c r="B26" s="59" t="s">
        <v>276</v>
      </c>
      <c r="C26" s="59" t="s">
        <v>261</v>
      </c>
      <c r="D26" s="59" t="s">
        <v>262</v>
      </c>
      <c r="E26" s="60" t="s">
        <v>211</v>
      </c>
      <c r="F26" s="60" t="s">
        <v>277</v>
      </c>
      <c r="G26" s="64">
        <v>47.689430999999999</v>
      </c>
      <c r="H26" s="64">
        <v>-120.32158099999999</v>
      </c>
      <c r="I26" s="65" t="s">
        <v>233</v>
      </c>
      <c r="J26" s="65" t="s">
        <v>208</v>
      </c>
      <c r="K26" s="65" t="s">
        <v>257</v>
      </c>
      <c r="L26" s="65" t="s">
        <v>198</v>
      </c>
      <c r="M26" s="65"/>
      <c r="N26" s="65"/>
      <c r="O26" s="65" t="s">
        <v>278</v>
      </c>
      <c r="P26" s="65">
        <v>4</v>
      </c>
      <c r="Q26" s="65">
        <v>2</v>
      </c>
      <c r="R26" s="65"/>
      <c r="S26" s="65" t="s">
        <v>180</v>
      </c>
      <c r="T26" s="66"/>
      <c r="U26" s="66" t="s">
        <v>201</v>
      </c>
      <c r="V26" s="66"/>
      <c r="W26" s="66" t="s">
        <v>184</v>
      </c>
      <c r="X26" s="66" t="s">
        <v>185</v>
      </c>
      <c r="Y26" s="66" t="s">
        <v>186</v>
      </c>
      <c r="Z26" s="66"/>
      <c r="AA26" s="66"/>
      <c r="AB26" s="66"/>
      <c r="AC26" s="66" t="s">
        <v>180</v>
      </c>
      <c r="AD26" s="67">
        <v>2</v>
      </c>
      <c r="AE26" s="65" t="s">
        <v>205</v>
      </c>
      <c r="AF26" s="65" t="s">
        <v>180</v>
      </c>
      <c r="AG26" s="68" t="s">
        <v>275</v>
      </c>
      <c r="AH26" s="69">
        <v>2000</v>
      </c>
      <c r="AI26" s="69">
        <v>0</v>
      </c>
      <c r="AJ26" s="69">
        <v>0</v>
      </c>
      <c r="AK26" s="69">
        <v>4168</v>
      </c>
      <c r="AL26" s="69">
        <v>5870</v>
      </c>
      <c r="AM26" s="69">
        <v>6812</v>
      </c>
      <c r="AN26" s="69">
        <v>12500</v>
      </c>
      <c r="AO26" s="69">
        <v>31350</v>
      </c>
      <c r="AP26" s="61" t="s">
        <v>275</v>
      </c>
      <c r="AQ26" s="70">
        <v>364</v>
      </c>
      <c r="AR26" s="70">
        <v>1440</v>
      </c>
      <c r="AS26" s="70">
        <v>0</v>
      </c>
      <c r="AT26" s="70">
        <v>1080</v>
      </c>
      <c r="AU26" s="70">
        <v>2884</v>
      </c>
      <c r="AV26" s="71">
        <v>0.08</v>
      </c>
      <c r="AW26" s="70">
        <v>5392</v>
      </c>
    </row>
    <row r="27" spans="1:49" x14ac:dyDescent="0.25">
      <c r="A27" s="59" t="s">
        <v>279</v>
      </c>
      <c r="B27" s="59" t="s">
        <v>280</v>
      </c>
      <c r="C27" s="59" t="s">
        <v>261</v>
      </c>
      <c r="D27" s="59" t="s">
        <v>281</v>
      </c>
      <c r="E27" s="60" t="s">
        <v>172</v>
      </c>
      <c r="F27" s="60" t="s">
        <v>282</v>
      </c>
      <c r="G27" s="64">
        <v>47.787554</v>
      </c>
      <c r="H27" s="64">
        <v>-120.654026</v>
      </c>
      <c r="I27" s="65" t="s">
        <v>174</v>
      </c>
      <c r="J27" s="65" t="s">
        <v>208</v>
      </c>
      <c r="K27" s="65"/>
      <c r="L27" s="65" t="s">
        <v>283</v>
      </c>
      <c r="M27" s="65"/>
      <c r="N27" s="65" t="s">
        <v>209</v>
      </c>
      <c r="O27" s="65" t="s">
        <v>264</v>
      </c>
      <c r="P27" s="65">
        <v>4</v>
      </c>
      <c r="Q27" s="65"/>
      <c r="R27" s="65"/>
      <c r="S27" s="65" t="s">
        <v>190</v>
      </c>
      <c r="T27" s="66" t="s">
        <v>181</v>
      </c>
      <c r="U27" s="66" t="s">
        <v>182</v>
      </c>
      <c r="V27" s="66" t="s">
        <v>183</v>
      </c>
      <c r="W27" s="66" t="s">
        <v>202</v>
      </c>
      <c r="X27" s="66" t="s">
        <v>203</v>
      </c>
      <c r="Y27" s="66" t="s">
        <v>204</v>
      </c>
      <c r="Z27" s="66" t="s">
        <v>187</v>
      </c>
      <c r="AA27" s="66" t="s">
        <v>195</v>
      </c>
      <c r="AB27" s="66"/>
      <c r="AC27" s="66" t="s">
        <v>190</v>
      </c>
      <c r="AD27" s="67">
        <v>6</v>
      </c>
      <c r="AE27" s="65" t="s">
        <v>271</v>
      </c>
      <c r="AF27" s="65" t="s">
        <v>190</v>
      </c>
      <c r="AG27" s="68" t="s">
        <v>279</v>
      </c>
      <c r="AH27" s="69">
        <v>742</v>
      </c>
      <c r="AI27" s="69">
        <v>835</v>
      </c>
      <c r="AJ27" s="69">
        <v>8500</v>
      </c>
      <c r="AK27" s="69">
        <v>0</v>
      </c>
      <c r="AL27" s="69">
        <v>17610</v>
      </c>
      <c r="AM27" s="69">
        <v>3950</v>
      </c>
      <c r="AN27" s="69">
        <v>12500</v>
      </c>
      <c r="AO27" s="69">
        <v>44137</v>
      </c>
      <c r="AP27" s="61" t="s">
        <v>279</v>
      </c>
      <c r="AQ27" s="70">
        <v>364</v>
      </c>
      <c r="AR27" s="70">
        <v>300</v>
      </c>
      <c r="AS27" s="70">
        <v>120</v>
      </c>
      <c r="AT27" s="70">
        <v>1080</v>
      </c>
      <c r="AU27" s="70">
        <v>1864</v>
      </c>
      <c r="AV27" s="71">
        <v>0.1</v>
      </c>
      <c r="AW27" s="70">
        <v>6277.7</v>
      </c>
    </row>
    <row r="28" spans="1:49" x14ac:dyDescent="0.25">
      <c r="A28" s="59" t="s">
        <v>284</v>
      </c>
      <c r="B28" s="59" t="s">
        <v>285</v>
      </c>
      <c r="C28" s="59" t="s">
        <v>261</v>
      </c>
      <c r="D28" s="59" t="s">
        <v>281</v>
      </c>
      <c r="E28" s="60" t="s">
        <v>172</v>
      </c>
      <c r="F28" s="60" t="s">
        <v>222</v>
      </c>
      <c r="G28" s="64">
        <v>47.843943000000003</v>
      </c>
      <c r="H28" s="64">
        <v>-120.665494</v>
      </c>
      <c r="I28" s="65" t="s">
        <v>216</v>
      </c>
      <c r="J28" s="65" t="s">
        <v>286</v>
      </c>
      <c r="K28" s="65"/>
      <c r="L28" s="65" t="s">
        <v>283</v>
      </c>
      <c r="M28" s="65"/>
      <c r="N28" s="65"/>
      <c r="O28" s="65"/>
      <c r="P28" s="65">
        <v>2</v>
      </c>
      <c r="Q28" s="65"/>
      <c r="R28" s="65" t="s">
        <v>287</v>
      </c>
      <c r="S28" s="65" t="s">
        <v>190</v>
      </c>
      <c r="T28" s="66" t="s">
        <v>181</v>
      </c>
      <c r="U28" s="66" t="s">
        <v>182</v>
      </c>
      <c r="V28" s="66" t="s">
        <v>183</v>
      </c>
      <c r="W28" s="66" t="s">
        <v>202</v>
      </c>
      <c r="X28" s="66" t="s">
        <v>203</v>
      </c>
      <c r="Y28" s="66" t="s">
        <v>204</v>
      </c>
      <c r="Z28" s="66" t="s">
        <v>187</v>
      </c>
      <c r="AA28" s="66" t="s">
        <v>195</v>
      </c>
      <c r="AB28" s="66"/>
      <c r="AC28" s="66" t="s">
        <v>190</v>
      </c>
      <c r="AD28" s="67">
        <v>6</v>
      </c>
      <c r="AE28" s="65" t="s">
        <v>271</v>
      </c>
      <c r="AF28" s="65" t="s">
        <v>190</v>
      </c>
      <c r="AG28" s="68" t="s">
        <v>284</v>
      </c>
      <c r="AH28" s="69">
        <v>742</v>
      </c>
      <c r="AI28" s="69">
        <v>835</v>
      </c>
      <c r="AJ28" s="69">
        <v>8500</v>
      </c>
      <c r="AK28" s="69">
        <v>0</v>
      </c>
      <c r="AL28" s="69">
        <v>17610</v>
      </c>
      <c r="AM28" s="69">
        <v>11179</v>
      </c>
      <c r="AN28" s="69">
        <v>12500</v>
      </c>
      <c r="AO28" s="69">
        <v>51366</v>
      </c>
      <c r="AP28" s="61" t="s">
        <v>284</v>
      </c>
      <c r="AQ28" s="70">
        <v>182</v>
      </c>
      <c r="AR28" s="70">
        <v>300</v>
      </c>
      <c r="AS28" s="70">
        <v>1560.38</v>
      </c>
      <c r="AT28" s="70">
        <v>1080</v>
      </c>
      <c r="AU28" s="70">
        <v>3122.38</v>
      </c>
      <c r="AV28" s="71">
        <v>0.1</v>
      </c>
      <c r="AW28" s="70">
        <v>8258.98</v>
      </c>
    </row>
    <row r="29" spans="1:49" x14ac:dyDescent="0.25">
      <c r="A29" s="59" t="s">
        <v>288</v>
      </c>
      <c r="B29" s="59" t="s">
        <v>289</v>
      </c>
      <c r="C29" s="59" t="s">
        <v>261</v>
      </c>
      <c r="D29" s="59" t="s">
        <v>290</v>
      </c>
      <c r="E29" s="60" t="s">
        <v>211</v>
      </c>
      <c r="F29" s="60" t="s">
        <v>291</v>
      </c>
      <c r="G29" s="64">
        <v>47.464967000000001</v>
      </c>
      <c r="H29" s="64">
        <v>-120.35019</v>
      </c>
      <c r="I29" s="65" t="s">
        <v>174</v>
      </c>
      <c r="J29" s="65" t="s">
        <v>208</v>
      </c>
      <c r="K29" s="65"/>
      <c r="L29" s="65" t="s">
        <v>283</v>
      </c>
      <c r="M29" s="65"/>
      <c r="N29" s="65" t="s">
        <v>209</v>
      </c>
      <c r="O29" s="65" t="s">
        <v>264</v>
      </c>
      <c r="P29" s="65">
        <v>4</v>
      </c>
      <c r="Q29" s="65"/>
      <c r="R29" s="65"/>
      <c r="S29" s="65" t="s">
        <v>190</v>
      </c>
      <c r="T29" s="66" t="s">
        <v>200</v>
      </c>
      <c r="U29" s="66" t="s">
        <v>201</v>
      </c>
      <c r="V29" s="66" t="s">
        <v>183</v>
      </c>
      <c r="W29" s="66" t="s">
        <v>202</v>
      </c>
      <c r="X29" s="66" t="s">
        <v>203</v>
      </c>
      <c r="Y29" s="66" t="s">
        <v>204</v>
      </c>
      <c r="Z29" s="66" t="s">
        <v>187</v>
      </c>
      <c r="AA29" s="66" t="s">
        <v>195</v>
      </c>
      <c r="AB29" s="66"/>
      <c r="AC29" s="66" t="s">
        <v>190</v>
      </c>
      <c r="AD29" s="67">
        <v>12</v>
      </c>
      <c r="AE29" s="65" t="s">
        <v>271</v>
      </c>
      <c r="AF29" s="65" t="s">
        <v>190</v>
      </c>
      <c r="AG29" s="68" t="s">
        <v>288</v>
      </c>
      <c r="AH29" s="69">
        <v>742</v>
      </c>
      <c r="AI29" s="69">
        <v>835</v>
      </c>
      <c r="AJ29" s="69">
        <v>4450</v>
      </c>
      <c r="AK29" s="69">
        <v>25008</v>
      </c>
      <c r="AL29" s="69">
        <v>35220</v>
      </c>
      <c r="AM29" s="69">
        <v>3950</v>
      </c>
      <c r="AN29" s="69">
        <v>12500</v>
      </c>
      <c r="AO29" s="69">
        <v>82705</v>
      </c>
      <c r="AP29" s="61" t="s">
        <v>288</v>
      </c>
      <c r="AQ29" s="70">
        <v>364</v>
      </c>
      <c r="AR29" s="70">
        <v>300</v>
      </c>
      <c r="AS29" s="70">
        <v>120</v>
      </c>
      <c r="AT29" s="70">
        <v>1080</v>
      </c>
      <c r="AU29" s="70">
        <v>1864</v>
      </c>
      <c r="AV29" s="71">
        <v>0.1</v>
      </c>
      <c r="AW29" s="70">
        <v>10134.5</v>
      </c>
    </row>
    <row r="30" spans="1:49" x14ac:dyDescent="0.25">
      <c r="A30" s="59" t="s">
        <v>292</v>
      </c>
      <c r="B30" s="59" t="s">
        <v>293</v>
      </c>
      <c r="C30" s="59" t="s">
        <v>261</v>
      </c>
      <c r="D30" s="59" t="s">
        <v>290</v>
      </c>
      <c r="E30" s="60" t="s">
        <v>172</v>
      </c>
      <c r="F30" s="60" t="s">
        <v>294</v>
      </c>
      <c r="G30" s="64">
        <v>47.802356000000003</v>
      </c>
      <c r="H30" s="64">
        <v>-120.713904</v>
      </c>
      <c r="I30" s="65" t="s">
        <v>174</v>
      </c>
      <c r="J30" s="65" t="s">
        <v>208</v>
      </c>
      <c r="K30" s="65"/>
      <c r="L30" s="65"/>
      <c r="M30" s="65"/>
      <c r="N30" s="65" t="s">
        <v>209</v>
      </c>
      <c r="O30" s="65" t="s">
        <v>179</v>
      </c>
      <c r="P30" s="65">
        <v>4</v>
      </c>
      <c r="Q30" s="65"/>
      <c r="R30" s="65"/>
      <c r="S30" s="65" t="s">
        <v>190</v>
      </c>
      <c r="T30" s="66" t="s">
        <v>181</v>
      </c>
      <c r="U30" s="66" t="s">
        <v>182</v>
      </c>
      <c r="V30" s="66" t="s">
        <v>183</v>
      </c>
      <c r="W30" s="66" t="s">
        <v>202</v>
      </c>
      <c r="X30" s="66" t="s">
        <v>203</v>
      </c>
      <c r="Y30" s="66" t="s">
        <v>204</v>
      </c>
      <c r="Z30" s="66" t="s">
        <v>187</v>
      </c>
      <c r="AA30" s="66" t="s">
        <v>195</v>
      </c>
      <c r="AB30" s="66"/>
      <c r="AC30" s="66" t="s">
        <v>190</v>
      </c>
      <c r="AD30" s="67">
        <v>6</v>
      </c>
      <c r="AE30" s="65" t="s">
        <v>271</v>
      </c>
      <c r="AF30" s="65" t="s">
        <v>190</v>
      </c>
      <c r="AG30" s="68" t="s">
        <v>292</v>
      </c>
      <c r="AH30" s="69">
        <v>742</v>
      </c>
      <c r="AI30" s="69">
        <v>835</v>
      </c>
      <c r="AJ30" s="69">
        <v>8500</v>
      </c>
      <c r="AK30" s="69">
        <v>0</v>
      </c>
      <c r="AL30" s="69">
        <v>17610</v>
      </c>
      <c r="AM30" s="69">
        <v>3950</v>
      </c>
      <c r="AN30" s="69">
        <v>12500</v>
      </c>
      <c r="AO30" s="69">
        <v>44137</v>
      </c>
      <c r="AP30" s="61" t="s">
        <v>292</v>
      </c>
      <c r="AQ30" s="70">
        <v>364</v>
      </c>
      <c r="AR30" s="70">
        <v>300</v>
      </c>
      <c r="AS30" s="70">
        <v>120</v>
      </c>
      <c r="AT30" s="70">
        <v>1080</v>
      </c>
      <c r="AU30" s="70">
        <v>1864</v>
      </c>
      <c r="AV30" s="71">
        <v>0.1</v>
      </c>
      <c r="AW30" s="70">
        <v>6277.7</v>
      </c>
    </row>
    <row r="31" spans="1:49" x14ac:dyDescent="0.25">
      <c r="A31" s="59" t="s">
        <v>295</v>
      </c>
      <c r="B31" s="59" t="s">
        <v>296</v>
      </c>
      <c r="C31" s="59" t="s">
        <v>261</v>
      </c>
      <c r="D31" s="59" t="s">
        <v>290</v>
      </c>
      <c r="E31" s="60" t="s">
        <v>172</v>
      </c>
      <c r="F31" s="60" t="s">
        <v>297</v>
      </c>
      <c r="G31" s="64">
        <v>47.785770999999997</v>
      </c>
      <c r="H31" s="64">
        <v>-120.848012</v>
      </c>
      <c r="I31" s="65" t="s">
        <v>174</v>
      </c>
      <c r="J31" s="65" t="s">
        <v>286</v>
      </c>
      <c r="K31" s="65"/>
      <c r="L31" s="65"/>
      <c r="M31" s="65"/>
      <c r="N31" s="65"/>
      <c r="O31" s="65"/>
      <c r="P31" s="65">
        <v>2</v>
      </c>
      <c r="Q31" s="65"/>
      <c r="R31" s="65" t="s">
        <v>298</v>
      </c>
      <c r="S31" s="65" t="s">
        <v>190</v>
      </c>
      <c r="T31" s="66" t="s">
        <v>181</v>
      </c>
      <c r="U31" s="66" t="s">
        <v>182</v>
      </c>
      <c r="V31" s="66" t="s">
        <v>183</v>
      </c>
      <c r="W31" s="66" t="s">
        <v>202</v>
      </c>
      <c r="X31" s="66" t="s">
        <v>203</v>
      </c>
      <c r="Y31" s="66" t="s">
        <v>204</v>
      </c>
      <c r="Z31" s="66" t="s">
        <v>187</v>
      </c>
      <c r="AA31" s="66" t="s">
        <v>195</v>
      </c>
      <c r="AB31" s="66"/>
      <c r="AC31" s="66" t="s">
        <v>190</v>
      </c>
      <c r="AD31" s="67">
        <v>6</v>
      </c>
      <c r="AE31" s="65" t="s">
        <v>265</v>
      </c>
      <c r="AF31" s="65" t="s">
        <v>190</v>
      </c>
      <c r="AG31" s="68" t="s">
        <v>295</v>
      </c>
      <c r="AH31" s="69">
        <v>742</v>
      </c>
      <c r="AI31" s="69">
        <v>835</v>
      </c>
      <c r="AJ31" s="69">
        <v>8500</v>
      </c>
      <c r="AK31" s="69">
        <v>0</v>
      </c>
      <c r="AL31" s="69">
        <v>17610</v>
      </c>
      <c r="AM31" s="69">
        <v>3250</v>
      </c>
      <c r="AN31" s="69">
        <v>12500</v>
      </c>
      <c r="AO31" s="69">
        <v>43437</v>
      </c>
      <c r="AP31" s="61" t="s">
        <v>295</v>
      </c>
      <c r="AQ31" s="70">
        <v>182</v>
      </c>
      <c r="AR31" s="70">
        <v>300</v>
      </c>
      <c r="AS31" s="70">
        <v>120</v>
      </c>
      <c r="AT31" s="70">
        <v>1080</v>
      </c>
      <c r="AU31" s="70">
        <v>1682</v>
      </c>
      <c r="AV31" s="71">
        <v>0.1</v>
      </c>
      <c r="AW31" s="70">
        <v>6025.7</v>
      </c>
    </row>
    <row r="32" spans="1:49" x14ac:dyDescent="0.25">
      <c r="A32" s="59" t="s">
        <v>299</v>
      </c>
      <c r="B32" s="59" t="s">
        <v>300</v>
      </c>
      <c r="C32" s="59" t="s">
        <v>261</v>
      </c>
      <c r="D32" s="59" t="s">
        <v>290</v>
      </c>
      <c r="E32" s="60" t="s">
        <v>211</v>
      </c>
      <c r="F32" s="60" t="s">
        <v>301</v>
      </c>
      <c r="G32" s="64">
        <v>47.548389</v>
      </c>
      <c r="H32" s="64">
        <v>-120.61005</v>
      </c>
      <c r="I32" s="65" t="s">
        <v>216</v>
      </c>
      <c r="J32" s="65" t="s">
        <v>208</v>
      </c>
      <c r="K32" s="65"/>
      <c r="L32" s="65"/>
      <c r="M32" s="65"/>
      <c r="N32" s="65" t="s">
        <v>209</v>
      </c>
      <c r="O32" s="65" t="s">
        <v>264</v>
      </c>
      <c r="P32" s="65">
        <v>4</v>
      </c>
      <c r="Q32" s="65"/>
      <c r="R32" s="65"/>
      <c r="S32" s="65" t="s">
        <v>190</v>
      </c>
      <c r="T32" s="66" t="s">
        <v>181</v>
      </c>
      <c r="U32" s="66" t="s">
        <v>182</v>
      </c>
      <c r="V32" s="66" t="s">
        <v>183</v>
      </c>
      <c r="W32" s="66" t="s">
        <v>202</v>
      </c>
      <c r="X32" s="66" t="s">
        <v>203</v>
      </c>
      <c r="Y32" s="66" t="s">
        <v>204</v>
      </c>
      <c r="Z32" s="66" t="s">
        <v>187</v>
      </c>
      <c r="AA32" s="66" t="s">
        <v>195</v>
      </c>
      <c r="AB32" s="66"/>
      <c r="AC32" s="66" t="s">
        <v>180</v>
      </c>
      <c r="AD32" s="67">
        <v>6</v>
      </c>
      <c r="AE32" s="65" t="s">
        <v>271</v>
      </c>
      <c r="AF32" s="65" t="s">
        <v>190</v>
      </c>
      <c r="AG32" s="68" t="s">
        <v>299</v>
      </c>
      <c r="AH32" s="69">
        <v>742</v>
      </c>
      <c r="AI32" s="69">
        <v>835</v>
      </c>
      <c r="AJ32" s="69">
        <v>8500</v>
      </c>
      <c r="AK32" s="69">
        <v>0</v>
      </c>
      <c r="AL32" s="69">
        <v>17610</v>
      </c>
      <c r="AM32" s="69">
        <v>11879</v>
      </c>
      <c r="AN32" s="69">
        <v>12500</v>
      </c>
      <c r="AO32" s="69">
        <v>52066</v>
      </c>
      <c r="AP32" s="61" t="s">
        <v>299</v>
      </c>
      <c r="AQ32" s="70">
        <v>364</v>
      </c>
      <c r="AR32" s="70">
        <v>300</v>
      </c>
      <c r="AS32" s="70">
        <v>1560.38</v>
      </c>
      <c r="AT32" s="70">
        <v>1080</v>
      </c>
      <c r="AU32" s="70">
        <v>3304.38</v>
      </c>
      <c r="AV32" s="71">
        <v>0.1</v>
      </c>
      <c r="AW32" s="70">
        <v>8510.98</v>
      </c>
    </row>
    <row r="33" spans="1:49" x14ac:dyDescent="0.25">
      <c r="A33" s="59" t="s">
        <v>302</v>
      </c>
      <c r="B33" s="59" t="s">
        <v>303</v>
      </c>
      <c r="C33" s="59" t="s">
        <v>261</v>
      </c>
      <c r="D33" s="59" t="s">
        <v>290</v>
      </c>
      <c r="E33" s="60" t="s">
        <v>172</v>
      </c>
      <c r="F33" s="60" t="s">
        <v>222</v>
      </c>
      <c r="G33" s="64">
        <v>47.796410999999999</v>
      </c>
      <c r="H33" s="64">
        <v>-120.66363200000001</v>
      </c>
      <c r="I33" s="65" t="s">
        <v>216</v>
      </c>
      <c r="J33" s="65" t="s">
        <v>208</v>
      </c>
      <c r="K33" s="65"/>
      <c r="L33" s="65"/>
      <c r="M33" s="65"/>
      <c r="N33" s="65"/>
      <c r="O33" s="65"/>
      <c r="P33" s="65">
        <v>2</v>
      </c>
      <c r="Q33" s="65"/>
      <c r="R33" s="65" t="s">
        <v>287</v>
      </c>
      <c r="S33" s="65" t="s">
        <v>180</v>
      </c>
      <c r="T33" s="66" t="s">
        <v>181</v>
      </c>
      <c r="U33" s="66" t="s">
        <v>182</v>
      </c>
      <c r="V33" s="66" t="s">
        <v>183</v>
      </c>
      <c r="W33" s="66" t="s">
        <v>202</v>
      </c>
      <c r="X33" s="66" t="s">
        <v>203</v>
      </c>
      <c r="Y33" s="66" t="s">
        <v>204</v>
      </c>
      <c r="Z33" s="66" t="s">
        <v>187</v>
      </c>
      <c r="AA33" s="66" t="s">
        <v>195</v>
      </c>
      <c r="AB33" s="66" t="s">
        <v>304</v>
      </c>
      <c r="AC33" s="66" t="s">
        <v>180</v>
      </c>
      <c r="AD33" s="67">
        <v>6</v>
      </c>
      <c r="AE33" s="65" t="s">
        <v>265</v>
      </c>
      <c r="AF33" s="65" t="s">
        <v>190</v>
      </c>
      <c r="AG33" s="68" t="s">
        <v>302</v>
      </c>
      <c r="AH33" s="69">
        <v>742</v>
      </c>
      <c r="AI33" s="69">
        <v>835</v>
      </c>
      <c r="AJ33" s="69">
        <v>8500</v>
      </c>
      <c r="AK33" s="69">
        <v>0</v>
      </c>
      <c r="AL33" s="69">
        <v>17610</v>
      </c>
      <c r="AM33" s="69">
        <v>11179</v>
      </c>
      <c r="AN33" s="69">
        <v>12500</v>
      </c>
      <c r="AO33" s="69">
        <v>51366</v>
      </c>
      <c r="AP33" s="61" t="s">
        <v>302</v>
      </c>
      <c r="AQ33" s="70">
        <v>182</v>
      </c>
      <c r="AR33" s="70">
        <v>300</v>
      </c>
      <c r="AS33" s="70">
        <v>1560.38</v>
      </c>
      <c r="AT33" s="70">
        <v>1080</v>
      </c>
      <c r="AU33" s="70">
        <v>3122.38</v>
      </c>
      <c r="AV33" s="71">
        <v>0.1</v>
      </c>
      <c r="AW33" s="70">
        <v>8258.98</v>
      </c>
    </row>
    <row r="34" spans="1:49" x14ac:dyDescent="0.25">
      <c r="A34" s="59" t="s">
        <v>69</v>
      </c>
      <c r="B34" s="59" t="s">
        <v>305</v>
      </c>
      <c r="C34" s="59" t="s">
        <v>306</v>
      </c>
      <c r="D34" s="59" t="s">
        <v>307</v>
      </c>
      <c r="E34" s="60" t="s">
        <v>172</v>
      </c>
      <c r="F34" s="60" t="s">
        <v>308</v>
      </c>
      <c r="G34" s="64">
        <v>45.112149000000002</v>
      </c>
      <c r="H34" s="64">
        <v>-113.746872</v>
      </c>
      <c r="I34" s="65" t="s">
        <v>174</v>
      </c>
      <c r="J34" s="65" t="s">
        <v>309</v>
      </c>
      <c r="K34" s="65" t="s">
        <v>257</v>
      </c>
      <c r="L34" s="65"/>
      <c r="M34" s="65"/>
      <c r="N34" s="65" t="s">
        <v>310</v>
      </c>
      <c r="O34" s="65" t="s">
        <v>264</v>
      </c>
      <c r="P34" s="65">
        <v>4</v>
      </c>
      <c r="Q34" s="65"/>
      <c r="R34" s="65"/>
      <c r="S34" s="65" t="s">
        <v>180</v>
      </c>
      <c r="T34" s="66"/>
      <c r="U34" s="66" t="s">
        <v>201</v>
      </c>
      <c r="V34" s="66"/>
      <c r="W34" s="66" t="s">
        <v>202</v>
      </c>
      <c r="X34" s="66" t="s">
        <v>203</v>
      </c>
      <c r="Y34" s="66" t="s">
        <v>204</v>
      </c>
      <c r="Z34" s="66"/>
      <c r="AA34" s="66"/>
      <c r="AB34" s="66"/>
      <c r="AC34" s="66" t="s">
        <v>180</v>
      </c>
      <c r="AD34" s="67">
        <v>2</v>
      </c>
      <c r="AE34" s="65" t="s">
        <v>205</v>
      </c>
      <c r="AF34" s="65" t="s">
        <v>180</v>
      </c>
      <c r="AG34" s="68" t="s">
        <v>69</v>
      </c>
      <c r="AH34" s="69">
        <v>742</v>
      </c>
      <c r="AI34" s="69">
        <v>0</v>
      </c>
      <c r="AJ34" s="69">
        <v>0</v>
      </c>
      <c r="AK34" s="69">
        <v>4168</v>
      </c>
      <c r="AL34" s="69">
        <v>5870</v>
      </c>
      <c r="AM34" s="69">
        <v>3950</v>
      </c>
      <c r="AN34" s="69">
        <v>5000</v>
      </c>
      <c r="AO34" s="69">
        <v>19730</v>
      </c>
      <c r="AP34" s="61" t="s">
        <v>69</v>
      </c>
      <c r="AQ34" s="70">
        <v>364</v>
      </c>
      <c r="AR34" s="70">
        <v>300</v>
      </c>
      <c r="AS34" s="70">
        <v>120</v>
      </c>
      <c r="AT34" s="70">
        <v>1080</v>
      </c>
      <c r="AU34" s="70">
        <v>1864</v>
      </c>
      <c r="AV34" s="71">
        <v>0.08</v>
      </c>
      <c r="AW34" s="70">
        <v>3442.4</v>
      </c>
    </row>
    <row r="35" spans="1:49" x14ac:dyDescent="0.25">
      <c r="A35" s="59" t="s">
        <v>77</v>
      </c>
      <c r="B35" s="59" t="s">
        <v>311</v>
      </c>
      <c r="C35" s="59" t="s">
        <v>306</v>
      </c>
      <c r="D35" s="59" t="s">
        <v>307</v>
      </c>
      <c r="E35" s="60" t="s">
        <v>211</v>
      </c>
      <c r="F35" s="60" t="s">
        <v>312</v>
      </c>
      <c r="G35" s="64">
        <v>44.697568330000003</v>
      </c>
      <c r="H35" s="64">
        <v>-113.374118</v>
      </c>
      <c r="I35" s="65" t="s">
        <v>233</v>
      </c>
      <c r="J35" s="65" t="s">
        <v>313</v>
      </c>
      <c r="K35" s="65" t="s">
        <v>257</v>
      </c>
      <c r="L35" s="65"/>
      <c r="M35" s="65"/>
      <c r="N35" s="65"/>
      <c r="O35" s="65"/>
      <c r="P35" s="65">
        <v>6</v>
      </c>
      <c r="Q35" s="65">
        <v>4</v>
      </c>
      <c r="R35" s="65"/>
      <c r="S35" s="65" t="s">
        <v>180</v>
      </c>
      <c r="T35" s="66"/>
      <c r="U35" s="66" t="s">
        <v>201</v>
      </c>
      <c r="V35" s="66" t="s">
        <v>183</v>
      </c>
      <c r="W35" s="66" t="s">
        <v>202</v>
      </c>
      <c r="X35" s="66" t="s">
        <v>203</v>
      </c>
      <c r="Y35" s="66" t="s">
        <v>204</v>
      </c>
      <c r="Z35" s="66" t="s">
        <v>187</v>
      </c>
      <c r="AA35" s="66" t="s">
        <v>188</v>
      </c>
      <c r="AB35" s="66"/>
      <c r="AC35" s="66" t="s">
        <v>180</v>
      </c>
      <c r="AD35" s="67">
        <v>2</v>
      </c>
      <c r="AE35" s="65" t="s">
        <v>205</v>
      </c>
      <c r="AF35" s="65" t="s">
        <v>180</v>
      </c>
      <c r="AG35" s="68" t="s">
        <v>77</v>
      </c>
      <c r="AH35" s="69">
        <v>742</v>
      </c>
      <c r="AI35" s="69">
        <v>835</v>
      </c>
      <c r="AJ35" s="69">
        <v>0</v>
      </c>
      <c r="AK35" s="69">
        <v>4168</v>
      </c>
      <c r="AL35" s="69">
        <v>5870</v>
      </c>
      <c r="AM35" s="69">
        <v>12924</v>
      </c>
      <c r="AN35" s="69">
        <v>5000</v>
      </c>
      <c r="AO35" s="69">
        <v>29539</v>
      </c>
      <c r="AP35" s="61" t="s">
        <v>77</v>
      </c>
      <c r="AQ35" s="70">
        <v>546</v>
      </c>
      <c r="AR35" s="70">
        <v>300</v>
      </c>
      <c r="AS35" s="70">
        <v>0</v>
      </c>
      <c r="AT35" s="70">
        <v>1080</v>
      </c>
      <c r="AU35" s="70">
        <v>1926</v>
      </c>
      <c r="AV35" s="71">
        <v>0.08</v>
      </c>
      <c r="AW35" s="70">
        <v>4289.12</v>
      </c>
    </row>
    <row r="36" spans="1:49" x14ac:dyDescent="0.25">
      <c r="A36" s="59" t="s">
        <v>79</v>
      </c>
      <c r="B36" s="59" t="s">
        <v>314</v>
      </c>
      <c r="C36" s="59" t="s">
        <v>306</v>
      </c>
      <c r="D36" s="59" t="s">
        <v>307</v>
      </c>
      <c r="E36" s="60" t="s">
        <v>211</v>
      </c>
      <c r="F36" s="60" t="s">
        <v>312</v>
      </c>
      <c r="G36" s="64">
        <v>44.691977999999999</v>
      </c>
      <c r="H36" s="64">
        <v>-113.354787</v>
      </c>
      <c r="I36" s="65" t="s">
        <v>233</v>
      </c>
      <c r="J36" s="65" t="s">
        <v>313</v>
      </c>
      <c r="K36" s="65" t="s">
        <v>257</v>
      </c>
      <c r="L36" s="65"/>
      <c r="M36" s="65"/>
      <c r="N36" s="65"/>
      <c r="O36" s="65"/>
      <c r="P36" s="65">
        <v>4</v>
      </c>
      <c r="Q36" s="65">
        <v>4</v>
      </c>
      <c r="R36" s="65"/>
      <c r="S36" s="65" t="s">
        <v>180</v>
      </c>
      <c r="T36" s="66"/>
      <c r="U36" s="66" t="s">
        <v>201</v>
      </c>
      <c r="V36" s="66"/>
      <c r="W36" s="66" t="s">
        <v>202</v>
      </c>
      <c r="X36" s="66" t="s">
        <v>203</v>
      </c>
      <c r="Y36" s="66" t="s">
        <v>204</v>
      </c>
      <c r="Z36" s="66"/>
      <c r="AA36" s="66"/>
      <c r="AB36" s="66"/>
      <c r="AC36" s="66" t="s">
        <v>180</v>
      </c>
      <c r="AD36" s="67">
        <v>2</v>
      </c>
      <c r="AE36" s="65" t="s">
        <v>205</v>
      </c>
      <c r="AF36" s="65" t="s">
        <v>180</v>
      </c>
      <c r="AG36" s="68" t="s">
        <v>79</v>
      </c>
      <c r="AH36" s="69">
        <v>742</v>
      </c>
      <c r="AI36" s="69">
        <v>0</v>
      </c>
      <c r="AJ36" s="69">
        <v>0</v>
      </c>
      <c r="AK36" s="69">
        <v>4168</v>
      </c>
      <c r="AL36" s="69">
        <v>5870</v>
      </c>
      <c r="AM36" s="69">
        <v>12224</v>
      </c>
      <c r="AN36" s="69">
        <v>5000</v>
      </c>
      <c r="AO36" s="69">
        <v>28004</v>
      </c>
      <c r="AP36" s="61" t="s">
        <v>79</v>
      </c>
      <c r="AQ36" s="70">
        <v>364</v>
      </c>
      <c r="AR36" s="70">
        <v>300</v>
      </c>
      <c r="AS36" s="70">
        <v>0</v>
      </c>
      <c r="AT36" s="70">
        <v>1080</v>
      </c>
      <c r="AU36" s="70">
        <v>1744</v>
      </c>
      <c r="AV36" s="71">
        <v>0.08</v>
      </c>
      <c r="AW36" s="70">
        <v>3984.32</v>
      </c>
    </row>
    <row r="37" spans="1:49" x14ac:dyDescent="0.25">
      <c r="A37" s="59" t="s">
        <v>71</v>
      </c>
      <c r="B37" s="59" t="s">
        <v>315</v>
      </c>
      <c r="C37" s="59" t="s">
        <v>306</v>
      </c>
      <c r="D37" s="59" t="s">
        <v>307</v>
      </c>
      <c r="E37" s="60" t="s">
        <v>172</v>
      </c>
      <c r="F37" s="60" t="s">
        <v>173</v>
      </c>
      <c r="G37" s="64">
        <v>44.861654999999999</v>
      </c>
      <c r="H37" s="64">
        <v>-113.631913</v>
      </c>
      <c r="I37" s="65" t="s">
        <v>174</v>
      </c>
      <c r="J37" s="65" t="s">
        <v>193</v>
      </c>
      <c r="K37" s="65"/>
      <c r="L37" s="65"/>
      <c r="M37" s="65"/>
      <c r="N37" s="65" t="s">
        <v>209</v>
      </c>
      <c r="O37" s="65" t="s">
        <v>264</v>
      </c>
      <c r="P37" s="65">
        <v>4</v>
      </c>
      <c r="Q37" s="65"/>
      <c r="R37" s="65"/>
      <c r="S37" s="65" t="s">
        <v>180</v>
      </c>
      <c r="T37" s="66" t="s">
        <v>200</v>
      </c>
      <c r="U37" s="66" t="s">
        <v>201</v>
      </c>
      <c r="V37" s="66" t="s">
        <v>183</v>
      </c>
      <c r="W37" s="66" t="s">
        <v>202</v>
      </c>
      <c r="X37" s="66" t="s">
        <v>203</v>
      </c>
      <c r="Y37" s="66" t="s">
        <v>204</v>
      </c>
      <c r="Z37" s="66" t="s">
        <v>187</v>
      </c>
      <c r="AA37" s="66" t="s">
        <v>195</v>
      </c>
      <c r="AB37" s="66" t="s">
        <v>316</v>
      </c>
      <c r="AC37" s="66" t="s">
        <v>180</v>
      </c>
      <c r="AD37" s="67">
        <v>4</v>
      </c>
      <c r="AE37" s="65" t="s">
        <v>205</v>
      </c>
      <c r="AF37" s="65" t="s">
        <v>180</v>
      </c>
      <c r="AG37" s="68" t="s">
        <v>71</v>
      </c>
      <c r="AH37" s="69">
        <v>742</v>
      </c>
      <c r="AI37" s="69">
        <v>835</v>
      </c>
      <c r="AJ37" s="69">
        <v>4450</v>
      </c>
      <c r="AK37" s="69">
        <v>8336</v>
      </c>
      <c r="AL37" s="69">
        <v>11740</v>
      </c>
      <c r="AM37" s="69">
        <v>3950</v>
      </c>
      <c r="AN37" s="69">
        <v>12500</v>
      </c>
      <c r="AO37" s="69">
        <v>42553</v>
      </c>
      <c r="AP37" s="61" t="s">
        <v>71</v>
      </c>
      <c r="AQ37" s="70">
        <v>364</v>
      </c>
      <c r="AR37" s="70">
        <v>300</v>
      </c>
      <c r="AS37" s="70">
        <v>120</v>
      </c>
      <c r="AT37" s="70">
        <v>1080</v>
      </c>
      <c r="AU37" s="70">
        <v>1864</v>
      </c>
      <c r="AV37" s="71">
        <v>0.08</v>
      </c>
      <c r="AW37" s="70">
        <v>5268.24</v>
      </c>
    </row>
    <row r="38" spans="1:49" x14ac:dyDescent="0.25">
      <c r="A38" s="59" t="s">
        <v>67</v>
      </c>
      <c r="B38" s="59" t="s">
        <v>68</v>
      </c>
      <c r="C38" s="59" t="s">
        <v>306</v>
      </c>
      <c r="D38" s="59" t="s">
        <v>307</v>
      </c>
      <c r="E38" s="60" t="s">
        <v>211</v>
      </c>
      <c r="F38" s="60" t="s">
        <v>317</v>
      </c>
      <c r="G38" s="64">
        <v>45.175752000000003</v>
      </c>
      <c r="H38" s="64">
        <v>-113.88380100000001</v>
      </c>
      <c r="I38" s="65" t="s">
        <v>174</v>
      </c>
      <c r="J38" s="65" t="s">
        <v>193</v>
      </c>
      <c r="K38" s="65" t="s">
        <v>257</v>
      </c>
      <c r="L38" s="65" t="s">
        <v>283</v>
      </c>
      <c r="M38" s="65"/>
      <c r="N38" s="65" t="s">
        <v>178</v>
      </c>
      <c r="O38" s="65" t="s">
        <v>264</v>
      </c>
      <c r="P38" s="65">
        <v>4</v>
      </c>
      <c r="Q38" s="65"/>
      <c r="R38" s="65"/>
      <c r="S38" s="65" t="s">
        <v>180</v>
      </c>
      <c r="T38" s="66" t="s">
        <v>200</v>
      </c>
      <c r="U38" s="66" t="s">
        <v>201</v>
      </c>
      <c r="V38" s="66" t="s">
        <v>183</v>
      </c>
      <c r="W38" s="66" t="s">
        <v>202</v>
      </c>
      <c r="X38" s="66" t="s">
        <v>203</v>
      </c>
      <c r="Y38" s="66" t="s">
        <v>204</v>
      </c>
      <c r="Z38" s="66" t="s">
        <v>187</v>
      </c>
      <c r="AA38" s="66" t="s">
        <v>195</v>
      </c>
      <c r="AB38" s="66" t="s">
        <v>237</v>
      </c>
      <c r="AC38" s="66" t="s">
        <v>180</v>
      </c>
      <c r="AD38" s="67">
        <v>6</v>
      </c>
      <c r="AE38" s="65" t="s">
        <v>205</v>
      </c>
      <c r="AF38" s="65" t="s">
        <v>180</v>
      </c>
      <c r="AG38" s="68" t="s">
        <v>67</v>
      </c>
      <c r="AH38" s="69">
        <v>742</v>
      </c>
      <c r="AI38" s="69">
        <v>835</v>
      </c>
      <c r="AJ38" s="69">
        <v>4450</v>
      </c>
      <c r="AK38" s="69">
        <v>12504</v>
      </c>
      <c r="AL38" s="69">
        <v>17610</v>
      </c>
      <c r="AM38" s="69">
        <v>3950</v>
      </c>
      <c r="AN38" s="69">
        <v>12500</v>
      </c>
      <c r="AO38" s="69">
        <v>52591</v>
      </c>
      <c r="AP38" s="61" t="s">
        <v>67</v>
      </c>
      <c r="AQ38" s="70">
        <v>364</v>
      </c>
      <c r="AR38" s="70">
        <v>300</v>
      </c>
      <c r="AS38" s="70">
        <v>120</v>
      </c>
      <c r="AT38" s="70">
        <v>1080</v>
      </c>
      <c r="AU38" s="70">
        <v>1864</v>
      </c>
      <c r="AV38" s="71">
        <v>0.08</v>
      </c>
      <c r="AW38" s="70">
        <v>6071.28</v>
      </c>
    </row>
    <row r="39" spans="1:49" x14ac:dyDescent="0.25">
      <c r="A39" s="59" t="s">
        <v>75</v>
      </c>
      <c r="B39" s="59" t="s">
        <v>318</v>
      </c>
      <c r="C39" s="59" t="s">
        <v>306</v>
      </c>
      <c r="D39" s="59" t="s">
        <v>307</v>
      </c>
      <c r="E39" s="60" t="s">
        <v>211</v>
      </c>
      <c r="F39" s="60" t="s">
        <v>312</v>
      </c>
      <c r="G39" s="64">
        <v>44.780548000000003</v>
      </c>
      <c r="H39" s="64">
        <v>-113.545028</v>
      </c>
      <c r="I39" s="65" t="s">
        <v>174</v>
      </c>
      <c r="J39" s="65" t="s">
        <v>313</v>
      </c>
      <c r="K39" s="65" t="s">
        <v>257</v>
      </c>
      <c r="L39" s="65"/>
      <c r="M39" s="65"/>
      <c r="N39" s="65" t="s">
        <v>178</v>
      </c>
      <c r="O39" s="65" t="s">
        <v>264</v>
      </c>
      <c r="P39" s="65">
        <v>4</v>
      </c>
      <c r="Q39" s="65"/>
      <c r="R39" s="65"/>
      <c r="S39" s="65" t="s">
        <v>180</v>
      </c>
      <c r="T39" s="66"/>
      <c r="U39" s="66" t="s">
        <v>201</v>
      </c>
      <c r="V39" s="66" t="s">
        <v>183</v>
      </c>
      <c r="W39" s="66" t="s">
        <v>202</v>
      </c>
      <c r="X39" s="66" t="s">
        <v>203</v>
      </c>
      <c r="Y39" s="66" t="s">
        <v>204</v>
      </c>
      <c r="Z39" s="66" t="s">
        <v>187</v>
      </c>
      <c r="AA39" s="66" t="s">
        <v>195</v>
      </c>
      <c r="AB39" s="66" t="s">
        <v>237</v>
      </c>
      <c r="AC39" s="66" t="s">
        <v>180</v>
      </c>
      <c r="AD39" s="67">
        <v>2</v>
      </c>
      <c r="AE39" s="65" t="s">
        <v>205</v>
      </c>
      <c r="AF39" s="65" t="s">
        <v>180</v>
      </c>
      <c r="AG39" s="68" t="s">
        <v>75</v>
      </c>
      <c r="AH39" s="69">
        <v>742</v>
      </c>
      <c r="AI39" s="69">
        <v>835</v>
      </c>
      <c r="AJ39" s="69">
        <v>0</v>
      </c>
      <c r="AK39" s="69">
        <v>4168</v>
      </c>
      <c r="AL39" s="69">
        <v>5870</v>
      </c>
      <c r="AM39" s="69">
        <v>3950</v>
      </c>
      <c r="AN39" s="69">
        <v>5000</v>
      </c>
      <c r="AO39" s="69">
        <v>20565</v>
      </c>
      <c r="AP39" s="61" t="s">
        <v>75</v>
      </c>
      <c r="AQ39" s="70">
        <v>364</v>
      </c>
      <c r="AR39" s="70">
        <v>300</v>
      </c>
      <c r="AS39" s="70">
        <v>120</v>
      </c>
      <c r="AT39" s="70">
        <v>1080</v>
      </c>
      <c r="AU39" s="70">
        <v>1864</v>
      </c>
      <c r="AV39" s="71">
        <v>0.08</v>
      </c>
      <c r="AW39" s="70">
        <v>3509.2</v>
      </c>
    </row>
    <row r="40" spans="1:49" x14ac:dyDescent="0.25">
      <c r="A40" s="59" t="s">
        <v>73</v>
      </c>
      <c r="B40" s="59" t="s">
        <v>74</v>
      </c>
      <c r="C40" s="59" t="s">
        <v>306</v>
      </c>
      <c r="D40" s="59" t="s">
        <v>307</v>
      </c>
      <c r="E40" s="60" t="s">
        <v>172</v>
      </c>
      <c r="F40" s="60" t="s">
        <v>10</v>
      </c>
      <c r="G40" s="64">
        <v>44.866357999999998</v>
      </c>
      <c r="H40" s="64">
        <v>-113.624842</v>
      </c>
      <c r="I40" s="65" t="s">
        <v>174</v>
      </c>
      <c r="J40" s="65" t="s">
        <v>223</v>
      </c>
      <c r="K40" s="65"/>
      <c r="L40" s="65" t="s">
        <v>176</v>
      </c>
      <c r="M40" s="65" t="s">
        <v>177</v>
      </c>
      <c r="N40" s="65" t="s">
        <v>178</v>
      </c>
      <c r="O40" s="65" t="s">
        <v>264</v>
      </c>
      <c r="P40" s="65">
        <v>4</v>
      </c>
      <c r="Q40" s="65"/>
      <c r="R40" s="65"/>
      <c r="S40" s="65" t="s">
        <v>180</v>
      </c>
      <c r="T40" s="66" t="s">
        <v>181</v>
      </c>
      <c r="U40" s="66" t="s">
        <v>182</v>
      </c>
      <c r="V40" s="66" t="s">
        <v>183</v>
      </c>
      <c r="W40" s="66" t="s">
        <v>257</v>
      </c>
      <c r="X40" s="66" t="s">
        <v>257</v>
      </c>
      <c r="Y40" s="66" t="s">
        <v>257</v>
      </c>
      <c r="Z40" s="66" t="s">
        <v>187</v>
      </c>
      <c r="AA40" s="66" t="s">
        <v>195</v>
      </c>
      <c r="AB40" s="66" t="s">
        <v>319</v>
      </c>
      <c r="AC40" s="66" t="s">
        <v>180</v>
      </c>
      <c r="AD40" s="67">
        <v>6</v>
      </c>
      <c r="AE40" s="65" t="s">
        <v>254</v>
      </c>
      <c r="AF40" s="65" t="s">
        <v>180</v>
      </c>
      <c r="AG40" s="68" t="s">
        <v>73</v>
      </c>
      <c r="AH40" s="69">
        <v>0</v>
      </c>
      <c r="AI40" s="69">
        <v>835</v>
      </c>
      <c r="AJ40" s="69">
        <v>8500</v>
      </c>
      <c r="AK40" s="69">
        <v>0</v>
      </c>
      <c r="AL40" s="69">
        <v>17610</v>
      </c>
      <c r="AM40" s="69">
        <v>3950</v>
      </c>
      <c r="AN40" s="69">
        <v>12500</v>
      </c>
      <c r="AO40" s="69">
        <v>43395</v>
      </c>
      <c r="AP40" s="61" t="s">
        <v>73</v>
      </c>
      <c r="AQ40" s="70">
        <v>364</v>
      </c>
      <c r="AR40" s="70">
        <v>0</v>
      </c>
      <c r="AS40" s="70">
        <v>120</v>
      </c>
      <c r="AT40" s="70">
        <v>1080</v>
      </c>
      <c r="AU40" s="70">
        <v>1564</v>
      </c>
      <c r="AV40" s="71">
        <v>0.1</v>
      </c>
      <c r="AW40" s="70">
        <v>5903.5</v>
      </c>
    </row>
    <row r="41" spans="1:49" x14ac:dyDescent="0.25">
      <c r="A41" s="59" t="s">
        <v>81</v>
      </c>
      <c r="B41" s="59" t="s">
        <v>320</v>
      </c>
      <c r="C41" s="59" t="s">
        <v>306</v>
      </c>
      <c r="D41" s="59" t="s">
        <v>321</v>
      </c>
      <c r="E41" s="60" t="s">
        <v>172</v>
      </c>
      <c r="F41" s="60" t="s">
        <v>297</v>
      </c>
      <c r="G41" s="64">
        <v>45.028449000000002</v>
      </c>
      <c r="H41" s="64">
        <v>-113.916214</v>
      </c>
      <c r="I41" s="65" t="s">
        <v>216</v>
      </c>
      <c r="J41" s="65" t="s">
        <v>193</v>
      </c>
      <c r="K41" s="65"/>
      <c r="L41" s="65" t="s">
        <v>176</v>
      </c>
      <c r="M41" s="65" t="s">
        <v>177</v>
      </c>
      <c r="N41" s="65"/>
      <c r="O41" s="65"/>
      <c r="P41" s="65"/>
      <c r="Q41" s="65"/>
      <c r="R41" s="65" t="s">
        <v>245</v>
      </c>
      <c r="S41" s="65" t="s">
        <v>180</v>
      </c>
      <c r="T41" s="66" t="s">
        <v>181</v>
      </c>
      <c r="U41" s="66" t="s">
        <v>182</v>
      </c>
      <c r="V41" s="66" t="s">
        <v>183</v>
      </c>
      <c r="W41" s="66" t="s">
        <v>202</v>
      </c>
      <c r="X41" s="66" t="s">
        <v>203</v>
      </c>
      <c r="Y41" s="66" t="s">
        <v>204</v>
      </c>
      <c r="Z41" s="66" t="s">
        <v>187</v>
      </c>
      <c r="AA41" s="66" t="s">
        <v>195</v>
      </c>
      <c r="AB41" s="66"/>
      <c r="AC41" s="66" t="s">
        <v>180</v>
      </c>
      <c r="AD41" s="67">
        <v>6</v>
      </c>
      <c r="AE41" s="65" t="s">
        <v>189</v>
      </c>
      <c r="AF41" s="65" t="s">
        <v>180</v>
      </c>
      <c r="AG41" s="68" t="s">
        <v>81</v>
      </c>
      <c r="AH41" s="69">
        <v>742</v>
      </c>
      <c r="AI41" s="69">
        <v>835</v>
      </c>
      <c r="AJ41" s="69">
        <v>8500</v>
      </c>
      <c r="AK41" s="69">
        <v>0</v>
      </c>
      <c r="AL41" s="69">
        <v>17610</v>
      </c>
      <c r="AM41" s="69">
        <v>10479</v>
      </c>
      <c r="AN41" s="69">
        <v>12500</v>
      </c>
      <c r="AO41" s="69">
        <v>50666</v>
      </c>
      <c r="AP41" s="61" t="s">
        <v>81</v>
      </c>
      <c r="AQ41" s="70">
        <v>0</v>
      </c>
      <c r="AR41" s="70">
        <v>300</v>
      </c>
      <c r="AS41" s="70">
        <v>1560.38</v>
      </c>
      <c r="AT41" s="70">
        <v>1080</v>
      </c>
      <c r="AU41" s="70">
        <v>2940.38</v>
      </c>
      <c r="AV41" s="71">
        <v>0.1</v>
      </c>
      <c r="AW41" s="70">
        <v>8006.9800000000005</v>
      </c>
    </row>
    <row r="42" spans="1:49" x14ac:dyDescent="0.25">
      <c r="A42" s="59" t="s">
        <v>83</v>
      </c>
      <c r="B42" s="59" t="s">
        <v>322</v>
      </c>
      <c r="C42" s="59" t="s">
        <v>306</v>
      </c>
      <c r="D42" s="59" t="s">
        <v>321</v>
      </c>
      <c r="E42" s="60" t="s">
        <v>211</v>
      </c>
      <c r="F42" s="60" t="s">
        <v>323</v>
      </c>
      <c r="G42" s="64">
        <v>44.889786000000001</v>
      </c>
      <c r="H42" s="64">
        <v>-113.964152</v>
      </c>
      <c r="I42" s="65" t="s">
        <v>174</v>
      </c>
      <c r="J42" s="65" t="s">
        <v>193</v>
      </c>
      <c r="K42" s="65"/>
      <c r="L42" s="65" t="s">
        <v>176</v>
      </c>
      <c r="M42" s="65" t="s">
        <v>177</v>
      </c>
      <c r="N42" s="65" t="s">
        <v>178</v>
      </c>
      <c r="O42" s="65" t="s">
        <v>264</v>
      </c>
      <c r="P42" s="65">
        <v>4</v>
      </c>
      <c r="Q42" s="65"/>
      <c r="R42" s="65"/>
      <c r="S42" s="65" t="s">
        <v>190</v>
      </c>
      <c r="T42" s="66" t="s">
        <v>181</v>
      </c>
      <c r="U42" s="66" t="s">
        <v>182</v>
      </c>
      <c r="V42" s="66" t="s">
        <v>183</v>
      </c>
      <c r="W42" s="66" t="s">
        <v>202</v>
      </c>
      <c r="X42" s="66" t="s">
        <v>203</v>
      </c>
      <c r="Y42" s="66" t="s">
        <v>204</v>
      </c>
      <c r="Z42" s="66" t="s">
        <v>187</v>
      </c>
      <c r="AA42" s="66" t="s">
        <v>195</v>
      </c>
      <c r="AB42" s="66"/>
      <c r="AC42" s="66" t="s">
        <v>180</v>
      </c>
      <c r="AD42" s="67">
        <v>6</v>
      </c>
      <c r="AE42" s="65" t="s">
        <v>189</v>
      </c>
      <c r="AF42" s="65" t="s">
        <v>180</v>
      </c>
      <c r="AG42" s="68" t="s">
        <v>83</v>
      </c>
      <c r="AH42" s="69">
        <v>742</v>
      </c>
      <c r="AI42" s="69">
        <v>835</v>
      </c>
      <c r="AJ42" s="69">
        <v>8500</v>
      </c>
      <c r="AK42" s="69">
        <v>0</v>
      </c>
      <c r="AL42" s="69">
        <v>17610</v>
      </c>
      <c r="AM42" s="69">
        <v>3950</v>
      </c>
      <c r="AN42" s="69">
        <v>12500</v>
      </c>
      <c r="AO42" s="69">
        <v>44137</v>
      </c>
      <c r="AP42" s="61" t="s">
        <v>83</v>
      </c>
      <c r="AQ42" s="70">
        <v>364</v>
      </c>
      <c r="AR42" s="70">
        <v>300</v>
      </c>
      <c r="AS42" s="70">
        <v>120</v>
      </c>
      <c r="AT42" s="70">
        <v>1080</v>
      </c>
      <c r="AU42" s="70">
        <v>1864</v>
      </c>
      <c r="AV42" s="71">
        <v>0.1</v>
      </c>
      <c r="AW42" s="70">
        <v>6277.7</v>
      </c>
    </row>
    <row r="43" spans="1:49" x14ac:dyDescent="0.25">
      <c r="A43" s="59" t="s">
        <v>87</v>
      </c>
      <c r="B43" s="59" t="s">
        <v>324</v>
      </c>
      <c r="C43" s="59" t="s">
        <v>306</v>
      </c>
      <c r="D43" s="59" t="s">
        <v>321</v>
      </c>
      <c r="E43" s="60" t="s">
        <v>172</v>
      </c>
      <c r="F43" s="60" t="s">
        <v>222</v>
      </c>
      <c r="G43" s="64">
        <v>44.221896999999998</v>
      </c>
      <c r="H43" s="64">
        <v>-114.931415</v>
      </c>
      <c r="I43" s="65" t="s">
        <v>239</v>
      </c>
      <c r="J43" s="65" t="s">
        <v>208</v>
      </c>
      <c r="K43" s="65"/>
      <c r="L43" s="65" t="s">
        <v>283</v>
      </c>
      <c r="M43" s="65"/>
      <c r="N43" s="65" t="s">
        <v>325</v>
      </c>
      <c r="O43" s="65" t="s">
        <v>179</v>
      </c>
      <c r="P43" s="65">
        <v>4</v>
      </c>
      <c r="Q43" s="65"/>
      <c r="R43" s="65" t="s">
        <v>245</v>
      </c>
      <c r="S43" s="65" t="s">
        <v>180</v>
      </c>
      <c r="T43" s="66" t="s">
        <v>200</v>
      </c>
      <c r="U43" s="66" t="s">
        <v>201</v>
      </c>
      <c r="V43" s="66" t="s">
        <v>183</v>
      </c>
      <c r="W43" s="66" t="s">
        <v>202</v>
      </c>
      <c r="X43" s="66" t="s">
        <v>203</v>
      </c>
      <c r="Y43" s="66" t="s">
        <v>204</v>
      </c>
      <c r="Z43" s="66" t="s">
        <v>187</v>
      </c>
      <c r="AA43" s="66" t="s">
        <v>195</v>
      </c>
      <c r="AB43" s="66"/>
      <c r="AC43" s="66" t="s">
        <v>180</v>
      </c>
      <c r="AD43" s="67">
        <v>6</v>
      </c>
      <c r="AE43" s="65" t="s">
        <v>205</v>
      </c>
      <c r="AF43" s="65" t="s">
        <v>180</v>
      </c>
      <c r="AG43" s="68" t="s">
        <v>87</v>
      </c>
      <c r="AH43" s="69">
        <v>742</v>
      </c>
      <c r="AI43" s="69">
        <v>835</v>
      </c>
      <c r="AJ43" s="69">
        <v>4450</v>
      </c>
      <c r="AK43" s="69">
        <v>12504</v>
      </c>
      <c r="AL43" s="69">
        <v>17610</v>
      </c>
      <c r="AM43" s="69">
        <v>15274</v>
      </c>
      <c r="AN43" s="69">
        <v>12500</v>
      </c>
      <c r="AO43" s="69">
        <v>63915</v>
      </c>
      <c r="AP43" s="61" t="s">
        <v>87</v>
      </c>
      <c r="AQ43" s="70">
        <v>364</v>
      </c>
      <c r="AR43" s="70">
        <v>300</v>
      </c>
      <c r="AS43" s="70">
        <v>3120.75</v>
      </c>
      <c r="AT43" s="70">
        <v>1080</v>
      </c>
      <c r="AU43" s="70">
        <v>4864.75</v>
      </c>
      <c r="AV43" s="71">
        <v>0.08</v>
      </c>
      <c r="AW43" s="70">
        <v>9977.9500000000007</v>
      </c>
    </row>
    <row r="44" spans="1:49" x14ac:dyDescent="0.25">
      <c r="A44" s="59" t="s">
        <v>21</v>
      </c>
      <c r="B44" s="59" t="s">
        <v>326</v>
      </c>
      <c r="C44" s="59" t="s">
        <v>6</v>
      </c>
      <c r="D44" s="59" t="s">
        <v>327</v>
      </c>
      <c r="E44" s="60" t="s">
        <v>211</v>
      </c>
      <c r="F44" s="60" t="s">
        <v>328</v>
      </c>
      <c r="G44" s="64">
        <v>46.145699999999998</v>
      </c>
      <c r="H44" s="64">
        <v>-115.596</v>
      </c>
      <c r="I44" s="65" t="s">
        <v>329</v>
      </c>
      <c r="J44" s="65" t="s">
        <v>193</v>
      </c>
      <c r="K44" s="65" t="s">
        <v>257</v>
      </c>
      <c r="L44" s="65" t="s">
        <v>283</v>
      </c>
      <c r="M44" s="65"/>
      <c r="N44" s="65" t="s">
        <v>330</v>
      </c>
      <c r="O44" s="65" t="s">
        <v>179</v>
      </c>
      <c r="P44" s="65">
        <v>4</v>
      </c>
      <c r="Q44" s="65"/>
      <c r="R44" s="65"/>
      <c r="S44" s="65" t="s">
        <v>180</v>
      </c>
      <c r="T44" s="66" t="s">
        <v>200</v>
      </c>
      <c r="U44" s="66" t="s">
        <v>201</v>
      </c>
      <c r="V44" s="66" t="s">
        <v>183</v>
      </c>
      <c r="W44" s="66" t="s">
        <v>184</v>
      </c>
      <c r="X44" s="66" t="s">
        <v>185</v>
      </c>
      <c r="Y44" s="66" t="s">
        <v>186</v>
      </c>
      <c r="Z44" s="66" t="s">
        <v>331</v>
      </c>
      <c r="AA44" s="66" t="s">
        <v>195</v>
      </c>
      <c r="AB44" s="66" t="s">
        <v>183</v>
      </c>
      <c r="AC44" s="66" t="s">
        <v>180</v>
      </c>
      <c r="AD44" s="67">
        <v>13</v>
      </c>
      <c r="AE44" s="65" t="s">
        <v>205</v>
      </c>
      <c r="AF44" s="65" t="s">
        <v>180</v>
      </c>
      <c r="AG44" s="68" t="s">
        <v>21</v>
      </c>
      <c r="AH44" s="69">
        <v>2000</v>
      </c>
      <c r="AI44" s="69">
        <v>835</v>
      </c>
      <c r="AJ44" s="69">
        <v>4450</v>
      </c>
      <c r="AK44" s="69">
        <v>27092</v>
      </c>
      <c r="AL44" s="69">
        <v>38155</v>
      </c>
      <c r="AM44" s="69">
        <v>5340</v>
      </c>
      <c r="AN44" s="69">
        <v>12500</v>
      </c>
      <c r="AO44" s="69">
        <v>90372</v>
      </c>
      <c r="AP44" s="61" t="s">
        <v>21</v>
      </c>
      <c r="AQ44" s="70">
        <v>364</v>
      </c>
      <c r="AR44" s="70">
        <v>1440</v>
      </c>
      <c r="AS44" s="70">
        <v>120</v>
      </c>
      <c r="AT44" s="70">
        <v>1080</v>
      </c>
      <c r="AU44" s="70">
        <v>3004</v>
      </c>
      <c r="AV44" s="71">
        <v>0.08</v>
      </c>
      <c r="AW44" s="70">
        <v>10233.76</v>
      </c>
    </row>
    <row r="45" spans="1:49" x14ac:dyDescent="0.25">
      <c r="A45" s="59" t="s">
        <v>23</v>
      </c>
      <c r="B45" s="59" t="s">
        <v>332</v>
      </c>
      <c r="C45" s="59" t="s">
        <v>6</v>
      </c>
      <c r="D45" s="59" t="s">
        <v>327</v>
      </c>
      <c r="E45" s="60" t="s">
        <v>172</v>
      </c>
      <c r="F45" s="60" t="s">
        <v>333</v>
      </c>
      <c r="G45" s="64">
        <v>46.164099999999998</v>
      </c>
      <c r="H45" s="64">
        <v>-115.58920000000001</v>
      </c>
      <c r="I45" s="65" t="s">
        <v>329</v>
      </c>
      <c r="J45" s="65" t="s">
        <v>193</v>
      </c>
      <c r="K45" s="65" t="s">
        <v>257</v>
      </c>
      <c r="L45" s="65" t="s">
        <v>283</v>
      </c>
      <c r="M45" s="65"/>
      <c r="N45" s="65" t="s">
        <v>330</v>
      </c>
      <c r="O45" s="65" t="s">
        <v>334</v>
      </c>
      <c r="P45" s="65">
        <v>4</v>
      </c>
      <c r="Q45" s="65"/>
      <c r="R45" s="65"/>
      <c r="S45" s="65" t="s">
        <v>180</v>
      </c>
      <c r="T45" s="66" t="s">
        <v>200</v>
      </c>
      <c r="U45" s="66" t="s">
        <v>201</v>
      </c>
      <c r="V45" s="66" t="s">
        <v>183</v>
      </c>
      <c r="W45" s="66" t="s">
        <v>184</v>
      </c>
      <c r="X45" s="66" t="s">
        <v>185</v>
      </c>
      <c r="Y45" s="66" t="s">
        <v>186</v>
      </c>
      <c r="Z45" s="66" t="s">
        <v>331</v>
      </c>
      <c r="AA45" s="66" t="s">
        <v>195</v>
      </c>
      <c r="AB45" s="66" t="s">
        <v>183</v>
      </c>
      <c r="AC45" s="66" t="s">
        <v>180</v>
      </c>
      <c r="AD45" s="67">
        <v>19</v>
      </c>
      <c r="AE45" s="65" t="s">
        <v>205</v>
      </c>
      <c r="AF45" s="65" t="s">
        <v>180</v>
      </c>
      <c r="AG45" s="68" t="s">
        <v>23</v>
      </c>
      <c r="AH45" s="69">
        <v>2000</v>
      </c>
      <c r="AI45" s="69">
        <v>835</v>
      </c>
      <c r="AJ45" s="69">
        <v>4450</v>
      </c>
      <c r="AK45" s="69">
        <v>39596</v>
      </c>
      <c r="AL45" s="69">
        <v>55765</v>
      </c>
      <c r="AM45" s="69">
        <v>5340</v>
      </c>
      <c r="AN45" s="69">
        <v>12500</v>
      </c>
      <c r="AO45" s="69">
        <v>120486</v>
      </c>
      <c r="AP45" s="61" t="s">
        <v>23</v>
      </c>
      <c r="AQ45" s="70">
        <v>364</v>
      </c>
      <c r="AR45" s="70">
        <v>1440</v>
      </c>
      <c r="AS45" s="70">
        <v>120</v>
      </c>
      <c r="AT45" s="70">
        <v>1080</v>
      </c>
      <c r="AU45" s="70">
        <v>3004</v>
      </c>
      <c r="AV45" s="71">
        <v>0.08</v>
      </c>
      <c r="AW45" s="70">
        <v>12642.880000000001</v>
      </c>
    </row>
    <row r="46" spans="1:49" x14ac:dyDescent="0.25">
      <c r="A46" s="59" t="s">
        <v>65</v>
      </c>
      <c r="B46" s="59" t="s">
        <v>335</v>
      </c>
      <c r="C46" s="59" t="s">
        <v>230</v>
      </c>
      <c r="D46" s="59" t="s">
        <v>321</v>
      </c>
      <c r="E46" s="60" t="s">
        <v>172</v>
      </c>
      <c r="F46" s="60" t="s">
        <v>10</v>
      </c>
      <c r="G46" s="64">
        <v>45.417645999999998</v>
      </c>
      <c r="H46" s="64">
        <v>-113.994165</v>
      </c>
      <c r="I46" s="65" t="s">
        <v>174</v>
      </c>
      <c r="J46" s="65" t="s">
        <v>208</v>
      </c>
      <c r="K46" s="65" t="s">
        <v>257</v>
      </c>
      <c r="L46" s="65" t="s">
        <v>198</v>
      </c>
      <c r="M46" s="65"/>
      <c r="N46" s="65" t="s">
        <v>209</v>
      </c>
      <c r="O46" s="65" t="s">
        <v>179</v>
      </c>
      <c r="P46" s="65">
        <v>4</v>
      </c>
      <c r="Q46" s="65"/>
      <c r="R46" s="65"/>
      <c r="S46" s="65" t="s">
        <v>180</v>
      </c>
      <c r="T46" s="66" t="s">
        <v>200</v>
      </c>
      <c r="U46" s="66" t="s">
        <v>201</v>
      </c>
      <c r="V46" s="66"/>
      <c r="W46" s="66" t="s">
        <v>184</v>
      </c>
      <c r="X46" s="66" t="s">
        <v>185</v>
      </c>
      <c r="Y46" s="66" t="s">
        <v>186</v>
      </c>
      <c r="Z46" s="66"/>
      <c r="AA46" s="66"/>
      <c r="AB46" s="66"/>
      <c r="AC46" s="66" t="s">
        <v>180</v>
      </c>
      <c r="AD46" s="67">
        <v>6</v>
      </c>
      <c r="AE46" s="65" t="s">
        <v>205</v>
      </c>
      <c r="AF46" s="65" t="s">
        <v>180</v>
      </c>
      <c r="AG46" s="68" t="s">
        <v>65</v>
      </c>
      <c r="AH46" s="69">
        <v>2000</v>
      </c>
      <c r="AI46" s="69">
        <v>0</v>
      </c>
      <c r="AJ46" s="69">
        <v>4450</v>
      </c>
      <c r="AK46" s="69">
        <v>12504</v>
      </c>
      <c r="AL46" s="69">
        <v>17610</v>
      </c>
      <c r="AM46" s="69">
        <v>3950</v>
      </c>
      <c r="AN46" s="69">
        <v>12500</v>
      </c>
      <c r="AO46" s="69">
        <v>53014</v>
      </c>
      <c r="AP46" s="61" t="s">
        <v>65</v>
      </c>
      <c r="AQ46" s="70">
        <v>364</v>
      </c>
      <c r="AR46" s="70">
        <v>1440</v>
      </c>
      <c r="AS46" s="70">
        <v>120</v>
      </c>
      <c r="AT46" s="70">
        <v>1080</v>
      </c>
      <c r="AU46" s="70">
        <v>3004</v>
      </c>
      <c r="AV46" s="71">
        <v>0.08</v>
      </c>
      <c r="AW46" s="70">
        <v>7245.12</v>
      </c>
    </row>
    <row r="47" spans="1:49" x14ac:dyDescent="0.25">
      <c r="A47" s="59" t="s">
        <v>33</v>
      </c>
      <c r="B47" s="59" t="s">
        <v>336</v>
      </c>
      <c r="C47" s="59" t="s">
        <v>6</v>
      </c>
      <c r="D47" s="59" t="s">
        <v>171</v>
      </c>
      <c r="E47" s="60" t="s">
        <v>172</v>
      </c>
      <c r="F47" s="60" t="s">
        <v>10</v>
      </c>
      <c r="G47" s="64">
        <v>45.821299000000003</v>
      </c>
      <c r="H47" s="64">
        <v>-115.52772</v>
      </c>
      <c r="I47" s="65" t="s">
        <v>174</v>
      </c>
      <c r="J47" s="65" t="s">
        <v>175</v>
      </c>
      <c r="K47" s="65" t="s">
        <v>257</v>
      </c>
      <c r="L47" s="65" t="s">
        <v>198</v>
      </c>
      <c r="M47" s="65"/>
      <c r="N47" s="65" t="s">
        <v>209</v>
      </c>
      <c r="O47" s="65" t="s">
        <v>179</v>
      </c>
      <c r="P47" s="65">
        <v>4</v>
      </c>
      <c r="Q47" s="65"/>
      <c r="R47" s="65"/>
      <c r="S47" s="65" t="s">
        <v>180</v>
      </c>
      <c r="T47" s="66" t="s">
        <v>200</v>
      </c>
      <c r="U47" s="66" t="s">
        <v>201</v>
      </c>
      <c r="V47" s="66"/>
      <c r="W47" s="66" t="s">
        <v>184</v>
      </c>
      <c r="X47" s="66" t="s">
        <v>185</v>
      </c>
      <c r="Y47" s="66" t="s">
        <v>186</v>
      </c>
      <c r="Z47" s="66"/>
      <c r="AA47" s="66"/>
      <c r="AB47" s="66"/>
      <c r="AC47" s="66" t="s">
        <v>180</v>
      </c>
      <c r="AD47" s="67">
        <v>4</v>
      </c>
      <c r="AE47" s="65" t="s">
        <v>205</v>
      </c>
      <c r="AF47" s="65" t="s">
        <v>180</v>
      </c>
      <c r="AG47" s="68" t="s">
        <v>33</v>
      </c>
      <c r="AH47" s="69">
        <v>2000</v>
      </c>
      <c r="AI47" s="69">
        <v>0</v>
      </c>
      <c r="AJ47" s="69">
        <v>4450</v>
      </c>
      <c r="AK47" s="69">
        <v>8336</v>
      </c>
      <c r="AL47" s="69">
        <v>11740</v>
      </c>
      <c r="AM47" s="69">
        <v>3950</v>
      </c>
      <c r="AN47" s="69">
        <v>12500</v>
      </c>
      <c r="AO47" s="69">
        <v>42976</v>
      </c>
      <c r="AP47" s="61" t="s">
        <v>33</v>
      </c>
      <c r="AQ47" s="70">
        <v>364</v>
      </c>
      <c r="AR47" s="70">
        <v>1440</v>
      </c>
      <c r="AS47" s="70">
        <v>120</v>
      </c>
      <c r="AT47" s="70">
        <v>1080</v>
      </c>
      <c r="AU47" s="70">
        <v>3004</v>
      </c>
      <c r="AV47" s="71">
        <v>0.08</v>
      </c>
      <c r="AW47" s="70">
        <v>6442.08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5A9D4-9867-414A-873E-D5C500015276}">
  <dimension ref="B1:G32"/>
  <sheetViews>
    <sheetView workbookViewId="0">
      <selection activeCell="C1" sqref="C1:G1048576"/>
    </sheetView>
  </sheetViews>
  <sheetFormatPr defaultRowHeight="14.5" x14ac:dyDescent="0.35"/>
  <cols>
    <col min="1" max="1" width="2.1796875" customWidth="1"/>
    <col min="2" max="2" width="24.08984375" bestFit="1" customWidth="1"/>
    <col min="3" max="3" width="11.54296875" style="73" bestFit="1" customWidth="1"/>
    <col min="4" max="4" width="3.36328125" style="73" customWidth="1"/>
    <col min="5" max="5" width="19.08984375" style="73" bestFit="1" customWidth="1"/>
    <col min="6" max="7" width="18.54296875" style="74" bestFit="1" customWidth="1"/>
  </cols>
  <sheetData>
    <row r="1" spans="2:7" ht="15" thickBot="1" x14ac:dyDescent="0.4"/>
    <row r="2" spans="2:7" x14ac:dyDescent="0.35">
      <c r="B2" s="4" t="s">
        <v>350</v>
      </c>
      <c r="C2" s="75" t="s">
        <v>351</v>
      </c>
      <c r="E2" s="76" t="s">
        <v>127</v>
      </c>
      <c r="F2" s="77" t="s">
        <v>156</v>
      </c>
      <c r="G2" s="6" t="s">
        <v>165</v>
      </c>
    </row>
    <row r="3" spans="2:7" x14ac:dyDescent="0.35">
      <c r="B3" s="1" t="s">
        <v>352</v>
      </c>
      <c r="C3" s="2">
        <v>2935</v>
      </c>
      <c r="E3" s="7" t="s">
        <v>184</v>
      </c>
      <c r="F3" s="78">
        <v>2000</v>
      </c>
      <c r="G3" s="2">
        <v>1440</v>
      </c>
    </row>
    <row r="4" spans="2:7" x14ac:dyDescent="0.35">
      <c r="B4" s="1" t="s">
        <v>140</v>
      </c>
      <c r="C4" s="2">
        <v>350</v>
      </c>
      <c r="E4" s="7" t="s">
        <v>341</v>
      </c>
      <c r="F4" s="78">
        <v>400</v>
      </c>
      <c r="G4" s="2">
        <v>0</v>
      </c>
    </row>
    <row r="5" spans="2:7" x14ac:dyDescent="0.35">
      <c r="B5" s="1" t="s">
        <v>164</v>
      </c>
      <c r="C5" s="2">
        <v>364</v>
      </c>
      <c r="E5" s="7" t="s">
        <v>202</v>
      </c>
      <c r="F5" s="78">
        <v>742</v>
      </c>
      <c r="G5" s="2">
        <v>300</v>
      </c>
    </row>
    <row r="6" spans="2:7" ht="15" thickBot="1" x14ac:dyDescent="0.4">
      <c r="B6" s="7" t="s">
        <v>353</v>
      </c>
      <c r="C6" s="2">
        <v>2706</v>
      </c>
      <c r="E6" s="5" t="s">
        <v>257</v>
      </c>
      <c r="F6" s="79">
        <v>0</v>
      </c>
      <c r="G6" s="3">
        <v>0</v>
      </c>
    </row>
    <row r="7" spans="2:7" ht="15" thickBot="1" x14ac:dyDescent="0.4">
      <c r="B7" s="5" t="s">
        <v>357</v>
      </c>
      <c r="C7" s="3">
        <v>90</v>
      </c>
      <c r="E7" s="80"/>
      <c r="F7" s="78"/>
    </row>
    <row r="8" spans="2:7" x14ac:dyDescent="0.35">
      <c r="E8" s="76" t="s">
        <v>146</v>
      </c>
      <c r="F8" s="6" t="s">
        <v>157</v>
      </c>
    </row>
    <row r="9" spans="2:7" x14ac:dyDescent="0.35">
      <c r="D9" s="74"/>
      <c r="E9" s="7" t="s">
        <v>342</v>
      </c>
      <c r="F9" s="2">
        <v>3121</v>
      </c>
    </row>
    <row r="10" spans="2:7" x14ac:dyDescent="0.35">
      <c r="D10" s="74"/>
      <c r="E10" s="7" t="s">
        <v>343</v>
      </c>
      <c r="F10" s="2">
        <v>0</v>
      </c>
    </row>
    <row r="11" spans="2:7" x14ac:dyDescent="0.35">
      <c r="D11" s="74"/>
      <c r="E11" s="7" t="s">
        <v>372</v>
      </c>
      <c r="F11" s="2">
        <v>525</v>
      </c>
    </row>
    <row r="12" spans="2:7" x14ac:dyDescent="0.35">
      <c r="D12" s="74"/>
      <c r="E12" s="7" t="s">
        <v>344</v>
      </c>
      <c r="F12" s="2">
        <v>2500</v>
      </c>
    </row>
    <row r="13" spans="2:7" ht="15" thickBot="1" x14ac:dyDescent="0.4">
      <c r="E13" s="5" t="s">
        <v>183</v>
      </c>
      <c r="F13" s="3">
        <v>835</v>
      </c>
    </row>
    <row r="14" spans="2:7" ht="15" thickBot="1" x14ac:dyDescent="0.4"/>
    <row r="15" spans="2:7" x14ac:dyDescent="0.35">
      <c r="E15" s="76" t="s">
        <v>145</v>
      </c>
      <c r="F15" s="75" t="s">
        <v>159</v>
      </c>
    </row>
    <row r="16" spans="2:7" x14ac:dyDescent="0.35">
      <c r="E16" s="7" t="s">
        <v>182</v>
      </c>
      <c r="F16" s="2">
        <v>0</v>
      </c>
    </row>
    <row r="17" spans="5:7" x14ac:dyDescent="0.35">
      <c r="E17" s="7" t="s">
        <v>201</v>
      </c>
      <c r="F17" s="2">
        <v>2084</v>
      </c>
    </row>
    <row r="18" spans="5:7" ht="15" thickBot="1" x14ac:dyDescent="0.4">
      <c r="E18" s="5" t="s">
        <v>349</v>
      </c>
      <c r="F18" s="3">
        <v>450</v>
      </c>
    </row>
    <row r="19" spans="5:7" ht="15" thickBot="1" x14ac:dyDescent="0.4"/>
    <row r="20" spans="5:7" x14ac:dyDescent="0.35">
      <c r="E20" s="76" t="s">
        <v>345</v>
      </c>
      <c r="F20" s="6" t="s">
        <v>158</v>
      </c>
    </row>
    <row r="21" spans="5:7" x14ac:dyDescent="0.35">
      <c r="E21" s="7" t="s">
        <v>181</v>
      </c>
      <c r="F21" s="2">
        <v>8500</v>
      </c>
    </row>
    <row r="22" spans="5:7" x14ac:dyDescent="0.35">
      <c r="E22" s="7" t="s">
        <v>200</v>
      </c>
      <c r="F22" s="2">
        <v>4450</v>
      </c>
    </row>
    <row r="23" spans="5:7" x14ac:dyDescent="0.35">
      <c r="E23" s="7" t="s">
        <v>346</v>
      </c>
      <c r="F23" s="2">
        <v>2500</v>
      </c>
    </row>
    <row r="24" spans="5:7" ht="15" thickBot="1" x14ac:dyDescent="0.4">
      <c r="E24" s="5" t="s">
        <v>347</v>
      </c>
      <c r="F24" s="3">
        <v>2500</v>
      </c>
    </row>
    <row r="25" spans="5:7" ht="15" thickBot="1" x14ac:dyDescent="0.4"/>
    <row r="26" spans="5:7" x14ac:dyDescent="0.35">
      <c r="E26" s="81" t="s">
        <v>355</v>
      </c>
      <c r="F26" s="82" t="s">
        <v>373</v>
      </c>
      <c r="G26" s="83" t="s">
        <v>356</v>
      </c>
    </row>
    <row r="27" spans="5:7" x14ac:dyDescent="0.35">
      <c r="E27" s="7" t="s">
        <v>174</v>
      </c>
      <c r="F27" s="78">
        <v>2550</v>
      </c>
      <c r="G27" s="2">
        <v>120</v>
      </c>
    </row>
    <row r="28" spans="5:7" x14ac:dyDescent="0.35">
      <c r="E28" s="7" t="s">
        <v>329</v>
      </c>
      <c r="F28" s="78">
        <v>3940</v>
      </c>
      <c r="G28" s="2">
        <v>120</v>
      </c>
    </row>
    <row r="29" spans="5:7" x14ac:dyDescent="0.35">
      <c r="E29" s="7" t="s">
        <v>192</v>
      </c>
      <c r="F29" s="78">
        <v>27903</v>
      </c>
      <c r="G29" s="2">
        <v>780.19</v>
      </c>
    </row>
    <row r="30" spans="5:7" x14ac:dyDescent="0.35">
      <c r="E30" s="7" t="s">
        <v>216</v>
      </c>
      <c r="F30" s="78">
        <v>10479</v>
      </c>
      <c r="G30" s="2">
        <v>1560.38</v>
      </c>
    </row>
    <row r="31" spans="5:7" x14ac:dyDescent="0.35">
      <c r="E31" s="7" t="s">
        <v>239</v>
      </c>
      <c r="F31" s="78">
        <v>13874</v>
      </c>
      <c r="G31" s="2">
        <v>3120.75</v>
      </c>
    </row>
    <row r="32" spans="5:7" ht="15" thickBot="1" x14ac:dyDescent="0.4">
      <c r="E32" s="5" t="s">
        <v>233</v>
      </c>
      <c r="F32" s="79">
        <v>2706</v>
      </c>
      <c r="G32" s="3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11</vt:i4>
      </vt:variant>
    </vt:vector>
  </HeadingPairs>
  <TitlesOfParts>
    <vt:vector size="14" baseType="lpstr">
      <vt:lpstr>O&amp;M Costs</vt:lpstr>
      <vt:lpstr>Biomark Table</vt:lpstr>
      <vt:lpstr>Fixed Costs</vt:lpstr>
      <vt:lpstr>antenna_cost</vt:lpstr>
      <vt:lpstr>battery_cost</vt:lpstr>
      <vt:lpstr>battery_replacement</vt:lpstr>
      <vt:lpstr>communication</vt:lpstr>
      <vt:lpstr>data_management_mnth</vt:lpstr>
      <vt:lpstr>datalogger</vt:lpstr>
      <vt:lpstr>om_table</vt:lpstr>
      <vt:lpstr>power</vt:lpstr>
      <vt:lpstr>reader</vt:lpstr>
      <vt:lpstr>solar_array_cost</vt:lpstr>
      <vt:lpstr>transceiver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Ackerman</dc:creator>
  <cp:lastModifiedBy>Mike Ackerman</cp:lastModifiedBy>
  <dcterms:created xsi:type="dcterms:W3CDTF">2015-06-05T18:17:20Z</dcterms:created>
  <dcterms:modified xsi:type="dcterms:W3CDTF">2024-08-14T20:45:43Z</dcterms:modified>
</cp:coreProperties>
</file>