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1F242967-5349-4D3E-B662-7675B7D686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1" l="1"/>
  <c r="AF47" i="1" s="1"/>
  <c r="AG47" i="1"/>
  <c r="G5" i="4"/>
  <c r="F5" i="4"/>
  <c r="Z5" i="4"/>
  <c r="AA5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H5" i="4" l="1"/>
  <c r="S12" i="4"/>
  <c r="AA12" i="4" s="1"/>
  <c r="S13" i="4"/>
  <c r="S14" i="4"/>
  <c r="S15" i="4"/>
  <c r="AA15" i="4" s="1"/>
  <c r="S16" i="4"/>
  <c r="S17" i="4"/>
  <c r="S18" i="4"/>
  <c r="Y18" i="4" s="1"/>
  <c r="S19" i="4"/>
  <c r="Y19" i="4" s="1"/>
  <c r="S20" i="4"/>
  <c r="Z20" i="4" s="1"/>
  <c r="S21" i="4"/>
  <c r="Z21" i="4" s="1"/>
  <c r="S31" i="4"/>
  <c r="S32" i="4"/>
  <c r="S33" i="4"/>
  <c r="S34" i="4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13" i="4"/>
  <c r="Q13" i="4" s="1"/>
  <c r="AH37" i="1"/>
  <c r="E10" i="4"/>
  <c r="F9" i="4"/>
  <c r="G9" i="4"/>
  <c r="AH56" i="1"/>
  <c r="AH55" i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6" i="4"/>
  <c r="G7" i="4"/>
  <c r="F8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AD47" i="1" s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AE47" i="1" s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6" i="4" l="1"/>
  <c r="H9" i="4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H57" i="1" l="1"/>
  <c r="AH54" i="1"/>
  <c r="AH60" i="1" s="1"/>
  <c r="AE59" i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T20" i="1"/>
  <c r="AA20" i="1" s="1"/>
  <c r="T21" i="1"/>
  <c r="AA21" i="1" s="1"/>
  <c r="T22" i="1"/>
  <c r="AA22" i="1" s="1"/>
  <c r="T50" i="1"/>
  <c r="AA50" i="1" s="1"/>
  <c r="T23" i="1"/>
  <c r="AA23" i="1" s="1"/>
  <c r="AC23" i="1" s="1"/>
  <c r="AI23" i="1" s="1"/>
  <c r="T24" i="1"/>
  <c r="AA24" i="1" s="1"/>
  <c r="T25" i="1"/>
  <c r="AA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6" i="4" s="1"/>
  <c r="H6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T44" i="1"/>
  <c r="AA44" i="1" s="1"/>
  <c r="T45" i="1"/>
  <c r="AA45" i="1" s="1"/>
  <c r="T46" i="1"/>
  <c r="AA46" i="1" s="1"/>
  <c r="T47" i="1"/>
  <c r="AA47" i="1" s="1"/>
  <c r="T19" i="1"/>
  <c r="AA19" i="1" s="1"/>
  <c r="AC19" i="1" s="1"/>
  <c r="AI19" i="1" s="1"/>
  <c r="T48" i="1"/>
  <c r="AA48" i="1" s="1"/>
  <c r="T49" i="1"/>
  <c r="AA49" i="1" s="1"/>
  <c r="T2" i="1"/>
  <c r="AC22" i="1" l="1"/>
  <c r="AI22" i="1" s="1"/>
  <c r="N9" i="4" s="1"/>
  <c r="Q9" i="4" s="1"/>
  <c r="S9" i="4"/>
  <c r="Y9" i="4" s="1"/>
  <c r="AC20" i="1"/>
  <c r="AI20" i="1" s="1"/>
  <c r="N7" i="4" s="1"/>
  <c r="Q7" i="4" s="1"/>
  <c r="S7" i="4"/>
  <c r="AA7" i="4" s="1"/>
  <c r="AC43" i="1"/>
  <c r="AI43" i="1" s="1"/>
  <c r="N23" i="4" s="1"/>
  <c r="Q23" i="4" s="1"/>
  <c r="S23" i="4"/>
  <c r="AA23" i="4" s="1"/>
  <c r="AC18" i="1"/>
  <c r="AI18" i="1" s="1"/>
  <c r="N6" i="4" s="1"/>
  <c r="Q6" i="4" s="1"/>
  <c r="S6" i="4"/>
  <c r="Z6" i="4" s="1"/>
  <c r="AC11" i="1"/>
  <c r="AI11" i="1" s="1"/>
  <c r="N5" i="4" s="1"/>
  <c r="Q5" i="4" s="1"/>
  <c r="S5" i="4"/>
  <c r="Y5" i="4" s="1"/>
  <c r="AC21" i="1"/>
  <c r="AI21" i="1" s="1"/>
  <c r="N8" i="4" s="1"/>
  <c r="Q8" i="4" s="1"/>
  <c r="S8" i="4"/>
  <c r="AA8" i="4" s="1"/>
  <c r="AC49" i="1"/>
  <c r="AI49" i="1" s="1"/>
  <c r="N29" i="4" s="1"/>
  <c r="Q29" i="4" s="1"/>
  <c r="S29" i="4"/>
  <c r="Y29" i="4" s="1"/>
  <c r="AC25" i="1"/>
  <c r="AI25" i="1" s="1"/>
  <c r="N11" i="4" s="1"/>
  <c r="Q11" i="4" s="1"/>
  <c r="S11" i="4"/>
  <c r="Z11" i="4" s="1"/>
  <c r="AC46" i="1"/>
  <c r="AI46" i="1" s="1"/>
  <c r="N26" i="4" s="1"/>
  <c r="Q26" i="4" s="1"/>
  <c r="S26" i="4"/>
  <c r="AA26" i="4" s="1"/>
  <c r="AC45" i="1"/>
  <c r="AI45" i="1" s="1"/>
  <c r="N25" i="4" s="1"/>
  <c r="Q25" i="4" s="1"/>
  <c r="S25" i="4"/>
  <c r="AA25" i="4" s="1"/>
  <c r="AC44" i="1"/>
  <c r="AI44" i="1" s="1"/>
  <c r="N24" i="4" s="1"/>
  <c r="Q24" i="4" s="1"/>
  <c r="S24" i="4"/>
  <c r="AA24" i="4" s="1"/>
  <c r="AC48" i="1"/>
  <c r="AI48" i="1" s="1"/>
  <c r="N28" i="4" s="1"/>
  <c r="Q28" i="4" s="1"/>
  <c r="S28" i="4"/>
  <c r="Y28" i="4" s="1"/>
  <c r="AC24" i="1"/>
  <c r="AI24" i="1" s="1"/>
  <c r="N10" i="4" s="1"/>
  <c r="Q10" i="4" s="1"/>
  <c r="S10" i="4"/>
  <c r="Z10" i="4" s="1"/>
  <c r="AC50" i="1"/>
  <c r="AI50" i="1" s="1"/>
  <c r="N30" i="4" s="1"/>
  <c r="Q30" i="4" s="1"/>
  <c r="S30" i="4"/>
  <c r="Z30" i="4" s="1"/>
  <c r="AC7" i="1"/>
  <c r="AI7" i="1" s="1"/>
  <c r="N4" i="4" s="1"/>
  <c r="Q4" i="4" s="1"/>
  <c r="S4" i="4"/>
  <c r="Z4" i="4" s="1"/>
  <c r="AH59" i="1"/>
  <c r="AH61" i="1" s="1"/>
  <c r="AC47" i="1"/>
  <c r="AI47" i="1" s="1"/>
  <c r="G4" i="4" s="1"/>
  <c r="S27" i="4"/>
  <c r="AD61" i="1"/>
  <c r="AD62" i="1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S22" i="4" s="1"/>
  <c r="AA22" i="4" s="1"/>
  <c r="AA38" i="1"/>
  <c r="AA35" i="4" l="1"/>
  <c r="AA36" i="4" s="1"/>
  <c r="N27" i="4"/>
  <c r="Q27" i="4" s="1"/>
  <c r="Y35" i="4"/>
  <c r="Y36" i="4" s="1"/>
  <c r="Z35" i="4"/>
  <c r="Z36" i="4" s="1"/>
  <c r="G8" i="4"/>
  <c r="H8" i="4" s="1"/>
  <c r="H4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l="1"/>
  <c r="AI2" i="1"/>
  <c r="AI55" i="1"/>
  <c r="F7" i="4"/>
  <c r="AI42" i="1"/>
  <c r="AC60" i="1"/>
  <c r="AC59" i="1"/>
  <c r="AA60" i="1"/>
  <c r="AA61" i="1" s="1"/>
  <c r="AA62" i="1" s="1"/>
  <c r="T61" i="1"/>
  <c r="T62" i="1" s="1"/>
  <c r="AI38" i="1"/>
  <c r="AI56" i="1" s="1"/>
  <c r="AI57" i="1" l="1"/>
  <c r="N22" i="4"/>
  <c r="Q22" i="4" s="1"/>
  <c r="Q35" i="4" s="1"/>
  <c r="G3" i="4"/>
  <c r="G10" i="4" s="1"/>
  <c r="F3" i="4"/>
  <c r="H7" i="4"/>
  <c r="F10" i="4"/>
  <c r="AI54" i="1"/>
  <c r="AI59" i="1" s="1"/>
  <c r="AC61" i="1"/>
  <c r="AC62" i="1" s="1"/>
  <c r="H3" i="4" l="1"/>
  <c r="H10" i="4" s="1"/>
  <c r="AI60" i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  <author>tc={010A182B-A551-4254-B23A-44D962FA2B27}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  <comment ref="Q35" authorId="1" shapeId="0" xr:uid="{010A182B-A551-4254-B23A-44D962FA2B27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btw this amount &amp; cell H3 is equal to O&amp;M costs for YFK, PCA.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<sst xmlns="http://schemas.openxmlformats.org/spreadsheetml/2006/main" count="2133" uniqueCount="444">
  <si>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</si>
  <si>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</si>
  <si>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</si>
  <si>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</si>
  <si>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</si>
  <si>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</si>
  <si>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</si>
  <si>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</si>
  <si>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</si>
  <si>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</si>
  <si>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</si>
  <si>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</si>
  <si>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</si>
  <si>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</si>
  <si>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</si>
  <si>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</si>
  <si>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</si>
  <si>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</si>
  <si>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</si>
  <si>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</si>
  <si>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</si>
  <si>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</si>
  <si>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</si>
  <si>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</si>
  <si>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</si>
  <si>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</si>
  <si>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</si>
  <si>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</si>
  <si>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</si>
  <si>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</si>
  <si>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</si>
  <si>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</si>
  <si>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</si>
  <si>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</si>
  <si>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</si>
  <si>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</si>
  <si>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</si>
  <si>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</si>
  <si>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</si>
  <si>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</si>
  <si>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</si>
  <si>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</si>
  <si>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</si>
  <si>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</si>
  <si>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</si>
  <si>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</si>
  <si>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</si>
  <si>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</si>
  <si>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</si>
  <si>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</si>
  <si>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</si>
  <si>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</si>
  <si>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</si>
  <si>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</si>
  <si>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</si>
  <si>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</si>
  <si>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</si>
  <si>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</si>
  <si>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</si>
  <si>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</si>
  <si>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</si>
  <si>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</si>
  <si>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</si>
  <si>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</si>
  <si>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</si>
  <si>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</si>
  <si>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</si>
  <si>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</si>
  <si>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</si>
  <si>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</si>
  <si>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</si>
  <si>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</si>
  <si>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</si>
  <si>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</si>
  <si>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</si>
  <si>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</si>
  <si>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</si>
  <si>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</si>
  <si>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</si>
  <si>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</si>
  <si>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</si>
  <si>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</si>
  <si>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</si>
  <si>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</si>
  <si>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</si>
  <si>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</si>
  <si>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</si>
  <si>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</si>
  <si>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</si>
  <si>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</si>
  <si>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</si>
  <si>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</si>
  <si>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</si>
  <si>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</si>
  <si>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</si>
  <si>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</si>
  <si>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</si>
  <si>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</si>
  <si>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</si>
  <si>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</si>
  <si>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</si>
  <si>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</si>
  <si>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</si>
  <si>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</si>
  <si>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</si>
  <si>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</si>
  <si>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</si>
  <si>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</si>
  <si>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</si>
  <si>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</si>
  <si>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</si>
  <si>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</si>
  <si>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</si>
  <si>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</si>
  <si>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</si>
  <si>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</si>
  <si>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</si>
  <si>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</si>
  <si>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</si>
  <si>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</si>
  <si>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</si>
  <si>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</si>
  <si>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</si>
  <si>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</si>
  <si>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</si>
  <si>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</si>
  <si>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</si>
  <si>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</si>
  <si>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</si>
  <si>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</si>
  <si>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</si>
  <si>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</si>
  <si>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</si>
  <si>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</si>
  <si>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</si>
  <si>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</si>
  <si>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</si>
  <si>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</si>
  <si>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</si>
  <si>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</si>
  <si>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</si>
  <si>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</si>
  <si>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</si>
  <si>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</si>
  <si>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</si>
  <si>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</si>
  <si>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</si>
  <si>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</si>
  <si>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</si>
  <si>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</si>
  <si>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</si>
  <si>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</si>
  <si>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</si>
  <si>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</si>
  <si>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</si>
  <si>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</si>
  <si>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</si>
  <si>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</si>
  <si>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</si>
  <si>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</si>
  <si>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</si>
  <si>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</si>
  <si>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</si>
  <si>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</si>
  <si>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</si>
  <si>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</si>
  <si>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</si>
  <si>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</si>
  <si>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</si>
  <si>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</si>
  <si>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</si>
  <si>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</si>
  <si>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</si>
  <si>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</si>
  <si>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</si>
  <si>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</si>
  <si>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</si>
  <si>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</si>
  <si>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</si>
  <si>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</si>
  <si>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</si>
  <si>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</si>
  <si>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</si>
  <si>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</si>
  <si>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</si>
  <si>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</si>
  <si>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</si>
  <si>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</si>
  <si>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</si>
  <si>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</si>
  <si>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</si>
  <si>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</si>
  <si>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</si>
  <si>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</si>
  <si>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</si>
  <si>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</si>
  <si>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</si>
  <si>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</si>
  <si>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</si>
  <si>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</si>
  <si>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</si>
  <si>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</si>
  <si>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</si>
  <si>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</si>
  <si>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</si>
  <si>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</si>
  <si>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</si>
  <si>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</si>
  <si>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</si>
  <si>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</si>
  <si>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</si>
  <si>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</si>
  <si>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</si>
  <si>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</si>
  <si>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</si>
  <si>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</si>
  <si>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</si>
  <si>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</si>
  <si>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</si>
  <si>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</si>
  <si>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</si>
  <si>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</si>
  <si>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</si>
  <si>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</si>
  <si>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</si>
  <si>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</si>
  <si>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</si>
  <si>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</si>
  <si>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</si>
  <si>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</si>
  <si>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</si>
  <si>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</si>
  <si>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</si>
  <si>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</si>
  <si>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</si>
  <si>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</si>
  <si>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</si>
  <si>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</si>
  <si>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</si>
  <si>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</si>
  <si>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</si>
  <si>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</si>
  <si>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</si>
  <si>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</si>
  <si>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</si>
  <si>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</si>
  <si>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</si>
  <si>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</si>
  <si>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</si>
  <si>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</si>
  <si>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</si>
  <si>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</si>
  <si>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</si>
  <si>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</si>
  <si>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</si>
  <si>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</si>
  <si>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</si>
  <si>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</si>
  <si>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</si>
  <si>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</si>
  <si>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</si>
  <si>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</si>
  <si>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</si>
  <si>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</si>
  <si>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</si>
  <si>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</si>
  <si>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</si>
  <si>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</si>
  <si>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</si>
  <si>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</si>
  <si>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</si>
  <si>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</si>
  <si>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</si>
  <si>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</si>
  <si>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</si>
  <si>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</si>
  <si>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</si>
  <si>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</si>
  <si>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</si>
  <si>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</si>
  <si>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</si>
  <si>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</si>
  <si>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</si>
  <si>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</si>
  <si>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</si>
  <si>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</si>
  <si>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</si>
  <si>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</si>
  <si>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</si>
  <si>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</si>
  <si>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</si>
  <si>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</si>
  <si>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</si>
  <si>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</si>
  <si>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</si>
  <si>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</si>
  <si>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</si>
  <si>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</si>
  <si>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</si>
  <si>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</si>
  <si>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</si>
  <si>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</si>
  <si>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</si>
  <si>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</si>
  <si>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</si>
  <si>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</si>
  <si>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</si>
  <si>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</si>
  <si>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</si>
  <si>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</si>
  <si>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</si>
  <si>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</si>
  <si>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</si>
  <si>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</si>
  <si>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</si>
  <si>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</si>
  <si>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</si>
  <si>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</si>
  <si>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</si>
  <si>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</si>
  <si>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</si>
  <si>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</si>
  <si>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</si>
  <si>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</si>
  <si>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</si>
  <si>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</si>
  <si>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</si>
  <si>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</si>
  <si>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</si>
  <si>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</si>
  <si>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</si>
  <si>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</si>
  <si>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</si>
  <si>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</si>
  <si>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</si>
  <si>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</si>
  <si>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</si>
  <si>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</si>
  <si>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</si>
  <si>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</si>
  <si>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</si>
  <si>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</si>
  <si>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</si>
  <si>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</si>
  <si>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</si>
  <si>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</si>
  <si>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</si>
  <si>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</si>
  <si>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</si>
  <si>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</si>
  <si>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</si>
  <si>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</si>
  <si>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</si>
  <si>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</si>
  <si>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</si>
  <si>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</si>
  <si>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</si>
  <si>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</si>
  <si>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</si>
  <si>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</si>
  <si>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</si>
  <si>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</si>
  <si>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</si>
  <si>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</si>
  <si>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</si>
  <si>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</si>
  <si>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</si>
  <si>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</si>
  <si>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</si>
  <si>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</si>
  <si>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</si>
  <si>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</si>
  <si>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</si>
  <si>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Change in Sites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</si>
  <si>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</si>
  <si>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</si>
  <si>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</si>
  <si>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</si>
  <si>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</si>
  <si>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</si>
  <si>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</si>
  <si>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</si>
  <si>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</si>
  <si>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</si>
  <si>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</si>
  <si>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</si>
  <si>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</si>
  <si>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</si>
  <si>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</si>
  <si>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</si>
  <si>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</si>
  <si>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</si>
  <si>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</si>
  <si>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</si>
  <si>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</si>
  <si>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</si>
  <si>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</si>
  <si>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</si>
  <si>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</si>
  <si>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</si>
  <si>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</si>
  <si>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</si>
  <si>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</si>
  <si>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</si>
  <si>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</si>
  <si>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</si>
  <si>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</si>
  <si>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</si>
  <si>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</si>
  <si>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</si>
  <si>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</si>
  <si>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</si>
  <si>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</si>
  <si>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</si>
  <si>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</si>
  <si>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</si>
  <si>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</si>
  <si>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</si>
  <si>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</si>
  <si>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</si>
  <si>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</si>
  <si>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</si>
  <si>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</si>
  <si>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</si>
  <si>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</si>
  <si>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</si>
  <si>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</si>
  <si>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</si>
  <si>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</si>
  <si>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</si>
  <si>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</si>
  <si>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</si>
  <si>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</si>
  <si>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</si>
  <si>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</si>
  <si>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</si>
  <si>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</si>
  <si>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</si>
  <si>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</si>
  <si>
    <t>PCA, YFK, SW1, SW2, LAP, WR2, MR1, WEN, ACM</t>
  </si>
  <si>
    <t>SW1, SW2, LAP, WR2, MR1</t>
  </si>
  <si>
    <t>NPT Research</t>
  </si>
  <si>
    <t>NPT Watershed</t>
  </si>
  <si>
    <r>
      <t xml:space="preserve">USI, CAC, BTL, LLS, BHC, SFG, </t>
    </r>
    <r>
      <rPr>
        <sz val="8"/>
        <color rgb="FFFF0000"/>
        <rFont val="Arial"/>
        <family val="2"/>
      </rPr>
      <t>BSC</t>
    </r>
    <r>
      <rPr>
        <sz val="8"/>
        <color theme="1"/>
        <rFont val="Arial"/>
        <family val="2"/>
      </rPr>
      <t xml:space="preserve">, </t>
    </r>
    <r>
      <rPr>
        <sz val="8"/>
        <color rgb="FFFF0000"/>
        <rFont val="Arial"/>
        <family val="2"/>
      </rPr>
      <t>COC</t>
    </r>
    <r>
      <rPr>
        <sz val="8"/>
        <color theme="1"/>
        <rFont val="Arial"/>
        <family val="2"/>
      </rPr>
      <t>, IR2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</si>
</sst>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5" dT="2025-07-24T14:41:36.33" personId="{C77DAA69-426B-4B66-A041-374F39380B56}" id="{010A182B-A551-4254-B23A-44D962FA2B27}">
    <text>Difference btw this amount &amp; cell H3 is equal to O&amp;M costs for YFK, PCA.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opLeftCell="A15" zoomScale="90" zoomScaleNormal="90" workbookViewId="0">
      <pane xSplit="10" topLeftCell="K1" activePane="topRight" state="frozen"/>
      <selection pane="topRight" activeCell="Q22" sqref="Q22:Q30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7" width="13.5546875" style="96" bestFit="1" customWidth="1"/>
    <col min="8" max="8" width="13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2.21875" style="96" bestFit="1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5" width="12.88671875" style="96" bestFit="1" customWidth="1"/>
    <col min="26" max="27" width="13.2187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385</v>
      </c>
      <c r="D2" s="119" t="s">
        <v>386</v>
      </c>
      <c r="E2" s="121" t="s">
        <v>373</v>
      </c>
      <c r="F2" s="118" t="s">
        <v>377</v>
      </c>
      <c r="G2" s="118" t="s">
        <v>378</v>
      </c>
      <c r="H2" s="118" t="s">
        <v>379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6" t="s">
        <v>418</v>
      </c>
      <c r="W2" s="146"/>
      <c r="X2" s="146"/>
      <c r="Y2" s="146" t="s">
        <v>405</v>
      </c>
      <c r="Z2" s="146"/>
      <c r="AA2" s="146"/>
      <c r="AB2" s="136"/>
    </row>
    <row r="3" spans="2:28" ht="43.8" customHeight="1" x14ac:dyDescent="0.3">
      <c r="B3" s="91" t="s">
        <v>369</v>
      </c>
      <c r="C3" s="92" t="s">
        <v>439</v>
      </c>
      <c r="D3" s="92" t="s">
        <v>443</v>
      </c>
      <c r="E3" s="93">
        <v>0</v>
      </c>
      <c r="F3" s="94">
        <f>SUMIF('O&amp;M Costs'!$H$2:$H$50,B3,'O&amp;M Costs'!$AI$2:$AI$50)</f>
        <v>281421.40000000002</v>
      </c>
      <c r="G3" s="94">
        <f>SUMIF('O&amp;M Costs'!$I$2:$I$50,B3,'O&amp;M Costs'!$AI$2:$AI$50)</f>
        <v>297246.59000000003</v>
      </c>
      <c r="H3" s="95">
        <f>G3-F3</f>
        <v>15825.190000000002</v>
      </c>
      <c r="J3" s="89" t="s">
        <v>103</v>
      </c>
      <c r="K3" s="89" t="s">
        <v>106</v>
      </c>
      <c r="L3" s="89" t="s">
        <v>367</v>
      </c>
      <c r="M3" s="89" t="s">
        <v>387</v>
      </c>
      <c r="N3" s="137" t="s">
        <v>404</v>
      </c>
      <c r="O3" s="137" t="s">
        <v>401</v>
      </c>
      <c r="P3" s="137" t="s">
        <v>406</v>
      </c>
      <c r="Q3" s="137" t="s">
        <v>403</v>
      </c>
      <c r="R3" s="138" t="s">
        <v>389</v>
      </c>
      <c r="S3" s="138" t="s">
        <v>402</v>
      </c>
      <c r="T3" s="138" t="s">
        <v>401</v>
      </c>
      <c r="U3" s="138" t="s">
        <v>411</v>
      </c>
      <c r="V3" s="138">
        <v>2025</v>
      </c>
      <c r="W3" s="138" t="s">
        <v>414</v>
      </c>
      <c r="X3" s="138" t="s">
        <v>417</v>
      </c>
      <c r="Y3" s="138">
        <v>2025</v>
      </c>
      <c r="Z3" s="138" t="s">
        <v>414</v>
      </c>
      <c r="AA3" s="138" t="s">
        <v>417</v>
      </c>
      <c r="AB3" s="88" t="s">
        <v>394</v>
      </c>
    </row>
    <row r="4" spans="2:28" ht="22.2" customHeight="1" x14ac:dyDescent="0.3">
      <c r="B4" s="91" t="s">
        <v>441</v>
      </c>
      <c r="C4" s="92" t="s">
        <v>47</v>
      </c>
      <c r="D4" s="92" t="s">
        <v>440</v>
      </c>
      <c r="E4" s="93">
        <v>-4</v>
      </c>
      <c r="F4" s="94">
        <f>SUMIF('O&amp;M Costs'!$H$2:$H$50,B4,'O&amp;M Costs'!$AI$2:$AI$50)</f>
        <v>49738.33</v>
      </c>
      <c r="G4" s="94">
        <f>SUMIF('O&amp;M Costs'!$I$2:$I$50,B4,'O&amp;M Costs'!$AI$2:$AI$50)</f>
        <v>12423.150000000001</v>
      </c>
      <c r="H4" s="95">
        <f t="shared" ref="H4:H8" si="0">G4-F4</f>
        <v>-37315.18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390</v>
      </c>
      <c r="S4" s="128">
        <f t="shared" ref="S4:S34" si="3">VLOOKUP(J4,om_costs,27,FALSE)</f>
        <v>50666</v>
      </c>
      <c r="T4" s="130">
        <v>0.8</v>
      </c>
      <c r="U4" s="130" t="s">
        <v>415</v>
      </c>
      <c r="V4" s="130"/>
      <c r="W4" s="130" t="s">
        <v>413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374</v>
      </c>
    </row>
    <row r="5" spans="2:28" ht="12.6" customHeight="1" x14ac:dyDescent="0.3">
      <c r="B5" s="91" t="s">
        <v>442</v>
      </c>
      <c r="C5" s="92" t="s">
        <v>374</v>
      </c>
      <c r="D5" s="92" t="s">
        <v>374</v>
      </c>
      <c r="E5" s="93">
        <v>0</v>
      </c>
      <c r="F5" s="94">
        <f>SUMIF('O&amp;M Costs'!$H$2:$H$50,B5,'O&amp;M Costs'!$AI$2:$AI$50)</f>
        <v>16510.72</v>
      </c>
      <c r="G5" s="94">
        <f>SUMIF('O&amp;M Costs'!$I$2:$I$50,B5,'O&amp;M Costs'!$AI$2:$AI$50)</f>
        <v>16510.72</v>
      </c>
      <c r="H5" s="95">
        <f t="shared" si="0"/>
        <v>0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391</v>
      </c>
      <c r="S5" s="128">
        <f t="shared" si="3"/>
        <v>46054</v>
      </c>
      <c r="T5" s="130">
        <v>0.8</v>
      </c>
      <c r="U5" s="130" t="s">
        <v>412</v>
      </c>
      <c r="V5" s="130" t="s">
        <v>413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424</v>
      </c>
    </row>
    <row r="6" spans="2:28" ht="12" customHeight="1" x14ac:dyDescent="0.3">
      <c r="B6" s="91" t="s">
        <v>36</v>
      </c>
      <c r="C6" s="92" t="s">
        <v>374</v>
      </c>
      <c r="D6" s="92" t="s">
        <v>34</v>
      </c>
      <c r="E6" s="93">
        <v>-1</v>
      </c>
      <c r="F6" s="94">
        <f>SUMIF('O&amp;M Costs'!$H$2:$H$50,B6,'O&amp;M Costs'!$AI$2:$AI$50)</f>
        <v>6910.4</v>
      </c>
      <c r="G6" s="94">
        <f>SUMIF('O&amp;M Costs'!$I$2:$I$50,B6,'O&amp;M Costs'!$AI$2:$AI$50)</f>
        <v>0</v>
      </c>
      <c r="H6" s="95">
        <f t="shared" si="0"/>
        <v>-6910.4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392</v>
      </c>
      <c r="S6" s="128">
        <f t="shared" si="3"/>
        <v>44137</v>
      </c>
      <c r="T6" s="130">
        <v>1</v>
      </c>
      <c r="U6" s="130" t="s">
        <v>415</v>
      </c>
      <c r="V6" s="130"/>
      <c r="W6" s="130" t="s">
        <v>413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425</v>
      </c>
    </row>
    <row r="7" spans="2:28" ht="12.6" customHeight="1" x14ac:dyDescent="0.3">
      <c r="B7" s="91" t="s">
        <v>53</v>
      </c>
      <c r="C7" s="92" t="s">
        <v>374</v>
      </c>
      <c r="D7" s="92" t="s">
        <v>375</v>
      </c>
      <c r="E7" s="93">
        <v>-2</v>
      </c>
      <c r="F7" s="94">
        <f>SUMIF('O&amp;M Costs'!$H$2:$H$50,B7,'O&amp;M Costs'!$AI$2:$AI$50)</f>
        <v>14239.119999999999</v>
      </c>
      <c r="G7" s="94">
        <f>SUMIF('O&amp;M Costs'!$I$2:$I$50,B7,'O&amp;M Costs'!$AI$2:$AI$50)</f>
        <v>0</v>
      </c>
      <c r="H7" s="95">
        <f t="shared" si="0"/>
        <v>-14239.119999999999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390</v>
      </c>
      <c r="S7" s="128">
        <f t="shared" si="3"/>
        <v>39525</v>
      </c>
      <c r="T7" s="130">
        <v>0.8</v>
      </c>
      <c r="U7" s="130" t="s">
        <v>416</v>
      </c>
      <c r="V7" s="130"/>
      <c r="W7" s="130"/>
      <c r="X7" s="130" t="s">
        <v>413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374</v>
      </c>
    </row>
    <row r="8" spans="2:28" ht="20.399999999999999" x14ac:dyDescent="0.3">
      <c r="B8" s="107" t="s">
        <v>370</v>
      </c>
      <c r="C8" s="108" t="s">
        <v>376</v>
      </c>
      <c r="D8" s="108" t="s">
        <v>374</v>
      </c>
      <c r="E8" s="109">
        <v>4</v>
      </c>
      <c r="F8" s="110">
        <f>SUMIF('O&amp;M Costs'!$H$2:$H$50,B8,'O&amp;M Costs'!$AI$2:$AI$50)</f>
        <v>0</v>
      </c>
      <c r="G8" s="110">
        <f>SUMIF('O&amp;M Costs'!$I$2:$I$50,B8,'O&amp;M Costs'!$AI$2:$AI$50)</f>
        <v>15225.039999999999</v>
      </c>
      <c r="H8" s="111">
        <f t="shared" si="0"/>
        <v>15225.039999999999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423</v>
      </c>
      <c r="S8" s="128">
        <f t="shared" si="3"/>
        <v>65578</v>
      </c>
      <c r="T8" s="130">
        <v>0.25</v>
      </c>
      <c r="U8" s="130" t="s">
        <v>416</v>
      </c>
      <c r="V8" s="130"/>
      <c r="W8" s="130"/>
      <c r="X8" s="130" t="s">
        <v>413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426</v>
      </c>
    </row>
    <row r="9" spans="2:28" s="105" customFormat="1" x14ac:dyDescent="0.3">
      <c r="B9" s="97" t="s">
        <v>0</v>
      </c>
      <c r="C9" s="98" t="s">
        <v>374</v>
      </c>
      <c r="D9" s="98" t="s">
        <v>380</v>
      </c>
      <c r="E9" s="99">
        <v>-1</v>
      </c>
      <c r="F9" s="100">
        <f>SUMIF('O&amp;M Costs'!$H$2:$H$50,B9,'O&amp;M Costs'!$AI$2:$AI$50)</f>
        <v>5595.2800000000007</v>
      </c>
      <c r="G9" s="100">
        <f>SUMIF('O&amp;M Costs'!$I$2:$I$50,B9,'O&amp;M Costs'!$AI$2:$AI$50)</f>
        <v>0</v>
      </c>
      <c r="H9" s="101">
        <f t="shared" ref="H9" si="8">G9-F9</f>
        <v>-5595.2800000000007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390</v>
      </c>
      <c r="S9" s="128">
        <f t="shared" si="3"/>
        <v>65578</v>
      </c>
      <c r="T9" s="130">
        <v>0.8</v>
      </c>
      <c r="U9" s="130" t="s">
        <v>412</v>
      </c>
      <c r="V9" s="130" t="s">
        <v>413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427</v>
      </c>
    </row>
    <row r="10" spans="2:28" x14ac:dyDescent="0.3">
      <c r="B10" s="102" t="s">
        <v>372</v>
      </c>
      <c r="C10" s="90"/>
      <c r="D10" s="90"/>
      <c r="E10" s="103">
        <f>SUM(E3:E9)</f>
        <v>-4</v>
      </c>
      <c r="F10" s="104">
        <f>SUM(F3:F9)</f>
        <v>374415.25000000012</v>
      </c>
      <c r="G10" s="104">
        <f>SUM(G3:G9)</f>
        <v>341405.50000000006</v>
      </c>
      <c r="H10" s="104">
        <f>SUM(H3:H9)</f>
        <v>-33009.749999999993</v>
      </c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390</v>
      </c>
      <c r="S10" s="128">
        <f t="shared" si="3"/>
        <v>70190</v>
      </c>
      <c r="T10" s="130">
        <v>0.8</v>
      </c>
      <c r="U10" s="130" t="s">
        <v>415</v>
      </c>
      <c r="V10" s="130"/>
      <c r="W10" s="130" t="s">
        <v>413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374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390</v>
      </c>
      <c r="S11" s="128">
        <f t="shared" si="3"/>
        <v>51924</v>
      </c>
      <c r="T11" s="130">
        <v>0.8</v>
      </c>
      <c r="U11" s="130" t="s">
        <v>415</v>
      </c>
      <c r="V11" s="130"/>
      <c r="W11" s="130" t="s">
        <v>413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374</v>
      </c>
    </row>
    <row r="12" spans="2:28" ht="40.799999999999997" x14ac:dyDescent="0.3"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 t="shared" si="1"/>
        <v>4852.5</v>
      </c>
      <c r="O12" s="124">
        <v>0</v>
      </c>
      <c r="P12" s="133" t="s">
        <v>407</v>
      </c>
      <c r="Q12" s="123">
        <f t="shared" si="2"/>
        <v>0</v>
      </c>
      <c r="R12" s="143" t="s">
        <v>390</v>
      </c>
      <c r="S12" s="128">
        <f t="shared" si="3"/>
        <v>36525</v>
      </c>
      <c r="T12" s="130">
        <v>0.8</v>
      </c>
      <c r="U12" s="130" t="s">
        <v>416</v>
      </c>
      <c r="V12" s="130"/>
      <c r="W12" s="130"/>
      <c r="X12" s="130" t="s">
        <v>413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428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 t="shared" si="1"/>
        <v>9386.619999999999</v>
      </c>
      <c r="O13" s="124">
        <v>0</v>
      </c>
      <c r="P13" s="133" t="s">
        <v>407</v>
      </c>
      <c r="Q13" s="123">
        <f t="shared" si="2"/>
        <v>0</v>
      </c>
      <c r="R13" s="143" t="s">
        <v>374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428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374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374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420</v>
      </c>
      <c r="S15" s="128">
        <f t="shared" si="3"/>
        <v>114077</v>
      </c>
      <c r="T15" s="130">
        <v>1</v>
      </c>
      <c r="U15" s="130" t="s">
        <v>416</v>
      </c>
      <c r="V15" s="130"/>
      <c r="W15" s="130"/>
      <c r="X15" s="130" t="s">
        <v>413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429</v>
      </c>
    </row>
    <row r="16" spans="2:28" ht="51" x14ac:dyDescent="0.2">
      <c r="D16" s="16"/>
      <c r="E16" s="16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 t="shared" si="1"/>
        <v>9058.4000000000015</v>
      </c>
      <c r="O16" s="124">
        <v>0</v>
      </c>
      <c r="P16" s="133" t="s">
        <v>430</v>
      </c>
      <c r="Q16" s="123">
        <f t="shared" si="2"/>
        <v>0</v>
      </c>
      <c r="R16" s="143" t="s">
        <v>374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431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374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374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393</v>
      </c>
      <c r="S18" s="128">
        <f t="shared" si="3"/>
        <v>51740</v>
      </c>
      <c r="T18" s="130">
        <v>0.03</v>
      </c>
      <c r="U18" s="130" t="s">
        <v>412</v>
      </c>
      <c r="V18" s="130" t="s">
        <v>413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374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393</v>
      </c>
      <c r="S19" s="128">
        <f t="shared" si="3"/>
        <v>83249</v>
      </c>
      <c r="T19" s="130">
        <v>0.03</v>
      </c>
      <c r="U19" s="130" t="s">
        <v>412</v>
      </c>
      <c r="V19" s="130" t="s">
        <v>413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374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422</v>
      </c>
      <c r="S20" s="128">
        <f t="shared" si="3"/>
        <v>48830</v>
      </c>
      <c r="T20" s="130">
        <v>0.2</v>
      </c>
      <c r="U20" s="130" t="s">
        <v>415</v>
      </c>
      <c r="V20" s="130"/>
      <c r="W20" s="130" t="s">
        <v>413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399</v>
      </c>
    </row>
    <row r="21" spans="4:28" ht="20.399999999999999" x14ac:dyDescent="0.2">
      <c r="D21" s="16"/>
      <c r="E21" s="87"/>
      <c r="J21" s="106" t="s">
        <v>380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393</v>
      </c>
      <c r="S21" s="128">
        <f t="shared" si="3"/>
        <v>51191</v>
      </c>
      <c r="T21" s="130">
        <v>0.04</v>
      </c>
      <c r="U21" s="130" t="s">
        <v>415</v>
      </c>
      <c r="V21" s="130"/>
      <c r="W21" s="130" t="s">
        <v>413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400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374</v>
      </c>
      <c r="S22" s="128">
        <f t="shared" si="3"/>
        <v>44137</v>
      </c>
      <c r="T22" s="130">
        <v>0.15</v>
      </c>
      <c r="U22" s="130" t="s">
        <v>416</v>
      </c>
      <c r="V22" s="130"/>
      <c r="W22" s="130"/>
      <c r="X22" s="130" t="s">
        <v>413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397</v>
      </c>
    </row>
    <row r="23" spans="4:28" x14ac:dyDescent="0.2">
      <c r="D23" s="16"/>
      <c r="E23" s="87"/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374</v>
      </c>
      <c r="S23" s="128">
        <f t="shared" si="3"/>
        <v>28004</v>
      </c>
      <c r="T23" s="130">
        <v>0.15</v>
      </c>
      <c r="U23" s="130" t="s">
        <v>416</v>
      </c>
      <c r="V23" s="130"/>
      <c r="W23" s="130"/>
      <c r="X23" s="130" t="s">
        <v>413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395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388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374</v>
      </c>
      <c r="S24" s="128">
        <f t="shared" si="3"/>
        <v>29539</v>
      </c>
      <c r="T24" s="130">
        <v>0.15</v>
      </c>
      <c r="U24" s="130" t="s">
        <v>416</v>
      </c>
      <c r="V24" s="130"/>
      <c r="W24" s="130"/>
      <c r="X24" s="130" t="s">
        <v>413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432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374</v>
      </c>
      <c r="S25" s="128">
        <f t="shared" si="3"/>
        <v>20565</v>
      </c>
      <c r="T25" s="130">
        <v>0.15</v>
      </c>
      <c r="U25" s="130" t="s">
        <v>416</v>
      </c>
      <c r="V25" s="130"/>
      <c r="W25" s="130"/>
      <c r="X25" s="130" t="s">
        <v>413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396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374</v>
      </c>
      <c r="S26" s="128">
        <f t="shared" si="3"/>
        <v>19730</v>
      </c>
      <c r="T26" s="130">
        <v>0.15</v>
      </c>
      <c r="U26" s="130" t="s">
        <v>416</v>
      </c>
      <c r="V26" s="130"/>
      <c r="W26" s="130"/>
      <c r="X26" s="130" t="s">
        <v>413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396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 t="shared" si="1"/>
        <v>12423.150000000001</v>
      </c>
      <c r="O27" s="124">
        <v>-1</v>
      </c>
      <c r="P27" s="124"/>
      <c r="Q27" s="123">
        <f t="shared" si="2"/>
        <v>-12423.150000000001</v>
      </c>
      <c r="R27" s="143" t="s">
        <v>374</v>
      </c>
      <c r="S27" s="128">
        <f t="shared" si="3"/>
        <v>80230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433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374</v>
      </c>
      <c r="S28" s="128">
        <f t="shared" si="3"/>
        <v>46054</v>
      </c>
      <c r="T28" s="130">
        <v>0.15</v>
      </c>
      <c r="U28" s="130" t="s">
        <v>412</v>
      </c>
      <c r="V28" s="130" t="s">
        <v>413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434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374</v>
      </c>
      <c r="S29" s="128">
        <f t="shared" si="3"/>
        <v>32684</v>
      </c>
      <c r="T29" s="130">
        <v>0.15</v>
      </c>
      <c r="U29" s="130" t="s">
        <v>412</v>
      </c>
      <c r="V29" s="130" t="s">
        <v>413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435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374</v>
      </c>
      <c r="S30" s="128">
        <f t="shared" si="3"/>
        <v>68513</v>
      </c>
      <c r="T30" s="130">
        <v>0.15</v>
      </c>
      <c r="U30" s="130" t="s">
        <v>415</v>
      </c>
      <c r="V30" s="130"/>
      <c r="W30" s="130" t="s">
        <v>413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436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409</v>
      </c>
      <c r="Q31" s="123">
        <f t="shared" si="2"/>
        <v>0</v>
      </c>
      <c r="R31" s="143" t="s">
        <v>374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398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409</v>
      </c>
      <c r="Q32" s="123">
        <f t="shared" si="2"/>
        <v>0</v>
      </c>
      <c r="R32" s="143" t="s">
        <v>374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398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408</v>
      </c>
      <c r="Q33" s="123">
        <f t="shared" si="2"/>
        <v>0</v>
      </c>
      <c r="R33" s="143" t="s">
        <v>374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438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408</v>
      </c>
      <c r="Q34" s="125">
        <f t="shared" si="2"/>
        <v>0</v>
      </c>
      <c r="R34" s="144" t="s">
        <v>374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437</v>
      </c>
    </row>
    <row r="35" spans="10:28" x14ac:dyDescent="0.3">
      <c r="O35" s="122"/>
      <c r="P35" s="135" t="s">
        <v>410</v>
      </c>
      <c r="Q35" s="127">
        <f>SUM(Q4:Q34)</f>
        <v>1586.0700000000033</v>
      </c>
      <c r="R35" s="113"/>
      <c r="X35" s="142" t="s">
        <v>419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421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44" sqref="A44:XFD44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441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441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442</v>
      </c>
      <c r="I31" s="85" t="s">
        <v>442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442</v>
      </c>
      <c r="I32" s="145" t="s">
        <v>442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441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441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441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380</v>
      </c>
      <c r="B37" s="17" t="s">
        <v>382</v>
      </c>
      <c r="C37" s="18" t="b">
        <v>0</v>
      </c>
      <c r="D37" s="18" t="s">
        <v>381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383</v>
      </c>
      <c r="K37" s="30" t="s">
        <v>384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145" t="s">
        <v>363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145" t="s">
        <v>363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145" t="s">
        <v>363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145" t="s">
        <v>363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441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5120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15274</v>
      </c>
      <c r="Z47" s="19">
        <f t="shared" si="53"/>
        <v>12500</v>
      </c>
      <c r="AA47" s="20">
        <f t="shared" si="20"/>
        <v>80230</v>
      </c>
      <c r="AB47" s="39">
        <f t="shared" si="54"/>
        <v>0.08</v>
      </c>
      <c r="AC47" s="20">
        <f t="shared" si="21"/>
        <v>6418.4000000000005</v>
      </c>
      <c r="AD47" s="21">
        <f t="shared" ref="AD47" si="55">(R47*battery_replacement)/4</f>
        <v>364</v>
      </c>
      <c r="AE47" s="21">
        <f t="shared" ref="AE47" si="56">VLOOKUP(L47,communication,3,FALSE)</f>
        <v>1440</v>
      </c>
      <c r="AF47" s="21">
        <f t="shared" ref="AF47" si="57">VLOOKUP(Q47,power,3,FALSE)</f>
        <v>3120.75</v>
      </c>
      <c r="AG47" s="21">
        <f t="shared" si="25"/>
        <v>1080</v>
      </c>
      <c r="AH47" s="22">
        <f t="shared" si="23"/>
        <v>6004.75</v>
      </c>
      <c r="AI47" s="23">
        <f t="shared" si="22"/>
        <v>12423.150000000001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8">SUMIFS(T$2:T$50,$D$2:$D$50,$S54,T$2:T$50,"&lt;&gt;#N/A")</f>
        <v>39194</v>
      </c>
      <c r="U54" s="19">
        <f t="shared" si="58"/>
        <v>18370</v>
      </c>
      <c r="V54" s="19">
        <f t="shared" ref="V54:Z54" si="59">SUMIFS(V$2:V$50,$D$2:$D$50,$S54,V$2:V$50,"&lt;&gt;#N/A")</f>
        <v>163900</v>
      </c>
      <c r="W54" s="19">
        <f t="shared" si="59"/>
        <v>206316</v>
      </c>
      <c r="X54" s="19">
        <f t="shared" si="59"/>
        <v>484275</v>
      </c>
      <c r="Y54" s="19">
        <f t="shared" si="59"/>
        <v>300581</v>
      </c>
      <c r="Z54" s="19">
        <f t="shared" si="59"/>
        <v>312500</v>
      </c>
      <c r="AA54" s="35">
        <f>SUMIFS(AA$2:AA$50,$D$2:$D$50,$S54,AA$2:AA$50,"&lt;&gt;#N/A")</f>
        <v>1525136</v>
      </c>
      <c r="AB54" s="35"/>
      <c r="AC54" s="35">
        <f t="shared" ref="AC54:AE57" si="60">SUMIFS(AC$2:AC$50,$D$2:$D$50,$S54,AC$2:AC$50,"&lt;&gt;#N/A")</f>
        <v>135396.36000000002</v>
      </c>
      <c r="AD54" s="21">
        <f t="shared" si="60"/>
        <v>9282</v>
      </c>
      <c r="AE54" s="21">
        <f t="shared" si="60"/>
        <v>26580</v>
      </c>
      <c r="AF54" s="21">
        <f t="shared" ref="AF54:AG54" si="61">SUMIFS(AF$2:AF$50,$D$2:$D$50,$S54,AF$2:AF$50,"&lt;&gt;#N/A")</f>
        <v>22505.100000000002</v>
      </c>
      <c r="AG54" s="21">
        <f t="shared" si="61"/>
        <v>27000</v>
      </c>
      <c r="AH54" s="36">
        <f t="shared" ref="AH54:AI57" si="62">SUMIFS(AH$2:AH$50,$D$2:$D$50,$S54,AH$2:AH$50,"&lt;&gt;#N/A")</f>
        <v>85367.1</v>
      </c>
      <c r="AI54" s="37">
        <f t="shared" si="62"/>
        <v>220763.45999999996</v>
      </c>
    </row>
    <row r="55" spans="1:35" x14ac:dyDescent="0.2">
      <c r="S55" s="32" t="s">
        <v>94</v>
      </c>
      <c r="T55" s="19">
        <f t="shared" si="58"/>
        <v>13142</v>
      </c>
      <c r="U55" s="19">
        <f t="shared" si="58"/>
        <v>7515</v>
      </c>
      <c r="V55" s="19">
        <f t="shared" ref="V55:Z57" si="63">SUMIFS(V$2:V$50,$D$2:$D$50,$S55,V$2:V$50,"&lt;&gt;#N/A")</f>
        <v>44100</v>
      </c>
      <c r="W55" s="19">
        <f t="shared" si="63"/>
        <v>156300</v>
      </c>
      <c r="X55" s="19">
        <f t="shared" si="63"/>
        <v>231865</v>
      </c>
      <c r="Y55" s="19">
        <f t="shared" si="63"/>
        <v>69606</v>
      </c>
      <c r="Z55" s="19">
        <f t="shared" si="63"/>
        <v>112500</v>
      </c>
      <c r="AA55" s="35">
        <f>SUMIFS(AA$2:AA$50,$D$2:$D$50,$S55,AA$2:AA$50,"&lt;&gt;#N/A")</f>
        <v>635028</v>
      </c>
      <c r="AB55" s="35"/>
      <c r="AC55" s="35">
        <f t="shared" si="60"/>
        <v>51532.739999999991</v>
      </c>
      <c r="AD55" s="21">
        <f t="shared" si="60"/>
        <v>2912</v>
      </c>
      <c r="AE55" s="21">
        <f t="shared" si="60"/>
        <v>8940</v>
      </c>
      <c r="AF55" s="21">
        <f t="shared" ref="AF55:AG57" si="64">SUMIFS(AF$2:AF$50,$D$2:$D$50,$S55,AF$2:AF$50,"&lt;&gt;#N/A")</f>
        <v>6841.51</v>
      </c>
      <c r="AG55" s="21">
        <f t="shared" si="64"/>
        <v>9720</v>
      </c>
      <c r="AH55" s="36">
        <f t="shared" si="62"/>
        <v>28413.510000000002</v>
      </c>
      <c r="AI55" s="37">
        <f t="shared" si="62"/>
        <v>79946.25</v>
      </c>
    </row>
    <row r="56" spans="1:35" x14ac:dyDescent="0.2">
      <c r="S56" s="32" t="s">
        <v>97</v>
      </c>
      <c r="T56" s="19">
        <f t="shared" si="58"/>
        <v>6742</v>
      </c>
      <c r="U56" s="19">
        <f t="shared" si="58"/>
        <v>3340</v>
      </c>
      <c r="V56" s="19">
        <f t="shared" si="63"/>
        <v>17800</v>
      </c>
      <c r="W56" s="19">
        <f t="shared" si="63"/>
        <v>83360</v>
      </c>
      <c r="X56" s="19">
        <f t="shared" si="63"/>
        <v>117400</v>
      </c>
      <c r="Y56" s="19">
        <f t="shared" si="63"/>
        <v>63801</v>
      </c>
      <c r="Z56" s="19">
        <f t="shared" si="63"/>
        <v>50000</v>
      </c>
      <c r="AA56" s="35">
        <f>SUMIFS(AA$2:AA$50,$D$2:$D$50,$S56,AA$2:AA$50,"&lt;&gt;#N/A")</f>
        <v>342443</v>
      </c>
      <c r="AB56" s="35"/>
      <c r="AC56" s="35">
        <f t="shared" si="60"/>
        <v>27395.439999999999</v>
      </c>
      <c r="AD56" s="21">
        <f t="shared" si="60"/>
        <v>1456</v>
      </c>
      <c r="AE56" s="21">
        <f t="shared" si="60"/>
        <v>4620</v>
      </c>
      <c r="AF56" s="21">
        <f t="shared" si="64"/>
        <v>7141.6900000000005</v>
      </c>
      <c r="AG56" s="21">
        <f t="shared" si="64"/>
        <v>4320</v>
      </c>
      <c r="AH56" s="36">
        <f t="shared" si="62"/>
        <v>17537.690000000002</v>
      </c>
      <c r="AI56" s="37">
        <f t="shared" si="62"/>
        <v>44933.13</v>
      </c>
    </row>
    <row r="57" spans="1:35" x14ac:dyDescent="0.2">
      <c r="S57" s="34" t="s">
        <v>98</v>
      </c>
      <c r="T57" s="19">
        <f t="shared" si="58"/>
        <v>11710</v>
      </c>
      <c r="U57" s="19">
        <f t="shared" si="58"/>
        <v>5845</v>
      </c>
      <c r="V57" s="19">
        <f t="shared" si="63"/>
        <v>38450</v>
      </c>
      <c r="W57" s="19">
        <f t="shared" si="63"/>
        <v>35428</v>
      </c>
      <c r="X57" s="19">
        <f t="shared" si="63"/>
        <v>99790</v>
      </c>
      <c r="Y57" s="19">
        <f t="shared" si="63"/>
        <v>103233</v>
      </c>
      <c r="Z57" s="19">
        <f t="shared" si="63"/>
        <v>75000</v>
      </c>
      <c r="AA57" s="35">
        <f>SUMIFS(AA$2:AA$50,$D$2:$D$50,$S57,AA$2:AA$50,"&lt;&gt;#N/A")</f>
        <v>369456</v>
      </c>
      <c r="AB57" s="35"/>
      <c r="AC57" s="35">
        <f t="shared" si="60"/>
        <v>33384.240000000005</v>
      </c>
      <c r="AD57" s="21">
        <f t="shared" si="60"/>
        <v>2912</v>
      </c>
      <c r="AE57" s="21">
        <f t="shared" si="60"/>
        <v>7260</v>
      </c>
      <c r="AF57" s="21">
        <f t="shared" si="64"/>
        <v>7381.7000000000007</v>
      </c>
      <c r="AG57" s="21">
        <f t="shared" si="64"/>
        <v>9720</v>
      </c>
      <c r="AH57" s="36">
        <f t="shared" si="62"/>
        <v>27273.7</v>
      </c>
      <c r="AI57" s="37">
        <f t="shared" si="62"/>
        <v>60657.939999999995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5">U54+U57</f>
        <v>24215</v>
      </c>
      <c r="V59" s="47">
        <f t="shared" si="65"/>
        <v>202350</v>
      </c>
      <c r="W59" s="47">
        <f t="shared" si="65"/>
        <v>241744</v>
      </c>
      <c r="X59" s="47">
        <f t="shared" si="65"/>
        <v>584065</v>
      </c>
      <c r="Y59" s="47">
        <f t="shared" si="65"/>
        <v>403814</v>
      </c>
      <c r="Z59" s="47">
        <f t="shared" si="65"/>
        <v>387500</v>
      </c>
      <c r="AA59" s="48">
        <f>AA54+AA57</f>
        <v>1894592</v>
      </c>
      <c r="AB59" s="48"/>
      <c r="AC59" s="48">
        <f>AC54+AC57</f>
        <v>168780.60000000003</v>
      </c>
      <c r="AD59" s="49">
        <f>AD54+AD57</f>
        <v>12194</v>
      </c>
      <c r="AE59" s="49">
        <f>AE54+AE57</f>
        <v>33840</v>
      </c>
      <c r="AF59" s="49">
        <f t="shared" si="65"/>
        <v>29886.800000000003</v>
      </c>
      <c r="AG59" s="49">
        <f t="shared" si="65"/>
        <v>36720</v>
      </c>
      <c r="AH59" s="50">
        <f>AH54+AH57</f>
        <v>112640.8</v>
      </c>
      <c r="AI59" s="51">
        <f>AI54+AI57</f>
        <v>281421.39999999997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6">SUM(U54:U56)</f>
        <v>29225</v>
      </c>
      <c r="V60" s="47">
        <f t="shared" si="66"/>
        <v>225800</v>
      </c>
      <c r="W60" s="47">
        <f t="shared" si="66"/>
        <v>445976</v>
      </c>
      <c r="X60" s="47">
        <f t="shared" si="66"/>
        <v>833540</v>
      </c>
      <c r="Y60" s="47">
        <f t="shared" si="66"/>
        <v>433988</v>
      </c>
      <c r="Z60" s="47">
        <f t="shared" si="66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6"/>
        <v>40140</v>
      </c>
      <c r="AF60" s="49">
        <f t="shared" si="66"/>
        <v>36488.300000000003</v>
      </c>
      <c r="AG60" s="49">
        <f t="shared" si="66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7">U60-U59</f>
        <v>5010</v>
      </c>
      <c r="V61" s="47">
        <f t="shared" si="67"/>
        <v>23450</v>
      </c>
      <c r="W61" s="47">
        <f t="shared" si="67"/>
        <v>204232</v>
      </c>
      <c r="X61" s="47">
        <f t="shared" si="67"/>
        <v>249475</v>
      </c>
      <c r="Y61" s="47">
        <f t="shared" si="67"/>
        <v>30174</v>
      </c>
      <c r="Z61" s="47">
        <f t="shared" si="67"/>
        <v>87500</v>
      </c>
      <c r="AA61" s="48">
        <f>AA60-AA59</f>
        <v>608015</v>
      </c>
      <c r="AB61" s="48"/>
      <c r="AC61" s="48">
        <f>AC60-AC59</f>
        <v>45543.939999999973</v>
      </c>
      <c r="AD61" s="49">
        <f>AD60-AD59</f>
        <v>1456</v>
      </c>
      <c r="AE61" s="49">
        <f t="shared" si="67"/>
        <v>6300</v>
      </c>
      <c r="AF61" s="49">
        <f t="shared" si="67"/>
        <v>6601.5</v>
      </c>
      <c r="AG61" s="49">
        <f t="shared" si="67"/>
        <v>4320</v>
      </c>
      <c r="AH61" s="50">
        <f>AH60-AH59</f>
        <v>18677.500000000015</v>
      </c>
      <c r="AI61" s="51">
        <f>AI60-AI59</f>
        <v>64221.440000000002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8">U61/U59</f>
        <v>0.20689655172413793</v>
      </c>
      <c r="V62" s="52">
        <f t="shared" si="68"/>
        <v>0.11588831233012108</v>
      </c>
      <c r="W62" s="52">
        <f t="shared" si="68"/>
        <v>0.84482758620689657</v>
      </c>
      <c r="X62" s="52">
        <f t="shared" si="68"/>
        <v>0.42713567839195982</v>
      </c>
      <c r="Y62" s="52">
        <f t="shared" si="68"/>
        <v>7.47225207645104E-2</v>
      </c>
      <c r="Z62" s="52">
        <f t="shared" si="68"/>
        <v>0.22580645161290322</v>
      </c>
      <c r="AA62" s="53">
        <f>AA61/AA59</f>
        <v>0.32092133820896529</v>
      </c>
      <c r="AB62" s="53"/>
      <c r="AC62" s="53">
        <f>AC61/AC59</f>
        <v>0.26984108363164938</v>
      </c>
      <c r="AD62" s="54">
        <f>AD61/AD59</f>
        <v>0.11940298507462686</v>
      </c>
      <c r="AE62" s="54">
        <f t="shared" si="68"/>
        <v>0.18617021276595744</v>
      </c>
      <c r="AF62" s="54">
        <f t="shared" si="68"/>
        <v>0.22088346694861943</v>
      </c>
      <c r="AG62" s="54">
        <f t="shared" si="68"/>
        <v>0.11764705882352941</v>
      </c>
      <c r="AH62" s="55">
        <f>AH61/AH59</f>
        <v>0.16581469591835299</v>
      </c>
      <c r="AI62" s="56">
        <f>AI61/AI59</f>
        <v>0.22820382529544664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activeCell="I20" sqref="I20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230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2025-07-24T17:23:58Z</dcterms:modified>
</cp:coreProperties>
</file>