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11801219-2F3E-45D2-B66B-0F7A1D2DC89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F3" i="4"/>
  <c r="G4" i="4"/>
  <c r="G5" i="4"/>
  <c r="G6" i="4"/>
  <c r="G7" i="4"/>
  <c r="G3" i="4"/>
  <c r="F4" i="4"/>
  <c r="F5" i="4"/>
  <c r="F6" i="4"/>
  <c r="F7" i="4"/>
  <c r="Z54" i="1"/>
  <c r="Z55" i="1"/>
  <c r="AF27" i="1"/>
  <c r="AF28" i="1"/>
  <c r="AF29" i="1"/>
  <c r="AF30" i="1"/>
  <c r="AF31" i="1"/>
  <c r="AF32" i="1"/>
  <c r="AF33" i="1"/>
  <c r="AF34" i="1"/>
  <c r="AF35" i="1"/>
  <c r="AF36" i="1"/>
  <c r="AF37" i="1"/>
  <c r="AF55" i="1" s="1"/>
  <c r="AF38" i="1"/>
  <c r="AF39" i="1"/>
  <c r="AF40" i="1"/>
  <c r="Y27" i="1"/>
  <c r="Y28" i="1"/>
  <c r="Y29" i="1"/>
  <c r="Y30" i="1"/>
  <c r="Y31" i="1"/>
  <c r="Y32" i="1"/>
  <c r="Y33" i="1"/>
  <c r="Y34" i="1"/>
  <c r="Y35" i="1"/>
  <c r="Y36" i="1"/>
  <c r="Y37" i="1"/>
  <c r="Y55" i="1" s="1"/>
  <c r="Y38" i="1"/>
  <c r="Y39" i="1"/>
  <c r="Y40" i="1"/>
  <c r="R42" i="1"/>
  <c r="S42" i="1"/>
  <c r="R43" i="1"/>
  <c r="S43" i="1"/>
  <c r="R44" i="1"/>
  <c r="S44" i="1"/>
  <c r="R45" i="1"/>
  <c r="S45" i="1"/>
  <c r="R46" i="1"/>
  <c r="S46" i="1"/>
  <c r="R19" i="1"/>
  <c r="S19" i="1"/>
  <c r="R47" i="1"/>
  <c r="S47" i="1"/>
  <c r="R48" i="1"/>
  <c r="S48" i="1"/>
  <c r="S41" i="1"/>
  <c r="R4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49" i="1"/>
  <c r="S49" i="1"/>
  <c r="R23" i="1"/>
  <c r="S23" i="1"/>
  <c r="R24" i="1"/>
  <c r="S24" i="1"/>
  <c r="R25" i="1"/>
  <c r="S25" i="1"/>
  <c r="R26" i="1"/>
  <c r="S26" i="1"/>
  <c r="S2" i="1"/>
  <c r="R2" i="1"/>
  <c r="Q42" i="1"/>
  <c r="AF42" i="1" s="1"/>
  <c r="Q43" i="1"/>
  <c r="AF43" i="1" s="1"/>
  <c r="Q44" i="1"/>
  <c r="AF44" i="1" s="1"/>
  <c r="Q45" i="1"/>
  <c r="Q46" i="1"/>
  <c r="Q19" i="1"/>
  <c r="Q47" i="1"/>
  <c r="AF47" i="1" s="1"/>
  <c r="Q48" i="1"/>
  <c r="Q41" i="1"/>
  <c r="AF41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49" i="1"/>
  <c r="AF49" i="1" s="1"/>
  <c r="Q23" i="1"/>
  <c r="AF23" i="1" s="1"/>
  <c r="Q24" i="1"/>
  <c r="AF24" i="1" s="1"/>
  <c r="Q25" i="1"/>
  <c r="AF25" i="1" s="1"/>
  <c r="Q26" i="1"/>
  <c r="AF26" i="1" s="1"/>
  <c r="Q2" i="1"/>
  <c r="AF2" i="1" s="1"/>
  <c r="P42" i="1"/>
  <c r="P43" i="1"/>
  <c r="P44" i="1"/>
  <c r="P45" i="1"/>
  <c r="P46" i="1"/>
  <c r="P19" i="1"/>
  <c r="P47" i="1"/>
  <c r="P48" i="1"/>
  <c r="P4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49" i="1"/>
  <c r="P23" i="1"/>
  <c r="P24" i="1"/>
  <c r="P25" i="1"/>
  <c r="P26" i="1"/>
  <c r="P2" i="1"/>
  <c r="O42" i="1"/>
  <c r="O43" i="1"/>
  <c r="O44" i="1"/>
  <c r="O45" i="1"/>
  <c r="O46" i="1"/>
  <c r="O19" i="1"/>
  <c r="O47" i="1"/>
  <c r="O48" i="1"/>
  <c r="O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49" i="1"/>
  <c r="O23" i="1"/>
  <c r="O24" i="1"/>
  <c r="O25" i="1"/>
  <c r="O26" i="1"/>
  <c r="O2" i="1"/>
  <c r="N46" i="1"/>
  <c r="N19" i="1"/>
  <c r="N47" i="1"/>
  <c r="N48" i="1"/>
  <c r="N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49" i="1"/>
  <c r="N23" i="1"/>
  <c r="N24" i="1"/>
  <c r="N25" i="1"/>
  <c r="N26" i="1"/>
  <c r="N2" i="1"/>
  <c r="M43" i="1"/>
  <c r="M44" i="1"/>
  <c r="M46" i="1"/>
  <c r="M47" i="1"/>
  <c r="M48" i="1"/>
  <c r="M41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49" i="1"/>
  <c r="M23" i="1"/>
  <c r="M24" i="1"/>
  <c r="M25" i="1"/>
  <c r="M26" i="1"/>
  <c r="M2" i="1"/>
  <c r="L42" i="1"/>
  <c r="L43" i="1"/>
  <c r="L44" i="1"/>
  <c r="L45" i="1"/>
  <c r="L46" i="1"/>
  <c r="L19" i="1"/>
  <c r="L47" i="1"/>
  <c r="L48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49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49" i="1"/>
  <c r="AB23" i="1"/>
  <c r="AB24" i="1"/>
  <c r="AB25" i="1"/>
  <c r="AB26" i="1"/>
  <c r="AB41" i="1"/>
  <c r="AB42" i="1"/>
  <c r="AB43" i="1"/>
  <c r="AB44" i="1"/>
  <c r="AB45" i="1"/>
  <c r="AB46" i="1"/>
  <c r="AB19" i="1"/>
  <c r="AB47" i="1"/>
  <c r="AB48" i="1"/>
  <c r="AB2" i="1"/>
  <c r="H7" i="4" l="1"/>
  <c r="H6" i="4"/>
  <c r="H5" i="4"/>
  <c r="G8" i="4"/>
  <c r="H4" i="4"/>
  <c r="H3" i="4"/>
  <c r="H8" i="4" s="1"/>
  <c r="F8" i="4"/>
  <c r="Y54" i="1"/>
  <c r="AF54" i="1"/>
  <c r="Y48" i="1"/>
  <c r="AF48" i="1"/>
  <c r="Y26" i="1"/>
  <c r="Y14" i="1"/>
  <c r="Y44" i="1"/>
  <c r="Y11" i="1"/>
  <c r="Y25" i="1"/>
  <c r="Y19" i="1"/>
  <c r="Y24" i="1"/>
  <c r="Y46" i="1"/>
  <c r="Y12" i="1"/>
  <c r="Y47" i="1"/>
  <c r="Y45" i="1"/>
  <c r="AF19" i="1"/>
  <c r="AF53" i="1" s="1"/>
  <c r="Y41" i="1"/>
  <c r="Y23" i="1"/>
  <c r="Y13" i="1"/>
  <c r="Y43" i="1"/>
  <c r="Y49" i="1"/>
  <c r="Y10" i="1"/>
  <c r="AF46" i="1"/>
  <c r="Y42" i="1"/>
  <c r="Y22" i="1"/>
  <c r="Y9" i="1"/>
  <c r="AF45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49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19" i="1"/>
  <c r="AG47" i="1"/>
  <c r="AG48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49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19" i="1"/>
  <c r="AE47" i="1"/>
  <c r="AE4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49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19" i="1"/>
  <c r="AD47" i="1"/>
  <c r="AD48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4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9" i="1"/>
  <c r="V47" i="1"/>
  <c r="V4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49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9" i="1"/>
  <c r="U47" i="1"/>
  <c r="U48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49" i="1"/>
  <c r="Z23" i="1"/>
  <c r="Z24" i="1"/>
  <c r="Z25" i="1"/>
  <c r="Z26" i="1"/>
  <c r="Z41" i="1"/>
  <c r="Z42" i="1"/>
  <c r="Z43" i="1"/>
  <c r="Z44" i="1"/>
  <c r="Z45" i="1"/>
  <c r="Z46" i="1"/>
  <c r="Z19" i="1"/>
  <c r="Z47" i="1"/>
  <c r="Z48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49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9" i="1"/>
  <c r="X47" i="1"/>
  <c r="X4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49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19" i="1"/>
  <c r="W47" i="1"/>
  <c r="W48" i="1"/>
  <c r="W2" i="1"/>
  <c r="AD56" i="1" l="1"/>
  <c r="AE56" i="1"/>
  <c r="AG56" i="1"/>
  <c r="U56" i="1"/>
  <c r="AF56" i="1"/>
  <c r="W55" i="1"/>
  <c r="W54" i="1"/>
  <c r="W53" i="1"/>
  <c r="X55" i="1"/>
  <c r="Y53" i="1"/>
  <c r="V56" i="1"/>
  <c r="W56" i="1"/>
  <c r="X56" i="1"/>
  <c r="Z56" i="1"/>
  <c r="U54" i="1"/>
  <c r="V54" i="1"/>
  <c r="AD54" i="1"/>
  <c r="AE54" i="1"/>
  <c r="AG54" i="1"/>
  <c r="Y56" i="1"/>
  <c r="U53" i="1"/>
  <c r="V53" i="1"/>
  <c r="AD53" i="1"/>
  <c r="AE53" i="1"/>
  <c r="AE58" i="1" s="1"/>
  <c r="AG53" i="1"/>
  <c r="U55" i="1"/>
  <c r="V55" i="1"/>
  <c r="AD55" i="1"/>
  <c r="AE55" i="1"/>
  <c r="AG55" i="1"/>
  <c r="Z53" i="1"/>
  <c r="Z59" i="1" s="1"/>
  <c r="X54" i="1"/>
  <c r="X53" i="1"/>
  <c r="AH27" i="1"/>
  <c r="AH19" i="1"/>
  <c r="AH26" i="1"/>
  <c r="AH14" i="1"/>
  <c r="AH46" i="1"/>
  <c r="AH35" i="1"/>
  <c r="AH13" i="1"/>
  <c r="AH25" i="1"/>
  <c r="AH42" i="1"/>
  <c r="AH9" i="1"/>
  <c r="AH22" i="1"/>
  <c r="AH18" i="1"/>
  <c r="AH6" i="1"/>
  <c r="AH3" i="1"/>
  <c r="AH2" i="1"/>
  <c r="AH4" i="1"/>
  <c r="AH39" i="1"/>
  <c r="AH40" i="1"/>
  <c r="AH36" i="1"/>
  <c r="AH32" i="1"/>
  <c r="AH31" i="1"/>
  <c r="AH30" i="1"/>
  <c r="AH45" i="1"/>
  <c r="AH34" i="1"/>
  <c r="AH24" i="1"/>
  <c r="AH12" i="1"/>
  <c r="AH44" i="1"/>
  <c r="AH33" i="1"/>
  <c r="AH23" i="1"/>
  <c r="AH11" i="1"/>
  <c r="AH43" i="1"/>
  <c r="AH49" i="1"/>
  <c r="AH10" i="1"/>
  <c r="AH41" i="1"/>
  <c r="AH21" i="1"/>
  <c r="AH8" i="1"/>
  <c r="AH20" i="1"/>
  <c r="AH7" i="1"/>
  <c r="AH38" i="1"/>
  <c r="AH29" i="1"/>
  <c r="AH17" i="1"/>
  <c r="AH5" i="1"/>
  <c r="AH48" i="1"/>
  <c r="AH37" i="1"/>
  <c r="AH28" i="1"/>
  <c r="AH16" i="1"/>
  <c r="AH47" i="1"/>
  <c r="AH15" i="1"/>
  <c r="AH54" i="1" l="1"/>
  <c r="AD58" i="1"/>
  <c r="AD59" i="1"/>
  <c r="AD60" i="1" s="1"/>
  <c r="AD61" i="1" s="1"/>
  <c r="AH55" i="1"/>
  <c r="AH53" i="1"/>
  <c r="AH56" i="1"/>
  <c r="AG59" i="1"/>
  <c r="V59" i="1"/>
  <c r="X58" i="1"/>
  <c r="Y58" i="1"/>
  <c r="AF58" i="1"/>
  <c r="X59" i="1"/>
  <c r="U58" i="1"/>
  <c r="Y59" i="1"/>
  <c r="W59" i="1"/>
  <c r="W58" i="1"/>
  <c r="V58" i="1"/>
  <c r="AE59" i="1"/>
  <c r="U59" i="1"/>
  <c r="AG58" i="1"/>
  <c r="AF59" i="1"/>
  <c r="Z58" i="1"/>
  <c r="Z60" i="1" s="1"/>
  <c r="Z61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49" i="1"/>
  <c r="AA49" i="1" s="1"/>
  <c r="AC49" i="1" s="1"/>
  <c r="AI49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T37" i="1"/>
  <c r="T38" i="1"/>
  <c r="AA38" i="1" s="1"/>
  <c r="AC38" i="1" s="1"/>
  <c r="AI38" i="1" s="1"/>
  <c r="T39" i="1"/>
  <c r="AA39" i="1" s="1"/>
  <c r="AC39" i="1" s="1"/>
  <c r="AI39" i="1" s="1"/>
  <c r="T40" i="1"/>
  <c r="AA40" i="1" s="1"/>
  <c r="AC40" i="1" s="1"/>
  <c r="AI40" i="1" s="1"/>
  <c r="T41" i="1"/>
  <c r="T42" i="1"/>
  <c r="AA42" i="1" s="1"/>
  <c r="AC42" i="1" s="1"/>
  <c r="AI42" i="1" s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19" i="1"/>
  <c r="AA19" i="1" s="1"/>
  <c r="AC19" i="1" s="1"/>
  <c r="AI19" i="1" s="1"/>
  <c r="T47" i="1"/>
  <c r="AA47" i="1" s="1"/>
  <c r="AC47" i="1" s="1"/>
  <c r="AI47" i="1" s="1"/>
  <c r="T48" i="1"/>
  <c r="AA48" i="1" s="1"/>
  <c r="AC48" i="1" s="1"/>
  <c r="AI48" i="1" s="1"/>
  <c r="T2" i="1"/>
  <c r="AH59" i="1" l="1"/>
  <c r="T56" i="1"/>
  <c r="T54" i="1"/>
  <c r="T53" i="1"/>
  <c r="T55" i="1"/>
  <c r="AG60" i="1"/>
  <c r="AG61" i="1" s="1"/>
  <c r="AH58" i="1"/>
  <c r="V60" i="1"/>
  <c r="V61" i="1" s="1"/>
  <c r="X60" i="1"/>
  <c r="X61" i="1" s="1"/>
  <c r="Y60" i="1"/>
  <c r="Y61" i="1" s="1"/>
  <c r="AF60" i="1"/>
  <c r="AF61" i="1" s="1"/>
  <c r="AE60" i="1"/>
  <c r="AE61" i="1" s="1"/>
  <c r="U60" i="1"/>
  <c r="U61" i="1" s="1"/>
  <c r="W60" i="1"/>
  <c r="W61" i="1" s="1"/>
  <c r="AA27" i="1"/>
  <c r="AA2" i="1"/>
  <c r="AA53" i="1" s="1"/>
  <c r="AA41" i="1"/>
  <c r="AA37" i="1"/>
  <c r="AH60" i="1" l="1"/>
  <c r="AH61" i="1" s="1"/>
  <c r="T58" i="1"/>
  <c r="T59" i="1"/>
  <c r="AC27" i="1"/>
  <c r="AC54" i="1" s="1"/>
  <c r="AA54" i="1"/>
  <c r="AC37" i="1"/>
  <c r="AC55" i="1" s="1"/>
  <c r="AC59" i="1" s="1"/>
  <c r="AA55" i="1"/>
  <c r="AC41" i="1"/>
  <c r="AC56" i="1" s="1"/>
  <c r="AA56" i="1"/>
  <c r="AA58" i="1" s="1"/>
  <c r="AI27" i="1"/>
  <c r="AI54" i="1" s="1"/>
  <c r="AC2" i="1"/>
  <c r="AC53" i="1" s="1"/>
  <c r="AI41" i="1"/>
  <c r="AI56" i="1" s="1"/>
  <c r="AC58" i="1" l="1"/>
  <c r="AC60" i="1" s="1"/>
  <c r="AC61" i="1" s="1"/>
  <c r="AA59" i="1"/>
  <c r="AA60" i="1" s="1"/>
  <c r="AA61" i="1" s="1"/>
  <c r="T60" i="1"/>
  <c r="T61" i="1" s="1"/>
  <c r="AI37" i="1"/>
  <c r="AI55" i="1" s="1"/>
  <c r="AI2" i="1"/>
  <c r="AI53" i="1" s="1"/>
  <c r="AI58" i="1" s="1"/>
  <c r="AI59" i="1" l="1"/>
  <c r="AI60" i="1" s="1"/>
  <c r="A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7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7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7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7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9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<sst xmlns="http://schemas.openxmlformats.org/spreadsheetml/2006/main" count="1844" uniqueCount="386">
  <si>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</si>
  <si>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</si>
  <si>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</si>
  <si>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</si>
  <si>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</si>
  <si>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</si>
  <si>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</si>
  <si>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</si>
  <si>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</si>
  <si>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</si>
  <si>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</si>
  <si>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</si>
  <si>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</si>
  <si>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</si>
  <si>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</si>
  <si>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</si>
  <si>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</si>
  <si>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</si>
  <si>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</si>
  <si>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</si>
  <si>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</si>
  <si>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</si>
  <si>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</si>
  <si>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</si>
  <si>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</si>
  <si>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</si>
  <si>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</si>
  <si>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</si>
  <si>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</si>
  <si>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</si>
  <si>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</si>
  <si>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</si>
  <si>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</si>
  <si>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</si>
  <si>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</si>
  <si>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</si>
  <si>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</si>
  <si>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</si>
  <si>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</si>
  <si>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</si>
  <si>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</si>
  <si>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</si>
  <si>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</si>
  <si>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</si>
  <si>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</si>
  <si>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</si>
  <si>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</si>
  <si>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</si>
  <si>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</si>
  <si>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</si>
  <si>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</si>
  <si>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</si>
  <si>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</si>
  <si>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</si>
  <si>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</si>
  <si>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</si>
  <si>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</si>
  <si>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</si>
  <si>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</si>
  <si>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</si>
  <si>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</si>
  <si>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</si>
  <si>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</si>
  <si>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</si>
  <si>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</si>
  <si>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</si>
  <si>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</si>
  <si>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</si>
  <si>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</si>
  <si>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</si>
  <si>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</si>
  <si>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</si>
  <si>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</si>
  <si>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</si>
  <si>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</si>
  <si>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</si>
  <si>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</si>
  <si>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</si>
  <si>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</si>
  <si>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</si>
  <si>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</si>
  <si>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</si>
  <si>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</si>
  <si>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</si>
  <si>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</si>
  <si>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</si>
  <si>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</si>
  <si>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</si>
  <si>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</si>
  <si>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</si>
  <si>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</si>
  <si>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</si>
  <si>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</si>
  <si>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</si>
  <si>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</si>
  <si>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</si>
  <si>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</si>
  <si>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</si>
  <si>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</si>
  <si>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</si>
  <si>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</si>
  <si>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</si>
  <si>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</si>
  <si>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</si>
  <si>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</si>
  <si>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</si>
  <si>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</si>
  <si>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</si>
  <si>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</si>
  <si>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</si>
  <si>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</si>
  <si>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</si>
  <si>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</si>
  <si>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</si>
  <si>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</si>
  <si>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</si>
  <si>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</si>
  <si>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</si>
  <si>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</si>
  <si>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</si>
  <si>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</si>
  <si>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</si>
  <si>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</si>
  <si>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</si>
  <si>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</si>
  <si>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</si>
  <si>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</si>
  <si>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</si>
  <si>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</si>
  <si>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</si>
  <si>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</si>
  <si>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</si>
  <si>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</si>
  <si>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</si>
  <si>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</si>
  <si>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</si>
  <si>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</si>
  <si>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</si>
  <si>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</si>
  <si>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</si>
  <si>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</si>
  <si>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</si>
  <si>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</si>
  <si>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</si>
  <si>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</si>
  <si>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</si>
  <si>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</si>
  <si>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</si>
  <si>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</si>
  <si>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</si>
  <si>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</si>
  <si>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</si>
  <si>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</si>
  <si>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</si>
  <si>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</si>
  <si>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</si>
  <si>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</si>
  <si>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</si>
  <si>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</si>
  <si>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</si>
  <si>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</si>
  <si>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</si>
  <si>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</si>
  <si>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</si>
  <si>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</si>
  <si>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</si>
  <si>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</si>
  <si>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</si>
  <si>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</si>
  <si>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</si>
  <si>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</si>
  <si>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</si>
  <si>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</si>
  <si>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</si>
  <si>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</si>
  <si>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</si>
  <si>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</si>
  <si>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</si>
  <si>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</si>
  <si>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</si>
  <si>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</si>
  <si>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</si>
  <si>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</si>
  <si>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</si>
  <si>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</si>
  <si>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</si>
  <si>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</si>
  <si>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</si>
  <si>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</si>
  <si>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</si>
  <si>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</si>
  <si>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</si>
  <si>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</si>
  <si>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</si>
  <si>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</si>
  <si>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</si>
  <si>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</si>
  <si>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</si>
  <si>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</si>
  <si>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</si>
  <si>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</si>
  <si>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</si>
  <si>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</si>
  <si>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</si>
  <si>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</si>
  <si>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</si>
  <si>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</si>
  <si>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</si>
  <si>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</si>
  <si>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</si>
  <si>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</si>
  <si>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</si>
  <si>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</si>
  <si>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</si>
  <si>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</si>
  <si>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</si>
  <si>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</si>
  <si>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</si>
  <si>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</si>
  <si>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</si>
  <si>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</si>
  <si>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</si>
  <si>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</si>
  <si>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</si>
  <si>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</si>
  <si>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</si>
  <si>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</si>
  <si>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</si>
  <si>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</si>
  <si>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</si>
  <si>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</si>
  <si>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</si>
  <si>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</si>
  <si>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</si>
  <si>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</si>
  <si>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</si>
  <si>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</si>
  <si>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</si>
  <si>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</si>
  <si>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</si>
  <si>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</si>
  <si>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</si>
  <si>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</si>
  <si>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</si>
  <si>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</si>
  <si>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</si>
  <si>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</si>
  <si>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</si>
  <si>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</si>
  <si>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</si>
  <si>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</si>
  <si>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</si>
  <si>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</si>
  <si>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</si>
  <si>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</si>
  <si>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</si>
  <si>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</si>
  <si>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</si>
  <si>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</si>
  <si>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</si>
  <si>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</si>
  <si>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</si>
  <si>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</si>
  <si>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</si>
  <si>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</si>
  <si>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</si>
  <si>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</si>
  <si>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</si>
  <si>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</si>
  <si>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</si>
  <si>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</si>
  <si>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</si>
  <si>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</si>
  <si>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</si>
  <si>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</si>
  <si>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</si>
  <si>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</si>
  <si>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</si>
  <si>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</si>
  <si>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</si>
  <si>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</si>
  <si>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</si>
  <si>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</si>
  <si>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</si>
  <si>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</si>
  <si>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</si>
  <si>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</si>
  <si>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</si>
  <si>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</si>
  <si>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</si>
  <si>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</si>
  <si>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</si>
  <si>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</si>
  <si>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</si>
  <si>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</si>
  <si>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</si>
  <si>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</si>
  <si>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</si>
  <si>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</si>
  <si>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</si>
  <si>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</si>
  <si>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</si>
  <si>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</si>
  <si>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</si>
  <si>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</si>
  <si>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</si>
  <si>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</si>
  <si>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</si>
  <si>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</si>
  <si>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</si>
  <si>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</si>
  <si>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</si>
  <si>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</si>
  <si>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</si>
  <si>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</si>
  <si>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</si>
  <si>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</si>
  <si>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</si>
  <si>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</si>
  <si>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</si>
  <si>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</si>
  <si>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</si>
  <si>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</si>
  <si>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</si>
  <si>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</si>
  <si>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</si>
  <si>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</si>
  <si>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</si>
  <si>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</si>
  <si>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</si>
  <si>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</si>
  <si>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</si>
  <si>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</si>
  <si>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</si>
  <si>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</si>
  <si>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</si>
  <si>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</si>
  <si>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</si>
  <si>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</si>
  <si>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</si>
  <si>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</si>
  <si>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</si>
  <si>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</si>
  <si>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</si>
  <si>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</si>
  <si>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</si>
  <si>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</si>
  <si>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</si>
  <si>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</si>
  <si>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</si>
  <si>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</si>
  <si>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</si>
  <si>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</si>
  <si>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</si>
  <si>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</si>
  <si>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</si>
  <si>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</si>
  <si>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</si>
  <si>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</si>
  <si>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</si>
  <si>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</si>
  <si>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</si>
  <si>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</si>
  <si>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</si>
  <si>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</si>
  <si>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</si>
  <si>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</si>
  <si>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</si>
  <si>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</si>
  <si>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</si>
  <si>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</si>
  <si>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</si>
  <si>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</si>
  <si>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</si>
  <si>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</si>
  <si>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PCA, YFK, SW1, SW2, SC4, LAP, WR2, MR1, WEN, USC, USP, CHA, LSR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</si>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</sst>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7" dT="2024-08-14T19:35:46.76" personId="{C77DAA69-426B-4B66-A041-374F39380B56}" id="{34D9FD0C-C923-4A9F-949B-12953991A15C}">
    <text>Guesstimate</text>
  </threadedComment>
  <threadedComment ref="P37" dT="2024-08-14T19:36:58.45" personId="{C77DAA69-426B-4B66-A041-374F39380B56}" id="{AE9481D7-4476-403B-8541-16BCB964FA37}">
    <text>Guesstimate</text>
  </threadedComment>
  <threadedComment ref="Q37" dT="2024-08-14T19:37:07.31" personId="{C77DAA69-426B-4B66-A041-374F39380B56}" id="{544378C6-124C-4C92-A642-0AE43F3F3061}">
    <text>Guesstimate</text>
  </threadedComment>
  <threadedComment ref="R37" dT="2024-08-14T19:37:14.89" personId="{C77DAA69-426B-4B66-A041-374F39380B56}" id="{00E8D40E-04F4-4F93-AB45-467AF4CC9362}">
    <text>Guesstimate</text>
  </threadedComment>
  <threadedComment ref="L38" dT="2024-08-14T19:37:51.25" personId="{C77DAA69-426B-4B66-A041-374F39380B56}" id="{351259EF-3985-4698-AF5C-40B4E8213980}">
    <text>Guesstimate</text>
  </threadedComment>
  <threadedComment ref="P38" dT="2024-08-14T19:37:58.83" personId="{C77DAA69-426B-4B66-A041-374F39380B56}" id="{ED26637F-FBCE-4F79-8C43-FED7D517BFB2}">
    <text>Guesstimate</text>
  </threadedComment>
  <threadedComment ref="Q38" dT="2024-08-14T19:38:06.04" personId="{C77DAA69-426B-4B66-A041-374F39380B56}" id="{4DDFA2D5-BA85-40F5-B9BE-AFB3430867B9}">
    <text>Guesstimate</text>
  </threadedComment>
  <threadedComment ref="R38" dT="2024-08-14T19:38:14.61" personId="{C77DAA69-426B-4B66-A041-374F39380B56}" id="{29297ED3-A1F8-45DB-8894-83E4684C9CB7}">
    <text>Guesstimate</text>
  </threadedComment>
  <threadedComment ref="P39" dT="2024-08-14T19:45:05.01" personId="{C77DAA69-426B-4B66-A041-374F39380B56}" id="{EFDEDEC3-3251-49D7-B8F8-775B538E2941}">
    <text>Guesstimate</text>
  </threadedComment>
  <threadedComment ref="Q39" dT="2024-08-14T19:45:12.52" personId="{C77DAA69-426B-4B66-A041-374F39380B56}" id="{B5188D8D-C0C6-4175-87BE-772A73E6CB11}">
    <text>Guesstimate</text>
  </threadedComment>
  <threadedComment ref="R39" dT="2024-08-14T19:45:20.67" personId="{C77DAA69-426B-4B66-A041-374F39380B56}" id="{66CA20A2-0F08-4F4D-90A2-5C0926FD9D3D}">
    <text>Guesstimate</text>
  </threadedComment>
  <threadedComment ref="S39" dT="2024-08-14T19:45:33.23" personId="{C77DAA69-426B-4B66-A041-374F39380B56}" id="{9D013F0B-84F0-4B8C-8916-5524E19E2129}">
    <text>Guesstimate</text>
  </threadedComment>
  <threadedComment ref="P40" dT="2024-08-14T19:46:40.04" personId="{C77DAA69-426B-4B66-A041-374F39380B56}" id="{7813689E-9B6F-49FC-A9B2-338961C7EFC4}">
    <text>Guesstimate</text>
  </threadedComment>
  <threadedComment ref="Q40" dT="2024-08-14T19:46:49.76" personId="{C77DAA69-426B-4B66-A041-374F39380B56}" id="{692E4B72-3AF6-49DC-AA12-A6D2E4057EDD}">
    <text>Guesstimate</text>
  </threadedComment>
  <threadedComment ref="R40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1"/>
  <sheetViews>
    <sheetView tabSelected="1" workbookViewId="0">
      <selection activeCell="C12" sqref="C12"/>
    </sheetView>
  </sheetViews>
  <sheetFormatPr defaultRowHeight="10" x14ac:dyDescent="0.35"/>
  <cols>
    <col min="1" max="1" width="2.453125" style="98" customWidth="1"/>
    <col min="2" max="2" width="23.7265625" style="93" bestFit="1" customWidth="1"/>
    <col min="3" max="4" width="24.1796875" style="108" customWidth="1"/>
    <col min="5" max="5" width="8.81640625" style="95" bestFit="1" customWidth="1"/>
    <col min="6" max="6" width="11.81640625" style="98" bestFit="1" customWidth="1"/>
    <col min="7" max="7" width="13.54296875" style="98" bestFit="1" customWidth="1"/>
    <col min="8" max="8" width="11" style="98" bestFit="1" customWidth="1"/>
    <col min="9" max="16384" width="8.7265625" style="98"/>
  </cols>
  <sheetData>
    <row r="2" spans="2:11" s="92" customFormat="1" ht="21" x14ac:dyDescent="0.35">
      <c r="B2" s="88" t="s">
        <v>371</v>
      </c>
      <c r="C2" s="89" t="s">
        <v>372</v>
      </c>
      <c r="D2" s="89" t="s">
        <v>373</v>
      </c>
      <c r="E2" s="90" t="s">
        <v>377</v>
      </c>
      <c r="F2" s="91" t="s">
        <v>383</v>
      </c>
      <c r="G2" s="91" t="s">
        <v>384</v>
      </c>
      <c r="H2" s="91" t="s">
        <v>385</v>
      </c>
    </row>
    <row r="3" spans="2:11" ht="30" x14ac:dyDescent="0.35">
      <c r="B3" s="93" t="s">
        <v>369</v>
      </c>
      <c r="C3" s="94" t="s">
        <v>375</v>
      </c>
      <c r="D3" s="94" t="s">
        <v>376</v>
      </c>
      <c r="E3" s="95">
        <v>4</v>
      </c>
      <c r="F3" s="96">
        <f>SUMIF('O&amp;M Costs'!$H$2:$H$49,B3,'O&amp;M Costs'!$AI$2:$AI$49)</f>
        <v>280203.16000000003</v>
      </c>
      <c r="G3" s="96">
        <f>SUMIF('O&amp;M Costs'!$I$2:$I$49,B3,'O&amp;M Costs'!$AI$2:$AI$49)</f>
        <v>345642.84</v>
      </c>
      <c r="H3" s="97">
        <f>G3-F3</f>
        <v>65439.679999999993</v>
      </c>
    </row>
    <row r="4" spans="2:11" x14ac:dyDescent="0.35">
      <c r="B4" s="93" t="s">
        <v>7</v>
      </c>
      <c r="C4" s="94" t="s">
        <v>378</v>
      </c>
      <c r="D4" s="94" t="s">
        <v>379</v>
      </c>
      <c r="E4" s="95">
        <v>-4</v>
      </c>
      <c r="F4" s="96">
        <f>SUMIF('O&amp;M Costs'!$H$2:$H$49,B4,'O&amp;M Costs'!$AI$2:$AI$49)</f>
        <v>66249.05</v>
      </c>
      <c r="G4" s="96">
        <f>SUMIF('O&amp;M Costs'!$I$2:$I$49,B4,'O&amp;M Costs'!$AI$2:$AI$49)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380</v>
      </c>
      <c r="D5" s="94" t="s">
        <v>34</v>
      </c>
      <c r="E5" s="95">
        <v>-1</v>
      </c>
      <c r="F5" s="96">
        <f>SUMIF('O&amp;M Costs'!$H$2:$H$49,B5,'O&amp;M Costs'!$AI$2:$AI$49)</f>
        <v>6910.4</v>
      </c>
      <c r="G5" s="96">
        <f>SUMIF('O&amp;M Costs'!$I$2:$I$49,B5,'O&amp;M Costs'!$AI$2:$AI$49)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380</v>
      </c>
      <c r="D6" s="94" t="s">
        <v>381</v>
      </c>
      <c r="E6" s="95">
        <v>-2</v>
      </c>
      <c r="F6" s="96">
        <f>SUMIF('O&amp;M Costs'!$H$2:$H$49,B6,'O&amp;M Costs'!$AI$2:$AI$49)</f>
        <v>14239.119999999999</v>
      </c>
      <c r="G6" s="96">
        <f>SUMIF('O&amp;M Costs'!$I$2:$I$49,B6,'O&amp;M Costs'!$AI$2:$AI$49)</f>
        <v>0</v>
      </c>
      <c r="H6" s="97">
        <f t="shared" si="0"/>
        <v>-14239.119999999999</v>
      </c>
      <c r="K6" s="16"/>
    </row>
    <row r="7" spans="2:11" x14ac:dyDescent="0.2">
      <c r="B7" s="99" t="s">
        <v>370</v>
      </c>
      <c r="C7" s="100" t="s">
        <v>382</v>
      </c>
      <c r="D7" s="100" t="s">
        <v>380</v>
      </c>
      <c r="E7" s="101">
        <v>4</v>
      </c>
      <c r="F7" s="102">
        <f>SUMIF('O&amp;M Costs'!$H$2:$H$49,B7,'O&amp;M Costs'!$AI$2:$AI$49)</f>
        <v>0</v>
      </c>
      <c r="G7" s="102">
        <f>SUMIF('O&amp;M Costs'!$I$2:$I$49,B7,'O&amp;M Costs'!$AI$2:$AI$49)</f>
        <v>15225.039999999999</v>
      </c>
      <c r="H7" s="103">
        <f t="shared" si="0"/>
        <v>15225.039999999999</v>
      </c>
      <c r="K7" s="16"/>
    </row>
    <row r="8" spans="2:11" s="107" customFormat="1" ht="10.5" x14ac:dyDescent="0.25">
      <c r="B8" s="104" t="s">
        <v>374</v>
      </c>
      <c r="C8" s="92"/>
      <c r="D8" s="92"/>
      <c r="E8" s="105">
        <f>SUM(E3:E7)</f>
        <v>1</v>
      </c>
      <c r="F8" s="106">
        <f>SUM(F3:F7)</f>
        <v>367601.73000000004</v>
      </c>
      <c r="G8" s="106">
        <f>SUM(G3:G7)</f>
        <v>388210.89</v>
      </c>
      <c r="H8" s="106">
        <f>SUM(H3:H7)</f>
        <v>20609.159999999989</v>
      </c>
      <c r="K8" s="8"/>
    </row>
    <row r="9" spans="2:11" x14ac:dyDescent="0.2">
      <c r="K9" s="16"/>
    </row>
    <row r="10" spans="2:11" x14ac:dyDescent="0.2">
      <c r="K10" s="16"/>
    </row>
    <row r="11" spans="2:11" x14ac:dyDescent="0.2">
      <c r="D11" s="16"/>
      <c r="E11" s="16"/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87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I61" sqref="AI61"/>
    </sheetView>
  </sheetViews>
  <sheetFormatPr defaultRowHeight="10" x14ac:dyDescent="0.2"/>
  <cols>
    <col min="1" max="1" width="11.7265625" style="16" bestFit="1" customWidth="1"/>
    <col min="2" max="2" width="28.7265625" style="17" bestFit="1" customWidth="1"/>
    <col min="3" max="3" width="12.54296875" style="16" bestFit="1" customWidth="1"/>
    <col min="4" max="4" width="33.08984375" style="16" bestFit="1" customWidth="1"/>
    <col min="5" max="6" width="10.453125" style="16" bestFit="1" customWidth="1"/>
    <col min="7" max="7" width="15.6328125" style="16" bestFit="1" customWidth="1"/>
    <col min="8" max="8" width="15.6328125" style="85" customWidth="1"/>
    <col min="9" max="9" width="20.54296875" style="85" bestFit="1" customWidth="1"/>
    <col min="10" max="10" width="19.453125" style="16" bestFit="1" customWidth="1"/>
    <col min="11" max="11" width="26.54296875" style="31" customWidth="1"/>
    <col min="12" max="12" width="17.1796875" style="17" bestFit="1" customWidth="1"/>
    <col min="13" max="13" width="13.1796875" style="17" bestFit="1" customWidth="1"/>
    <col min="14" max="14" width="14.1796875" style="17" bestFit="1" customWidth="1"/>
    <col min="15" max="15" width="11.08984375" style="17" bestFit="1" customWidth="1"/>
    <col min="16" max="16" width="8.1796875" style="16" bestFit="1" customWidth="1"/>
    <col min="17" max="17" width="12" style="17" bestFit="1" customWidth="1"/>
    <col min="18" max="18" width="7.7265625" style="16" bestFit="1" customWidth="1"/>
    <col min="19" max="19" width="13.26953125" style="16" customWidth="1"/>
    <col min="20" max="20" width="11.7265625" style="19" bestFit="1" customWidth="1"/>
    <col min="21" max="21" width="14.1796875" style="19" bestFit="1" customWidth="1"/>
    <col min="22" max="22" width="15.08984375" style="19" bestFit="1" customWidth="1"/>
    <col min="23" max="23" width="11.26953125" style="19" bestFit="1" customWidth="1"/>
    <col min="24" max="24" width="12.26953125" style="19" bestFit="1" customWidth="1"/>
    <col min="25" max="25" width="16.90625" style="19" bestFit="1" customWidth="1"/>
    <col min="26" max="26" width="17.1796875" style="19" bestFit="1" customWidth="1"/>
    <col min="27" max="27" width="15.6328125" style="25" bestFit="1" customWidth="1"/>
    <col min="28" max="28" width="8.1796875" style="25" bestFit="1" customWidth="1"/>
    <col min="29" max="29" width="15.90625" style="25" bestFit="1" customWidth="1"/>
    <col min="30" max="30" width="16.7265625" style="26" bestFit="1" customWidth="1"/>
    <col min="31" max="31" width="13.90625" style="21" bestFit="1" customWidth="1"/>
    <col min="32" max="32" width="10.1796875" style="21" bestFit="1" customWidth="1"/>
    <col min="33" max="33" width="15.54296875" style="21" bestFit="1" customWidth="1"/>
    <col min="34" max="34" width="19.1796875" style="27" bestFit="1" customWidth="1"/>
    <col min="35" max="35" width="10.1796875" style="28" bestFit="1" customWidth="1"/>
    <col min="36" max="16384" width="8.7265625" style="17"/>
  </cols>
  <sheetData>
    <row r="1" spans="1:35" s="8" customFormat="1" ht="10.5" x14ac:dyDescent="0.25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49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8" si="20">SUM(T3:Z3)</f>
        <v>52591</v>
      </c>
      <c r="AB3" s="39">
        <f t="shared" si="14"/>
        <v>0.08</v>
      </c>
      <c r="AC3" s="20">
        <f t="shared" ref="AC3:AC48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8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8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328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329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242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6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17610</v>
      </c>
      <c r="Y12" s="19">
        <f t="shared" si="12"/>
        <v>11879</v>
      </c>
      <c r="Z12" s="19">
        <f t="shared" si="13"/>
        <v>12500</v>
      </c>
      <c r="AA12" s="20">
        <f t="shared" si="20"/>
        <v>53324</v>
      </c>
      <c r="AB12" s="39">
        <f t="shared" si="14"/>
        <v>0.1</v>
      </c>
      <c r="AC12" s="20">
        <f t="shared" si="21"/>
        <v>5332.4000000000005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9776.7800000000007</v>
      </c>
    </row>
    <row r="13" spans="1:35" x14ac:dyDescent="0.2">
      <c r="A13" s="16" t="s">
        <v>246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4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11740</v>
      </c>
      <c r="Y13" s="19">
        <f t="shared" si="12"/>
        <v>11879</v>
      </c>
      <c r="Z13" s="19">
        <f t="shared" si="13"/>
        <v>12500</v>
      </c>
      <c r="AA13" s="20">
        <f t="shared" si="20"/>
        <v>47454</v>
      </c>
      <c r="AB13" s="39">
        <f t="shared" si="14"/>
        <v>0.1</v>
      </c>
      <c r="AC13" s="20">
        <f t="shared" si="21"/>
        <v>4745.4000000000005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9189.7800000000007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8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8" si="26">VLOOKUP(L33,communication,2,FALSE)</f>
        <v>742</v>
      </c>
      <c r="U33" s="19">
        <f t="shared" ref="U33:U48" si="27">IFERROR(VLOOKUP(M33,datalogger,2,FALSE),0)</f>
        <v>835</v>
      </c>
      <c r="V33" s="19">
        <f t="shared" ref="V33:V48" si="28">IFERROR(VLOOKUP(N33,transceiver,2,FALSE),0)</f>
        <v>4450</v>
      </c>
      <c r="W33" s="19">
        <f t="shared" ref="W33:W48" si="29">VLOOKUP(O33,reader,2,FALSE)*P33</f>
        <v>8336</v>
      </c>
      <c r="X33" s="19">
        <f t="shared" ref="X33:X48" si="30">P33*antenna_cost</f>
        <v>11740</v>
      </c>
      <c r="Y33" s="19">
        <f t="shared" ref="Y33:Y48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8" si="32">(R33*battery_replacement)/4</f>
        <v>364</v>
      </c>
      <c r="AE33" s="21">
        <f t="shared" ref="AE33:AE48" si="33">VLOOKUP(L33,communication,3,FALSE)</f>
        <v>300</v>
      </c>
      <c r="AF33" s="21">
        <f t="shared" ref="AF33:AF48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364</v>
      </c>
      <c r="B37" s="17" t="s">
        <v>101</v>
      </c>
      <c r="C37" s="18" t="b">
        <v>0</v>
      </c>
      <c r="D37" s="18" t="s">
        <v>97</v>
      </c>
      <c r="E37" s="16" t="s">
        <v>46</v>
      </c>
      <c r="F37" s="24"/>
      <c r="G37" s="24"/>
      <c r="H37" s="86" t="s">
        <v>363</v>
      </c>
      <c r="I37" s="86" t="s">
        <v>369</v>
      </c>
      <c r="J37" s="24" t="s">
        <v>363</v>
      </c>
      <c r="K37" s="30"/>
      <c r="L37" s="57" t="s">
        <v>175</v>
      </c>
      <c r="M37" s="57" t="s">
        <v>174</v>
      </c>
      <c r="N37" s="57" t="s">
        <v>191</v>
      </c>
      <c r="O37" s="57" t="s">
        <v>192</v>
      </c>
      <c r="P37" s="83">
        <v>12</v>
      </c>
      <c r="Q37" s="57" t="s">
        <v>230</v>
      </c>
      <c r="R37" s="83">
        <v>4</v>
      </c>
      <c r="S37" s="83">
        <v>0</v>
      </c>
      <c r="T37" s="19">
        <f t="shared" si="26"/>
        <v>2000</v>
      </c>
      <c r="U37" s="19">
        <f t="shared" si="27"/>
        <v>835</v>
      </c>
      <c r="V37" s="19">
        <f t="shared" si="28"/>
        <v>4450</v>
      </c>
      <c r="W37" s="19">
        <f t="shared" si="29"/>
        <v>25008</v>
      </c>
      <c r="X37" s="19">
        <f t="shared" si="30"/>
        <v>35220</v>
      </c>
      <c r="Y37" s="19">
        <f t="shared" si="31"/>
        <v>15274</v>
      </c>
      <c r="Z37" s="38">
        <v>12500</v>
      </c>
      <c r="AA37" s="20">
        <f t="shared" si="20"/>
        <v>95287</v>
      </c>
      <c r="AB37" s="39">
        <v>0.08</v>
      </c>
      <c r="AC37" s="20">
        <f t="shared" si="21"/>
        <v>7622.96</v>
      </c>
      <c r="AD37" s="21">
        <f t="shared" si="32"/>
        <v>364</v>
      </c>
      <c r="AE37" s="21">
        <f t="shared" si="33"/>
        <v>1440</v>
      </c>
      <c r="AF37" s="21">
        <f t="shared" si="34"/>
        <v>3120.75</v>
      </c>
      <c r="AG37" s="21">
        <f t="shared" si="25"/>
        <v>1080</v>
      </c>
      <c r="AH37" s="22">
        <f t="shared" si="23"/>
        <v>6004.75</v>
      </c>
      <c r="AI37" s="23">
        <f t="shared" si="22"/>
        <v>13627.71</v>
      </c>
    </row>
    <row r="38" spans="1:35" x14ac:dyDescent="0.2">
      <c r="A38" s="16" t="s">
        <v>365</v>
      </c>
      <c r="B38" s="17" t="s">
        <v>100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95</v>
      </c>
      <c r="B39" s="17" t="s">
        <v>102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8</v>
      </c>
      <c r="Q39" s="57" t="s">
        <v>183</v>
      </c>
      <c r="R39" s="83">
        <v>4</v>
      </c>
      <c r="S39" s="83">
        <v>8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16672</v>
      </c>
      <c r="X39" s="19">
        <f t="shared" si="30"/>
        <v>23480</v>
      </c>
      <c r="Y39" s="19">
        <f t="shared" si="31"/>
        <v>29303</v>
      </c>
      <c r="Z39" s="38">
        <v>12500</v>
      </c>
      <c r="AA39" s="20">
        <f t="shared" si="20"/>
        <v>89240</v>
      </c>
      <c r="AB39" s="39">
        <v>0.08</v>
      </c>
      <c r="AC39" s="20">
        <f t="shared" si="21"/>
        <v>7139.2</v>
      </c>
      <c r="AD39" s="21">
        <f t="shared" si="32"/>
        <v>364</v>
      </c>
      <c r="AE39" s="21">
        <f t="shared" si="33"/>
        <v>1440</v>
      </c>
      <c r="AF39" s="21">
        <f t="shared" si="34"/>
        <v>780.19</v>
      </c>
      <c r="AG39" s="21">
        <f t="shared" si="25"/>
        <v>1080</v>
      </c>
      <c r="AH39" s="22">
        <f t="shared" si="23"/>
        <v>3664.19</v>
      </c>
      <c r="AI39" s="23">
        <f t="shared" si="22"/>
        <v>10803.39</v>
      </c>
    </row>
    <row r="40" spans="1:35" x14ac:dyDescent="0.2">
      <c r="A40" s="16" t="s">
        <v>96</v>
      </c>
      <c r="B40" s="17" t="s">
        <v>108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193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165</v>
      </c>
      <c r="R40" s="83">
        <v>4</v>
      </c>
      <c r="S40" s="83">
        <v>0</v>
      </c>
      <c r="T40" s="19">
        <f t="shared" si="26"/>
        <v>742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3950</v>
      </c>
      <c r="Z40" s="38">
        <v>12500</v>
      </c>
      <c r="AA40" s="20">
        <f t="shared" si="20"/>
        <v>62629</v>
      </c>
      <c r="AB40" s="39">
        <v>0.08</v>
      </c>
      <c r="AC40" s="20">
        <f t="shared" si="21"/>
        <v>5010.32</v>
      </c>
      <c r="AD40" s="21">
        <f t="shared" si="32"/>
        <v>364</v>
      </c>
      <c r="AE40" s="21">
        <f t="shared" si="33"/>
        <v>300</v>
      </c>
      <c r="AF40" s="21">
        <f t="shared" si="34"/>
        <v>120</v>
      </c>
      <c r="AG40" s="21">
        <f t="shared" si="25"/>
        <v>1080</v>
      </c>
      <c r="AH40" s="22">
        <f t="shared" si="23"/>
        <v>1864</v>
      </c>
      <c r="AI40" s="23">
        <f t="shared" si="22"/>
        <v>6874.32</v>
      </c>
    </row>
    <row r="41" spans="1:35" x14ac:dyDescent="0.2">
      <c r="A41" s="16" t="s">
        <v>76</v>
      </c>
      <c r="B41" s="17" t="s">
        <v>77</v>
      </c>
      <c r="C41" s="18" t="b">
        <v>1</v>
      </c>
      <c r="D41" s="18" t="s">
        <v>98</v>
      </c>
      <c r="E41" s="16" t="s">
        <v>46</v>
      </c>
      <c r="F41" s="18" t="s">
        <v>8</v>
      </c>
      <c r="G41" s="18" t="s">
        <v>115</v>
      </c>
      <c r="H41" s="85" t="s">
        <v>369</v>
      </c>
      <c r="I41" s="85" t="s">
        <v>363</v>
      </c>
      <c r="J41" s="18" t="s">
        <v>1</v>
      </c>
      <c r="K41" s="29" t="s">
        <v>362</v>
      </c>
      <c r="L41" s="17" t="str">
        <f t="shared" ref="L41:L48" si="35">VLOOKUP(A41,om_table,23,FALSE)</f>
        <v>Cellular Modem</v>
      </c>
      <c r="M41" s="17" t="str">
        <f>VLOOKUP(A41,om_table,22,FALSE)</f>
        <v>BioProbe3</v>
      </c>
      <c r="N41" s="17" t="str">
        <f>VLOOKUP(A41,om_table,20,FALSE)</f>
        <v>FS1001M</v>
      </c>
      <c r="O41" s="57" t="str">
        <f t="shared" ref="O41:O48" si="36">VLOOKUP(A41,om_table,21,FALSE)</f>
        <v>Biomark MUX</v>
      </c>
      <c r="P41" s="16">
        <f t="shared" ref="P41:P48" si="37">VLOOKUP(A41,om_table,30,FALSE)</f>
        <v>6</v>
      </c>
      <c r="Q41" s="17" t="str">
        <f t="shared" ref="Q41:Q48" si="38">VLOOKUP(A41,om_table,9,FALSE)</f>
        <v>Grid Power</v>
      </c>
      <c r="R41" s="16">
        <f t="shared" ref="R41:R48" si="39">VLOOKUP(A41,om_table,16,FALSE)</f>
        <v>4</v>
      </c>
      <c r="S41" s="16">
        <f t="shared" ref="S41:S48" si="40">VLOOKUP(A41,om_table,17,FALSE)</f>
        <v>0</v>
      </c>
      <c r="T41" s="19">
        <f t="shared" si="26"/>
        <v>742</v>
      </c>
      <c r="U41" s="19">
        <f t="shared" si="27"/>
        <v>835</v>
      </c>
      <c r="V41" s="19">
        <f t="shared" si="28"/>
        <v>8500</v>
      </c>
      <c r="W41" s="19">
        <f t="shared" si="29"/>
        <v>0</v>
      </c>
      <c r="X41" s="19">
        <f t="shared" si="30"/>
        <v>17610</v>
      </c>
      <c r="Y41" s="19">
        <f t="shared" si="31"/>
        <v>3950</v>
      </c>
      <c r="Z41" s="19">
        <f t="shared" ref="Z41:Z48" si="41">VLOOKUP(A41,om_table,40,FALSE)</f>
        <v>12500</v>
      </c>
      <c r="AA41" s="20">
        <f t="shared" si="20"/>
        <v>44137</v>
      </c>
      <c r="AB41" s="39">
        <f t="shared" ref="AB41:AB48" si="42">VLOOKUP(A41,om_table,48,FALSE)</f>
        <v>0.1</v>
      </c>
      <c r="AC41" s="20">
        <f t="shared" si="21"/>
        <v>4413.7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6277.7</v>
      </c>
    </row>
    <row r="42" spans="1:35" x14ac:dyDescent="0.2">
      <c r="A42" s="16" t="s">
        <v>72</v>
      </c>
      <c r="B42" s="17" t="s">
        <v>73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370</v>
      </c>
      <c r="J42" s="18" t="s">
        <v>1</v>
      </c>
      <c r="K42" s="29" t="s">
        <v>362</v>
      </c>
      <c r="L42" s="17" t="str">
        <f t="shared" si="35"/>
        <v>Cellular Modem</v>
      </c>
      <c r="O42" s="57" t="str">
        <f t="shared" si="36"/>
        <v>Biomark IS1001</v>
      </c>
      <c r="P42" s="16">
        <f t="shared" si="37"/>
        <v>2</v>
      </c>
      <c r="Q42" s="17" t="str">
        <f t="shared" si="38"/>
        <v>Solar</v>
      </c>
      <c r="R42" s="16">
        <f t="shared" si="39"/>
        <v>4</v>
      </c>
      <c r="S42" s="16">
        <f t="shared" si="40"/>
        <v>4</v>
      </c>
      <c r="T42" s="19">
        <f t="shared" si="26"/>
        <v>742</v>
      </c>
      <c r="U42" s="19">
        <f t="shared" si="27"/>
        <v>0</v>
      </c>
      <c r="V42" s="19">
        <f t="shared" si="28"/>
        <v>0</v>
      </c>
      <c r="W42" s="19">
        <f t="shared" si="29"/>
        <v>4168</v>
      </c>
      <c r="X42" s="19">
        <f t="shared" si="30"/>
        <v>5870</v>
      </c>
      <c r="Y42" s="19">
        <f t="shared" si="31"/>
        <v>12224</v>
      </c>
      <c r="Z42" s="19">
        <f t="shared" si="41"/>
        <v>5000</v>
      </c>
      <c r="AA42" s="20">
        <f t="shared" si="20"/>
        <v>28004</v>
      </c>
      <c r="AB42" s="39">
        <f t="shared" si="42"/>
        <v>0.08</v>
      </c>
      <c r="AC42" s="20">
        <f t="shared" si="21"/>
        <v>2240.3200000000002</v>
      </c>
      <c r="AD42" s="21">
        <f t="shared" si="32"/>
        <v>364</v>
      </c>
      <c r="AE42" s="21">
        <f t="shared" si="33"/>
        <v>300</v>
      </c>
      <c r="AF42" s="21">
        <f t="shared" si="34"/>
        <v>0</v>
      </c>
      <c r="AG42" s="21">
        <f t="shared" si="25"/>
        <v>1080</v>
      </c>
      <c r="AH42" s="22">
        <f t="shared" si="23"/>
        <v>1744</v>
      </c>
      <c r="AI42" s="23">
        <f t="shared" si="22"/>
        <v>3984.32</v>
      </c>
    </row>
    <row r="43" spans="1:35" x14ac:dyDescent="0.2">
      <c r="A43" s="16" t="s">
        <v>70</v>
      </c>
      <c r="B43" s="17" t="s">
        <v>71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35"/>
        <v>Cellular Modem</v>
      </c>
      <c r="M43" s="17" t="str">
        <f>VLOOKUP(A43,om_table,22,FALSE)</f>
        <v>BioProbe3</v>
      </c>
      <c r="O43" s="57" t="str">
        <f t="shared" si="36"/>
        <v>Biomark IS1001</v>
      </c>
      <c r="P43" s="16">
        <f t="shared" si="37"/>
        <v>2</v>
      </c>
      <c r="Q43" s="17" t="str">
        <f t="shared" si="38"/>
        <v>Solar</v>
      </c>
      <c r="R43" s="16">
        <f t="shared" si="39"/>
        <v>6</v>
      </c>
      <c r="S43" s="16">
        <f t="shared" si="40"/>
        <v>4</v>
      </c>
      <c r="T43" s="19">
        <f t="shared" si="26"/>
        <v>742</v>
      </c>
      <c r="U43" s="19">
        <f t="shared" si="27"/>
        <v>835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12924</v>
      </c>
      <c r="Z43" s="19">
        <f t="shared" si="41"/>
        <v>5000</v>
      </c>
      <c r="AA43" s="20">
        <f t="shared" si="20"/>
        <v>29539</v>
      </c>
      <c r="AB43" s="39">
        <f t="shared" si="42"/>
        <v>0.08</v>
      </c>
      <c r="AC43" s="20">
        <f t="shared" si="21"/>
        <v>2363.12</v>
      </c>
      <c r="AD43" s="21">
        <f t="shared" si="32"/>
        <v>546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1926</v>
      </c>
      <c r="AI43" s="23">
        <f t="shared" si="22"/>
        <v>4289.12</v>
      </c>
    </row>
    <row r="44" spans="1:35" x14ac:dyDescent="0.2">
      <c r="A44" s="16" t="s">
        <v>68</v>
      </c>
      <c r="B44" s="17" t="s">
        <v>69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35"/>
        <v>Cellular Modem</v>
      </c>
      <c r="M44" s="17" t="str">
        <f>VLOOKUP(A44,om_table,22,FALSE)</f>
        <v>BioProbe3</v>
      </c>
      <c r="O44" s="57" t="str">
        <f t="shared" si="36"/>
        <v>Biomark IS1001</v>
      </c>
      <c r="P44" s="16">
        <f t="shared" si="37"/>
        <v>2</v>
      </c>
      <c r="Q44" s="17" t="str">
        <f t="shared" si="38"/>
        <v>Grid Power</v>
      </c>
      <c r="R44" s="16">
        <f t="shared" si="39"/>
        <v>4</v>
      </c>
      <c r="S44" s="16">
        <f t="shared" si="40"/>
        <v>0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3950</v>
      </c>
      <c r="Z44" s="19">
        <f t="shared" si="41"/>
        <v>5000</v>
      </c>
      <c r="AA44" s="20">
        <f t="shared" si="20"/>
        <v>20565</v>
      </c>
      <c r="AB44" s="39">
        <f t="shared" si="42"/>
        <v>0.08</v>
      </c>
      <c r="AC44" s="20">
        <f t="shared" si="21"/>
        <v>1645.2</v>
      </c>
      <c r="AD44" s="21">
        <f t="shared" si="32"/>
        <v>364</v>
      </c>
      <c r="AE44" s="21">
        <f t="shared" si="33"/>
        <v>300</v>
      </c>
      <c r="AF44" s="21">
        <f t="shared" si="34"/>
        <v>120</v>
      </c>
      <c r="AG44" s="21">
        <f t="shared" si="25"/>
        <v>1080</v>
      </c>
      <c r="AH44" s="22">
        <f t="shared" si="23"/>
        <v>1864</v>
      </c>
      <c r="AI44" s="23">
        <f t="shared" si="22"/>
        <v>3509.2</v>
      </c>
    </row>
    <row r="45" spans="1:35" x14ac:dyDescent="0.2">
      <c r="A45" s="16" t="s">
        <v>62</v>
      </c>
      <c r="B45" s="17" t="s">
        <v>63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35"/>
        <v>Cellular Modem</v>
      </c>
      <c r="O45" s="57" t="str">
        <f t="shared" si="36"/>
        <v>Biomark IS1001</v>
      </c>
      <c r="P45" s="16">
        <f t="shared" si="37"/>
        <v>2</v>
      </c>
      <c r="Q45" s="17" t="str">
        <f t="shared" si="38"/>
        <v>Grid Power</v>
      </c>
      <c r="R45" s="16">
        <f t="shared" si="39"/>
        <v>4</v>
      </c>
      <c r="S45" s="16">
        <f t="shared" si="40"/>
        <v>0</v>
      </c>
      <c r="T45" s="19">
        <f t="shared" si="26"/>
        <v>742</v>
      </c>
      <c r="U45" s="19">
        <f t="shared" si="27"/>
        <v>0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41"/>
        <v>5000</v>
      </c>
      <c r="AA45" s="20">
        <f t="shared" si="20"/>
        <v>19730</v>
      </c>
      <c r="AB45" s="39">
        <f t="shared" si="42"/>
        <v>0.08</v>
      </c>
      <c r="AC45" s="20">
        <f t="shared" si="21"/>
        <v>1578.4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3442.4</v>
      </c>
    </row>
    <row r="46" spans="1:35" x14ac:dyDescent="0.2">
      <c r="A46" s="16" t="s">
        <v>47</v>
      </c>
      <c r="B46" s="17" t="s">
        <v>48</v>
      </c>
      <c r="C46" s="18" t="b">
        <v>1</v>
      </c>
      <c r="D46" s="18" t="s">
        <v>98</v>
      </c>
      <c r="E46" s="16" t="s">
        <v>46</v>
      </c>
      <c r="F46" s="18" t="s">
        <v>7</v>
      </c>
      <c r="G46" s="18" t="s">
        <v>114</v>
      </c>
      <c r="H46" s="85" t="s">
        <v>369</v>
      </c>
      <c r="I46" s="85" t="s">
        <v>7</v>
      </c>
      <c r="J46" s="18" t="s">
        <v>1</v>
      </c>
      <c r="K46" s="29" t="s">
        <v>362</v>
      </c>
      <c r="L46" s="17" t="str">
        <f t="shared" si="35"/>
        <v>Satellite Modem</v>
      </c>
      <c r="M46" s="17" t="str">
        <f>VLOOKUP(A46,om_table,22,FALSE)</f>
        <v>BioProbe3</v>
      </c>
      <c r="N46" s="17" t="str">
        <f>VLOOKUP(A46,om_table,20,FALSE)</f>
        <v>IS1001-MTS</v>
      </c>
      <c r="O46" s="57" t="str">
        <f t="shared" si="36"/>
        <v>Biomark IS1001</v>
      </c>
      <c r="P46" s="16">
        <f t="shared" si="37"/>
        <v>9</v>
      </c>
      <c r="Q46" s="17" t="str">
        <f t="shared" si="38"/>
        <v>5060 Hybrid TEG</v>
      </c>
      <c r="R46" s="16">
        <f t="shared" si="39"/>
        <v>4</v>
      </c>
      <c r="S46" s="16">
        <f t="shared" si="40"/>
        <v>4</v>
      </c>
      <c r="T46" s="19">
        <f t="shared" si="26"/>
        <v>2000</v>
      </c>
      <c r="U46" s="19">
        <f t="shared" si="27"/>
        <v>835</v>
      </c>
      <c r="V46" s="19">
        <f t="shared" si="28"/>
        <v>4450</v>
      </c>
      <c r="W46" s="19">
        <f t="shared" si="29"/>
        <v>18756</v>
      </c>
      <c r="X46" s="19">
        <f t="shared" si="30"/>
        <v>26415</v>
      </c>
      <c r="Y46" s="19">
        <f t="shared" si="31"/>
        <v>29303</v>
      </c>
      <c r="Z46" s="19">
        <f t="shared" si="41"/>
        <v>12500</v>
      </c>
      <c r="AA46" s="20">
        <f t="shared" si="20"/>
        <v>94259</v>
      </c>
      <c r="AB46" s="39">
        <f t="shared" si="42"/>
        <v>0.08</v>
      </c>
      <c r="AC46" s="20">
        <f t="shared" si="21"/>
        <v>7540.72</v>
      </c>
      <c r="AD46" s="21">
        <f t="shared" si="32"/>
        <v>364</v>
      </c>
      <c r="AE46" s="21">
        <f t="shared" si="33"/>
        <v>1440</v>
      </c>
      <c r="AF46" s="21">
        <f t="shared" si="34"/>
        <v>780.19</v>
      </c>
      <c r="AG46" s="21">
        <f t="shared" si="25"/>
        <v>1080</v>
      </c>
      <c r="AH46" s="22">
        <f t="shared" si="23"/>
        <v>3664.19</v>
      </c>
      <c r="AI46" s="23">
        <f t="shared" si="22"/>
        <v>11204.91</v>
      </c>
    </row>
    <row r="47" spans="1:35" x14ac:dyDescent="0.2">
      <c r="A47" s="16" t="s">
        <v>90</v>
      </c>
      <c r="B47" s="17" t="s">
        <v>91</v>
      </c>
      <c r="C47" s="18" t="b">
        <v>1</v>
      </c>
      <c r="D47" s="18" t="s">
        <v>98</v>
      </c>
      <c r="E47" s="16" t="s">
        <v>85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35"/>
        <v>Satellite Modem</v>
      </c>
      <c r="M47" s="17" t="str">
        <f>VLOOKUP(A47,om_table,22,FALSE)</f>
        <v>BioProbe3</v>
      </c>
      <c r="N47" s="17" t="str">
        <f>VLOOKUP(A47,om_table,20,FALSE)</f>
        <v>FS1001M</v>
      </c>
      <c r="O47" s="57" t="str">
        <f t="shared" si="36"/>
        <v>Biomark MUX</v>
      </c>
      <c r="P47" s="16">
        <f t="shared" si="37"/>
        <v>4</v>
      </c>
      <c r="Q47" s="17" t="str">
        <f t="shared" si="38"/>
        <v>5060 TEG</v>
      </c>
      <c r="R47" s="16">
        <f t="shared" si="39"/>
        <v>0</v>
      </c>
      <c r="S47" s="16">
        <f t="shared" si="40"/>
        <v>0</v>
      </c>
      <c r="T47" s="19">
        <f t="shared" si="26"/>
        <v>2000</v>
      </c>
      <c r="U47" s="19">
        <f t="shared" si="27"/>
        <v>835</v>
      </c>
      <c r="V47" s="19">
        <f t="shared" si="28"/>
        <v>8500</v>
      </c>
      <c r="W47" s="19">
        <f t="shared" si="29"/>
        <v>0</v>
      </c>
      <c r="X47" s="19">
        <f t="shared" si="30"/>
        <v>11740</v>
      </c>
      <c r="Y47" s="19">
        <f t="shared" si="31"/>
        <v>10479</v>
      </c>
      <c r="Z47" s="19">
        <f t="shared" si="41"/>
        <v>12500</v>
      </c>
      <c r="AA47" s="20">
        <f t="shared" si="20"/>
        <v>46054</v>
      </c>
      <c r="AB47" s="39">
        <f t="shared" si="42"/>
        <v>0.1</v>
      </c>
      <c r="AC47" s="20">
        <f t="shared" si="21"/>
        <v>4605.4000000000005</v>
      </c>
      <c r="AD47" s="21">
        <f t="shared" si="32"/>
        <v>0</v>
      </c>
      <c r="AE47" s="21">
        <f t="shared" si="33"/>
        <v>1440</v>
      </c>
      <c r="AF47" s="21">
        <f t="shared" si="34"/>
        <v>1560.38</v>
      </c>
      <c r="AG47" s="21">
        <f t="shared" si="25"/>
        <v>1080</v>
      </c>
      <c r="AH47" s="22">
        <f t="shared" si="23"/>
        <v>4080.38</v>
      </c>
      <c r="AI47" s="23">
        <f t="shared" si="22"/>
        <v>8685.7800000000007</v>
      </c>
    </row>
    <row r="48" spans="1:35" x14ac:dyDescent="0.2">
      <c r="A48" s="16" t="s">
        <v>83</v>
      </c>
      <c r="B48" s="17" t="s">
        <v>84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35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36"/>
        <v>Biomark MUX</v>
      </c>
      <c r="P48" s="16">
        <f t="shared" si="37"/>
        <v>2</v>
      </c>
      <c r="Q48" s="17" t="str">
        <f t="shared" si="38"/>
        <v>5060 TEG</v>
      </c>
      <c r="R48" s="16">
        <f t="shared" si="39"/>
        <v>0</v>
      </c>
      <c r="S48" s="16">
        <f t="shared" si="40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5870</v>
      </c>
      <c r="Y48" s="19">
        <f t="shared" si="31"/>
        <v>10479</v>
      </c>
      <c r="Z48" s="19">
        <f t="shared" si="41"/>
        <v>5000</v>
      </c>
      <c r="AA48" s="20">
        <f t="shared" si="20"/>
        <v>32684</v>
      </c>
      <c r="AB48" s="39">
        <f t="shared" si="42"/>
        <v>0.1</v>
      </c>
      <c r="AC48" s="20">
        <f t="shared" si="21"/>
        <v>3268.4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7348.7800000000007</v>
      </c>
    </row>
    <row r="49" spans="1:35" x14ac:dyDescent="0.2">
      <c r="A49" s="16" t="s">
        <v>88</v>
      </c>
      <c r="B49" s="17" t="s">
        <v>89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>VLOOKUP(A49,om_table,23,FALSE)</f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>VLOOKUP(A49,om_table,21,FALSE)</f>
        <v>Biomark MUX</v>
      </c>
      <c r="P49" s="16">
        <f>VLOOKUP(A49,om_table,30,FALSE)</f>
        <v>5</v>
      </c>
      <c r="Q49" s="17" t="str">
        <f>VLOOKUP(A49,om_table,9,FALSE)</f>
        <v>5060 Hybrid TEG</v>
      </c>
      <c r="R49" s="16">
        <f>VLOOKUP(A49,om_table,16,FALSE)</f>
        <v>6</v>
      </c>
      <c r="S49" s="16">
        <f>VLOOKUP(A49,om_table,17,FALSE)</f>
        <v>4</v>
      </c>
      <c r="T49" s="19">
        <f>VLOOKUP(L49,communication,2,FALSE)</f>
        <v>2000</v>
      </c>
      <c r="U49" s="19">
        <f>IFERROR(VLOOKUP(M49,datalogger,2,FALSE),0)</f>
        <v>835</v>
      </c>
      <c r="V49" s="19">
        <f>IFERROR(VLOOKUP(N49,transceiver,2,FALSE),0)</f>
        <v>8500</v>
      </c>
      <c r="W49" s="19">
        <f>VLOOKUP(O49,reader,2,FALSE)*P49</f>
        <v>0</v>
      </c>
      <c r="X49" s="19">
        <f>P49*antenna_cost</f>
        <v>14675</v>
      </c>
      <c r="Y49" s="19">
        <f>_xlfn.IFS(Q49="Grid Power", 2550, Q49="Grid Power PLC", 3940, Q49="5060 Hybrid TEG", 27903, Q49="5060 TEG", 10479, Q49="5120 TEG", 13874, Q49="Solar", solar_array_cost*S49)+(R49*battery_cost)</f>
        <v>30003</v>
      </c>
      <c r="Z49" s="19">
        <f>VLOOKUP(A49,om_table,40,FALSE)</f>
        <v>12500</v>
      </c>
      <c r="AA49" s="20">
        <f>SUM(T49:Z49)</f>
        <v>68513</v>
      </c>
      <c r="AB49" s="39">
        <f>VLOOKUP(A49,om_table,48,FALSE)</f>
        <v>0.1</v>
      </c>
      <c r="AC49" s="20">
        <f>AA49*AB49</f>
        <v>6851.3</v>
      </c>
      <c r="AD49" s="21">
        <f>(R49*battery_replacement)/4</f>
        <v>546</v>
      </c>
      <c r="AE49" s="21">
        <f>VLOOKUP(L49,communication,3,FALSE)</f>
        <v>1440</v>
      </c>
      <c r="AF49" s="21">
        <f>VLOOKUP(Q49,power,3,FALSE)</f>
        <v>780.19</v>
      </c>
      <c r="AG49" s="21">
        <f t="shared" si="18"/>
        <v>1080</v>
      </c>
      <c r="AH49" s="22">
        <f>SUM(AD49:AG49)</f>
        <v>3846.19</v>
      </c>
      <c r="AI49" s="23">
        <f>AH49+AC49</f>
        <v>10697.49</v>
      </c>
    </row>
    <row r="50" spans="1:35" x14ac:dyDescent="0.2">
      <c r="C50" s="18"/>
      <c r="D50" s="18"/>
      <c r="F50" s="18"/>
      <c r="G50" s="18"/>
      <c r="J50" s="18"/>
      <c r="K50" s="29"/>
    </row>
    <row r="52" spans="1:35" ht="10.5" x14ac:dyDescent="0.25">
      <c r="S52" s="40" t="s">
        <v>354</v>
      </c>
      <c r="T52" s="41" t="s">
        <v>147</v>
      </c>
      <c r="U52" s="41" t="s">
        <v>148</v>
      </c>
      <c r="V52" s="41" t="s">
        <v>149</v>
      </c>
      <c r="W52" s="41" t="s">
        <v>150</v>
      </c>
      <c r="X52" s="41" t="s">
        <v>151</v>
      </c>
      <c r="Y52" s="41" t="s">
        <v>152</v>
      </c>
      <c r="Z52" s="41" t="s">
        <v>153</v>
      </c>
      <c r="AA52" s="42" t="s">
        <v>339</v>
      </c>
      <c r="AB52" s="42" t="s">
        <v>159</v>
      </c>
      <c r="AC52" s="42" t="s">
        <v>358</v>
      </c>
      <c r="AD52" s="43" t="s">
        <v>155</v>
      </c>
      <c r="AE52" s="44" t="s">
        <v>156</v>
      </c>
      <c r="AF52" s="44" t="s">
        <v>157</v>
      </c>
      <c r="AG52" s="44" t="s">
        <v>158</v>
      </c>
      <c r="AH52" s="45" t="s">
        <v>349</v>
      </c>
      <c r="AI52" s="46" t="s">
        <v>345</v>
      </c>
    </row>
    <row r="53" spans="1:35" x14ac:dyDescent="0.2">
      <c r="S53" s="32" t="s">
        <v>99</v>
      </c>
      <c r="T53" s="19">
        <f>SUMIFS(T$2:T$49,$D$2:$D$49,$S53,T$2:T$49,"&lt;&gt;#N/A")</f>
        <v>39194</v>
      </c>
      <c r="U53" s="19">
        <f>SUMIFS(U$2:U$49,$D$2:$D$49,$S53,U$2:U$49,"&lt;&gt;#N/A")</f>
        <v>18370</v>
      </c>
      <c r="V53" s="19">
        <f t="shared" ref="V53:Z53" si="43">SUMIFS(V$2:V$49,$D$2:$D$49,$S53,V$2:V$49,"&lt;&gt;#N/A")</f>
        <v>163900</v>
      </c>
      <c r="W53" s="19">
        <f t="shared" si="43"/>
        <v>206316</v>
      </c>
      <c r="X53" s="19">
        <f t="shared" si="43"/>
        <v>484275</v>
      </c>
      <c r="Y53" s="19">
        <f t="shared" si="43"/>
        <v>300581</v>
      </c>
      <c r="Z53" s="19">
        <f t="shared" si="43"/>
        <v>312500</v>
      </c>
      <c r="AA53" s="35">
        <f>SUMIFS(AA$2:AA$49,$D$2:$D$49,$S53,AA$2:AA$49,"&lt;&gt;#N/A")</f>
        <v>1525136</v>
      </c>
      <c r="AB53" s="35"/>
      <c r="AC53" s="35">
        <f>SUMIFS(AC$2:AC$49,$D$2:$D$49,$S53,AC$2:AC$49,"&lt;&gt;#N/A")</f>
        <v>135396.36000000002</v>
      </c>
      <c r="AD53" s="21">
        <f>SUMIFS(AD$2:AD$49,$D$2:$D$49,$S53,AD$2:AD$49,"&lt;&gt;#N/A")</f>
        <v>9282</v>
      </c>
      <c r="AE53" s="21">
        <f>SUMIFS(AE$2:AE$49,$D$2:$D$49,$S53,AE$2:AE$49,"&lt;&gt;#N/A")</f>
        <v>26580</v>
      </c>
      <c r="AF53" s="21">
        <f t="shared" ref="AF53:AG53" si="44">SUMIFS(AF$2:AF$49,$D$2:$D$49,$S53,AF$2:AF$49,"&lt;&gt;#N/A")</f>
        <v>22505.100000000002</v>
      </c>
      <c r="AG53" s="21">
        <f t="shared" si="44"/>
        <v>27000</v>
      </c>
      <c r="AH53" s="36">
        <f>SUMIFS(AH$2:AH$49,$D$2:$D$49,$S53,AH$2:AH$49,"&lt;&gt;#N/A")</f>
        <v>85367.1</v>
      </c>
      <c r="AI53" s="37">
        <f>SUMIFS(AI$2:AI$49,$D$2:$D$49,$S53,AI$2:AI$49,"&lt;&gt;#N/A")</f>
        <v>220763.45999999996</v>
      </c>
    </row>
    <row r="54" spans="1:35" x14ac:dyDescent="0.2">
      <c r="S54" s="32" t="s">
        <v>94</v>
      </c>
      <c r="T54" s="19">
        <f>SUMIFS(T$2:T$49,$D$2:$D$49,$S54,T$2:T$49,"&lt;&gt;#N/A")</f>
        <v>13142</v>
      </c>
      <c r="U54" s="19">
        <f t="shared" ref="U54:Z56" si="45">SUMIFS(U$2:U$49,$D$2:$D$49,$S54,U$2:U$49,"&lt;&gt;#N/A")</f>
        <v>7515</v>
      </c>
      <c r="V54" s="19">
        <f t="shared" si="45"/>
        <v>44100</v>
      </c>
      <c r="W54" s="19">
        <f t="shared" si="45"/>
        <v>156300</v>
      </c>
      <c r="X54" s="19">
        <f t="shared" si="45"/>
        <v>231865</v>
      </c>
      <c r="Y54" s="19">
        <f t="shared" si="45"/>
        <v>69606</v>
      </c>
      <c r="Z54" s="19">
        <f t="shared" si="45"/>
        <v>112500</v>
      </c>
      <c r="AA54" s="35">
        <f>SUMIFS(AA$2:AA$49,$D$2:$D$49,$S54,AA$2:AA$49,"&lt;&gt;#N/A")</f>
        <v>635028</v>
      </c>
      <c r="AB54" s="35"/>
      <c r="AC54" s="35">
        <f t="shared" ref="AC54:AI56" si="46">SUMIFS(AC$2:AC$49,$D$2:$D$49,$S54,AC$2:AC$49,"&lt;&gt;#N/A")</f>
        <v>51532.739999999991</v>
      </c>
      <c r="AD54" s="21">
        <f t="shared" si="46"/>
        <v>2912</v>
      </c>
      <c r="AE54" s="21">
        <f>SUMIFS(AE$2:AE$49,$D$2:$D$49,$S54,AE$2:AE$49,"&lt;&gt;#N/A")</f>
        <v>8940</v>
      </c>
      <c r="AF54" s="21">
        <f t="shared" si="46"/>
        <v>6841.51</v>
      </c>
      <c r="AG54" s="21">
        <f t="shared" si="46"/>
        <v>9720</v>
      </c>
      <c r="AH54" s="36">
        <f t="shared" si="46"/>
        <v>28413.510000000002</v>
      </c>
      <c r="AI54" s="37">
        <f t="shared" si="46"/>
        <v>79946.25</v>
      </c>
    </row>
    <row r="55" spans="1:35" x14ac:dyDescent="0.2">
      <c r="S55" s="32" t="s">
        <v>97</v>
      </c>
      <c r="T55" s="19">
        <f>SUMIFS(T$2:T$49,$D$2:$D$49,$S55,T$2:T$49,"&lt;&gt;#N/A")</f>
        <v>6742</v>
      </c>
      <c r="U55" s="19">
        <f t="shared" si="45"/>
        <v>3340</v>
      </c>
      <c r="V55" s="19">
        <f t="shared" si="45"/>
        <v>17800</v>
      </c>
      <c r="W55" s="19">
        <f t="shared" si="45"/>
        <v>83360</v>
      </c>
      <c r="X55" s="19">
        <f t="shared" si="45"/>
        <v>117400</v>
      </c>
      <c r="Y55" s="19">
        <f t="shared" si="45"/>
        <v>63801</v>
      </c>
      <c r="Z55" s="19">
        <f t="shared" si="45"/>
        <v>50000</v>
      </c>
      <c r="AA55" s="35">
        <f>SUMIFS(AA$2:AA$49,$D$2:$D$49,$S55,AA$2:AA$49,"&lt;&gt;#N/A")</f>
        <v>342443</v>
      </c>
      <c r="AB55" s="35"/>
      <c r="AC55" s="35">
        <f t="shared" si="46"/>
        <v>27395.439999999999</v>
      </c>
      <c r="AD55" s="21">
        <f t="shared" si="46"/>
        <v>1456</v>
      </c>
      <c r="AE55" s="21">
        <f>SUMIFS(AE$2:AE$49,$D$2:$D$49,$S55,AE$2:AE$49,"&lt;&gt;#N/A")</f>
        <v>4620</v>
      </c>
      <c r="AF55" s="21">
        <f t="shared" si="46"/>
        <v>7141.6900000000005</v>
      </c>
      <c r="AG55" s="21">
        <f t="shared" si="46"/>
        <v>4320</v>
      </c>
      <c r="AH55" s="36">
        <f t="shared" si="46"/>
        <v>17537.690000000002</v>
      </c>
      <c r="AI55" s="37">
        <f t="shared" si="46"/>
        <v>44933.13</v>
      </c>
    </row>
    <row r="56" spans="1:35" x14ac:dyDescent="0.2">
      <c r="S56" s="34" t="s">
        <v>98</v>
      </c>
      <c r="T56" s="19">
        <f>SUMIFS(T$2:T$49,$D$2:$D$49,$S56,T$2:T$49,"&lt;&gt;#N/A")</f>
        <v>11710</v>
      </c>
      <c r="U56" s="19">
        <f t="shared" si="45"/>
        <v>5845</v>
      </c>
      <c r="V56" s="19">
        <f t="shared" si="45"/>
        <v>38450</v>
      </c>
      <c r="W56" s="19">
        <f t="shared" si="45"/>
        <v>35428</v>
      </c>
      <c r="X56" s="19">
        <f t="shared" si="45"/>
        <v>99790</v>
      </c>
      <c r="Y56" s="19">
        <f t="shared" si="45"/>
        <v>117262</v>
      </c>
      <c r="Z56" s="19">
        <f t="shared" si="45"/>
        <v>75000</v>
      </c>
      <c r="AA56" s="35">
        <f>SUMIFS(AA$2:AA$49,$D$2:$D$49,$S56,AA$2:AA$49,"&lt;&gt;#N/A")</f>
        <v>383485</v>
      </c>
      <c r="AB56" s="35"/>
      <c r="AC56" s="35">
        <f t="shared" si="46"/>
        <v>34506.560000000005</v>
      </c>
      <c r="AD56" s="21">
        <f t="shared" si="46"/>
        <v>2912</v>
      </c>
      <c r="AE56" s="21">
        <f>SUMIFS(AE$2:AE$49,$D$2:$D$49,$S56,AE$2:AE$49,"&lt;&gt;#N/A")</f>
        <v>7260</v>
      </c>
      <c r="AF56" s="21">
        <f t="shared" si="46"/>
        <v>5041.1400000000012</v>
      </c>
      <c r="AG56" s="21">
        <f t="shared" si="46"/>
        <v>9720</v>
      </c>
      <c r="AH56" s="36">
        <f t="shared" si="46"/>
        <v>24933.14</v>
      </c>
      <c r="AI56" s="37">
        <f t="shared" si="46"/>
        <v>59439.7</v>
      </c>
    </row>
    <row r="58" spans="1:35" ht="10.5" x14ac:dyDescent="0.25">
      <c r="S58" s="33" t="s">
        <v>355</v>
      </c>
      <c r="T58" s="47">
        <f>T53+T56</f>
        <v>50904</v>
      </c>
      <c r="U58" s="47">
        <f t="shared" ref="U58:AG58" si="47">U53+U56</f>
        <v>24215</v>
      </c>
      <c r="V58" s="47">
        <f t="shared" si="47"/>
        <v>202350</v>
      </c>
      <c r="W58" s="47">
        <f t="shared" si="47"/>
        <v>241744</v>
      </c>
      <c r="X58" s="47">
        <f t="shared" si="47"/>
        <v>584065</v>
      </c>
      <c r="Y58" s="47">
        <f t="shared" si="47"/>
        <v>417843</v>
      </c>
      <c r="Z58" s="47">
        <f t="shared" si="47"/>
        <v>387500</v>
      </c>
      <c r="AA58" s="48">
        <f>AA53+AA56</f>
        <v>1908621</v>
      </c>
      <c r="AB58" s="48"/>
      <c r="AC58" s="48">
        <f>AC53+AC56</f>
        <v>169902.92</v>
      </c>
      <c r="AD58" s="49">
        <f>AD53+AD56</f>
        <v>12194</v>
      </c>
      <c r="AE58" s="49">
        <f>AE53+AE56</f>
        <v>33840</v>
      </c>
      <c r="AF58" s="49">
        <f t="shared" si="47"/>
        <v>27546.240000000005</v>
      </c>
      <c r="AG58" s="49">
        <f t="shared" si="47"/>
        <v>36720</v>
      </c>
      <c r="AH58" s="50">
        <f>AH53+AH56</f>
        <v>110300.24</v>
      </c>
      <c r="AI58" s="51">
        <f>AI53+AI56</f>
        <v>280203.15999999997</v>
      </c>
    </row>
    <row r="59" spans="1:35" ht="10.5" x14ac:dyDescent="0.25">
      <c r="S59" s="33" t="s">
        <v>356</v>
      </c>
      <c r="T59" s="47">
        <f>SUM(T53:T55)</f>
        <v>59078</v>
      </c>
      <c r="U59" s="47">
        <f t="shared" ref="U59:AG59" si="48">SUM(U53:U55)</f>
        <v>29225</v>
      </c>
      <c r="V59" s="47">
        <f t="shared" si="48"/>
        <v>225800</v>
      </c>
      <c r="W59" s="47">
        <f t="shared" si="48"/>
        <v>445976</v>
      </c>
      <c r="X59" s="47">
        <f t="shared" si="48"/>
        <v>833540</v>
      </c>
      <c r="Y59" s="47">
        <f t="shared" si="48"/>
        <v>433988</v>
      </c>
      <c r="Z59" s="47">
        <f t="shared" si="48"/>
        <v>475000</v>
      </c>
      <c r="AA59" s="48">
        <f>SUM(AA53:AA55)</f>
        <v>2502607</v>
      </c>
      <c r="AB59" s="48"/>
      <c r="AC59" s="48">
        <f>SUM(AC53:AC55)</f>
        <v>214324.54</v>
      </c>
      <c r="AD59" s="49">
        <f>SUM(AD53:AD55)</f>
        <v>13650</v>
      </c>
      <c r="AE59" s="49">
        <f t="shared" si="48"/>
        <v>40140</v>
      </c>
      <c r="AF59" s="49">
        <f t="shared" si="48"/>
        <v>36488.300000000003</v>
      </c>
      <c r="AG59" s="49">
        <f t="shared" si="48"/>
        <v>41040</v>
      </c>
      <c r="AH59" s="50">
        <f>SUM(AH53:AH55)</f>
        <v>131318.30000000002</v>
      </c>
      <c r="AI59" s="51">
        <f>SUM(AI53:AI55)</f>
        <v>345642.83999999997</v>
      </c>
    </row>
    <row r="60" spans="1:35" ht="10.5" x14ac:dyDescent="0.25">
      <c r="S60" s="33" t="s">
        <v>357</v>
      </c>
      <c r="T60" s="47">
        <f>T59-T58</f>
        <v>8174</v>
      </c>
      <c r="U60" s="47">
        <f t="shared" ref="U60:AG60" si="49">U59-U58</f>
        <v>5010</v>
      </c>
      <c r="V60" s="47">
        <f t="shared" si="49"/>
        <v>23450</v>
      </c>
      <c r="W60" s="47">
        <f t="shared" si="49"/>
        <v>204232</v>
      </c>
      <c r="X60" s="47">
        <f t="shared" si="49"/>
        <v>249475</v>
      </c>
      <c r="Y60" s="47">
        <f t="shared" si="49"/>
        <v>16145</v>
      </c>
      <c r="Z60" s="47">
        <f t="shared" si="49"/>
        <v>87500</v>
      </c>
      <c r="AA60" s="48">
        <f>AA59-AA58</f>
        <v>593986</v>
      </c>
      <c r="AB60" s="48"/>
      <c r="AC60" s="48">
        <f>AC59-AC58</f>
        <v>44421.619999999995</v>
      </c>
      <c r="AD60" s="49">
        <f>AD59-AD58</f>
        <v>1456</v>
      </c>
      <c r="AE60" s="49">
        <f t="shared" si="49"/>
        <v>6300</v>
      </c>
      <c r="AF60" s="49">
        <f t="shared" si="49"/>
        <v>8942.0599999999977</v>
      </c>
      <c r="AG60" s="49">
        <f t="shared" si="49"/>
        <v>4320</v>
      </c>
      <c r="AH60" s="50">
        <f>AH59-AH58</f>
        <v>21018.060000000012</v>
      </c>
      <c r="AI60" s="51">
        <f>AI59-AI58</f>
        <v>65439.679999999993</v>
      </c>
    </row>
    <row r="61" spans="1:35" ht="10.5" x14ac:dyDescent="0.25">
      <c r="S61" s="33" t="s">
        <v>359</v>
      </c>
      <c r="T61" s="52">
        <f>T60/T58</f>
        <v>0.16057677196291056</v>
      </c>
      <c r="U61" s="52">
        <f t="shared" ref="U61:AG61" si="50">U60/U58</f>
        <v>0.20689655172413793</v>
      </c>
      <c r="V61" s="52">
        <f t="shared" si="50"/>
        <v>0.11588831233012108</v>
      </c>
      <c r="W61" s="52">
        <f t="shared" si="50"/>
        <v>0.84482758620689657</v>
      </c>
      <c r="X61" s="52">
        <f t="shared" si="50"/>
        <v>0.42713567839195982</v>
      </c>
      <c r="Y61" s="52">
        <f t="shared" si="50"/>
        <v>3.863891461625539E-2</v>
      </c>
      <c r="Z61" s="52">
        <f t="shared" si="50"/>
        <v>0.22580645161290322</v>
      </c>
      <c r="AA61" s="53">
        <f>AA60/AA58</f>
        <v>0.31121212645150609</v>
      </c>
      <c r="AB61" s="53"/>
      <c r="AC61" s="53">
        <f>AC60/AC58</f>
        <v>0.26145295207404318</v>
      </c>
      <c r="AD61" s="54">
        <f>AD60/AD58</f>
        <v>0.11940298507462686</v>
      </c>
      <c r="AE61" s="54">
        <f t="shared" si="50"/>
        <v>0.18617021276595744</v>
      </c>
      <c r="AF61" s="54">
        <f t="shared" si="50"/>
        <v>0.32461998443344703</v>
      </c>
      <c r="AG61" s="54">
        <f t="shared" si="50"/>
        <v>0.11764705882352941</v>
      </c>
      <c r="AH61" s="55">
        <f>AH60/AH58</f>
        <v>0.19055316652076199</v>
      </c>
      <c r="AI61" s="56">
        <f>AI60/AI58</f>
        <v>0.23354369022819013</v>
      </c>
    </row>
  </sheetData>
  <sortState xmlns:xlrd2="http://schemas.microsoft.com/office/spreadsheetml/2017/richdata2" ref="A15:K50">
    <sortCondition ref="D28:D50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RowHeight="10.5" x14ac:dyDescent="0.25"/>
  <cols>
    <col min="1" max="1" width="6.90625" style="71" customWidth="1"/>
    <col min="2" max="2" width="24.08984375" style="71" bestFit="1" customWidth="1"/>
    <col min="3" max="3" width="11.26953125" style="71" bestFit="1" customWidth="1"/>
    <col min="4" max="4" width="17.26953125" style="71" bestFit="1" customWidth="1"/>
    <col min="5" max="5" width="11.453125" style="71" bestFit="1" customWidth="1"/>
    <col min="6" max="6" width="17.54296875" style="71" bestFit="1" customWidth="1"/>
    <col min="7" max="7" width="7.1796875" style="71" bestFit="1" customWidth="1"/>
    <col min="8" max="8" width="8.36328125" style="71" bestFit="1" customWidth="1"/>
    <col min="9" max="9" width="11.26953125" style="62" bestFit="1" customWidth="1"/>
    <col min="10" max="10" width="15.54296875" style="62" bestFit="1" customWidth="1"/>
    <col min="11" max="11" width="13.453125" style="62" bestFit="1" customWidth="1"/>
    <col min="12" max="12" width="18.6328125" style="62" bestFit="1" customWidth="1"/>
    <col min="13" max="13" width="11" style="62" bestFit="1" customWidth="1"/>
    <col min="14" max="14" width="12.08984375" style="62" bestFit="1" customWidth="1"/>
    <col min="15" max="15" width="11" style="62" bestFit="1" customWidth="1"/>
    <col min="16" max="16" width="7" style="62" bestFit="1" customWidth="1"/>
    <col min="17" max="17" width="8.90625" style="62" bestFit="1" customWidth="1"/>
    <col min="18" max="18" width="11.1796875" style="62" bestFit="1" customWidth="1"/>
    <col min="19" max="19" width="17" style="62" bestFit="1" customWidth="1"/>
    <col min="20" max="20" width="8.453125" style="62" bestFit="1" customWidth="1"/>
    <col min="21" max="21" width="10.90625" style="62" bestFit="1" customWidth="1"/>
    <col min="22" max="22" width="11.26953125" style="62" bestFit="1" customWidth="1"/>
    <col min="23" max="23" width="14.54296875" style="62" bestFit="1" customWidth="1"/>
    <col min="24" max="24" width="9.26953125" style="62" bestFit="1" customWidth="1"/>
    <col min="25" max="25" width="9.36328125" style="62" bestFit="1" customWidth="1"/>
    <col min="26" max="26" width="13.453125" style="62" bestFit="1" customWidth="1"/>
    <col min="27" max="27" width="6.54296875" style="62" bestFit="1" customWidth="1"/>
    <col min="28" max="28" width="22.1796875" style="62" bestFit="1" customWidth="1"/>
    <col min="29" max="29" width="15.36328125" style="62" bestFit="1" customWidth="1"/>
    <col min="30" max="30" width="7.1796875" style="62" bestFit="1" customWidth="1"/>
    <col min="31" max="31" width="13.1796875" style="62" bestFit="1" customWidth="1"/>
    <col min="32" max="32" width="13.08984375" style="62" bestFit="1" customWidth="1"/>
    <col min="33" max="33" width="6.90625" style="62" bestFit="1" customWidth="1"/>
    <col min="34" max="34" width="9.08984375" style="62" bestFit="1" customWidth="1"/>
    <col min="35" max="35" width="11.26953125" style="62" bestFit="1" customWidth="1"/>
    <col min="36" max="36" width="11.6328125" style="62" bestFit="1" customWidth="1"/>
    <col min="37" max="37" width="9.36328125" style="62" bestFit="1" customWidth="1"/>
    <col min="38" max="38" width="9.6328125" style="62" bestFit="1" customWidth="1"/>
    <col min="39" max="39" width="13" style="62" bestFit="1" customWidth="1"/>
    <col min="40" max="40" width="13.7265625" style="62" bestFit="1" customWidth="1"/>
    <col min="41" max="41" width="10.36328125" style="62" bestFit="1" customWidth="1"/>
    <col min="42" max="42" width="6.90625" style="62" bestFit="1" customWidth="1"/>
    <col min="43" max="43" width="14.81640625" style="62" bestFit="1" customWidth="1"/>
    <col min="44" max="44" width="11" style="62" bestFit="1" customWidth="1"/>
    <col min="45" max="45" width="8" style="62" bestFit="1" customWidth="1"/>
    <col min="46" max="46" width="13.1796875" style="62" bestFit="1" customWidth="1"/>
    <col min="47" max="47" width="8" style="62" bestFit="1" customWidth="1"/>
    <col min="48" max="48" width="7.54296875" style="62" bestFit="1" customWidth="1"/>
    <col min="49" max="49" width="8.81640625" style="62" bestFit="1" customWidth="1"/>
    <col min="50" max="16384" width="8.7265625" style="62"/>
  </cols>
  <sheetData>
    <row r="1" spans="1:49" x14ac:dyDescent="0.25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5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5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5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5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5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5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5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5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5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5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5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5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5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5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5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5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5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5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5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5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5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5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5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5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5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5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5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5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5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5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5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5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5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5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5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5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5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5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5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5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5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5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5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5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5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5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style="72" bestFit="1" customWidth="1"/>
    <col min="4" max="4" width="3.36328125" style="72" customWidth="1"/>
    <col min="5" max="5" width="19.08984375" style="72" bestFit="1" customWidth="1"/>
    <col min="6" max="7" width="18.54296875" style="73" bestFit="1" customWidth="1"/>
  </cols>
  <sheetData>
    <row r="1" spans="2:7" ht="15" thickBot="1" x14ac:dyDescent="0.4"/>
    <row r="2" spans="2:7" x14ac:dyDescent="0.35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5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5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5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4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4">
      <c r="B7" s="5" t="s">
        <v>348</v>
      </c>
      <c r="C7" s="3">
        <v>90</v>
      </c>
      <c r="E7" s="79"/>
      <c r="F7" s="77"/>
    </row>
    <row r="8" spans="2:7" x14ac:dyDescent="0.35">
      <c r="E8" s="75" t="s">
        <v>137</v>
      </c>
      <c r="F8" s="6" t="s">
        <v>148</v>
      </c>
    </row>
    <row r="9" spans="2:7" x14ac:dyDescent="0.35">
      <c r="D9" s="73"/>
      <c r="E9" s="7" t="s">
        <v>333</v>
      </c>
      <c r="F9" s="2">
        <v>3121</v>
      </c>
    </row>
    <row r="10" spans="2:7" x14ac:dyDescent="0.35">
      <c r="D10" s="73"/>
      <c r="E10" s="7" t="s">
        <v>334</v>
      </c>
      <c r="F10" s="2">
        <v>0</v>
      </c>
    </row>
    <row r="11" spans="2:7" x14ac:dyDescent="0.35">
      <c r="D11" s="73"/>
      <c r="E11" s="7" t="s">
        <v>360</v>
      </c>
      <c r="F11" s="2">
        <v>525</v>
      </c>
    </row>
    <row r="12" spans="2:7" x14ac:dyDescent="0.35">
      <c r="D12" s="73"/>
      <c r="E12" s="7" t="s">
        <v>335</v>
      </c>
      <c r="F12" s="2">
        <v>2500</v>
      </c>
    </row>
    <row r="13" spans="2:7" ht="15" thickBot="1" x14ac:dyDescent="0.4">
      <c r="E13" s="5" t="s">
        <v>174</v>
      </c>
      <c r="F13" s="3">
        <v>835</v>
      </c>
    </row>
    <row r="14" spans="2:7" ht="15" thickBot="1" x14ac:dyDescent="0.4"/>
    <row r="15" spans="2:7" x14ac:dyDescent="0.35">
      <c r="E15" s="75" t="s">
        <v>136</v>
      </c>
      <c r="F15" s="74" t="s">
        <v>150</v>
      </c>
    </row>
    <row r="16" spans="2:7" x14ac:dyDescent="0.35">
      <c r="E16" s="7" t="s">
        <v>173</v>
      </c>
      <c r="F16" s="2">
        <v>0</v>
      </c>
    </row>
    <row r="17" spans="5:7" x14ac:dyDescent="0.35">
      <c r="E17" s="7" t="s">
        <v>192</v>
      </c>
      <c r="F17" s="2">
        <v>2084</v>
      </c>
    </row>
    <row r="18" spans="5:7" ht="15" thickBot="1" x14ac:dyDescent="0.4">
      <c r="E18" s="5" t="s">
        <v>340</v>
      </c>
      <c r="F18" s="3">
        <v>450</v>
      </c>
    </row>
    <row r="19" spans="5:7" ht="15" thickBot="1" x14ac:dyDescent="0.4"/>
    <row r="20" spans="5:7" x14ac:dyDescent="0.35">
      <c r="E20" s="75" t="s">
        <v>336</v>
      </c>
      <c r="F20" s="6" t="s">
        <v>149</v>
      </c>
    </row>
    <row r="21" spans="5:7" x14ac:dyDescent="0.35">
      <c r="E21" s="7" t="s">
        <v>172</v>
      </c>
      <c r="F21" s="2">
        <v>8500</v>
      </c>
    </row>
    <row r="22" spans="5:7" x14ac:dyDescent="0.35">
      <c r="E22" s="7" t="s">
        <v>191</v>
      </c>
      <c r="F22" s="2">
        <v>4450</v>
      </c>
    </row>
    <row r="23" spans="5:7" x14ac:dyDescent="0.35">
      <c r="E23" s="7" t="s">
        <v>337</v>
      </c>
      <c r="F23" s="2">
        <v>2500</v>
      </c>
    </row>
    <row r="24" spans="5:7" ht="15" thickBot="1" x14ac:dyDescent="0.4">
      <c r="E24" s="5" t="s">
        <v>338</v>
      </c>
      <c r="F24" s="3">
        <v>2500</v>
      </c>
    </row>
    <row r="25" spans="5:7" ht="15" thickBot="1" x14ac:dyDescent="0.4"/>
    <row r="26" spans="5:7" x14ac:dyDescent="0.35">
      <c r="E26" s="80" t="s">
        <v>346</v>
      </c>
      <c r="F26" s="81" t="s">
        <v>361</v>
      </c>
      <c r="G26" s="82" t="s">
        <v>347</v>
      </c>
    </row>
    <row r="27" spans="5:7" x14ac:dyDescent="0.35">
      <c r="E27" s="7" t="s">
        <v>165</v>
      </c>
      <c r="F27" s="77">
        <v>2550</v>
      </c>
      <c r="G27" s="2">
        <v>120</v>
      </c>
    </row>
    <row r="28" spans="5:7" x14ac:dyDescent="0.35">
      <c r="E28" s="7" t="s">
        <v>320</v>
      </c>
      <c r="F28" s="77">
        <v>3940</v>
      </c>
      <c r="G28" s="2">
        <v>120</v>
      </c>
    </row>
    <row r="29" spans="5:7" x14ac:dyDescent="0.35">
      <c r="E29" s="7" t="s">
        <v>183</v>
      </c>
      <c r="F29" s="77">
        <v>27903</v>
      </c>
      <c r="G29" s="2">
        <v>780.19</v>
      </c>
    </row>
    <row r="30" spans="5:7" x14ac:dyDescent="0.35">
      <c r="E30" s="7" t="s">
        <v>207</v>
      </c>
      <c r="F30" s="77">
        <v>10479</v>
      </c>
      <c r="G30" s="2">
        <v>1560.38</v>
      </c>
    </row>
    <row r="31" spans="5:7" x14ac:dyDescent="0.35">
      <c r="E31" s="7" t="s">
        <v>230</v>
      </c>
      <c r="F31" s="77">
        <v>13874</v>
      </c>
      <c r="G31" s="2">
        <v>3120.75</v>
      </c>
    </row>
    <row r="32" spans="5:7" ht="15" thickBot="1" x14ac:dyDescent="0.4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2024-12-19T18:56:29Z</dcterms:modified>
</cp:coreProperties>
</file>