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F5D5FD2D-B656-49CE-B054-0D83AF1F29A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8" i="1" l="1"/>
  <c r="AG54" i="1"/>
  <c r="AG55" i="1"/>
  <c r="AG59" i="1" s="1"/>
  <c r="AG60" i="1" s="1"/>
  <c r="AG61" i="1" s="1"/>
  <c r="AG56" i="1"/>
  <c r="AG53" i="1"/>
  <c r="AF58" i="1"/>
  <c r="AF54" i="1"/>
  <c r="AF55" i="1"/>
  <c r="AF59" i="1" s="1"/>
  <c r="AF60" i="1" s="1"/>
  <c r="AF61" i="1" s="1"/>
  <c r="AF56" i="1"/>
  <c r="AF53" i="1"/>
  <c r="AC58" i="1"/>
  <c r="AC56" i="1"/>
  <c r="AC55" i="1"/>
  <c r="AC54" i="1"/>
  <c r="AC53" i="1"/>
  <c r="AB58" i="1"/>
  <c r="AB53" i="1"/>
  <c r="AD53" i="1"/>
  <c r="AE53" i="1"/>
  <c r="AD54" i="1"/>
  <c r="AE54" i="1"/>
  <c r="AD55" i="1"/>
  <c r="AE55" i="1"/>
  <c r="AD56" i="1"/>
  <c r="AE56" i="1"/>
  <c r="AB54" i="1"/>
  <c r="AB55" i="1"/>
  <c r="AB59" i="1" s="1"/>
  <c r="AB60" i="1" s="1"/>
  <c r="AB61" i="1" s="1"/>
  <c r="AB56" i="1"/>
  <c r="AA58" i="1"/>
  <c r="AA54" i="1"/>
  <c r="AA55" i="1"/>
  <c r="AA59" i="1" s="1"/>
  <c r="AA60" i="1" s="1"/>
  <c r="AA61" i="1" s="1"/>
  <c r="AA56" i="1"/>
  <c r="AA53" i="1"/>
  <c r="Y58" i="1"/>
  <c r="Y56" i="1"/>
  <c r="Y55" i="1"/>
  <c r="Y59" i="1" s="1"/>
  <c r="Y60" i="1" s="1"/>
  <c r="Y61" i="1" s="1"/>
  <c r="Y54" i="1"/>
  <c r="Y53" i="1"/>
  <c r="S53" i="1"/>
  <c r="R58" i="1"/>
  <c r="R56" i="1"/>
  <c r="R55" i="1"/>
  <c r="R59" i="1" s="1"/>
  <c r="R60" i="1" s="1"/>
  <c r="R61" i="1" s="1"/>
  <c r="R54" i="1"/>
  <c r="R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P42" i="1"/>
  <c r="Q42" i="1"/>
  <c r="P43" i="1"/>
  <c r="Q43" i="1"/>
  <c r="P44" i="1"/>
  <c r="Q44" i="1"/>
  <c r="P45" i="1"/>
  <c r="Q45" i="1"/>
  <c r="P46" i="1"/>
  <c r="Q46" i="1"/>
  <c r="P19" i="1"/>
  <c r="Q19" i="1"/>
  <c r="P47" i="1"/>
  <c r="Q47" i="1"/>
  <c r="P48" i="1"/>
  <c r="Q48" i="1"/>
  <c r="Q41" i="1"/>
  <c r="P41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20" i="1"/>
  <c r="Q20" i="1"/>
  <c r="P21" i="1"/>
  <c r="Q21" i="1"/>
  <c r="P22" i="1"/>
  <c r="Q22" i="1"/>
  <c r="P49" i="1"/>
  <c r="Q49" i="1"/>
  <c r="P23" i="1"/>
  <c r="Q23" i="1"/>
  <c r="P24" i="1"/>
  <c r="Q24" i="1"/>
  <c r="P25" i="1"/>
  <c r="Q25" i="1"/>
  <c r="P26" i="1"/>
  <c r="Q26" i="1"/>
  <c r="Q2" i="1"/>
  <c r="P2" i="1"/>
  <c r="O42" i="1"/>
  <c r="AD42" i="1" s="1"/>
  <c r="O43" i="1"/>
  <c r="AD43" i="1" s="1"/>
  <c r="O44" i="1"/>
  <c r="AD44" i="1" s="1"/>
  <c r="O45" i="1"/>
  <c r="O46" i="1"/>
  <c r="O19" i="1"/>
  <c r="O47" i="1"/>
  <c r="AD47" i="1" s="1"/>
  <c r="O48" i="1"/>
  <c r="O41" i="1"/>
  <c r="AD41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20" i="1"/>
  <c r="AD20" i="1" s="1"/>
  <c r="O21" i="1"/>
  <c r="AD21" i="1" s="1"/>
  <c r="O22" i="1"/>
  <c r="AD22" i="1" s="1"/>
  <c r="O49" i="1"/>
  <c r="AD49" i="1" s="1"/>
  <c r="O23" i="1"/>
  <c r="AD23" i="1" s="1"/>
  <c r="O24" i="1"/>
  <c r="AD24" i="1" s="1"/>
  <c r="O25" i="1"/>
  <c r="AD25" i="1" s="1"/>
  <c r="O26" i="1"/>
  <c r="AD26" i="1" s="1"/>
  <c r="O2" i="1"/>
  <c r="AD2" i="1" s="1"/>
  <c r="N42" i="1"/>
  <c r="N43" i="1"/>
  <c r="N44" i="1"/>
  <c r="N45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2" i="1"/>
  <c r="M43" i="1"/>
  <c r="M44" i="1"/>
  <c r="M45" i="1"/>
  <c r="M46" i="1"/>
  <c r="M19" i="1"/>
  <c r="M47" i="1"/>
  <c r="M48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K43" i="1"/>
  <c r="K44" i="1"/>
  <c r="K46" i="1"/>
  <c r="K47" i="1"/>
  <c r="K48" i="1"/>
  <c r="K41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49" i="1"/>
  <c r="K23" i="1"/>
  <c r="K24" i="1"/>
  <c r="K25" i="1"/>
  <c r="K26" i="1"/>
  <c r="K2" i="1"/>
  <c r="J42" i="1"/>
  <c r="J43" i="1"/>
  <c r="J44" i="1"/>
  <c r="J45" i="1"/>
  <c r="J46" i="1"/>
  <c r="J19" i="1"/>
  <c r="J47" i="1"/>
  <c r="J48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49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W48" i="1" l="1"/>
  <c r="AD48" i="1"/>
  <c r="W26" i="1"/>
  <c r="W14" i="1"/>
  <c r="W44" i="1"/>
  <c r="W11" i="1"/>
  <c r="W25" i="1"/>
  <c r="W19" i="1"/>
  <c r="W24" i="1"/>
  <c r="W46" i="1"/>
  <c r="W12" i="1"/>
  <c r="W47" i="1"/>
  <c r="W45" i="1"/>
  <c r="AD19" i="1"/>
  <c r="W41" i="1"/>
  <c r="W23" i="1"/>
  <c r="W13" i="1"/>
  <c r="W43" i="1"/>
  <c r="W49" i="1"/>
  <c r="W10" i="1"/>
  <c r="AD46" i="1"/>
  <c r="W42" i="1"/>
  <c r="W22" i="1"/>
  <c r="W9" i="1"/>
  <c r="AD45" i="1"/>
  <c r="W21" i="1"/>
  <c r="W8" i="1"/>
  <c r="W20" i="1"/>
  <c r="W7" i="1"/>
  <c r="W18" i="1"/>
  <c r="W6" i="1"/>
  <c r="W2" i="1"/>
  <c r="W17" i="1"/>
  <c r="W5" i="1"/>
  <c r="W16" i="1"/>
  <c r="W4" i="1"/>
  <c r="W15" i="1"/>
  <c r="W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49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19" i="1"/>
  <c r="AC47" i="1"/>
  <c r="AC4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19" i="1"/>
  <c r="AB47" i="1"/>
  <c r="AB48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49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19" i="1"/>
  <c r="T47" i="1"/>
  <c r="T4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49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" i="1"/>
  <c r="S47" i="1"/>
  <c r="S48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41" i="1"/>
  <c r="X42" i="1"/>
  <c r="X43" i="1"/>
  <c r="X44" i="1"/>
  <c r="X45" i="1"/>
  <c r="X46" i="1"/>
  <c r="X19" i="1"/>
  <c r="X47" i="1"/>
  <c r="X4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X59" i="1" l="1"/>
  <c r="AF27" i="1"/>
  <c r="AF19" i="1"/>
  <c r="AF26" i="1"/>
  <c r="AF14" i="1"/>
  <c r="AF46" i="1"/>
  <c r="AF35" i="1"/>
  <c r="AF13" i="1"/>
  <c r="AF25" i="1"/>
  <c r="AF42" i="1"/>
  <c r="AF9" i="1"/>
  <c r="AF22" i="1"/>
  <c r="AF18" i="1"/>
  <c r="AF6" i="1"/>
  <c r="AF3" i="1"/>
  <c r="AF2" i="1"/>
  <c r="AF4" i="1"/>
  <c r="AF39" i="1"/>
  <c r="AF40" i="1"/>
  <c r="AF36" i="1"/>
  <c r="AF32" i="1"/>
  <c r="AF31" i="1"/>
  <c r="AF30" i="1"/>
  <c r="AF45" i="1"/>
  <c r="AF34" i="1"/>
  <c r="AF24" i="1"/>
  <c r="AF12" i="1"/>
  <c r="AF44" i="1"/>
  <c r="AF33" i="1"/>
  <c r="AF23" i="1"/>
  <c r="AF11" i="1"/>
  <c r="AF43" i="1"/>
  <c r="AF49" i="1"/>
  <c r="AF10" i="1"/>
  <c r="AF41" i="1"/>
  <c r="AF21" i="1"/>
  <c r="AF8" i="1"/>
  <c r="AF20" i="1"/>
  <c r="AF7" i="1"/>
  <c r="AF38" i="1"/>
  <c r="AF29" i="1"/>
  <c r="AF17" i="1"/>
  <c r="AF5" i="1"/>
  <c r="AF48" i="1"/>
  <c r="AF37" i="1"/>
  <c r="AF28" i="1"/>
  <c r="AF16" i="1"/>
  <c r="AF47" i="1"/>
  <c r="AF15" i="1"/>
  <c r="AE59" i="1" l="1"/>
  <c r="T59" i="1"/>
  <c r="V58" i="1"/>
  <c r="W58" i="1"/>
  <c r="AD58" i="1"/>
  <c r="V59" i="1"/>
  <c r="S58" i="1"/>
  <c r="W59" i="1"/>
  <c r="U59" i="1"/>
  <c r="U58" i="1"/>
  <c r="T58" i="1"/>
  <c r="AC59" i="1"/>
  <c r="S59" i="1"/>
  <c r="AE58" i="1"/>
  <c r="AE60" i="1" s="1"/>
  <c r="AE61" i="1" s="1"/>
  <c r="AD59" i="1"/>
  <c r="X58" i="1"/>
  <c r="X60" i="1" s="1"/>
  <c r="X61" i="1" s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49" i="1"/>
  <c r="Y49" i="1" s="1"/>
  <c r="AA49" i="1" s="1"/>
  <c r="AG49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AG34" i="1" s="1"/>
  <c r="R35" i="1"/>
  <c r="Y35" i="1" s="1"/>
  <c r="AA35" i="1" s="1"/>
  <c r="AG35" i="1" s="1"/>
  <c r="R36" i="1"/>
  <c r="Y36" i="1" s="1"/>
  <c r="AA36" i="1" s="1"/>
  <c r="AG36" i="1" s="1"/>
  <c r="R37" i="1"/>
  <c r="R38" i="1"/>
  <c r="Y38" i="1" s="1"/>
  <c r="AA38" i="1" s="1"/>
  <c r="AG38" i="1" s="1"/>
  <c r="R39" i="1"/>
  <c r="Y39" i="1" s="1"/>
  <c r="AA39" i="1" s="1"/>
  <c r="AG39" i="1" s="1"/>
  <c r="R40" i="1"/>
  <c r="Y40" i="1" s="1"/>
  <c r="AA40" i="1" s="1"/>
  <c r="AG40" i="1" s="1"/>
  <c r="R41" i="1"/>
  <c r="R42" i="1"/>
  <c r="Y42" i="1" s="1"/>
  <c r="AA42" i="1" s="1"/>
  <c r="AG42" i="1" s="1"/>
  <c r="R43" i="1"/>
  <c r="Y43" i="1" s="1"/>
  <c r="AA43" i="1" s="1"/>
  <c r="AG43" i="1" s="1"/>
  <c r="R44" i="1"/>
  <c r="Y44" i="1" s="1"/>
  <c r="AA44" i="1" s="1"/>
  <c r="AG44" i="1" s="1"/>
  <c r="R45" i="1"/>
  <c r="Y45" i="1" s="1"/>
  <c r="AA45" i="1" s="1"/>
  <c r="AG45" i="1" s="1"/>
  <c r="R46" i="1"/>
  <c r="Y46" i="1" s="1"/>
  <c r="AA46" i="1" s="1"/>
  <c r="AG46" i="1" s="1"/>
  <c r="R19" i="1"/>
  <c r="Y19" i="1" s="1"/>
  <c r="AA19" i="1" s="1"/>
  <c r="AG19" i="1" s="1"/>
  <c r="R47" i="1"/>
  <c r="Y47" i="1" s="1"/>
  <c r="AA47" i="1" s="1"/>
  <c r="AG47" i="1" s="1"/>
  <c r="R48" i="1"/>
  <c r="Y48" i="1" s="1"/>
  <c r="AA48" i="1" s="1"/>
  <c r="AG48" i="1" s="1"/>
  <c r="R2" i="1"/>
  <c r="T60" i="1" l="1"/>
  <c r="T61" i="1" s="1"/>
  <c r="V60" i="1"/>
  <c r="V61" i="1" s="1"/>
  <c r="W60" i="1"/>
  <c r="W61" i="1" s="1"/>
  <c r="AD60" i="1"/>
  <c r="AD61" i="1" s="1"/>
  <c r="AC60" i="1"/>
  <c r="AC61" i="1" s="1"/>
  <c r="S60" i="1"/>
  <c r="S61" i="1" s="1"/>
  <c r="U60" i="1"/>
  <c r="U61" i="1" s="1"/>
  <c r="Y27" i="1"/>
  <c r="AA27" i="1" s="1"/>
  <c r="Y2" i="1"/>
  <c r="Y41" i="1"/>
  <c r="AA41" i="1" s="1"/>
  <c r="Y37" i="1"/>
  <c r="AA37" i="1" s="1"/>
  <c r="AG27" i="1" l="1"/>
  <c r="AA2" i="1"/>
  <c r="AG37" i="1"/>
  <c r="AG41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<sst xmlns="http://schemas.openxmlformats.org/spreadsheetml/2006/main" count="1719" uniqueCount="367">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</sst>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22:26.47" personId="{C77DAA69-426B-4B66-A041-374F39380B56}" id="{2974B190-A5E2-4A3C-94D1-2C5C33DC8688}">
    <text>Guesstimate</text>
  </threadedComment>
  <threadedComment ref="P34" dT="2024-08-14T19:25:46.16" personId="{C77DAA69-426B-4B66-A041-374F39380B56}" id="{47F799BA-EFEC-4B21-BAA1-8B30D16A98C7}">
    <text>Guesstimate</text>
  </threadedComment>
  <threadedComment ref="Q34" dT="2024-08-14T19:25:54.82" personId="{C77DAA69-426B-4B66-A041-374F39380B56}" id="{C4DF01AE-77B7-49E7-904E-B49BDE7ED141}">
    <text>Guesstimate</text>
  </threadedComment>
  <threadedComment ref="O35" dT="2024-08-14T19:28:34.45" personId="{C77DAA69-426B-4B66-A041-374F39380B56}" id="{60787847-3A2C-4272-B3D3-E9F184B3AA2D}">
    <text>Uncertain</text>
  </threadedComment>
  <threadedComment ref="P35" dT="2024-08-14T19:28:42.57" personId="{C77DAA69-426B-4B66-A041-374F39380B56}" id="{BE359182-5E77-4C98-B272-1A64C10BF4BD}">
    <text>Uncertain</text>
  </threadedComment>
  <threadedComment ref="Q35" dT="2024-08-14T19:28:54.93" personId="{C77DAA69-426B-4B66-A041-374F39380B56}" id="{EF4183E2-BC54-4F36-A161-2FD408E433B9}">
    <text>Uncertain</text>
  </threadedComment>
  <threadedComment ref="I36" dT="2024-08-14T17:57:04.62" personId="{C77DAA69-426B-4B66-A041-374F39380B56}" id="{073016D2-9541-43B3-95D4-FEBED184C359}">
    <text>Uncertain on BPA project</text>
  </threadedComment>
  <threadedComment ref="J36" dT="2024-08-14T19:32:51.29" personId="{C77DAA69-426B-4B66-A041-374F39380B56}" id="{99A3FAF7-E57A-4C3C-8098-93EA12E451E9}">
    <text>Guesstimate</text>
  </threadedComment>
  <threadedComment ref="L36" dT="2024-07-09T22:17:43.42" personId="{C77DAA69-426B-4B66-A041-374F39380B56}" id="{8EF7F1C4-1F8A-4930-BE6D-DB4DE0D3E75C}">
    <text>Maybe has 2?</text>
  </threadedComment>
  <threadedComment ref="M36" dT="2024-07-09T22:17:53.68" personId="{C77DAA69-426B-4B66-A041-374F39380B56}" id="{371D0FAE-405C-472D-9019-C855EB540787}">
    <text>Appears to have 2.</text>
  </threadedComment>
  <threadedComment ref="P36" dT="2024-08-14T19:33:14.09" personId="{C77DAA69-426B-4B66-A041-374F39380B56}" id="{2A5E4EEF-D24F-449E-BB01-A08A33121190}">
    <text>Guesstimate</text>
  </threadedComment>
  <threadedComment ref="J37" dT="2024-08-14T19:35:46.76" personId="{C77DAA69-426B-4B66-A041-374F39380B56}" id="{34D9FD0C-C923-4A9F-949B-12953991A15C}">
    <text>Guesstimate</text>
  </threadedComment>
  <threadedComment ref="N37" dT="2024-08-14T19:36:58.45" personId="{C77DAA69-426B-4B66-A041-374F39380B56}" id="{AE9481D7-4476-403B-8541-16BCB964FA37}">
    <text>Guesstimate</text>
  </threadedComment>
  <threadedComment ref="O37" dT="2024-08-14T19:37:07.31" personId="{C77DAA69-426B-4B66-A041-374F39380B56}" id="{544378C6-124C-4C92-A642-0AE43F3F3061}">
    <text>Guesstimate</text>
  </threadedComment>
  <threadedComment ref="P37" dT="2024-08-14T19:37:14.89" personId="{C77DAA69-426B-4B66-A041-374F39380B56}" id="{00E8D40E-04F4-4F93-AB45-467AF4CC9362}">
    <text>Guesstimate</text>
  </threadedComment>
  <threadedComment ref="J38" dT="2024-08-14T19:37:51.25" personId="{C77DAA69-426B-4B66-A041-374F39380B56}" id="{351259EF-3985-4698-AF5C-40B4E8213980}">
    <text>Guesstimate</text>
  </threadedComment>
  <threadedComment ref="N38" dT="2024-08-14T19:37:58.83" personId="{C77DAA69-426B-4B66-A041-374F39380B56}" id="{ED26637F-FBCE-4F79-8C43-FED7D517BFB2}">
    <text>Guesstimate</text>
  </threadedComment>
  <threadedComment ref="O38" dT="2024-08-14T19:38:06.04" personId="{C77DAA69-426B-4B66-A041-374F39380B56}" id="{4DDFA2D5-BA85-40F5-B9BE-AFB3430867B9}">
    <text>Guesstimate</text>
  </threadedComment>
  <threadedComment ref="P38" dT="2024-08-14T19:38:14.61" personId="{C77DAA69-426B-4B66-A041-374F39380B56}" id="{29297ED3-A1F8-45DB-8894-83E4684C9CB7}">
    <text>Guesstimate</text>
  </threadedComment>
  <threadedComment ref="N39" dT="2024-08-14T19:45:05.01" personId="{C77DAA69-426B-4B66-A041-374F39380B56}" id="{EFDEDEC3-3251-49D7-B8F8-775B538E2941}">
    <text>Guesstimate</text>
  </threadedComment>
  <threadedComment ref="O39" dT="2024-08-14T19:45:12.52" personId="{C77DAA69-426B-4B66-A041-374F39380B56}" id="{B5188D8D-C0C6-4175-87BE-772A73E6CB11}">
    <text>Guesstimate</text>
  </threadedComment>
  <threadedComment ref="P39" dT="2024-08-14T19:45:20.67" personId="{C77DAA69-426B-4B66-A041-374F39380B56}" id="{66CA20A2-0F08-4F4D-90A2-5C0926FD9D3D}">
    <text>Guesstimate</text>
  </threadedComment>
  <threadedComment ref="Q39" dT="2024-08-14T19:45:33.23" personId="{C77DAA69-426B-4B66-A041-374F39380B56}" id="{9D013F0B-84F0-4B8C-8916-5524E19E2129}">
    <text>Guesstimate</text>
  </threadedComment>
  <threadedComment ref="N40" dT="2024-08-14T19:46:40.04" personId="{C77DAA69-426B-4B66-A041-374F39380B56}" id="{7813689E-9B6F-49FC-A9B2-338961C7EFC4}">
    <text>Guesstimate</text>
  </threadedComment>
  <threadedComment ref="O40" dT="2024-08-14T19:46:49.76" personId="{C77DAA69-426B-4B66-A041-374F39380B56}" id="{692E4B72-3AF6-49DC-AA12-A6D2E4057EDD}">
    <text>Guesstimate</text>
  </threadedComment>
  <threadedComment ref="P40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" t="s">
        <v>111</v>
      </c>
      <c r="I1" s="8" t="s">
        <v>112</v>
      </c>
      <c r="J1" s="8" t="s">
        <v>118</v>
      </c>
      <c r="K1" s="8" t="s">
        <v>137</v>
      </c>
      <c r="L1" s="8" t="s">
        <v>336</v>
      </c>
      <c r="M1" s="8" t="s">
        <v>136</v>
      </c>
      <c r="N1" s="8" t="s">
        <v>144</v>
      </c>
      <c r="O1" s="8" t="s">
        <v>124</v>
      </c>
      <c r="P1" s="8" t="s">
        <v>131</v>
      </c>
      <c r="Q1" s="8" t="s">
        <v>132</v>
      </c>
      <c r="R1" s="10" t="s">
        <v>147</v>
      </c>
      <c r="S1" s="10" t="s">
        <v>148</v>
      </c>
      <c r="T1" s="10" t="s">
        <v>149</v>
      </c>
      <c r="U1" s="10" t="s">
        <v>150</v>
      </c>
      <c r="V1" s="10" t="s">
        <v>151</v>
      </c>
      <c r="W1" s="10" t="s">
        <v>152</v>
      </c>
      <c r="X1" s="10" t="s">
        <v>153</v>
      </c>
      <c r="Y1" s="11" t="s">
        <v>339</v>
      </c>
      <c r="Z1" s="11" t="s">
        <v>159</v>
      </c>
      <c r="AA1" s="11" t="s">
        <v>358</v>
      </c>
      <c r="AB1" s="12" t="s">
        <v>155</v>
      </c>
      <c r="AC1" s="13" t="s">
        <v>156</v>
      </c>
      <c r="AD1" s="13" t="s">
        <v>157</v>
      </c>
      <c r="AE1" s="13" t="s">
        <v>158</v>
      </c>
      <c r="AF1" s="14" t="s">
        <v>349</v>
      </c>
      <c r="AG1" s="15" t="s">
        <v>345</v>
      </c>
    </row>
    <row r="2" spans="1:33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18" t="s">
        <v>1</v>
      </c>
      <c r="I2" s="29" t="s">
        <v>362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7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2" si="7">VLOOKUP(J2,communication,2,FALSE)</f>
        <v>742</v>
      </c>
      <c r="S2" s="19">
        <f t="shared" ref="S2:S32" si="8">IFERROR(VLOOKUP(K2,datalogger,2,FALSE),0)</f>
        <v>835</v>
      </c>
      <c r="T2" s="19">
        <f t="shared" ref="T2:T32" si="9">IFERROR(VLOOKUP(L2,transceiver,2,FALSE),0)</f>
        <v>4450</v>
      </c>
      <c r="U2" s="19">
        <f t="shared" ref="U2:U32" si="10">VLOOKUP(M2,reader,2,FALSE)*N2</f>
        <v>12504</v>
      </c>
      <c r="V2" s="19">
        <f t="shared" ref="V2:V32" si="11">N2*antenna_cost</f>
        <v>17610</v>
      </c>
      <c r="W2" s="19">
        <f t="shared" ref="W2:W32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2" si="15">(P2*battery_replacement)/4</f>
        <v>364</v>
      </c>
      <c r="AC2" s="21">
        <f t="shared" ref="AC2:AC32" si="16">VLOOKUP(J2,communication,3,FALSE)</f>
        <v>300</v>
      </c>
      <c r="AD2" s="21">
        <f t="shared" ref="AD2:AD32" si="17">VLOOKUP(O2,power,3,FALSE)</f>
        <v>3120.75</v>
      </c>
      <c r="AE2" s="21">
        <f t="shared" ref="AE2:AE49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18" t="s">
        <v>1</v>
      </c>
      <c r="I3" s="29" t="s">
        <v>362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7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48" si="20">SUM(R3:X3)</f>
        <v>52591</v>
      </c>
      <c r="Z3" s="39">
        <f t="shared" si="14"/>
        <v>0.08</v>
      </c>
      <c r="AA3" s="20">
        <f t="shared" ref="AA3:AA48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48" si="22">AF3+AA3</f>
        <v>6071.28</v>
      </c>
    </row>
    <row r="4" spans="1:33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18" t="s">
        <v>1</v>
      </c>
      <c r="I4" s="29" t="s">
        <v>362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7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18" t="s">
        <v>1</v>
      </c>
      <c r="I5" s="29" t="s">
        <v>362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7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18" t="s">
        <v>1</v>
      </c>
      <c r="I6" s="29" t="s">
        <v>362</v>
      </c>
      <c r="J6" s="17" t="str">
        <f t="shared" si="0"/>
        <v>Satellite Modem</v>
      </c>
      <c r="L6" s="17" t="str">
        <f t="shared" si="1"/>
        <v>IS1001-MTS</v>
      </c>
      <c r="M6" s="57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48" si="23">SUM(AB6:AE6)</f>
        <v>3004</v>
      </c>
      <c r="AG6" s="23">
        <f t="shared" si="22"/>
        <v>7245.12</v>
      </c>
    </row>
    <row r="7" spans="1:33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18" t="s">
        <v>1</v>
      </c>
      <c r="I7" s="29" t="s">
        <v>362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7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18" t="s">
        <v>1</v>
      </c>
      <c r="I8" s="29" t="s">
        <v>362</v>
      </c>
      <c r="J8" s="17" t="str">
        <f t="shared" si="0"/>
        <v>Satellite Modem</v>
      </c>
      <c r="L8" s="17" t="str">
        <f t="shared" si="1"/>
        <v>IS1001-MTS</v>
      </c>
      <c r="M8" s="57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18" t="s">
        <v>1</v>
      </c>
      <c r="I9" s="29" t="s">
        <v>362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7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233</v>
      </c>
      <c r="B10" s="17" t="s">
        <v>328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18" t="s">
        <v>1</v>
      </c>
      <c r="I10" s="29" t="s">
        <v>362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7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237</v>
      </c>
      <c r="B11" s="17" t="s">
        <v>329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18" t="s">
        <v>1</v>
      </c>
      <c r="I11" s="29" t="s">
        <v>362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7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242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18" t="s">
        <v>1</v>
      </c>
      <c r="I12" s="29" t="s">
        <v>362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7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246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18" t="s">
        <v>1</v>
      </c>
      <c r="I13" s="29" t="s">
        <v>362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7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18" t="s">
        <v>1</v>
      </c>
      <c r="I14" s="29" t="s">
        <v>362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7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18" t="s">
        <v>1</v>
      </c>
      <c r="I15" s="29" t="s">
        <v>362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7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18" t="s">
        <v>1</v>
      </c>
      <c r="I16" s="29" t="s">
        <v>362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7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18" t="s">
        <v>1</v>
      </c>
      <c r="I17" s="29" t="s">
        <v>362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7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18" t="s">
        <v>1</v>
      </c>
      <c r="I18" s="29" t="s">
        <v>362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7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18" t="s">
        <v>1</v>
      </c>
      <c r="I19" s="29" t="s">
        <v>362</v>
      </c>
      <c r="J19" s="17" t="str">
        <f>VLOOKUP(A19,om_table,23,FALSE)</f>
        <v>Satellite Modem</v>
      </c>
      <c r="L19" s="17" t="str">
        <f>VLOOKUP(A19,om_table,20,FALSE)</f>
        <v>IS1001-MTS</v>
      </c>
      <c r="M19" s="57" t="str">
        <f>VLOOKUP(A19,om_table,21,FALSE)</f>
        <v>Biomark IS1001</v>
      </c>
      <c r="N19" s="16">
        <f>VLOOKUP(A19,om_table,30,FALSE)</f>
        <v>4</v>
      </c>
      <c r="O19" s="17" t="str">
        <f>VLOOKUP(A19,om_table,9,FALSE)</f>
        <v>Grid Power</v>
      </c>
      <c r="P19" s="16">
        <f>VLOOKUP(A19,om_table,16,FALSE)</f>
        <v>4</v>
      </c>
      <c r="Q19" s="16">
        <f>VLOOKUP(A19,om_table,17,FALSE)</f>
        <v>0</v>
      </c>
      <c r="R19" s="19">
        <f>VLOOKUP(J19,communication,2,FALSE)</f>
        <v>2000</v>
      </c>
      <c r="S19" s="19">
        <f>IFERROR(VLOOKUP(K19,datalogger,2,FALSE),0)</f>
        <v>0</v>
      </c>
      <c r="T19" s="19">
        <f>IFERROR(VLOOKUP(L19,transceiver,2,FALSE),0)</f>
        <v>4450</v>
      </c>
      <c r="U19" s="19">
        <f>VLOOKUP(M19,reader,2,FALSE)*N19</f>
        <v>8336</v>
      </c>
      <c r="V19" s="19">
        <f>N19*antenna_cost</f>
        <v>11740</v>
      </c>
      <c r="W19" s="19">
        <f>_xlfn.IFS(O19="Grid Power", 2550, O19="Grid Power PLC", 3940, O19="5060 Hybrid TEG", 27903, O19="5060 TEG", 10479, O19="5120 TEG", 13874, O19="Solar", solar_array_cost*Q19)+(P19*battery_cost)</f>
        <v>3950</v>
      </c>
      <c r="X19" s="19">
        <f>VLOOKUP(A19,om_table,40,FALSE)</f>
        <v>12500</v>
      </c>
      <c r="Y19" s="20">
        <f>SUM(R19:X19)</f>
        <v>42976</v>
      </c>
      <c r="Z19" s="39">
        <f>VLOOKUP(A19,om_table,48,FALSE)</f>
        <v>0.08</v>
      </c>
      <c r="AA19" s="20">
        <f>Y19*Z19</f>
        <v>3438.08</v>
      </c>
      <c r="AB19" s="21">
        <f>(P19*battery_replacement)/4</f>
        <v>364</v>
      </c>
      <c r="AC19" s="21">
        <f>VLOOKUP(J19,communication,3,FALSE)</f>
        <v>1440</v>
      </c>
      <c r="AD19" s="21">
        <f>VLOOKUP(O19,power,3,FALSE)</f>
        <v>120</v>
      </c>
      <c r="AE19" s="21">
        <f t="shared" ref="AE19:AE48" si="25">data_management_mnth*12</f>
        <v>1080</v>
      </c>
      <c r="AF19" s="22">
        <f>SUM(AB19:AE19)</f>
        <v>3004</v>
      </c>
      <c r="AG19" s="23">
        <f>AF19+AA19</f>
        <v>6442.08</v>
      </c>
    </row>
    <row r="20" spans="1:33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18" t="s">
        <v>1</v>
      </c>
      <c r="I20" s="29" t="s">
        <v>362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7" t="str">
        <f t="shared" si="2"/>
        <v>Biomark MUX</v>
      </c>
      <c r="N20" s="16">
        <f t="shared" si="3"/>
        <v>4</v>
      </c>
      <c r="O20" s="17" t="str">
        <f t="shared" si="4"/>
        <v>Grid Power</v>
      </c>
      <c r="P20" s="16">
        <f t="shared" si="5"/>
        <v>4</v>
      </c>
      <c r="Q20" s="16">
        <f t="shared" si="6"/>
        <v>0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3950</v>
      </c>
      <c r="X20" s="19">
        <f t="shared" si="13"/>
        <v>12500</v>
      </c>
      <c r="Y20" s="20">
        <f t="shared" si="20"/>
        <v>39525</v>
      </c>
      <c r="Z20" s="39">
        <f t="shared" si="14"/>
        <v>0.1</v>
      </c>
      <c r="AA20" s="20">
        <f t="shared" si="21"/>
        <v>3952.5</v>
      </c>
      <c r="AB20" s="21">
        <f t="shared" si="15"/>
        <v>364</v>
      </c>
      <c r="AC20" s="21">
        <f t="shared" si="16"/>
        <v>1440</v>
      </c>
      <c r="AD20" s="21">
        <f t="shared" si="17"/>
        <v>120</v>
      </c>
      <c r="AE20" s="21">
        <f t="shared" si="18"/>
        <v>1080</v>
      </c>
      <c r="AF20" s="22">
        <f t="shared" si="23"/>
        <v>3004</v>
      </c>
      <c r="AG20" s="23">
        <f t="shared" si="22"/>
        <v>6956.5</v>
      </c>
    </row>
    <row r="21" spans="1:33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18" t="s">
        <v>1</v>
      </c>
      <c r="I21" s="29" t="s">
        <v>362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7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18" t="s">
        <v>1</v>
      </c>
      <c r="I22" s="29" t="s">
        <v>362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7" t="str">
        <f t="shared" si="2"/>
        <v>Biomark MUX</v>
      </c>
      <c r="N22" s="16">
        <f t="shared" si="3"/>
        <v>4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11740</v>
      </c>
      <c r="W22" s="19">
        <f t="shared" si="12"/>
        <v>30003</v>
      </c>
      <c r="X22" s="19">
        <f t="shared" si="13"/>
        <v>12500</v>
      </c>
      <c r="Y22" s="20">
        <f t="shared" si="20"/>
        <v>65578</v>
      </c>
      <c r="Z22" s="39">
        <f t="shared" si="14"/>
        <v>0.1</v>
      </c>
      <c r="AA22" s="20">
        <f t="shared" si="21"/>
        <v>6557.8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10403.99</v>
      </c>
    </row>
    <row r="23" spans="1:33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18" t="s">
        <v>1</v>
      </c>
      <c r="I23" s="29" t="s">
        <v>362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7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18" t="s">
        <v>1</v>
      </c>
      <c r="I24" s="29" t="s">
        <v>362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7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18" t="s">
        <v>1</v>
      </c>
      <c r="I25" s="29" t="s">
        <v>362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7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18" t="s">
        <v>1</v>
      </c>
      <c r="I26" s="29" t="s">
        <v>362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7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24" t="s">
        <v>1</v>
      </c>
      <c r="I27" s="30" t="s">
        <v>350</v>
      </c>
      <c r="J27" s="57" t="s">
        <v>175</v>
      </c>
      <c r="K27" s="57" t="s">
        <v>174</v>
      </c>
      <c r="L27" s="57" t="s">
        <v>191</v>
      </c>
      <c r="M27" s="57" t="s">
        <v>192</v>
      </c>
      <c r="N27" s="83">
        <v>6</v>
      </c>
      <c r="O27" s="57" t="s">
        <v>207</v>
      </c>
      <c r="P27" s="83">
        <v>4</v>
      </c>
      <c r="Q27" s="83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24" t="s">
        <v>45</v>
      </c>
      <c r="I28" s="30" t="s">
        <v>3</v>
      </c>
      <c r="J28" s="57" t="s">
        <v>332</v>
      </c>
      <c r="K28" s="57" t="s">
        <v>174</v>
      </c>
      <c r="L28" s="57" t="s">
        <v>172</v>
      </c>
      <c r="M28" s="57" t="s">
        <v>173</v>
      </c>
      <c r="N28" s="83">
        <v>4</v>
      </c>
      <c r="O28" s="57" t="s">
        <v>165</v>
      </c>
      <c r="P28" s="83">
        <v>0</v>
      </c>
      <c r="Q28" s="83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24" t="s">
        <v>1</v>
      </c>
      <c r="I29" s="30" t="s">
        <v>351</v>
      </c>
      <c r="J29" s="57" t="s">
        <v>175</v>
      </c>
      <c r="K29" s="57" t="s">
        <v>174</v>
      </c>
      <c r="L29" s="57" t="s">
        <v>191</v>
      </c>
      <c r="M29" s="57" t="s">
        <v>192</v>
      </c>
      <c r="N29" s="83">
        <v>19</v>
      </c>
      <c r="O29" s="57" t="s">
        <v>165</v>
      </c>
      <c r="P29" s="83">
        <v>4</v>
      </c>
      <c r="Q29" s="83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24" t="s">
        <v>1</v>
      </c>
      <c r="I30" s="30" t="s">
        <v>351</v>
      </c>
      <c r="J30" s="57" t="s">
        <v>175</v>
      </c>
      <c r="K30" s="57" t="s">
        <v>174</v>
      </c>
      <c r="L30" s="57" t="s">
        <v>191</v>
      </c>
      <c r="M30" s="57" t="s">
        <v>192</v>
      </c>
      <c r="N30" s="83">
        <v>18</v>
      </c>
      <c r="O30" s="57" t="s">
        <v>165</v>
      </c>
      <c r="P30" s="83">
        <v>4</v>
      </c>
      <c r="Q30" s="83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352</v>
      </c>
      <c r="J31" s="57" t="s">
        <v>175</v>
      </c>
      <c r="K31" s="57" t="s">
        <v>174</v>
      </c>
      <c r="L31" s="57" t="s">
        <v>191</v>
      </c>
      <c r="M31" s="57" t="s">
        <v>192</v>
      </c>
      <c r="N31" s="83">
        <v>5</v>
      </c>
      <c r="O31" s="57" t="s">
        <v>224</v>
      </c>
      <c r="P31" s="83">
        <v>4</v>
      </c>
      <c r="Q31" s="83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352</v>
      </c>
      <c r="J32" s="57" t="s">
        <v>175</v>
      </c>
      <c r="K32" s="57" t="s">
        <v>174</v>
      </c>
      <c r="L32" s="57" t="s">
        <v>191</v>
      </c>
      <c r="M32" s="57" t="s">
        <v>192</v>
      </c>
      <c r="N32" s="83">
        <v>9</v>
      </c>
      <c r="O32" s="57" t="s">
        <v>224</v>
      </c>
      <c r="P32" s="83">
        <v>4</v>
      </c>
      <c r="Q32" s="83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24" t="s">
        <v>363</v>
      </c>
      <c r="I33" s="24" t="s">
        <v>363</v>
      </c>
      <c r="J33" s="57" t="s">
        <v>193</v>
      </c>
      <c r="K33" s="57" t="s">
        <v>174</v>
      </c>
      <c r="L33" s="57" t="s">
        <v>191</v>
      </c>
      <c r="M33" s="57" t="s">
        <v>192</v>
      </c>
      <c r="N33" s="83">
        <v>4</v>
      </c>
      <c r="O33" s="57" t="s">
        <v>165</v>
      </c>
      <c r="P33" s="83">
        <v>4</v>
      </c>
      <c r="Q33" s="83">
        <v>0</v>
      </c>
      <c r="R33" s="19">
        <f t="shared" ref="R33:R48" si="26">VLOOKUP(J33,communication,2,FALSE)</f>
        <v>742</v>
      </c>
      <c r="S33" s="19">
        <f t="shared" ref="S33:S48" si="27">IFERROR(VLOOKUP(K33,datalogger,2,FALSE),0)</f>
        <v>835</v>
      </c>
      <c r="T33" s="19">
        <f t="shared" ref="T33:T48" si="28">IFERROR(VLOOKUP(L33,transceiver,2,FALSE),0)</f>
        <v>4450</v>
      </c>
      <c r="U33" s="19">
        <f t="shared" ref="U33:U48" si="29">VLOOKUP(M33,reader,2,FALSE)*N33</f>
        <v>8336</v>
      </c>
      <c r="V33" s="19">
        <f t="shared" ref="V33:V48" si="30">N33*antenna_cost</f>
        <v>11740</v>
      </c>
      <c r="W33" s="19">
        <f t="shared" ref="W33:W48" si="31">_xlfn.IFS(O33="Grid Power", 2550, O33="Grid Power PLC", 3940, O33="5060 Hybrid TEG", 27903, O33="5060 TEG", 10479, O33="5120 TEG", 13874, O33="Solar", solar_array_cost*Q33)+(P33*battery_cost)</f>
        <v>3950</v>
      </c>
      <c r="X33" s="38">
        <v>12500</v>
      </c>
      <c r="Y33" s="20">
        <f t="shared" si="20"/>
        <v>42553</v>
      </c>
      <c r="Z33" s="39">
        <v>0.08</v>
      </c>
      <c r="AA33" s="20">
        <f t="shared" si="21"/>
        <v>3404.2400000000002</v>
      </c>
      <c r="AB33" s="21">
        <f t="shared" ref="AB33:AB48" si="32">(P33*battery_replacement)/4</f>
        <v>364</v>
      </c>
      <c r="AC33" s="21">
        <f t="shared" ref="AC33:AC48" si="33">VLOOKUP(J33,communication,3,FALSE)</f>
        <v>300</v>
      </c>
      <c r="AD33" s="21">
        <f t="shared" ref="AD33:AD48" si="34">VLOOKUP(O33,power,3,FALSE)</f>
        <v>120</v>
      </c>
      <c r="AE33" s="21">
        <f t="shared" si="25"/>
        <v>1080</v>
      </c>
      <c r="AF33" s="22">
        <f t="shared" si="23"/>
        <v>1864</v>
      </c>
      <c r="AG33" s="23">
        <f t="shared" si="22"/>
        <v>5268.24</v>
      </c>
    </row>
    <row r="34" spans="1:33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24" t="s">
        <v>1</v>
      </c>
      <c r="I34" s="30" t="s">
        <v>353</v>
      </c>
      <c r="J34" s="57" t="s">
        <v>175</v>
      </c>
      <c r="K34" s="57" t="s">
        <v>174</v>
      </c>
      <c r="L34" s="57" t="s">
        <v>191</v>
      </c>
      <c r="M34" s="57" t="s">
        <v>192</v>
      </c>
      <c r="N34" s="83">
        <v>4</v>
      </c>
      <c r="O34" s="57" t="s">
        <v>207</v>
      </c>
      <c r="P34" s="83">
        <v>4</v>
      </c>
      <c r="Q34" s="83">
        <v>4</v>
      </c>
      <c r="R34" s="19">
        <f t="shared" si="26"/>
        <v>2000</v>
      </c>
      <c r="S34" s="19">
        <f t="shared" si="27"/>
        <v>835</v>
      </c>
      <c r="T34" s="19">
        <f t="shared" si="28"/>
        <v>4450</v>
      </c>
      <c r="U34" s="19">
        <f t="shared" si="29"/>
        <v>8336</v>
      </c>
      <c r="V34" s="19">
        <f t="shared" si="30"/>
        <v>11740</v>
      </c>
      <c r="W34" s="19">
        <f t="shared" si="31"/>
        <v>11879</v>
      </c>
      <c r="X34" s="38">
        <v>12500</v>
      </c>
      <c r="Y34" s="20">
        <f t="shared" si="20"/>
        <v>51740</v>
      </c>
      <c r="Z34" s="39">
        <v>0.08</v>
      </c>
      <c r="AA34" s="20">
        <f t="shared" si="21"/>
        <v>4139.2</v>
      </c>
      <c r="AB34" s="21">
        <f t="shared" si="32"/>
        <v>364</v>
      </c>
      <c r="AC34" s="21">
        <f t="shared" si="33"/>
        <v>1440</v>
      </c>
      <c r="AD34" s="21">
        <f t="shared" si="34"/>
        <v>1560.38</v>
      </c>
      <c r="AE34" s="21">
        <f t="shared" si="25"/>
        <v>1080</v>
      </c>
      <c r="AF34" s="22">
        <f t="shared" si="23"/>
        <v>4444.38</v>
      </c>
      <c r="AG34" s="23">
        <f t="shared" si="22"/>
        <v>8583.58</v>
      </c>
    </row>
    <row r="35" spans="1:33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24" t="s">
        <v>1</v>
      </c>
      <c r="I35" s="30" t="s">
        <v>353</v>
      </c>
      <c r="J35" s="57" t="s">
        <v>248</v>
      </c>
      <c r="K35" s="57" t="s">
        <v>174</v>
      </c>
      <c r="L35" s="57" t="s">
        <v>191</v>
      </c>
      <c r="M35" s="57" t="s">
        <v>192</v>
      </c>
      <c r="N35" s="83">
        <v>10</v>
      </c>
      <c r="O35" s="57" t="s">
        <v>230</v>
      </c>
      <c r="P35" s="83">
        <v>4</v>
      </c>
      <c r="Q35" s="83">
        <v>0</v>
      </c>
      <c r="R35" s="19">
        <f t="shared" si="26"/>
        <v>0</v>
      </c>
      <c r="S35" s="19">
        <f t="shared" si="27"/>
        <v>835</v>
      </c>
      <c r="T35" s="19">
        <f t="shared" si="28"/>
        <v>4450</v>
      </c>
      <c r="U35" s="19">
        <f t="shared" si="29"/>
        <v>20840</v>
      </c>
      <c r="V35" s="19">
        <f t="shared" si="30"/>
        <v>29350</v>
      </c>
      <c r="W35" s="19">
        <f t="shared" si="31"/>
        <v>15274</v>
      </c>
      <c r="X35" s="38">
        <v>12500</v>
      </c>
      <c r="Y35" s="20">
        <f t="shared" si="20"/>
        <v>83249</v>
      </c>
      <c r="Z35" s="39">
        <v>0.08</v>
      </c>
      <c r="AA35" s="20">
        <f t="shared" si="21"/>
        <v>6659.92</v>
      </c>
      <c r="AB35" s="21">
        <f t="shared" si="32"/>
        <v>364</v>
      </c>
      <c r="AC35" s="21">
        <f t="shared" si="33"/>
        <v>0</v>
      </c>
      <c r="AD35" s="21">
        <f t="shared" si="34"/>
        <v>3120.75</v>
      </c>
      <c r="AE35" s="21">
        <f t="shared" si="25"/>
        <v>1080</v>
      </c>
      <c r="AF35" s="22">
        <f t="shared" si="23"/>
        <v>4564.75</v>
      </c>
      <c r="AG35" s="23">
        <f t="shared" si="22"/>
        <v>11224.67</v>
      </c>
    </row>
    <row r="36" spans="1:33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24" t="s">
        <v>1</v>
      </c>
      <c r="I36" s="30" t="s">
        <v>2</v>
      </c>
      <c r="J36" s="57" t="s">
        <v>175</v>
      </c>
      <c r="K36" s="57" t="s">
        <v>174</v>
      </c>
      <c r="L36" s="57" t="s">
        <v>191</v>
      </c>
      <c r="M36" s="57" t="s">
        <v>192</v>
      </c>
      <c r="N36" s="83">
        <v>5</v>
      </c>
      <c r="O36" s="57" t="s">
        <v>165</v>
      </c>
      <c r="P36" s="83">
        <v>4</v>
      </c>
      <c r="Q36" s="83">
        <v>0</v>
      </c>
      <c r="R36" s="19">
        <f t="shared" si="26"/>
        <v>2000</v>
      </c>
      <c r="S36" s="19">
        <f t="shared" si="27"/>
        <v>835</v>
      </c>
      <c r="T36" s="19">
        <f t="shared" si="28"/>
        <v>4450</v>
      </c>
      <c r="U36" s="19">
        <f t="shared" si="29"/>
        <v>10420</v>
      </c>
      <c r="V36" s="19">
        <f t="shared" si="30"/>
        <v>14675</v>
      </c>
      <c r="W36" s="19">
        <f t="shared" si="31"/>
        <v>3950</v>
      </c>
      <c r="X36" s="38">
        <v>12500</v>
      </c>
      <c r="Y36" s="20">
        <f t="shared" si="20"/>
        <v>48830</v>
      </c>
      <c r="Z36" s="39">
        <v>0.08</v>
      </c>
      <c r="AA36" s="20">
        <f t="shared" si="21"/>
        <v>3906.4</v>
      </c>
      <c r="AB36" s="21">
        <f t="shared" si="32"/>
        <v>364</v>
      </c>
      <c r="AC36" s="21">
        <f t="shared" si="33"/>
        <v>1440</v>
      </c>
      <c r="AD36" s="21">
        <f t="shared" si="34"/>
        <v>120</v>
      </c>
      <c r="AE36" s="21">
        <f t="shared" si="25"/>
        <v>1080</v>
      </c>
      <c r="AF36" s="22">
        <f t="shared" si="23"/>
        <v>3004</v>
      </c>
      <c r="AG36" s="23">
        <f t="shared" si="22"/>
        <v>6910.4</v>
      </c>
    </row>
    <row r="37" spans="1:33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24"/>
      <c r="I37" s="30"/>
      <c r="J37" s="57" t="s">
        <v>175</v>
      </c>
      <c r="K37" s="57" t="s">
        <v>174</v>
      </c>
      <c r="L37" s="57" t="s">
        <v>191</v>
      </c>
      <c r="M37" s="57" t="s">
        <v>192</v>
      </c>
      <c r="N37" s="83">
        <v>12</v>
      </c>
      <c r="O37" s="57" t="s">
        <v>230</v>
      </c>
      <c r="P37" s="83">
        <v>4</v>
      </c>
      <c r="Q37" s="83">
        <v>0</v>
      </c>
      <c r="R37" s="19">
        <f t="shared" si="26"/>
        <v>2000</v>
      </c>
      <c r="S37" s="19">
        <f t="shared" si="27"/>
        <v>835</v>
      </c>
      <c r="T37" s="19">
        <f t="shared" si="28"/>
        <v>4450</v>
      </c>
      <c r="U37" s="19">
        <f t="shared" si="29"/>
        <v>25008</v>
      </c>
      <c r="V37" s="19">
        <f t="shared" si="30"/>
        <v>35220</v>
      </c>
      <c r="W37" s="19">
        <f t="shared" si="31"/>
        <v>15274</v>
      </c>
      <c r="X37" s="38">
        <v>12500</v>
      </c>
      <c r="Y37" s="20">
        <f t="shared" si="20"/>
        <v>95287</v>
      </c>
      <c r="Z37" s="39">
        <v>0.08</v>
      </c>
      <c r="AA37" s="20">
        <f t="shared" si="21"/>
        <v>7622.96</v>
      </c>
      <c r="AB37" s="21">
        <f t="shared" si="32"/>
        <v>364</v>
      </c>
      <c r="AC37" s="21">
        <f t="shared" si="33"/>
        <v>1440</v>
      </c>
      <c r="AD37" s="21">
        <f t="shared" si="34"/>
        <v>3120.75</v>
      </c>
      <c r="AE37" s="21">
        <f t="shared" si="25"/>
        <v>1080</v>
      </c>
      <c r="AF37" s="22">
        <f t="shared" si="23"/>
        <v>6004.75</v>
      </c>
      <c r="AG37" s="23">
        <f t="shared" si="22"/>
        <v>13627.71</v>
      </c>
    </row>
    <row r="38" spans="1:33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24"/>
      <c r="I38" s="30"/>
      <c r="J38" s="57" t="s">
        <v>175</v>
      </c>
      <c r="K38" s="57" t="s">
        <v>174</v>
      </c>
      <c r="L38" s="57" t="s">
        <v>191</v>
      </c>
      <c r="M38" s="57" t="s">
        <v>192</v>
      </c>
      <c r="N38" s="83">
        <v>12</v>
      </c>
      <c r="O38" s="57" t="s">
        <v>230</v>
      </c>
      <c r="P38" s="83">
        <v>4</v>
      </c>
      <c r="Q38" s="83">
        <v>0</v>
      </c>
      <c r="R38" s="19">
        <f t="shared" si="26"/>
        <v>2000</v>
      </c>
      <c r="S38" s="19">
        <f t="shared" si="27"/>
        <v>835</v>
      </c>
      <c r="T38" s="19">
        <f t="shared" si="28"/>
        <v>4450</v>
      </c>
      <c r="U38" s="19">
        <f t="shared" si="29"/>
        <v>25008</v>
      </c>
      <c r="V38" s="19">
        <f t="shared" si="30"/>
        <v>35220</v>
      </c>
      <c r="W38" s="19">
        <f t="shared" si="31"/>
        <v>15274</v>
      </c>
      <c r="X38" s="38">
        <v>12500</v>
      </c>
      <c r="Y38" s="20">
        <f t="shared" si="20"/>
        <v>95287</v>
      </c>
      <c r="Z38" s="39">
        <v>0.08</v>
      </c>
      <c r="AA38" s="20">
        <f t="shared" si="21"/>
        <v>7622.96</v>
      </c>
      <c r="AB38" s="21">
        <f t="shared" si="32"/>
        <v>364</v>
      </c>
      <c r="AC38" s="21">
        <f t="shared" si="33"/>
        <v>1440</v>
      </c>
      <c r="AD38" s="21">
        <f t="shared" si="34"/>
        <v>3120.75</v>
      </c>
      <c r="AE38" s="21">
        <f t="shared" si="25"/>
        <v>1080</v>
      </c>
      <c r="AF38" s="22">
        <f t="shared" si="23"/>
        <v>6004.75</v>
      </c>
      <c r="AG38" s="23">
        <f t="shared" si="22"/>
        <v>13627.71</v>
      </c>
    </row>
    <row r="39" spans="1:33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24"/>
      <c r="I39" s="30"/>
      <c r="J39" s="57" t="s">
        <v>175</v>
      </c>
      <c r="K39" s="57" t="s">
        <v>174</v>
      </c>
      <c r="L39" s="57" t="s">
        <v>191</v>
      </c>
      <c r="M39" s="57" t="s">
        <v>192</v>
      </c>
      <c r="N39" s="83">
        <v>8</v>
      </c>
      <c r="O39" s="57" t="s">
        <v>183</v>
      </c>
      <c r="P39" s="83">
        <v>4</v>
      </c>
      <c r="Q39" s="83">
        <v>8</v>
      </c>
      <c r="R39" s="19">
        <f t="shared" si="26"/>
        <v>2000</v>
      </c>
      <c r="S39" s="19">
        <f t="shared" si="27"/>
        <v>835</v>
      </c>
      <c r="T39" s="19">
        <f t="shared" si="28"/>
        <v>4450</v>
      </c>
      <c r="U39" s="19">
        <f t="shared" si="29"/>
        <v>16672</v>
      </c>
      <c r="V39" s="19">
        <f t="shared" si="30"/>
        <v>23480</v>
      </c>
      <c r="W39" s="19">
        <f t="shared" si="31"/>
        <v>29303</v>
      </c>
      <c r="X39" s="38">
        <v>12500</v>
      </c>
      <c r="Y39" s="20">
        <f t="shared" si="20"/>
        <v>89240</v>
      </c>
      <c r="Z39" s="39">
        <v>0.08</v>
      </c>
      <c r="AA39" s="20">
        <f t="shared" si="21"/>
        <v>7139.2</v>
      </c>
      <c r="AB39" s="21">
        <f t="shared" si="32"/>
        <v>364</v>
      </c>
      <c r="AC39" s="21">
        <f t="shared" si="33"/>
        <v>1440</v>
      </c>
      <c r="AD39" s="21">
        <f t="shared" si="34"/>
        <v>780.19</v>
      </c>
      <c r="AE39" s="21">
        <f t="shared" si="25"/>
        <v>1080</v>
      </c>
      <c r="AF39" s="22">
        <f t="shared" si="23"/>
        <v>3664.19</v>
      </c>
      <c r="AG39" s="23">
        <f t="shared" si="22"/>
        <v>10803.39</v>
      </c>
    </row>
    <row r="40" spans="1:33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24"/>
      <c r="I40" s="30"/>
      <c r="J40" s="57" t="s">
        <v>193</v>
      </c>
      <c r="K40" s="57" t="s">
        <v>174</v>
      </c>
      <c r="L40" s="57" t="s">
        <v>191</v>
      </c>
      <c r="M40" s="57" t="s">
        <v>192</v>
      </c>
      <c r="N40" s="83">
        <v>8</v>
      </c>
      <c r="O40" s="57" t="s">
        <v>165</v>
      </c>
      <c r="P40" s="83">
        <v>4</v>
      </c>
      <c r="Q40" s="83">
        <v>0</v>
      </c>
      <c r="R40" s="19">
        <f t="shared" si="26"/>
        <v>742</v>
      </c>
      <c r="S40" s="19">
        <f t="shared" si="27"/>
        <v>835</v>
      </c>
      <c r="T40" s="19">
        <f t="shared" si="28"/>
        <v>4450</v>
      </c>
      <c r="U40" s="19">
        <f t="shared" si="29"/>
        <v>16672</v>
      </c>
      <c r="V40" s="19">
        <f t="shared" si="30"/>
        <v>23480</v>
      </c>
      <c r="W40" s="19">
        <f t="shared" si="31"/>
        <v>3950</v>
      </c>
      <c r="X40" s="38">
        <v>12500</v>
      </c>
      <c r="Y40" s="20">
        <f t="shared" si="20"/>
        <v>62629</v>
      </c>
      <c r="Z40" s="39">
        <v>0.08</v>
      </c>
      <c r="AA40" s="20">
        <f t="shared" si="21"/>
        <v>5010.32</v>
      </c>
      <c r="AB40" s="21">
        <f t="shared" si="32"/>
        <v>364</v>
      </c>
      <c r="AC40" s="21">
        <f t="shared" si="33"/>
        <v>300</v>
      </c>
      <c r="AD40" s="21">
        <f t="shared" si="34"/>
        <v>120</v>
      </c>
      <c r="AE40" s="21">
        <f t="shared" si="25"/>
        <v>1080</v>
      </c>
      <c r="AF40" s="22">
        <f t="shared" si="23"/>
        <v>1864</v>
      </c>
      <c r="AG40" s="23">
        <f t="shared" si="22"/>
        <v>6874.32</v>
      </c>
    </row>
    <row r="41" spans="1:33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18" t="s">
        <v>1</v>
      </c>
      <c r="I41" s="29" t="s">
        <v>362</v>
      </c>
      <c r="J41" s="17" t="str">
        <f t="shared" ref="J41:J48" si="35">VLOOKUP(A41,om_table,23,FALSE)</f>
        <v>Cellular Modem</v>
      </c>
      <c r="K41" s="17" t="str">
        <f>VLOOKUP(A41,om_table,22,FALSE)</f>
        <v>BioProbe3</v>
      </c>
      <c r="L41" s="17" t="str">
        <f>VLOOKUP(A41,om_table,20,FALSE)</f>
        <v>FS1001M</v>
      </c>
      <c r="M41" s="57" t="str">
        <f t="shared" ref="M41:M48" si="36">VLOOKUP(A41,om_table,21,FALSE)</f>
        <v>Biomark MUX</v>
      </c>
      <c r="N41" s="16">
        <f t="shared" ref="N41:N48" si="37">VLOOKUP(A41,om_table,30,FALSE)</f>
        <v>6</v>
      </c>
      <c r="O41" s="17" t="str">
        <f t="shared" ref="O41:O48" si="38">VLOOKUP(A41,om_table,9,FALSE)</f>
        <v>Grid Power</v>
      </c>
      <c r="P41" s="16">
        <f t="shared" ref="P41:P48" si="39">VLOOKUP(A41,om_table,16,FALSE)</f>
        <v>4</v>
      </c>
      <c r="Q41" s="16">
        <f t="shared" ref="Q41:Q48" si="40">VLOOKUP(A41,om_table,17,FALSE)</f>
        <v>0</v>
      </c>
      <c r="R41" s="19">
        <f t="shared" si="26"/>
        <v>742</v>
      </c>
      <c r="S41" s="19">
        <f t="shared" si="27"/>
        <v>835</v>
      </c>
      <c r="T41" s="19">
        <f t="shared" si="28"/>
        <v>8500</v>
      </c>
      <c r="U41" s="19">
        <f t="shared" si="29"/>
        <v>0</v>
      </c>
      <c r="V41" s="19">
        <f t="shared" si="30"/>
        <v>17610</v>
      </c>
      <c r="W41" s="19">
        <f t="shared" si="31"/>
        <v>3950</v>
      </c>
      <c r="X41" s="19">
        <f t="shared" ref="X41:X48" si="41">VLOOKUP(A41,om_table,40,FALSE)</f>
        <v>12500</v>
      </c>
      <c r="Y41" s="20">
        <f t="shared" si="20"/>
        <v>44137</v>
      </c>
      <c r="Z41" s="39">
        <f t="shared" ref="Z41:Z48" si="42">VLOOKUP(A41,om_table,48,FALSE)</f>
        <v>0.1</v>
      </c>
      <c r="AA41" s="20">
        <f t="shared" si="21"/>
        <v>4413.7</v>
      </c>
      <c r="AB41" s="21">
        <f t="shared" si="32"/>
        <v>364</v>
      </c>
      <c r="AC41" s="21">
        <f t="shared" si="33"/>
        <v>300</v>
      </c>
      <c r="AD41" s="21">
        <f t="shared" si="34"/>
        <v>120</v>
      </c>
      <c r="AE41" s="21">
        <f t="shared" si="25"/>
        <v>1080</v>
      </c>
      <c r="AF41" s="22">
        <f t="shared" si="23"/>
        <v>1864</v>
      </c>
      <c r="AG41" s="23">
        <f t="shared" si="22"/>
        <v>6277.7</v>
      </c>
    </row>
    <row r="42" spans="1:33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18" t="s">
        <v>1</v>
      </c>
      <c r="I42" s="29" t="s">
        <v>362</v>
      </c>
      <c r="J42" s="17" t="str">
        <f t="shared" si="35"/>
        <v>Cellular Modem</v>
      </c>
      <c r="M42" s="57" t="str">
        <f t="shared" si="36"/>
        <v>Biomark IS1001</v>
      </c>
      <c r="N42" s="16">
        <f t="shared" si="37"/>
        <v>2</v>
      </c>
      <c r="O42" s="17" t="str">
        <f t="shared" si="38"/>
        <v>Solar</v>
      </c>
      <c r="P42" s="16">
        <f t="shared" si="39"/>
        <v>4</v>
      </c>
      <c r="Q42" s="16">
        <f t="shared" si="40"/>
        <v>4</v>
      </c>
      <c r="R42" s="19">
        <f t="shared" si="26"/>
        <v>742</v>
      </c>
      <c r="S42" s="19">
        <f t="shared" si="27"/>
        <v>0</v>
      </c>
      <c r="T42" s="19">
        <f t="shared" si="28"/>
        <v>0</v>
      </c>
      <c r="U42" s="19">
        <f t="shared" si="29"/>
        <v>4168</v>
      </c>
      <c r="V42" s="19">
        <f t="shared" si="30"/>
        <v>5870</v>
      </c>
      <c r="W42" s="19">
        <f t="shared" si="31"/>
        <v>12224</v>
      </c>
      <c r="X42" s="19">
        <f t="shared" si="41"/>
        <v>5000</v>
      </c>
      <c r="Y42" s="20">
        <f t="shared" si="20"/>
        <v>28004</v>
      </c>
      <c r="Z42" s="39">
        <f t="shared" si="42"/>
        <v>0.08</v>
      </c>
      <c r="AA42" s="20">
        <f t="shared" si="21"/>
        <v>2240.3200000000002</v>
      </c>
      <c r="AB42" s="21">
        <f t="shared" si="32"/>
        <v>364</v>
      </c>
      <c r="AC42" s="21">
        <f t="shared" si="33"/>
        <v>300</v>
      </c>
      <c r="AD42" s="21">
        <f t="shared" si="34"/>
        <v>0</v>
      </c>
      <c r="AE42" s="21">
        <f t="shared" si="25"/>
        <v>1080</v>
      </c>
      <c r="AF42" s="22">
        <f t="shared" si="23"/>
        <v>1744</v>
      </c>
      <c r="AG42" s="23">
        <f t="shared" si="22"/>
        <v>3984.32</v>
      </c>
    </row>
    <row r="43" spans="1:33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18" t="s">
        <v>1</v>
      </c>
      <c r="I43" s="29" t="s">
        <v>362</v>
      </c>
      <c r="J43" s="17" t="str">
        <f t="shared" si="35"/>
        <v>Cellular Modem</v>
      </c>
      <c r="K43" s="17" t="str">
        <f>VLOOKUP(A43,om_table,22,FALSE)</f>
        <v>BioProbe3</v>
      </c>
      <c r="M43" s="57" t="str">
        <f t="shared" si="36"/>
        <v>Biomark IS1001</v>
      </c>
      <c r="N43" s="16">
        <f t="shared" si="37"/>
        <v>2</v>
      </c>
      <c r="O43" s="17" t="str">
        <f t="shared" si="38"/>
        <v>Solar</v>
      </c>
      <c r="P43" s="16">
        <f t="shared" si="39"/>
        <v>6</v>
      </c>
      <c r="Q43" s="16">
        <f t="shared" si="40"/>
        <v>4</v>
      </c>
      <c r="R43" s="19">
        <f t="shared" si="26"/>
        <v>742</v>
      </c>
      <c r="S43" s="19">
        <f t="shared" si="27"/>
        <v>835</v>
      </c>
      <c r="T43" s="19">
        <f t="shared" si="28"/>
        <v>0</v>
      </c>
      <c r="U43" s="19">
        <f t="shared" si="29"/>
        <v>4168</v>
      </c>
      <c r="V43" s="19">
        <f t="shared" si="30"/>
        <v>5870</v>
      </c>
      <c r="W43" s="19">
        <f t="shared" si="31"/>
        <v>12924</v>
      </c>
      <c r="X43" s="19">
        <f t="shared" si="41"/>
        <v>5000</v>
      </c>
      <c r="Y43" s="20">
        <f t="shared" si="20"/>
        <v>29539</v>
      </c>
      <c r="Z43" s="39">
        <f t="shared" si="42"/>
        <v>0.08</v>
      </c>
      <c r="AA43" s="20">
        <f t="shared" si="21"/>
        <v>2363.12</v>
      </c>
      <c r="AB43" s="21">
        <f t="shared" si="32"/>
        <v>546</v>
      </c>
      <c r="AC43" s="21">
        <f t="shared" si="33"/>
        <v>300</v>
      </c>
      <c r="AD43" s="21">
        <f t="shared" si="34"/>
        <v>0</v>
      </c>
      <c r="AE43" s="21">
        <f t="shared" si="25"/>
        <v>1080</v>
      </c>
      <c r="AF43" s="22">
        <f t="shared" si="23"/>
        <v>1926</v>
      </c>
      <c r="AG43" s="23">
        <f t="shared" si="22"/>
        <v>4289.12</v>
      </c>
    </row>
    <row r="44" spans="1:33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18" t="s">
        <v>1</v>
      </c>
      <c r="I44" s="29" t="s">
        <v>362</v>
      </c>
      <c r="J44" s="17" t="str">
        <f t="shared" si="35"/>
        <v>Cellular Modem</v>
      </c>
      <c r="K44" s="17" t="str">
        <f>VLOOKUP(A44,om_table,22,FALSE)</f>
        <v>BioProbe3</v>
      </c>
      <c r="M44" s="57" t="str">
        <f t="shared" si="36"/>
        <v>Biomark IS1001</v>
      </c>
      <c r="N44" s="16">
        <f t="shared" si="37"/>
        <v>2</v>
      </c>
      <c r="O44" s="17" t="str">
        <f t="shared" si="38"/>
        <v>Grid Power</v>
      </c>
      <c r="P44" s="16">
        <f t="shared" si="39"/>
        <v>4</v>
      </c>
      <c r="Q44" s="16">
        <f t="shared" si="40"/>
        <v>0</v>
      </c>
      <c r="R44" s="19">
        <f t="shared" si="26"/>
        <v>742</v>
      </c>
      <c r="S44" s="19">
        <f t="shared" si="27"/>
        <v>835</v>
      </c>
      <c r="T44" s="19">
        <f t="shared" si="28"/>
        <v>0</v>
      </c>
      <c r="U44" s="19">
        <f t="shared" si="29"/>
        <v>4168</v>
      </c>
      <c r="V44" s="19">
        <f t="shared" si="30"/>
        <v>5870</v>
      </c>
      <c r="W44" s="19">
        <f t="shared" si="31"/>
        <v>3950</v>
      </c>
      <c r="X44" s="19">
        <f t="shared" si="41"/>
        <v>5000</v>
      </c>
      <c r="Y44" s="20">
        <f t="shared" si="20"/>
        <v>20565</v>
      </c>
      <c r="Z44" s="39">
        <f t="shared" si="42"/>
        <v>0.08</v>
      </c>
      <c r="AA44" s="20">
        <f t="shared" si="21"/>
        <v>1645.2</v>
      </c>
      <c r="AB44" s="21">
        <f t="shared" si="32"/>
        <v>364</v>
      </c>
      <c r="AC44" s="21">
        <f t="shared" si="33"/>
        <v>300</v>
      </c>
      <c r="AD44" s="21">
        <f t="shared" si="34"/>
        <v>120</v>
      </c>
      <c r="AE44" s="21">
        <f t="shared" si="25"/>
        <v>1080</v>
      </c>
      <c r="AF44" s="22">
        <f t="shared" si="23"/>
        <v>1864</v>
      </c>
      <c r="AG44" s="23">
        <f t="shared" si="22"/>
        <v>3509.2</v>
      </c>
    </row>
    <row r="45" spans="1:33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18" t="s">
        <v>1</v>
      </c>
      <c r="I45" s="29" t="s">
        <v>362</v>
      </c>
      <c r="J45" s="17" t="str">
        <f t="shared" si="35"/>
        <v>Cellular Modem</v>
      </c>
      <c r="M45" s="57" t="str">
        <f t="shared" si="36"/>
        <v>Biomark IS1001</v>
      </c>
      <c r="N45" s="16">
        <f t="shared" si="37"/>
        <v>2</v>
      </c>
      <c r="O45" s="17" t="str">
        <f t="shared" si="38"/>
        <v>Grid Power</v>
      </c>
      <c r="P45" s="16">
        <f t="shared" si="39"/>
        <v>4</v>
      </c>
      <c r="Q45" s="16">
        <f t="shared" si="40"/>
        <v>0</v>
      </c>
      <c r="R45" s="19">
        <f t="shared" si="26"/>
        <v>742</v>
      </c>
      <c r="S45" s="19">
        <f t="shared" si="27"/>
        <v>0</v>
      </c>
      <c r="T45" s="19">
        <f t="shared" si="28"/>
        <v>0</v>
      </c>
      <c r="U45" s="19">
        <f t="shared" si="29"/>
        <v>4168</v>
      </c>
      <c r="V45" s="19">
        <f t="shared" si="30"/>
        <v>5870</v>
      </c>
      <c r="W45" s="19">
        <f t="shared" si="31"/>
        <v>3950</v>
      </c>
      <c r="X45" s="19">
        <f t="shared" si="41"/>
        <v>5000</v>
      </c>
      <c r="Y45" s="20">
        <f t="shared" si="20"/>
        <v>19730</v>
      </c>
      <c r="Z45" s="39">
        <f t="shared" si="42"/>
        <v>0.08</v>
      </c>
      <c r="AA45" s="20">
        <f t="shared" si="21"/>
        <v>1578.4</v>
      </c>
      <c r="AB45" s="21">
        <f t="shared" si="32"/>
        <v>364</v>
      </c>
      <c r="AC45" s="21">
        <f t="shared" si="33"/>
        <v>300</v>
      </c>
      <c r="AD45" s="21">
        <f t="shared" si="34"/>
        <v>120</v>
      </c>
      <c r="AE45" s="21">
        <f t="shared" si="25"/>
        <v>1080</v>
      </c>
      <c r="AF45" s="22">
        <f t="shared" si="23"/>
        <v>1864</v>
      </c>
      <c r="AG45" s="23">
        <f t="shared" si="22"/>
        <v>3442.4</v>
      </c>
    </row>
    <row r="46" spans="1:33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18" t="s">
        <v>1</v>
      </c>
      <c r="I46" s="29" t="s">
        <v>362</v>
      </c>
      <c r="J46" s="17" t="str">
        <f t="shared" si="35"/>
        <v>Satellite Modem</v>
      </c>
      <c r="K46" s="17" t="str">
        <f>VLOOKUP(A46,om_table,22,FALSE)</f>
        <v>BioProbe3</v>
      </c>
      <c r="L46" s="17" t="str">
        <f>VLOOKUP(A46,om_table,20,FALSE)</f>
        <v>IS1001-MTS</v>
      </c>
      <c r="M46" s="57" t="str">
        <f t="shared" si="36"/>
        <v>Biomark IS1001</v>
      </c>
      <c r="N46" s="16">
        <f t="shared" si="37"/>
        <v>9</v>
      </c>
      <c r="O46" s="17" t="str">
        <f t="shared" si="38"/>
        <v>5060 Hybrid TEG</v>
      </c>
      <c r="P46" s="16">
        <f t="shared" si="39"/>
        <v>4</v>
      </c>
      <c r="Q46" s="16">
        <f t="shared" si="40"/>
        <v>4</v>
      </c>
      <c r="R46" s="19">
        <f t="shared" si="26"/>
        <v>2000</v>
      </c>
      <c r="S46" s="19">
        <f t="shared" si="27"/>
        <v>835</v>
      </c>
      <c r="T46" s="19">
        <f t="shared" si="28"/>
        <v>4450</v>
      </c>
      <c r="U46" s="19">
        <f t="shared" si="29"/>
        <v>18756</v>
      </c>
      <c r="V46" s="19">
        <f t="shared" si="30"/>
        <v>26415</v>
      </c>
      <c r="W46" s="19">
        <f t="shared" si="31"/>
        <v>29303</v>
      </c>
      <c r="X46" s="19">
        <f t="shared" si="41"/>
        <v>12500</v>
      </c>
      <c r="Y46" s="20">
        <f t="shared" si="20"/>
        <v>94259</v>
      </c>
      <c r="Z46" s="39">
        <f t="shared" si="42"/>
        <v>0.08</v>
      </c>
      <c r="AA46" s="20">
        <f t="shared" si="21"/>
        <v>7540.72</v>
      </c>
      <c r="AB46" s="21">
        <f t="shared" si="32"/>
        <v>364</v>
      </c>
      <c r="AC46" s="21">
        <f t="shared" si="33"/>
        <v>1440</v>
      </c>
      <c r="AD46" s="21">
        <f t="shared" si="34"/>
        <v>780.19</v>
      </c>
      <c r="AE46" s="21">
        <f t="shared" si="25"/>
        <v>1080</v>
      </c>
      <c r="AF46" s="22">
        <f t="shared" si="23"/>
        <v>3664.19</v>
      </c>
      <c r="AG46" s="23">
        <f t="shared" si="22"/>
        <v>11204.91</v>
      </c>
    </row>
    <row r="47" spans="1:33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18" t="s">
        <v>1</v>
      </c>
      <c r="I47" s="29" t="s">
        <v>362</v>
      </c>
      <c r="J47" s="17" t="str">
        <f t="shared" si="35"/>
        <v>Satellite Modem</v>
      </c>
      <c r="K47" s="17" t="str">
        <f>VLOOKUP(A47,om_table,22,FALSE)</f>
        <v>BioProbe3</v>
      </c>
      <c r="L47" s="17" t="str">
        <f>VLOOKUP(A47,om_table,20,FALSE)</f>
        <v>FS1001M</v>
      </c>
      <c r="M47" s="57" t="str">
        <f t="shared" si="36"/>
        <v>Biomark MUX</v>
      </c>
      <c r="N47" s="16">
        <f t="shared" si="37"/>
        <v>4</v>
      </c>
      <c r="O47" s="17" t="str">
        <f t="shared" si="38"/>
        <v>5060 TEG</v>
      </c>
      <c r="P47" s="16">
        <f t="shared" si="39"/>
        <v>0</v>
      </c>
      <c r="Q47" s="16">
        <f t="shared" si="40"/>
        <v>0</v>
      </c>
      <c r="R47" s="19">
        <f t="shared" si="26"/>
        <v>2000</v>
      </c>
      <c r="S47" s="19">
        <f t="shared" si="27"/>
        <v>835</v>
      </c>
      <c r="T47" s="19">
        <f t="shared" si="28"/>
        <v>8500</v>
      </c>
      <c r="U47" s="19">
        <f t="shared" si="29"/>
        <v>0</v>
      </c>
      <c r="V47" s="19">
        <f t="shared" si="30"/>
        <v>11740</v>
      </c>
      <c r="W47" s="19">
        <f t="shared" si="31"/>
        <v>10479</v>
      </c>
      <c r="X47" s="19">
        <f t="shared" si="41"/>
        <v>12500</v>
      </c>
      <c r="Y47" s="20">
        <f t="shared" si="20"/>
        <v>46054</v>
      </c>
      <c r="Z47" s="39">
        <f t="shared" si="42"/>
        <v>0.1</v>
      </c>
      <c r="AA47" s="20">
        <f t="shared" si="21"/>
        <v>4605.4000000000005</v>
      </c>
      <c r="AB47" s="21">
        <f t="shared" si="32"/>
        <v>0</v>
      </c>
      <c r="AC47" s="21">
        <f t="shared" si="33"/>
        <v>1440</v>
      </c>
      <c r="AD47" s="21">
        <f t="shared" si="34"/>
        <v>1560.38</v>
      </c>
      <c r="AE47" s="21">
        <f t="shared" si="25"/>
        <v>1080</v>
      </c>
      <c r="AF47" s="22">
        <f t="shared" si="23"/>
        <v>4080.38</v>
      </c>
      <c r="AG47" s="23">
        <f t="shared" si="22"/>
        <v>8685.7800000000007</v>
      </c>
    </row>
    <row r="48" spans="1:33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18" t="s">
        <v>1</v>
      </c>
      <c r="I48" s="29" t="s">
        <v>362</v>
      </c>
      <c r="J48" s="17" t="str">
        <f t="shared" si="35"/>
        <v>Satellite Modem</v>
      </c>
      <c r="K48" s="17" t="str">
        <f>VLOOKUP(A48,om_table,22,FALSE)</f>
        <v>BioProbe3</v>
      </c>
      <c r="L48" s="17" t="str">
        <f>VLOOKUP(A48,om_table,20,FALSE)</f>
        <v>FS1001M</v>
      </c>
      <c r="M48" s="57" t="str">
        <f t="shared" si="36"/>
        <v>Biomark MUX</v>
      </c>
      <c r="N48" s="16">
        <f t="shared" si="37"/>
        <v>2</v>
      </c>
      <c r="O48" s="17" t="str">
        <f t="shared" si="38"/>
        <v>5060 TEG</v>
      </c>
      <c r="P48" s="16">
        <f t="shared" si="39"/>
        <v>0</v>
      </c>
      <c r="Q48" s="16">
        <f t="shared" si="40"/>
        <v>0</v>
      </c>
      <c r="R48" s="19">
        <f t="shared" si="26"/>
        <v>2000</v>
      </c>
      <c r="S48" s="19">
        <f t="shared" si="27"/>
        <v>835</v>
      </c>
      <c r="T48" s="19">
        <f t="shared" si="28"/>
        <v>8500</v>
      </c>
      <c r="U48" s="19">
        <f t="shared" si="29"/>
        <v>0</v>
      </c>
      <c r="V48" s="19">
        <f t="shared" si="30"/>
        <v>5870</v>
      </c>
      <c r="W48" s="19">
        <f t="shared" si="31"/>
        <v>10479</v>
      </c>
      <c r="X48" s="19">
        <f t="shared" si="41"/>
        <v>5000</v>
      </c>
      <c r="Y48" s="20">
        <f t="shared" si="20"/>
        <v>32684</v>
      </c>
      <c r="Z48" s="39">
        <f t="shared" si="42"/>
        <v>0.1</v>
      </c>
      <c r="AA48" s="20">
        <f t="shared" si="21"/>
        <v>3268.4</v>
      </c>
      <c r="AB48" s="21">
        <f t="shared" si="32"/>
        <v>0</v>
      </c>
      <c r="AC48" s="21">
        <f t="shared" si="33"/>
        <v>1440</v>
      </c>
      <c r="AD48" s="21">
        <f t="shared" si="34"/>
        <v>1560.38</v>
      </c>
      <c r="AE48" s="21">
        <f t="shared" si="25"/>
        <v>1080</v>
      </c>
      <c r="AF48" s="22">
        <f t="shared" si="23"/>
        <v>4080.38</v>
      </c>
      <c r="AG48" s="23">
        <f t="shared" si="22"/>
        <v>7348.7800000000007</v>
      </c>
    </row>
    <row r="49" spans="1:33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18" t="s">
        <v>1</v>
      </c>
      <c r="I49" s="29" t="s">
        <v>362</v>
      </c>
      <c r="J49" s="17" t="str">
        <f>VLOOKUP(A49,om_table,23,FALSE)</f>
        <v>Satellite Modem</v>
      </c>
      <c r="K49" s="17" t="str">
        <f>VLOOKUP(A49,om_table,22,FALSE)</f>
        <v>BioProbe3</v>
      </c>
      <c r="L49" s="17" t="str">
        <f>VLOOKUP(A49,om_table,20,FALSE)</f>
        <v>FS1001M</v>
      </c>
      <c r="M49" s="57" t="str">
        <f>VLOOKUP(A49,om_table,21,FALSE)</f>
        <v>Biomark MUX</v>
      </c>
      <c r="N49" s="16">
        <f>VLOOKUP(A49,om_table,30,FALSE)</f>
        <v>5</v>
      </c>
      <c r="O49" s="17" t="str">
        <f>VLOOKUP(A49,om_table,9,FALSE)</f>
        <v>5060 Hybrid TEG</v>
      </c>
      <c r="P49" s="16">
        <f>VLOOKUP(A49,om_table,16,FALSE)</f>
        <v>6</v>
      </c>
      <c r="Q49" s="16">
        <f>VLOOKUP(A49,om_table,17,FALSE)</f>
        <v>4</v>
      </c>
      <c r="R49" s="19">
        <f>VLOOKUP(J49,communication,2,FALSE)</f>
        <v>2000</v>
      </c>
      <c r="S49" s="19">
        <f>IFERROR(VLOOKUP(K49,datalogger,2,FALSE),0)</f>
        <v>835</v>
      </c>
      <c r="T49" s="19">
        <f>IFERROR(VLOOKUP(L49,transceiver,2,FALSE),0)</f>
        <v>8500</v>
      </c>
      <c r="U49" s="19">
        <f>VLOOKUP(M49,reader,2,FALSE)*N49</f>
        <v>0</v>
      </c>
      <c r="V49" s="19">
        <f>N49*antenna_cost</f>
        <v>14675</v>
      </c>
      <c r="W49" s="19">
        <f>_xlfn.IFS(O49="Grid Power", 2550, O49="Grid Power PLC", 3940, O49="5060 Hybrid TEG", 27903, O49="5060 TEG", 10479, O49="5120 TEG", 13874, O49="Solar", solar_array_cost*Q49)+(P49*battery_cost)</f>
        <v>30003</v>
      </c>
      <c r="X49" s="19">
        <f>VLOOKUP(A49,om_table,40,FALSE)</f>
        <v>12500</v>
      </c>
      <c r="Y49" s="20">
        <f>SUM(R49:X49)</f>
        <v>68513</v>
      </c>
      <c r="Z49" s="39">
        <f>VLOOKUP(A49,om_table,48,FALSE)</f>
        <v>0.1</v>
      </c>
      <c r="AA49" s="20">
        <f>Y49*Z49</f>
        <v>6851.3</v>
      </c>
      <c r="AB49" s="21">
        <f>(P49*battery_replacement)/4</f>
        <v>546</v>
      </c>
      <c r="AC49" s="21">
        <f>VLOOKUP(J49,communication,3,FALSE)</f>
        <v>1440</v>
      </c>
      <c r="AD49" s="21">
        <f>VLOOKUP(O49,power,3,FALSE)</f>
        <v>780.19</v>
      </c>
      <c r="AE49" s="21">
        <f t="shared" si="18"/>
        <v>1080</v>
      </c>
      <c r="AF49" s="22">
        <f>SUM(AB49:AE49)</f>
        <v>3846.19</v>
      </c>
      <c r="AG49" s="23">
        <f>AF49+AA49</f>
        <v>10697.49</v>
      </c>
    </row>
    <row r="50" spans="1:33" x14ac:dyDescent="0.2">
      <c r="C50" s="18"/>
      <c r="D50" s="18"/>
      <c r="F50" s="18"/>
      <c r="G50" s="18"/>
      <c r="H50" s="18"/>
      <c r="I50" s="29"/>
    </row>
    <row r="52" spans="1:33" ht="10.5" x14ac:dyDescent="0.25">
      <c r="Q52" s="40" t="s">
        <v>354</v>
      </c>
      <c r="R52" s="41" t="s">
        <v>147</v>
      </c>
      <c r="S52" s="41" t="s">
        <v>148</v>
      </c>
      <c r="T52" s="41" t="s">
        <v>149</v>
      </c>
      <c r="U52" s="41" t="s">
        <v>150</v>
      </c>
      <c r="V52" s="41" t="s">
        <v>151</v>
      </c>
      <c r="W52" s="41" t="s">
        <v>152</v>
      </c>
      <c r="X52" s="41" t="s">
        <v>153</v>
      </c>
      <c r="Y52" s="42" t="s">
        <v>339</v>
      </c>
      <c r="Z52" s="42" t="s">
        <v>159</v>
      </c>
      <c r="AA52" s="42" t="s">
        <v>358</v>
      </c>
      <c r="AB52" s="43" t="s">
        <v>155</v>
      </c>
      <c r="AC52" s="44" t="s">
        <v>156</v>
      </c>
      <c r="AD52" s="44" t="s">
        <v>157</v>
      </c>
      <c r="AE52" s="44" t="s">
        <v>158</v>
      </c>
      <c r="AF52" s="45" t="s">
        <v>349</v>
      </c>
      <c r="AG52" s="46" t="s">
        <v>345</v>
      </c>
    </row>
    <row r="53" spans="1:33" x14ac:dyDescent="0.2">
      <c r="Q53" s="32" t="s">
        <v>99</v>
      </c>
      <c r="R53" s="19">
        <f>SUMIFS(R$2:R$49,$D$2:$D$49,$Q53,R$2:R$49,"&lt;&gt;#N/A")</f>
        <v>39194</v>
      </c>
      <c r="S53" s="19">
        <f>SUMIFS(S$2:S$49,$D$2:$D$49,$Q53,S$2:S$49,"&lt;&gt;#N/A")</f>
        <v>18370</v>
      </c>
      <c r="T53" s="19">
        <f t="shared" ref="T53:X53" si="43">SUMIFS(T$2:T$49,$D$2:$D$49,$Q53,T$2:T$49,"&lt;&gt;#N/A")</f>
        <v>163900</v>
      </c>
      <c r="U53" s="19">
        <f t="shared" si="43"/>
        <v>206316</v>
      </c>
      <c r="V53" s="19">
        <f t="shared" si="43"/>
        <v>484275</v>
      </c>
      <c r="W53" s="19">
        <f t="shared" si="43"/>
        <v>300581</v>
      </c>
      <c r="X53" s="19">
        <f t="shared" si="43"/>
        <v>312500</v>
      </c>
      <c r="Y53" s="35">
        <f>SUMIFS(Y$2:Y$49,$D$2:$D$49,$Q53,Y$2:Y$49,"&lt;&gt;#N/A")</f>
        <v>1525136</v>
      </c>
      <c r="Z53" s="35"/>
      <c r="AA53" s="35">
        <f>SUMIFS(AA$2:AA$49,$D$2:$D$49,$Q53,AA$2:AA$49,"&lt;&gt;#N/A")</f>
        <v>135396.36000000002</v>
      </c>
      <c r="AB53" s="21">
        <f>SUMIFS(AB$2:AB$49,$D$2:$D$49,$Q53,AB$2:AB$49,"&lt;&gt;#N/A")</f>
        <v>9282</v>
      </c>
      <c r="AC53" s="21">
        <f>SUMIFS(AC$2:AC$49,$D$2:$D$49,$Q53,AC$2:AC$49,"&lt;&gt;#N/A")</f>
        <v>26580</v>
      </c>
      <c r="AD53" s="21">
        <f t="shared" ref="AD53:AE53" si="44">SUMIFS(AD$2:AD$49,$D$2:$D$49,$Q53,AD$2:AD$49,"&lt;&gt;#N/A")</f>
        <v>22505.100000000002</v>
      </c>
      <c r="AE53" s="21">
        <f t="shared" si="44"/>
        <v>27000</v>
      </c>
      <c r="AF53" s="36">
        <f>SUMIFS(AF$2:AF$49,$D$2:$D$49,$Q53,AF$2:AF$49,"&lt;&gt;#N/A")</f>
        <v>85367.1</v>
      </c>
      <c r="AG53" s="37">
        <f>SUMIFS(AG$2:AG$49,$D$2:$D$49,$Q53,AG$2:AG$49,"&lt;&gt;#N/A")</f>
        <v>220763.45999999996</v>
      </c>
    </row>
    <row r="54" spans="1:33" x14ac:dyDescent="0.2">
      <c r="Q54" s="32" t="s">
        <v>94</v>
      </c>
      <c r="R54" s="19">
        <f>SUMIFS(R$2:R$49,$D$2:$D$49,$Q54,R$2:R$49,"&lt;&gt;#N/A")</f>
        <v>13142</v>
      </c>
      <c r="S54" s="19">
        <f t="shared" ref="S54:X56" si="45">SUMIFS(S$2:S$49,$D$2:$D$49,$Q54,S$2:S$49,"&lt;&gt;#N/A")</f>
        <v>7515</v>
      </c>
      <c r="T54" s="19">
        <f t="shared" si="45"/>
        <v>44100</v>
      </c>
      <c r="U54" s="19">
        <f t="shared" si="45"/>
        <v>156300</v>
      </c>
      <c r="V54" s="19">
        <f t="shared" si="45"/>
        <v>231865</v>
      </c>
      <c r="W54" s="19">
        <f t="shared" si="45"/>
        <v>69606</v>
      </c>
      <c r="X54" s="19">
        <f t="shared" si="45"/>
        <v>112500</v>
      </c>
      <c r="Y54" s="35">
        <f>SUMIFS(Y$2:Y$49,$D$2:$D$49,$Q54,Y$2:Y$49,"&lt;&gt;#N/A")</f>
        <v>635028</v>
      </c>
      <c r="Z54" s="35"/>
      <c r="AA54" s="35">
        <f t="shared" ref="AA54:AG56" si="46">SUMIFS(AA$2:AA$49,$D$2:$D$49,$Q54,AA$2:AA$49,"&lt;&gt;#N/A")</f>
        <v>51532.739999999991</v>
      </c>
      <c r="AB54" s="21">
        <f t="shared" si="46"/>
        <v>2912</v>
      </c>
      <c r="AC54" s="21">
        <f>SUMIFS(AC$2:AC$49,$D$2:$D$49,$Q54,AC$2:AC$49,"&lt;&gt;#N/A")</f>
        <v>8940</v>
      </c>
      <c r="AD54" s="21">
        <f t="shared" si="46"/>
        <v>6841.51</v>
      </c>
      <c r="AE54" s="21">
        <f t="shared" si="46"/>
        <v>9720</v>
      </c>
      <c r="AF54" s="36">
        <f t="shared" si="46"/>
        <v>28413.510000000002</v>
      </c>
      <c r="AG54" s="37">
        <f t="shared" si="46"/>
        <v>79946.25</v>
      </c>
    </row>
    <row r="55" spans="1:33" x14ac:dyDescent="0.2">
      <c r="Q55" s="32" t="s">
        <v>97</v>
      </c>
      <c r="R55" s="19">
        <f>SUMIFS(R$2:R$49,$D$2:$D$49,$Q55,R$2:R$49,"&lt;&gt;#N/A")</f>
        <v>6742</v>
      </c>
      <c r="S55" s="19">
        <f t="shared" si="45"/>
        <v>3340</v>
      </c>
      <c r="T55" s="19">
        <f t="shared" si="45"/>
        <v>17800</v>
      </c>
      <c r="U55" s="19">
        <f t="shared" si="45"/>
        <v>83360</v>
      </c>
      <c r="V55" s="19">
        <f t="shared" si="45"/>
        <v>117400</v>
      </c>
      <c r="W55" s="19">
        <f t="shared" si="45"/>
        <v>63801</v>
      </c>
      <c r="X55" s="19">
        <f t="shared" si="45"/>
        <v>50000</v>
      </c>
      <c r="Y55" s="35">
        <f>SUMIFS(Y$2:Y$49,$D$2:$D$49,$Q55,Y$2:Y$49,"&lt;&gt;#N/A")</f>
        <v>342443</v>
      </c>
      <c r="Z55" s="35"/>
      <c r="AA55" s="35">
        <f t="shared" si="46"/>
        <v>27395.439999999999</v>
      </c>
      <c r="AB55" s="21">
        <f t="shared" si="46"/>
        <v>1456</v>
      </c>
      <c r="AC55" s="21">
        <f>SUMIFS(AC$2:AC$49,$D$2:$D$49,$Q55,AC$2:AC$49,"&lt;&gt;#N/A")</f>
        <v>4620</v>
      </c>
      <c r="AD55" s="21">
        <f t="shared" si="46"/>
        <v>7141.6900000000005</v>
      </c>
      <c r="AE55" s="21">
        <f t="shared" si="46"/>
        <v>4320</v>
      </c>
      <c r="AF55" s="36">
        <f t="shared" si="46"/>
        <v>17537.690000000002</v>
      </c>
      <c r="AG55" s="37">
        <f t="shared" si="46"/>
        <v>44933.13</v>
      </c>
    </row>
    <row r="56" spans="1:33" x14ac:dyDescent="0.2">
      <c r="Q56" s="34" t="s">
        <v>98</v>
      </c>
      <c r="R56" s="19">
        <f>SUMIFS(R$2:R$49,$D$2:$D$49,$Q56,R$2:R$49,"&lt;&gt;#N/A")</f>
        <v>11710</v>
      </c>
      <c r="S56" s="19">
        <f t="shared" si="45"/>
        <v>5845</v>
      </c>
      <c r="T56" s="19">
        <f t="shared" si="45"/>
        <v>38450</v>
      </c>
      <c r="U56" s="19">
        <f t="shared" si="45"/>
        <v>35428</v>
      </c>
      <c r="V56" s="19">
        <f t="shared" si="45"/>
        <v>99790</v>
      </c>
      <c r="W56" s="19">
        <f t="shared" si="45"/>
        <v>117262</v>
      </c>
      <c r="X56" s="19">
        <f t="shared" si="45"/>
        <v>75000</v>
      </c>
      <c r="Y56" s="35">
        <f>SUMIFS(Y$2:Y$49,$D$2:$D$49,$Q56,Y$2:Y$49,"&lt;&gt;#N/A")</f>
        <v>383485</v>
      </c>
      <c r="Z56" s="35"/>
      <c r="AA56" s="35">
        <f t="shared" si="46"/>
        <v>34506.560000000005</v>
      </c>
      <c r="AB56" s="21">
        <f t="shared" si="46"/>
        <v>2912</v>
      </c>
      <c r="AC56" s="21">
        <f>SUMIFS(AC$2:AC$49,$D$2:$D$49,$Q56,AC$2:AC$49,"&lt;&gt;#N/A")</f>
        <v>7260</v>
      </c>
      <c r="AD56" s="21">
        <f t="shared" si="46"/>
        <v>5041.1400000000012</v>
      </c>
      <c r="AE56" s="21">
        <f t="shared" si="46"/>
        <v>9720</v>
      </c>
      <c r="AF56" s="36">
        <f t="shared" si="46"/>
        <v>24933.14</v>
      </c>
      <c r="AG56" s="37">
        <f t="shared" si="46"/>
        <v>59439.7</v>
      </c>
    </row>
    <row r="58" spans="1:33" ht="10.5" x14ac:dyDescent="0.25">
      <c r="Q58" s="33" t="s">
        <v>355</v>
      </c>
      <c r="R58" s="47">
        <f>R53+R56</f>
        <v>50904</v>
      </c>
      <c r="S58" s="47">
        <f t="shared" ref="S58:AE58" si="47">S53+S56</f>
        <v>24215</v>
      </c>
      <c r="T58" s="47">
        <f t="shared" si="47"/>
        <v>202350</v>
      </c>
      <c r="U58" s="47">
        <f t="shared" si="47"/>
        <v>241744</v>
      </c>
      <c r="V58" s="47">
        <f t="shared" si="47"/>
        <v>584065</v>
      </c>
      <c r="W58" s="47">
        <f t="shared" si="47"/>
        <v>417843</v>
      </c>
      <c r="X58" s="47">
        <f t="shared" si="47"/>
        <v>387500</v>
      </c>
      <c r="Y58" s="48">
        <f>Y53+Y56</f>
        <v>1908621</v>
      </c>
      <c r="Z58" s="48"/>
      <c r="AA58" s="48">
        <f>AA53+AA56</f>
        <v>169902.92</v>
      </c>
      <c r="AB58" s="49">
        <f>AB53+AB56</f>
        <v>12194</v>
      </c>
      <c r="AC58" s="49">
        <f>AC53+AC56</f>
        <v>33840</v>
      </c>
      <c r="AD58" s="49">
        <f t="shared" si="47"/>
        <v>27546.240000000005</v>
      </c>
      <c r="AE58" s="49">
        <f t="shared" si="47"/>
        <v>36720</v>
      </c>
      <c r="AF58" s="50">
        <f>AF53+AF56</f>
        <v>110300.24</v>
      </c>
      <c r="AG58" s="51">
        <f>AG53+AG56</f>
        <v>280203.15999999997</v>
      </c>
    </row>
    <row r="59" spans="1:33" ht="10.5" x14ac:dyDescent="0.25">
      <c r="Q59" s="33" t="s">
        <v>356</v>
      </c>
      <c r="R59" s="47">
        <f>SUM(R53:R55)</f>
        <v>59078</v>
      </c>
      <c r="S59" s="47">
        <f t="shared" ref="S59:AE59" si="48">SUM(S53:S55)</f>
        <v>29225</v>
      </c>
      <c r="T59" s="47">
        <f t="shared" si="48"/>
        <v>225800</v>
      </c>
      <c r="U59" s="47">
        <f t="shared" si="48"/>
        <v>445976</v>
      </c>
      <c r="V59" s="47">
        <f t="shared" si="48"/>
        <v>833540</v>
      </c>
      <c r="W59" s="47">
        <f t="shared" si="48"/>
        <v>433988</v>
      </c>
      <c r="X59" s="47">
        <f t="shared" si="48"/>
        <v>475000</v>
      </c>
      <c r="Y59" s="48">
        <f>SUM(Y53:Y55)</f>
        <v>2502607</v>
      </c>
      <c r="Z59" s="48"/>
      <c r="AA59" s="48">
        <f>SUM(AA53:AA55)</f>
        <v>214324.54</v>
      </c>
      <c r="AB59" s="49">
        <f>SUM(AB53:AB55)</f>
        <v>13650</v>
      </c>
      <c r="AC59" s="49">
        <f t="shared" si="48"/>
        <v>40140</v>
      </c>
      <c r="AD59" s="49">
        <f t="shared" si="48"/>
        <v>36488.300000000003</v>
      </c>
      <c r="AE59" s="49">
        <f t="shared" si="48"/>
        <v>41040</v>
      </c>
      <c r="AF59" s="50">
        <f>SUM(AF53:AF55)</f>
        <v>131318.30000000002</v>
      </c>
      <c r="AG59" s="51">
        <f>SUM(AG53:AG55)</f>
        <v>345642.83999999997</v>
      </c>
    </row>
    <row r="60" spans="1:33" ht="10.5" x14ac:dyDescent="0.25">
      <c r="Q60" s="33" t="s">
        <v>357</v>
      </c>
      <c r="R60" s="47">
        <f>R59-R58</f>
        <v>8174</v>
      </c>
      <c r="S60" s="47">
        <f t="shared" ref="S60:AE60" si="49">S59-S58</f>
        <v>5010</v>
      </c>
      <c r="T60" s="47">
        <f t="shared" si="49"/>
        <v>23450</v>
      </c>
      <c r="U60" s="47">
        <f t="shared" si="49"/>
        <v>204232</v>
      </c>
      <c r="V60" s="47">
        <f t="shared" si="49"/>
        <v>249475</v>
      </c>
      <c r="W60" s="47">
        <f t="shared" si="49"/>
        <v>16145</v>
      </c>
      <c r="X60" s="47">
        <f t="shared" si="49"/>
        <v>87500</v>
      </c>
      <c r="Y60" s="48">
        <f>Y59-Y58</f>
        <v>593986</v>
      </c>
      <c r="Z60" s="48"/>
      <c r="AA60" s="48">
        <f>AA59-AA58</f>
        <v>44421.619999999995</v>
      </c>
      <c r="AB60" s="49">
        <f>AB59-AB58</f>
        <v>1456</v>
      </c>
      <c r="AC60" s="49">
        <f t="shared" si="49"/>
        <v>6300</v>
      </c>
      <c r="AD60" s="49">
        <f t="shared" si="49"/>
        <v>8942.0599999999977</v>
      </c>
      <c r="AE60" s="49">
        <f t="shared" si="49"/>
        <v>4320</v>
      </c>
      <c r="AF60" s="50">
        <f>AF59-AF58</f>
        <v>21018.060000000012</v>
      </c>
      <c r="AG60" s="51">
        <f>AG59-AG58</f>
        <v>65439.679999999993</v>
      </c>
    </row>
    <row r="61" spans="1:33" ht="10.5" x14ac:dyDescent="0.25">
      <c r="Q61" s="33" t="s">
        <v>359</v>
      </c>
      <c r="R61" s="52">
        <f>R60/R58</f>
        <v>0.16057677196291056</v>
      </c>
      <c r="S61" s="52">
        <f t="shared" ref="S61:AE61" si="50">S60/S58</f>
        <v>0.20689655172413793</v>
      </c>
      <c r="T61" s="52">
        <f t="shared" si="50"/>
        <v>0.11588831233012108</v>
      </c>
      <c r="U61" s="52">
        <f t="shared" si="50"/>
        <v>0.84482758620689657</v>
      </c>
      <c r="V61" s="52">
        <f t="shared" si="50"/>
        <v>0.42713567839195982</v>
      </c>
      <c r="W61" s="52">
        <f t="shared" si="50"/>
        <v>3.863891461625539E-2</v>
      </c>
      <c r="X61" s="52">
        <f t="shared" si="50"/>
        <v>0.22580645161290322</v>
      </c>
      <c r="Y61" s="53">
        <f>Y60/Y58</f>
        <v>0.31121212645150609</v>
      </c>
      <c r="Z61" s="53"/>
      <c r="AA61" s="53">
        <f>AA60/AA58</f>
        <v>0.26145295207404318</v>
      </c>
      <c r="AB61" s="54">
        <f>AB60/AB58</f>
        <v>0.11940298507462686</v>
      </c>
      <c r="AC61" s="54">
        <f t="shared" si="50"/>
        <v>0.18617021276595744</v>
      </c>
      <c r="AD61" s="54">
        <f t="shared" si="50"/>
        <v>0.32461998443344703</v>
      </c>
      <c r="AE61" s="54">
        <f t="shared" si="50"/>
        <v>0.11764705882352941</v>
      </c>
      <c r="AF61" s="55">
        <f>AF60/AF58</f>
        <v>0.19055316652076199</v>
      </c>
      <c r="AG61" s="56">
        <f>AG60/AG58</f>
        <v>0.23354369022819013</v>
      </c>
    </row>
  </sheetData>
  <sortState xmlns:xlrd2="http://schemas.microsoft.com/office/spreadsheetml/2017/richdata2" ref="A15:I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5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5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5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5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4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4">
      <c r="B7" s="5" t="s">
        <v>348</v>
      </c>
      <c r="C7" s="3">
        <v>90</v>
      </c>
      <c r="E7" s="79"/>
      <c r="F7" s="77"/>
    </row>
    <row r="8" spans="2:7" x14ac:dyDescent="0.35">
      <c r="E8" s="75" t="s">
        <v>137</v>
      </c>
      <c r="F8" s="6" t="s">
        <v>148</v>
      </c>
    </row>
    <row r="9" spans="2:7" x14ac:dyDescent="0.35">
      <c r="D9" s="73"/>
      <c r="E9" s="7" t="s">
        <v>333</v>
      </c>
      <c r="F9" s="2">
        <v>3121</v>
      </c>
    </row>
    <row r="10" spans="2:7" x14ac:dyDescent="0.35">
      <c r="D10" s="73"/>
      <c r="E10" s="7" t="s">
        <v>334</v>
      </c>
      <c r="F10" s="2">
        <v>0</v>
      </c>
    </row>
    <row r="11" spans="2:7" x14ac:dyDescent="0.35">
      <c r="D11" s="73"/>
      <c r="E11" s="7" t="s">
        <v>360</v>
      </c>
      <c r="F11" s="2">
        <v>525</v>
      </c>
    </row>
    <row r="12" spans="2:7" x14ac:dyDescent="0.35">
      <c r="D12" s="73"/>
      <c r="E12" s="7" t="s">
        <v>335</v>
      </c>
      <c r="F12" s="2">
        <v>2500</v>
      </c>
    </row>
    <row r="13" spans="2:7" ht="15" thickBot="1" x14ac:dyDescent="0.4">
      <c r="E13" s="5" t="s">
        <v>174</v>
      </c>
      <c r="F13" s="3">
        <v>835</v>
      </c>
    </row>
    <row r="14" spans="2:7" ht="15" thickBot="1" x14ac:dyDescent="0.4"/>
    <row r="15" spans="2:7" x14ac:dyDescent="0.35">
      <c r="E15" s="75" t="s">
        <v>136</v>
      </c>
      <c r="F15" s="74" t="s">
        <v>150</v>
      </c>
    </row>
    <row r="16" spans="2:7" x14ac:dyDescent="0.35">
      <c r="E16" s="7" t="s">
        <v>173</v>
      </c>
      <c r="F16" s="2">
        <v>0</v>
      </c>
    </row>
    <row r="17" spans="5:7" x14ac:dyDescent="0.35">
      <c r="E17" s="7" t="s">
        <v>192</v>
      </c>
      <c r="F17" s="2">
        <v>2084</v>
      </c>
    </row>
    <row r="18" spans="5:7" ht="15" thickBot="1" x14ac:dyDescent="0.4">
      <c r="E18" s="5" t="s">
        <v>340</v>
      </c>
      <c r="F18" s="3">
        <v>450</v>
      </c>
    </row>
    <row r="19" spans="5:7" ht="15" thickBot="1" x14ac:dyDescent="0.4"/>
    <row r="20" spans="5:7" x14ac:dyDescent="0.35">
      <c r="E20" s="75" t="s">
        <v>336</v>
      </c>
      <c r="F20" s="6" t="s">
        <v>149</v>
      </c>
    </row>
    <row r="21" spans="5:7" x14ac:dyDescent="0.35">
      <c r="E21" s="7" t="s">
        <v>172</v>
      </c>
      <c r="F21" s="2">
        <v>8500</v>
      </c>
    </row>
    <row r="22" spans="5:7" x14ac:dyDescent="0.35">
      <c r="E22" s="7" t="s">
        <v>191</v>
      </c>
      <c r="F22" s="2">
        <v>4450</v>
      </c>
    </row>
    <row r="23" spans="5:7" x14ac:dyDescent="0.35">
      <c r="E23" s="7" t="s">
        <v>337</v>
      </c>
      <c r="F23" s="2">
        <v>2500</v>
      </c>
    </row>
    <row r="24" spans="5:7" ht="15" thickBot="1" x14ac:dyDescent="0.4">
      <c r="E24" s="5" t="s">
        <v>338</v>
      </c>
      <c r="F24" s="3">
        <v>2500</v>
      </c>
    </row>
    <row r="25" spans="5:7" ht="15" thickBot="1" x14ac:dyDescent="0.4"/>
    <row r="26" spans="5:7" x14ac:dyDescent="0.35">
      <c r="E26" s="80" t="s">
        <v>346</v>
      </c>
      <c r="F26" s="81" t="s">
        <v>361</v>
      </c>
      <c r="G26" s="82" t="s">
        <v>347</v>
      </c>
    </row>
    <row r="27" spans="5:7" x14ac:dyDescent="0.35">
      <c r="E27" s="7" t="s">
        <v>165</v>
      </c>
      <c r="F27" s="77">
        <v>2550</v>
      </c>
      <c r="G27" s="2">
        <v>120</v>
      </c>
    </row>
    <row r="28" spans="5:7" x14ac:dyDescent="0.35">
      <c r="E28" s="7" t="s">
        <v>320</v>
      </c>
      <c r="F28" s="77">
        <v>3940</v>
      </c>
      <c r="G28" s="2">
        <v>120</v>
      </c>
    </row>
    <row r="29" spans="5:7" x14ac:dyDescent="0.35">
      <c r="E29" s="7" t="s">
        <v>183</v>
      </c>
      <c r="F29" s="77">
        <v>27903</v>
      </c>
      <c r="G29" s="2">
        <v>780.19</v>
      </c>
    </row>
    <row r="30" spans="5:7" x14ac:dyDescent="0.35">
      <c r="E30" s="7" t="s">
        <v>207</v>
      </c>
      <c r="F30" s="77">
        <v>10479</v>
      </c>
      <c r="G30" s="2">
        <v>1560.38</v>
      </c>
    </row>
    <row r="31" spans="5:7" x14ac:dyDescent="0.35">
      <c r="E31" s="7" t="s">
        <v>230</v>
      </c>
      <c r="F31" s="77">
        <v>13874</v>
      </c>
      <c r="G31" s="2">
        <v>3120.75</v>
      </c>
    </row>
    <row r="32" spans="5:7" ht="15" thickBot="1" x14ac:dyDescent="0.4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2024-12-16T20:44:43Z</dcterms:modified>
</cp:coreProperties>
</file>