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E68891CC-DBFF-46A9-B8CA-42168B20258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st Planning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costs">'O&amp;M Costs'!$A$1:$AI$50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4" l="1"/>
  <c r="Q47" i="1" l="1"/>
  <c r="AF47" i="1" s="1"/>
  <c r="AG47" i="1"/>
  <c r="Z5" i="4"/>
  <c r="AA5" i="4"/>
  <c r="AA6" i="4"/>
  <c r="Y7" i="4"/>
  <c r="Z7" i="4"/>
  <c r="Y8" i="4"/>
  <c r="Z8" i="4"/>
  <c r="Z9" i="4"/>
  <c r="AA9" i="4"/>
  <c r="Y10" i="4"/>
  <c r="AA10" i="4"/>
  <c r="Y11" i="4"/>
  <c r="AA11" i="4"/>
  <c r="Y12" i="4"/>
  <c r="Z12" i="4"/>
  <c r="Y13" i="4"/>
  <c r="Z13" i="4"/>
  <c r="AA13" i="4"/>
  <c r="Y14" i="4"/>
  <c r="Z14" i="4"/>
  <c r="AA14" i="4"/>
  <c r="Y15" i="4"/>
  <c r="Z15" i="4"/>
  <c r="Y16" i="4"/>
  <c r="Z16" i="4"/>
  <c r="AA16" i="4"/>
  <c r="Y17" i="4"/>
  <c r="Z17" i="4"/>
  <c r="AA17" i="4"/>
  <c r="Z18" i="4"/>
  <c r="AA18" i="4"/>
  <c r="Z19" i="4"/>
  <c r="AA19" i="4"/>
  <c r="Y20" i="4"/>
  <c r="AA20" i="4"/>
  <c r="Y21" i="4"/>
  <c r="AA21" i="4"/>
  <c r="Y22" i="4"/>
  <c r="Z22" i="4"/>
  <c r="Y23" i="4"/>
  <c r="Z23" i="4"/>
  <c r="Y24" i="4"/>
  <c r="Z24" i="4"/>
  <c r="Y25" i="4"/>
  <c r="Z25" i="4"/>
  <c r="Y26" i="4"/>
  <c r="Z26" i="4"/>
  <c r="Y27" i="4"/>
  <c r="Z27" i="4"/>
  <c r="AA27" i="4"/>
  <c r="Z28" i="4"/>
  <c r="AA28" i="4"/>
  <c r="Z29" i="4"/>
  <c r="AA29" i="4"/>
  <c r="Y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AA4" i="4"/>
  <c r="Y4" i="4"/>
  <c r="AH37" i="1" l="1"/>
  <c r="E11" i="4"/>
  <c r="G10" i="4"/>
  <c r="AH56" i="1"/>
  <c r="AH55" i="1"/>
  <c r="AD37" i="1"/>
  <c r="AE37" i="1"/>
  <c r="AF37" i="1"/>
  <c r="AG37" i="1"/>
  <c r="AA37" i="1"/>
  <c r="AC37" i="1" s="1"/>
  <c r="AI37" i="1" s="1"/>
  <c r="T37" i="1"/>
  <c r="U37" i="1"/>
  <c r="V37" i="1"/>
  <c r="W37" i="1"/>
  <c r="X37" i="1"/>
  <c r="Y37" i="1"/>
  <c r="G7" i="4"/>
  <c r="F9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AD47" i="1" s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AE47" i="1" s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F10" i="4" l="1"/>
  <c r="N21" i="4"/>
  <c r="Q21" i="4" s="1"/>
  <c r="S21" i="4"/>
  <c r="Z21" i="4" s="1"/>
  <c r="Y6" i="4"/>
  <c r="H10" i="4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H57" i="1" l="1"/>
  <c r="AH54" i="1"/>
  <c r="AH60" i="1" s="1"/>
  <c r="AE59" i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AI5" i="1" s="1"/>
  <c r="T6" i="1"/>
  <c r="AA6" i="1" s="1"/>
  <c r="AC6" i="1" s="1"/>
  <c r="AI6" i="1" s="1"/>
  <c r="T7" i="1"/>
  <c r="AA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T20" i="1"/>
  <c r="AA20" i="1" s="1"/>
  <c r="T21" i="1"/>
  <c r="AA21" i="1" s="1"/>
  <c r="T22" i="1"/>
  <c r="AA22" i="1" s="1"/>
  <c r="T50" i="1"/>
  <c r="AA50" i="1" s="1"/>
  <c r="T23" i="1"/>
  <c r="AA23" i="1" s="1"/>
  <c r="AC23" i="1" s="1"/>
  <c r="AI23" i="1" s="1"/>
  <c r="T24" i="1"/>
  <c r="AA24" i="1" s="1"/>
  <c r="T25" i="1"/>
  <c r="AA25" i="1" s="1"/>
  <c r="T26" i="1"/>
  <c r="AA26" i="1" s="1"/>
  <c r="AC26" i="1" s="1"/>
  <c r="AI26" i="1" s="1"/>
  <c r="T27" i="1"/>
  <c r="T28" i="1"/>
  <c r="AA28" i="1" s="1"/>
  <c r="T29" i="1"/>
  <c r="AA29" i="1" s="1"/>
  <c r="T30" i="1"/>
  <c r="AA30" i="1" s="1"/>
  <c r="T31" i="1"/>
  <c r="AA31" i="1" s="1"/>
  <c r="AC31" i="1" s="1"/>
  <c r="AI31" i="1" s="1"/>
  <c r="T32" i="1"/>
  <c r="AA32" i="1" s="1"/>
  <c r="T33" i="1"/>
  <c r="AA33" i="1" s="1"/>
  <c r="T34" i="1"/>
  <c r="AA34" i="1" s="1"/>
  <c r="T35" i="1"/>
  <c r="AA35" i="1" s="1"/>
  <c r="T36" i="1"/>
  <c r="AA36" i="1" s="1"/>
  <c r="T38" i="1"/>
  <c r="T39" i="1"/>
  <c r="AA39" i="1" s="1"/>
  <c r="T40" i="1"/>
  <c r="AA40" i="1" s="1"/>
  <c r="T41" i="1"/>
  <c r="AA41" i="1" s="1"/>
  <c r="T42" i="1"/>
  <c r="T43" i="1"/>
  <c r="AA43" i="1" s="1"/>
  <c r="T44" i="1"/>
  <c r="AA44" i="1" s="1"/>
  <c r="T45" i="1"/>
  <c r="AA45" i="1" s="1"/>
  <c r="T46" i="1"/>
  <c r="AA46" i="1" s="1"/>
  <c r="T47" i="1"/>
  <c r="AA47" i="1" s="1"/>
  <c r="T19" i="1"/>
  <c r="AA19" i="1" s="1"/>
  <c r="AC19" i="1" s="1"/>
  <c r="AI19" i="1" s="1"/>
  <c r="T48" i="1"/>
  <c r="AA48" i="1" s="1"/>
  <c r="T49" i="1"/>
  <c r="AA49" i="1" s="1"/>
  <c r="T2" i="1"/>
  <c r="AC30" i="1" l="1"/>
  <c r="AI30" i="1" s="1"/>
  <c r="N15" i="4" s="1"/>
  <c r="Q15" i="4" s="1"/>
  <c r="S15" i="4"/>
  <c r="AA15" i="4" s="1"/>
  <c r="AC29" i="1"/>
  <c r="AI29" i="1" s="1"/>
  <c r="S14" i="4"/>
  <c r="AC28" i="1"/>
  <c r="AI28" i="1" s="1"/>
  <c r="N12" i="4" s="1"/>
  <c r="Q12" i="4" s="1"/>
  <c r="S12" i="4"/>
  <c r="AA12" i="4" s="1"/>
  <c r="AC39" i="1"/>
  <c r="AI39" i="1" s="1"/>
  <c r="N32" i="4" s="1"/>
  <c r="Q32" i="4" s="1"/>
  <c r="S32" i="4"/>
  <c r="AC36" i="1"/>
  <c r="AI36" i="1" s="1"/>
  <c r="S20" i="4"/>
  <c r="Z20" i="4" s="1"/>
  <c r="AC33" i="1"/>
  <c r="AI33" i="1" s="1"/>
  <c r="N17" i="4" s="1"/>
  <c r="Q17" i="4" s="1"/>
  <c r="S17" i="4"/>
  <c r="AC32" i="1"/>
  <c r="AI32" i="1" s="1"/>
  <c r="N16" i="4" s="1"/>
  <c r="Q16" i="4" s="1"/>
  <c r="S16" i="4"/>
  <c r="AC41" i="1"/>
  <c r="AI41" i="1" s="1"/>
  <c r="N34" i="4" s="1"/>
  <c r="Q34" i="4" s="1"/>
  <c r="S34" i="4"/>
  <c r="AC40" i="1"/>
  <c r="AI40" i="1" s="1"/>
  <c r="N33" i="4" s="1"/>
  <c r="Q33" i="4" s="1"/>
  <c r="S33" i="4"/>
  <c r="AC35" i="1"/>
  <c r="AI35" i="1" s="1"/>
  <c r="N19" i="4" s="1"/>
  <c r="Q19" i="4" s="1"/>
  <c r="S19" i="4"/>
  <c r="Y19" i="4" s="1"/>
  <c r="AC34" i="1"/>
  <c r="AI34" i="1" s="1"/>
  <c r="N18" i="4" s="1"/>
  <c r="Q18" i="4" s="1"/>
  <c r="S18" i="4"/>
  <c r="Y18" i="4" s="1"/>
  <c r="AC22" i="1"/>
  <c r="AI22" i="1" s="1"/>
  <c r="N9" i="4" s="1"/>
  <c r="Q9" i="4" s="1"/>
  <c r="S9" i="4"/>
  <c r="Y9" i="4" s="1"/>
  <c r="AC20" i="1"/>
  <c r="AI20" i="1" s="1"/>
  <c r="N7" i="4" s="1"/>
  <c r="Q7" i="4" s="1"/>
  <c r="S7" i="4"/>
  <c r="AA7" i="4" s="1"/>
  <c r="AC43" i="1"/>
  <c r="AI43" i="1" s="1"/>
  <c r="N23" i="4" s="1"/>
  <c r="Q23" i="4" s="1"/>
  <c r="S23" i="4"/>
  <c r="AA23" i="4" s="1"/>
  <c r="AC18" i="1"/>
  <c r="AI18" i="1" s="1"/>
  <c r="N6" i="4" s="1"/>
  <c r="Q6" i="4" s="1"/>
  <c r="S6" i="4"/>
  <c r="Z6" i="4" s="1"/>
  <c r="AC11" i="1"/>
  <c r="AI11" i="1" s="1"/>
  <c r="N5" i="4" s="1"/>
  <c r="Q5" i="4" s="1"/>
  <c r="S5" i="4"/>
  <c r="Y5" i="4" s="1"/>
  <c r="AC21" i="1"/>
  <c r="AI21" i="1" s="1"/>
  <c r="N8" i="4" s="1"/>
  <c r="Q8" i="4" s="1"/>
  <c r="S8" i="4"/>
  <c r="AA8" i="4" s="1"/>
  <c r="AC49" i="1"/>
  <c r="AI49" i="1" s="1"/>
  <c r="N29" i="4" s="1"/>
  <c r="Q29" i="4" s="1"/>
  <c r="S29" i="4"/>
  <c r="Y29" i="4" s="1"/>
  <c r="AC25" i="1"/>
  <c r="AI25" i="1" s="1"/>
  <c r="N11" i="4" s="1"/>
  <c r="Q11" i="4" s="1"/>
  <c r="S11" i="4"/>
  <c r="Z11" i="4" s="1"/>
  <c r="AC46" i="1"/>
  <c r="AI46" i="1" s="1"/>
  <c r="N26" i="4" s="1"/>
  <c r="Q26" i="4" s="1"/>
  <c r="S26" i="4"/>
  <c r="AA26" i="4" s="1"/>
  <c r="AC45" i="1"/>
  <c r="AI45" i="1" s="1"/>
  <c r="N25" i="4" s="1"/>
  <c r="Q25" i="4" s="1"/>
  <c r="S25" i="4"/>
  <c r="AA25" i="4" s="1"/>
  <c r="AC44" i="1"/>
  <c r="AI44" i="1" s="1"/>
  <c r="N24" i="4" s="1"/>
  <c r="Q24" i="4" s="1"/>
  <c r="S24" i="4"/>
  <c r="AA24" i="4" s="1"/>
  <c r="AC48" i="1"/>
  <c r="AI48" i="1" s="1"/>
  <c r="N28" i="4" s="1"/>
  <c r="Q28" i="4" s="1"/>
  <c r="S28" i="4"/>
  <c r="Y28" i="4" s="1"/>
  <c r="AC24" i="1"/>
  <c r="AI24" i="1" s="1"/>
  <c r="N10" i="4" s="1"/>
  <c r="Q10" i="4" s="1"/>
  <c r="S10" i="4"/>
  <c r="Z10" i="4" s="1"/>
  <c r="AC50" i="1"/>
  <c r="AI50" i="1" s="1"/>
  <c r="N30" i="4" s="1"/>
  <c r="Q30" i="4" s="1"/>
  <c r="S30" i="4"/>
  <c r="Z30" i="4" s="1"/>
  <c r="AC7" i="1"/>
  <c r="AI7" i="1" s="1"/>
  <c r="N4" i="4" s="1"/>
  <c r="Q4" i="4" s="1"/>
  <c r="S4" i="4"/>
  <c r="Z4" i="4" s="1"/>
  <c r="AH59" i="1"/>
  <c r="AH61" i="1" s="1"/>
  <c r="AC47" i="1"/>
  <c r="AI47" i="1" s="1"/>
  <c r="S27" i="4"/>
  <c r="AD61" i="1"/>
  <c r="AD62" i="1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S13" i="4" s="1"/>
  <c r="AA2" i="1"/>
  <c r="AA54" i="1" s="1"/>
  <c r="AA42" i="1"/>
  <c r="S22" i="4" s="1"/>
  <c r="AA22" i="4" s="1"/>
  <c r="AA38" i="1"/>
  <c r="S31" i="4" s="1"/>
  <c r="F7" i="4" l="1"/>
  <c r="H7" i="4" s="1"/>
  <c r="N20" i="4"/>
  <c r="Q20" i="4" s="1"/>
  <c r="G4" i="4"/>
  <c r="H4" i="4" s="1"/>
  <c r="G6" i="4"/>
  <c r="H6" i="4" s="1"/>
  <c r="F4" i="4"/>
  <c r="N14" i="4"/>
  <c r="Q14" i="4" s="1"/>
  <c r="G5" i="4"/>
  <c r="H5" i="4" s="1"/>
  <c r="F5" i="4"/>
  <c r="AA35" i="4"/>
  <c r="AA36" i="4" s="1"/>
  <c r="N27" i="4"/>
  <c r="Q27" i="4" s="1"/>
  <c r="Y35" i="4"/>
  <c r="Y36" i="4" s="1"/>
  <c r="Z35" i="4"/>
  <c r="Z36" i="4" s="1"/>
  <c r="G9" i="4"/>
  <c r="H9" i="4" s="1"/>
  <c r="AH62" i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G8" i="4" l="1"/>
  <c r="N13" i="4"/>
  <c r="Q13" i="4" s="1"/>
  <c r="AC54" i="1"/>
  <c r="AC59" i="1" s="1"/>
  <c r="AI2" i="1"/>
  <c r="AI55" i="1"/>
  <c r="F8" i="4"/>
  <c r="AI42" i="1"/>
  <c r="AA60" i="1"/>
  <c r="AA61" i="1" s="1"/>
  <c r="AA62" i="1" s="1"/>
  <c r="T61" i="1"/>
  <c r="T62" i="1" s="1"/>
  <c r="AI38" i="1"/>
  <c r="AC60" i="1" l="1"/>
  <c r="AI56" i="1"/>
  <c r="N31" i="4"/>
  <c r="Q31" i="4" s="1"/>
  <c r="AI57" i="1"/>
  <c r="N22" i="4"/>
  <c r="Q22" i="4" s="1"/>
  <c r="Q35" i="4" s="1"/>
  <c r="G3" i="4"/>
  <c r="G11" i="4" s="1"/>
  <c r="F3" i="4"/>
  <c r="F11" i="4" s="1"/>
  <c r="H8" i="4"/>
  <c r="AI54" i="1"/>
  <c r="AI59" i="1" s="1"/>
  <c r="AC61" i="1"/>
  <c r="AC62" i="1" s="1"/>
  <c r="H3" i="4" l="1"/>
  <c r="H11" i="4" s="1"/>
  <c r="AI60" i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Ackerman</author>
    <author>tc={F019DFCD-6A77-4755-B26D-65DA457FD8E0}</author>
    <author>tc={52FFB650-6549-4688-8A3F-7A780B0AB6F2}</author>
    <author>tc={6478D133-41BE-4FC3-816D-3C67573C708B}</author>
    <author>tc={010A182B-A551-4254-B23A-44D962FA2B27}</author>
  </authors>
  <commentList>
    <comment ref="P3" authorId="0" shapeId="0" xr:uid="{F84C0372-05FE-4CA8-8C1B-39CB2832F8A8}">
      <text>
        <r>
          <rPr>
            <b/>
            <sz val="9"/>
            <color indexed="81"/>
            <rFont val="Tahoma"/>
            <family val="2"/>
          </rPr>
          <t>Mike Ackerman:</t>
        </r>
        <r>
          <rPr>
            <sz val="9"/>
            <color indexed="81"/>
            <rFont val="Tahoma"/>
            <family val="2"/>
          </rPr>
          <t xml:space="preserve">
By default, categories were assigned the following scalars, unless notes are provided:
* Continue funding: 0
* Transfer to project: 1
* Decommission: -1
I.e., Continue funding doesn't affect annual O&amp;M costs; new sites will increase costs, and decommissioned sites will lower costs.</t>
        </r>
      </text>
    </comment>
    <comment ref="D8" authorId="1" shapeId="0" xr:uid="{F019DFCD-6A77-4755-B26D-65DA457FD8E0}">
      <text>
        <t>[Threaded comment]
Your version of Excel allows you to read this threaded comment; however, any edits to it will get removed if the file is opened in a newer version of Excel. Learn more: https://go.microsoft.com/fwlink/?linkid=870924
Comment:
    SBT could consider moving YFK and PCA to IPTDS O&amp;M with funds.</t>
      </text>
    </comment>
    <comment ref="M12" authorId="2" shapeId="0" xr:uid="{52FFB650-6549-4688-8A3F-7A780B0AB6F2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be moved to IPTDS O&amp;M with funds.</t>
      </text>
    </comment>
    <comment ref="M13" authorId="3" shapeId="0" xr:uid="{6478D133-41BE-4FC3-816D-3C67573C708B}">
      <text>
        <t>[Threaded comment]
Your version of Excel allows you to read this threaded comment; however, any edits to it will get removed if the file is opened in a newer version of Excel. Learn more: https://go.microsoft.com/fwlink/?linkid=870924
Comment:
    Could be moved to IPTDS O&amp;M with funds.</t>
      </text>
    </comment>
    <comment ref="Q35" authorId="4" shapeId="0" xr:uid="{010A182B-A551-4254-B23A-44D962FA2B27}">
      <text>
        <t>[Threaded comment]
Your version of Excel allows you to read this threaded comment; however, any edits to it will get removed if the file is opened in a newer version of Excel. Learn more: https://go.microsoft.com/fwlink/?linkid=870924
Comment:
    Difference btw this amount &amp; cell H3 is equal to O&amp;M costs for YFK, PCA.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<sst xmlns="http://schemas.openxmlformats.org/spreadsheetml/2006/main" count="2136" uniqueCount="443">
  <si>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</si>
  <si>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</si>
  <si>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</si>
  <si>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</si>
  <si>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</si>
  <si>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</si>
  <si>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</si>
  <si>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</si>
  <si>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</si>
  <si>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</si>
  <si>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</si>
  <si>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</si>
  <si>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</si>
  <si>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</si>
  <si>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</si>
  <si>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</si>
  <si>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</si>
  <si>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</si>
  <si>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</si>
  <si>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</si>
  <si>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</si>
  <si>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</si>
  <si>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</si>
  <si>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</si>
  <si>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</si>
  <si>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</si>
  <si>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</si>
  <si>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</si>
  <si>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</si>
  <si>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</si>
  <si>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</si>
  <si>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</si>
  <si>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</si>
  <si>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</si>
  <si>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</si>
  <si>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</si>
  <si>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</si>
  <si>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</si>
  <si>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</si>
  <si>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</si>
  <si>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</si>
  <si>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</si>
  <si>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</si>
  <si>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</si>
  <si>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</si>
  <si>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</si>
  <si>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</si>
  <si>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</si>
  <si>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</si>
  <si>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</si>
  <si>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</si>
  <si>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</si>
  <si>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</si>
  <si>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</si>
  <si>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</si>
  <si>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</si>
  <si>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</si>
  <si>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</si>
  <si>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</si>
  <si>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</si>
  <si>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</si>
  <si>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</si>
  <si>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</si>
  <si>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</si>
  <si>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</si>
  <si>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</si>
  <si>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</si>
  <si>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</si>
  <si>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</si>
  <si>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</si>
  <si>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</si>
  <si>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</si>
  <si>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</si>
  <si>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</si>
  <si>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</si>
  <si>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</si>
  <si>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</si>
  <si>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</si>
  <si>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</si>
  <si>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</si>
  <si>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</si>
  <si>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</si>
  <si>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</si>
  <si>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</si>
  <si>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</si>
  <si>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</si>
  <si>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</si>
  <si>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</si>
  <si>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</si>
  <si>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</si>
  <si>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</si>
  <si>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</si>
  <si>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</si>
  <si>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</si>
  <si>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</si>
  <si>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</si>
  <si>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</si>
  <si>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</si>
  <si>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</si>
  <si>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</si>
  <si>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</si>
  <si>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</si>
  <si>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</si>
  <si>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</si>
  <si>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</si>
  <si>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</si>
  <si>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</si>
  <si>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</si>
  <si>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</si>
  <si>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</si>
  <si>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</si>
  <si>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</si>
  <si>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</si>
  <si>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</si>
  <si>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</si>
  <si>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</si>
  <si>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</si>
  <si>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</si>
  <si>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</si>
  <si>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</si>
  <si>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</si>
  <si>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</si>
  <si>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</si>
  <si>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</si>
  <si>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</si>
  <si>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</si>
  <si>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</si>
  <si>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</si>
  <si>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</si>
  <si>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</si>
  <si>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</si>
  <si>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</si>
  <si>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</si>
  <si>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</si>
  <si>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</si>
  <si>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</si>
  <si>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</si>
  <si>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</si>
  <si>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</si>
  <si>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</si>
  <si>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</si>
  <si>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</si>
  <si>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</si>
  <si>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</si>
  <si>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</si>
  <si>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</si>
  <si>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</si>
  <si>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</si>
  <si>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</si>
  <si>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</si>
  <si>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</si>
  <si>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</si>
  <si>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</si>
  <si>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</si>
  <si>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</si>
  <si>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</si>
  <si>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</si>
  <si>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</si>
  <si>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</si>
  <si>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</si>
  <si>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</si>
  <si>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</si>
  <si>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</si>
  <si>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</si>
  <si>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</si>
  <si>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</si>
  <si>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</si>
  <si>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</si>
  <si>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</si>
  <si>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</si>
  <si>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</si>
  <si>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</si>
  <si>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</si>
  <si>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</si>
  <si>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</si>
  <si>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</si>
  <si>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</si>
  <si>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</si>
  <si>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</si>
  <si>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</si>
  <si>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</si>
  <si>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</si>
  <si>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</si>
  <si>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</si>
  <si>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</si>
  <si>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</si>
  <si>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</si>
  <si>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</si>
  <si>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</si>
  <si>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</si>
  <si>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</si>
  <si>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</si>
  <si>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</si>
  <si>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</si>
  <si>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</si>
  <si>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</si>
  <si>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</si>
  <si>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</si>
  <si>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</si>
  <si>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</si>
  <si>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</si>
  <si>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</si>
  <si>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</si>
  <si>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</si>
  <si>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</si>
  <si>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</si>
  <si>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</si>
  <si>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</si>
  <si>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</si>
  <si>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</si>
  <si>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</si>
  <si>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</si>
  <si>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</si>
  <si>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</si>
  <si>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</si>
  <si>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</si>
  <si>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</si>
  <si>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</si>
  <si>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</si>
  <si>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</si>
  <si>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</si>
  <si>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</si>
  <si>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</si>
  <si>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</si>
  <si>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</si>
  <si>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</si>
  <si>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</si>
  <si>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</si>
  <si>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</si>
  <si>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</si>
  <si>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</si>
  <si>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</si>
  <si>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</si>
  <si>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</si>
  <si>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</si>
  <si>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</si>
  <si>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</si>
  <si>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</si>
  <si>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</si>
  <si>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</si>
  <si>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</si>
  <si>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</si>
  <si>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</si>
  <si>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</si>
  <si>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</si>
  <si>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</si>
  <si>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</si>
  <si>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</si>
  <si>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</si>
  <si>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</si>
  <si>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</si>
  <si>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</si>
  <si>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</si>
  <si>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</si>
  <si>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</si>
  <si>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</si>
  <si>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</si>
  <si>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</si>
  <si>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</si>
  <si>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</si>
  <si>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</si>
  <si>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</si>
  <si>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</si>
  <si>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</si>
  <si>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</si>
  <si>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</si>
  <si>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</si>
  <si>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</si>
  <si>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</si>
  <si>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</si>
  <si>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</si>
  <si>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</si>
  <si>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</si>
  <si>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</si>
  <si>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</si>
  <si>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</si>
  <si>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</si>
  <si>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</si>
  <si>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</si>
  <si>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</si>
  <si>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</si>
  <si>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</si>
  <si>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</si>
  <si>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</si>
  <si>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</si>
  <si>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</si>
  <si>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</si>
  <si>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</si>
  <si>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</si>
  <si>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</si>
  <si>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</si>
  <si>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</si>
  <si>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</si>
  <si>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</si>
  <si>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</si>
  <si>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</si>
  <si>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</si>
  <si>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</si>
  <si>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</si>
  <si>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</si>
  <si>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</si>
  <si>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</si>
  <si>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</si>
  <si>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</si>
  <si>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</si>
  <si>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</si>
  <si>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</si>
  <si>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</si>
  <si>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</si>
  <si>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</si>
  <si>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</si>
  <si>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</si>
  <si>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</si>
  <si>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</si>
  <si>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</si>
  <si>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</si>
  <si>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</si>
  <si>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</si>
  <si>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</si>
  <si>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</si>
  <si>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</si>
  <si>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</si>
  <si>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</si>
  <si>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</si>
  <si>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</si>
  <si>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</si>
  <si>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</si>
  <si>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</si>
  <si>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</si>
  <si>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</si>
  <si>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</si>
  <si>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</si>
  <si>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</si>
  <si>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</si>
  <si>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</si>
  <si>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</si>
  <si>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</si>
  <si>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</si>
  <si>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</si>
  <si>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</si>
  <si>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</si>
  <si>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</si>
  <si>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</si>
  <si>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</si>
  <si>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</si>
  <si>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</si>
  <si>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</si>
  <si>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</si>
  <si>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</si>
  <si>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</si>
  <si>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</si>
  <si>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</si>
  <si>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</si>
  <si>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</si>
  <si>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</si>
  <si>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</si>
  <si>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</si>
  <si>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</si>
  <si>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</si>
  <si>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</si>
  <si>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</si>
  <si>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</si>
  <si>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</si>
  <si>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</si>
  <si>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</si>
  <si>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</si>
  <si>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</si>
  <si>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</si>
  <si>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</si>
  <si>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</si>
  <si>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</si>
  <si>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</si>
  <si>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Totals:</t>
  </si>
  <si>
    <t>Change in Sites</t>
  </si>
  <si>
    <t>-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</si>
  <si>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</si>
  <si>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</si>
  <si>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</si>
  <si>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</si>
  <si>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</si>
  <si>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</si>
  <si>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</si>
  <si>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</si>
  <si>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</si>
  <si>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Transfer In</t>
  </si>
  <si>
    <t>Transfer Out</t>
  </si>
  <si>
    <t>Proposed New Proponent</t>
  </si>
  <si>
    <t>Idaho OSC</t>
  </si>
  <si>
    <t>Recommendation</t>
  </si>
  <si>
    <t>Upgrade to IS1001 MC</t>
  </si>
  <si>
    <t>Upgrade to FS1001 MUX</t>
  </si>
  <si>
    <t>Move to CRSFC-s boundary</t>
  </si>
  <si>
    <t>Add remote comms</t>
  </si>
  <si>
    <t>Issues or Questions</t>
  </si>
  <si>
    <t>Decommission. Need to confirm w Idaho OSC &amp; IDFG.</t>
  </si>
  <si>
    <t>Decommission. Need to confirm w/ Idaho OSC &amp; IDFG.</t>
  </si>
  <si>
    <t>Decommission.</t>
  </si>
  <si>
    <t>Need to understand SBT monitoring objectives before determining final configurations. Consult IDFG &amp; SBT before evaluating site feasibilities.</t>
  </si>
  <si>
    <t>How would O&amp;M look? Does ODFW have specialized staff to serve as a first responder or should NPT be first responder? It could be added to annual NPT JFO health checks.</t>
  </si>
  <si>
    <t>How would O&amp;M look? Does WDFW have specialized staff to serve as a first responder or should NPT be first responder? It could be added to annual NPT JFO health checks.</t>
  </si>
  <si>
    <t>Scalar</t>
  </si>
  <si>
    <t>Infrastructure Costs</t>
  </si>
  <si>
    <t>Annual IPTDS O&amp;M Costs (+/-)</t>
  </si>
  <si>
    <t>Est. Annual O&amp;M Costs</t>
  </si>
  <si>
    <t>Est. Recommendation Costs</t>
  </si>
  <si>
    <t>Scalar Notes</t>
  </si>
  <si>
    <t>Assumes O&amp;M Costs will remain in SBT subcontract to Biomark or SBT subcontract is merged into IPTDS O&amp;M project.</t>
  </si>
  <si>
    <t>NPT can consider funding under NPT Natural &amp; Hatchery Salmonid RM&amp;E project</t>
  </si>
  <si>
    <t>Would require additional funds. Consult w/ SBT &amp; IDFG on IPTDS monitoring objectives in Upper Salmon.</t>
  </si>
  <si>
    <t>Estimated Change in O&amp;M Costs:</t>
  </si>
  <si>
    <t>Priority</t>
  </si>
  <si>
    <t>HIGH</t>
  </si>
  <si>
    <t>X</t>
  </si>
  <si>
    <t>2026-2027</t>
  </si>
  <si>
    <t>MED</t>
  </si>
  <si>
    <t>LOW</t>
  </si>
  <si>
    <t>2028-2029</t>
  </si>
  <si>
    <t>Suggested Implementation Year</t>
  </si>
  <si>
    <t>Estimated Recommedation Costs:</t>
  </si>
  <si>
    <t>If feasible, move to end of Selway Road as tandem</t>
  </si>
  <si>
    <t>Estimated Recommendation Costs / Yr:</t>
  </si>
  <si>
    <t>Increase distance btw arrays; Add remote comms</t>
  </si>
  <si>
    <t>Consolidate w/ LC1 or move</t>
  </si>
  <si>
    <t>Upgrades already in 2025 field schedule.</t>
  </si>
  <si>
    <t>Could be moved to HIGH priority (2025) if time/costs/logistics allow.</t>
  </si>
  <si>
    <t>Could be moved to an easier location or consolidated w/ LC1 as tandem, if feasible, to reduce long-term costs.</t>
  </si>
  <si>
    <t>Needs to occur and operate reliably before IR2 is decommissioned.</t>
  </si>
  <si>
    <t>Does SBT desire to move existing subcontract to IPTDS O&amp;M? How would O&amp;M look? E.g., Biomark could be primary O&amp;M. If Biomark needs a first responder, can SBT provide that support? Would SBT be okay with NPT providing periodic O&amp;M support if Biomark &amp; SBT needs assistance?</t>
  </si>
  <si>
    <t>If within reasonable costs &amp; logistics, moving to lower boundary of the SEMOO population would allow parsing of SEMOO/SEUMA populations from SEMEA, but would need to be a tandem site.</t>
  </si>
  <si>
    <t>SC4 can remain under NPT Watershed for foreseeable future.</t>
  </si>
  <si>
    <t>SC4 can remain under NPT Watershed for foreseeable future. However, at least one array needs to be operated upstream of SC2 long-term. Either SC2 could be installed as a tandem at its new location or SC4 could eventually be moved to IPTDS O&amp;M eventually. Currently, CRA doesn't provide sufficient detection to estimate a detection probability for SC2.</t>
  </si>
  <si>
    <t>Desired by Idaho OSC to monitor proposed projects in Big Timber Creek. Need to identify alternate or additional funding, which could be added to IPTDS O&amp;M project, if desired.</t>
  </si>
  <si>
    <t>Will remain in operation. Need to identify alternate funding (LSRCP or NPT Natural &amp; Hatchery Salmonid Monitoring RM&amp;E).</t>
  </si>
  <si>
    <t>Already in 2025 field schedule to reduce time/costs. Decommission. Need to confirm w/ NPT, ODFW, and other practitioners.</t>
  </si>
  <si>
    <t>Already in 2025 field schedule to reduce time/costs. Decommission.</t>
  </si>
  <si>
    <t>Decommission. IR1 needs to be upgraded and operated reliably prior to removal.</t>
  </si>
  <si>
    <t>Proposed for Little Salmon River or Slate Creek. Ideally, site evaluations would occur in 2025 with installation in late 2025 or early 2026.</t>
  </si>
  <si>
    <t>Ideally, site evaluations would occur in 2025 with installation in 2026 or 2027.</t>
  </si>
  <si>
    <t>SW1, SW2, LAP, WR2, MR1</t>
  </si>
  <si>
    <t>NPT Research</t>
  </si>
  <si>
    <t>NPT Watershed</t>
  </si>
  <si>
    <r>
      <t xml:space="preserve">USI, CAC, BTL, LLS, BHC, SFG, </t>
    </r>
    <r>
      <rPr>
        <sz val="8"/>
        <color rgb="FFFF0000"/>
        <rFont val="Arial"/>
        <family val="2"/>
      </rPr>
      <t>BSC</t>
    </r>
    <r>
      <rPr>
        <sz val="8"/>
        <color theme="1"/>
        <rFont val="Arial"/>
        <family val="2"/>
      </rPr>
      <t xml:space="preserve">, </t>
    </r>
    <r>
      <rPr>
        <sz val="8"/>
        <color rgb="FFFF0000"/>
        <rFont val="Arial"/>
        <family val="2"/>
      </rPr>
      <t>COC</t>
    </r>
    <r>
      <rPr>
        <sz val="8"/>
        <color theme="1"/>
        <rFont val="Arial"/>
        <family val="2"/>
      </rPr>
      <t>, IR2</t>
    </r>
  </si>
  <si>
    <t>SW1, SW2, LAP, WR2, MR1, WEN, ACM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</si>
</sst>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7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 wrapText="1"/>
    </xf>
    <xf numFmtId="39" fontId="5" fillId="0" borderId="0" xfId="0" applyNumberFormat="1" applyFont="1" applyAlignment="1">
      <alignment vertical="center"/>
    </xf>
    <xf numFmtId="44" fontId="5" fillId="10" borderId="0" xfId="1" applyFont="1" applyFill="1" applyAlignment="1">
      <alignment horizontal="center" vertical="center"/>
    </xf>
    <xf numFmtId="39" fontId="5" fillId="10" borderId="0" xfId="1" applyNumberFormat="1" applyFont="1" applyFill="1" applyAlignment="1">
      <alignment horizontal="center" vertical="center"/>
    </xf>
    <xf numFmtId="44" fontId="5" fillId="10" borderId="9" xfId="1" applyFont="1" applyFill="1" applyBorder="1" applyAlignment="1">
      <alignment horizontal="center" vertical="center"/>
    </xf>
    <xf numFmtId="39" fontId="5" fillId="10" borderId="9" xfId="1" applyNumberFormat="1" applyFont="1" applyFill="1" applyBorder="1" applyAlignment="1">
      <alignment horizontal="center" vertical="center"/>
    </xf>
    <xf numFmtId="44" fontId="4" fillId="11" borderId="0" xfId="0" applyNumberFormat="1" applyFont="1" applyFill="1" applyAlignment="1">
      <alignment vertical="center"/>
    </xf>
    <xf numFmtId="44" fontId="5" fillId="2" borderId="0" xfId="1" applyFont="1" applyFill="1" applyAlignment="1">
      <alignment horizontal="center" vertical="center"/>
    </xf>
    <xf numFmtId="44" fontId="5" fillId="2" borderId="9" xfId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9" xfId="1" applyNumberFormat="1" applyFont="1" applyFill="1" applyBorder="1" applyAlignment="1">
      <alignment horizontal="center" vertical="center"/>
    </xf>
    <xf numFmtId="44" fontId="4" fillId="3" borderId="0" xfId="0" applyNumberFormat="1" applyFont="1" applyFill="1" applyAlignment="1">
      <alignment vertical="center"/>
    </xf>
    <xf numFmtId="39" fontId="5" fillId="10" borderId="0" xfId="1" applyNumberFormat="1" applyFont="1" applyFill="1" applyAlignment="1">
      <alignment horizontal="center" vertical="center" wrapText="1"/>
    </xf>
    <xf numFmtId="39" fontId="5" fillId="10" borderId="9" xfId="1" applyNumberFormat="1" applyFont="1" applyFill="1" applyBorder="1" applyAlignment="1">
      <alignment horizontal="center" vertical="center" wrapText="1"/>
    </xf>
    <xf numFmtId="39" fontId="4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1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4" fillId="0" borderId="0" xfId="0" applyFont="1" applyAlignment="1">
      <alignment horizontal="right" vertical="center"/>
    </xf>
    <xf numFmtId="44" fontId="5" fillId="2" borderId="0" xfId="1" applyFont="1" applyFill="1" applyAlignment="1">
      <alignment horizontal="center" vertical="center" wrapText="1"/>
    </xf>
    <xf numFmtId="44" fontId="5" fillId="2" borderId="9" xfId="1" applyFont="1" applyFill="1" applyBorder="1" applyAlignment="1">
      <alignment horizontal="center" vertical="center" wrapText="1"/>
    </xf>
    <xf numFmtId="49" fontId="5" fillId="7" borderId="0" xfId="0" applyNumberFormat="1" applyFont="1" applyFill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5-08-06T20:39:50.78" personId="{C77DAA69-426B-4B66-A041-374F39380B56}" id="{F019DFCD-6A77-4755-B26D-65DA457FD8E0}">
    <text>SBT could consider moving YFK and PCA to IPTDS O&amp;M with funds.</text>
  </threadedComment>
  <threadedComment ref="M12" dT="2025-08-06T21:07:49.41" personId="{C77DAA69-426B-4B66-A041-374F39380B56}" id="{52FFB650-6549-4688-8A3F-7A780B0AB6F2}">
    <text>Could be moved to IPTDS O&amp;M with funds.</text>
  </threadedComment>
  <threadedComment ref="M13" dT="2025-08-06T21:08:00.50" personId="{C77DAA69-426B-4B66-A041-374F39380B56}" id="{6478D133-41BE-4FC3-816D-3C67573C708B}">
    <text>Could be moved to IPTDS O&amp;M with funds.</text>
  </threadedComment>
  <threadedComment ref="Q35" dT="2025-07-24T14:41:36.33" personId="{C77DAA69-426B-4B66-A041-374F39380B56}" id="{010A182B-A551-4254-B23A-44D962FA2B27}">
    <text>Difference btw this amount &amp; cell H3 is equal to O&amp;M costs for YFK, PCA.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AB36"/>
  <sheetViews>
    <sheetView tabSelected="1" zoomScale="90" zoomScaleNormal="90" workbookViewId="0">
      <pane xSplit="10" topLeftCell="K1" activePane="topRight" state="frozen"/>
      <selection pane="topRight" activeCell="B12" sqref="B12:H12"/>
    </sheetView>
  </sheetViews>
  <sheetFormatPr defaultColWidth="8.77734375" defaultRowHeight="10.199999999999999" x14ac:dyDescent="0.3"/>
  <cols>
    <col min="1" max="1" width="1.21875" style="96" customWidth="1"/>
    <col min="2" max="2" width="23.77734375" style="91" bestFit="1" customWidth="1"/>
    <col min="3" max="3" width="16.33203125" style="106" customWidth="1"/>
    <col min="4" max="4" width="13.33203125" style="106" customWidth="1"/>
    <col min="5" max="5" width="8.77734375" style="93" bestFit="1" customWidth="1"/>
    <col min="6" max="7" width="13.5546875" style="96" bestFit="1" customWidth="1"/>
    <col min="8" max="8" width="13" style="96" bestFit="1" customWidth="1"/>
    <col min="9" max="9" width="1.77734375" style="96" customWidth="1"/>
    <col min="10" max="10" width="11.88671875" style="96" bestFit="1" customWidth="1"/>
    <col min="11" max="11" width="33.77734375" style="96" bestFit="1" customWidth="1"/>
    <col min="12" max="13" width="12.21875" style="96" bestFit="1" customWidth="1"/>
    <col min="14" max="14" width="9.88671875" style="96" customWidth="1"/>
    <col min="15" max="15" width="5.5546875" style="96" bestFit="1" customWidth="1"/>
    <col min="16" max="16" width="23.77734375" style="96" customWidth="1"/>
    <col min="17" max="17" width="12.21875" style="96" bestFit="1" customWidth="1"/>
    <col min="18" max="18" width="22.88671875" style="114" bestFit="1" customWidth="1"/>
    <col min="19" max="19" width="12.6640625" style="96" customWidth="1"/>
    <col min="20" max="20" width="5.5546875" style="96" bestFit="1" customWidth="1"/>
    <col min="21" max="21" width="6.21875" style="96" customWidth="1"/>
    <col min="22" max="22" width="4.33203125" style="96" bestFit="1" customWidth="1"/>
    <col min="23" max="24" width="8.21875" style="96" bestFit="1" customWidth="1"/>
    <col min="25" max="25" width="12.88671875" style="96" bestFit="1" customWidth="1"/>
    <col min="26" max="27" width="13.21875" style="96" bestFit="1" customWidth="1"/>
    <col min="28" max="28" width="58.88671875" style="96" customWidth="1"/>
    <col min="29" max="16384" width="8.77734375" style="96"/>
  </cols>
  <sheetData>
    <row r="2" spans="2:28" s="90" customFormat="1" ht="32.4" customHeight="1" x14ac:dyDescent="0.3">
      <c r="B2" s="120" t="s">
        <v>371</v>
      </c>
      <c r="C2" s="119" t="s">
        <v>384</v>
      </c>
      <c r="D2" s="119" t="s">
        <v>385</v>
      </c>
      <c r="E2" s="121" t="s">
        <v>373</v>
      </c>
      <c r="F2" s="118" t="s">
        <v>376</v>
      </c>
      <c r="G2" s="118" t="s">
        <v>377</v>
      </c>
      <c r="H2" s="118" t="s">
        <v>378</v>
      </c>
      <c r="J2" s="136"/>
      <c r="K2" s="136"/>
      <c r="L2" s="136"/>
      <c r="M2" s="136"/>
      <c r="N2" s="141"/>
      <c r="O2" s="141"/>
      <c r="P2" s="141"/>
      <c r="Q2" s="141"/>
      <c r="R2" s="139"/>
      <c r="S2" s="140"/>
      <c r="T2" s="140"/>
      <c r="U2" s="140"/>
      <c r="V2" s="146" t="s">
        <v>417</v>
      </c>
      <c r="W2" s="146"/>
      <c r="X2" s="146"/>
      <c r="Y2" s="146" t="s">
        <v>404</v>
      </c>
      <c r="Z2" s="146"/>
      <c r="AA2" s="146"/>
      <c r="AB2" s="136"/>
    </row>
    <row r="3" spans="2:28" ht="43.8" customHeight="1" x14ac:dyDescent="0.3">
      <c r="B3" s="91" t="s">
        <v>369</v>
      </c>
      <c r="C3" s="92" t="s">
        <v>442</v>
      </c>
      <c r="D3" s="92" t="s">
        <v>441</v>
      </c>
      <c r="E3" s="93">
        <v>-2</v>
      </c>
      <c r="F3" s="94">
        <f>SUMIF('O&amp;M Costs'!$H$2:$H$50,B3,'O&amp;M Costs'!$AI$2:$AI$50)</f>
        <v>281421.40000000002</v>
      </c>
      <c r="G3" s="94">
        <f>SUMIF('O&amp;M Costs'!$I$2:$I$50,B3,'O&amp;M Costs'!$AI$2:$AI$50)</f>
        <v>283007.46999999997</v>
      </c>
      <c r="H3" s="95">
        <f>G3-F3</f>
        <v>1586.0699999999488</v>
      </c>
      <c r="J3" s="89" t="s">
        <v>103</v>
      </c>
      <c r="K3" s="89" t="s">
        <v>106</v>
      </c>
      <c r="L3" s="89" t="s">
        <v>367</v>
      </c>
      <c r="M3" s="89" t="s">
        <v>386</v>
      </c>
      <c r="N3" s="137" t="s">
        <v>403</v>
      </c>
      <c r="O3" s="137" t="s">
        <v>400</v>
      </c>
      <c r="P3" s="137" t="s">
        <v>405</v>
      </c>
      <c r="Q3" s="137" t="s">
        <v>402</v>
      </c>
      <c r="R3" s="138" t="s">
        <v>388</v>
      </c>
      <c r="S3" s="138" t="s">
        <v>401</v>
      </c>
      <c r="T3" s="138" t="s">
        <v>400</v>
      </c>
      <c r="U3" s="138" t="s">
        <v>410</v>
      </c>
      <c r="V3" s="138">
        <v>2025</v>
      </c>
      <c r="W3" s="138" t="s">
        <v>413</v>
      </c>
      <c r="X3" s="138" t="s">
        <v>416</v>
      </c>
      <c r="Y3" s="138">
        <v>2025</v>
      </c>
      <c r="Z3" s="138" t="s">
        <v>413</v>
      </c>
      <c r="AA3" s="138" t="s">
        <v>416</v>
      </c>
      <c r="AB3" s="88" t="s">
        <v>393</v>
      </c>
    </row>
    <row r="4" spans="2:28" ht="22.2" customHeight="1" x14ac:dyDescent="0.3">
      <c r="B4" s="91" t="s">
        <v>439</v>
      </c>
      <c r="C4" s="92" t="s">
        <v>374</v>
      </c>
      <c r="D4" s="92" t="s">
        <v>438</v>
      </c>
      <c r="E4" s="93">
        <v>-5</v>
      </c>
      <c r="F4" s="94">
        <f>SUMIF('O&amp;M Costs'!$H$2:$H$50,B4,'O&amp;M Costs'!$AI$2:$AI$50)</f>
        <v>49738.33</v>
      </c>
      <c r="G4" s="94">
        <f>SUMIF('O&amp;M Costs'!$I$2:$I$50,B4,'O&amp;M Costs'!$AI$2:$AI$50)</f>
        <v>0</v>
      </c>
      <c r="H4" s="95">
        <f t="shared" ref="H4:H9" si="0">G4-F4</f>
        <v>-49738.33</v>
      </c>
      <c r="J4" s="106" t="s">
        <v>74</v>
      </c>
      <c r="K4" s="106" t="s">
        <v>99</v>
      </c>
      <c r="L4" s="106" t="s">
        <v>369</v>
      </c>
      <c r="M4" s="106" t="s">
        <v>369</v>
      </c>
      <c r="N4" s="123">
        <f t="shared" ref="N4:N34" si="1">VLOOKUP(J4,om_costs,35,FALSE)</f>
        <v>8006.9800000000005</v>
      </c>
      <c r="O4" s="124">
        <v>0</v>
      </c>
      <c r="P4" s="124"/>
      <c r="Q4" s="123">
        <f t="shared" ref="Q4:Q34" si="2">N4*O4</f>
        <v>0</v>
      </c>
      <c r="R4" s="143" t="s">
        <v>389</v>
      </c>
      <c r="S4" s="128">
        <f t="shared" ref="S4:S34" si="3">VLOOKUP(J4,om_costs,27,FALSE)</f>
        <v>50666</v>
      </c>
      <c r="T4" s="130">
        <v>0.8</v>
      </c>
      <c r="U4" s="130" t="s">
        <v>414</v>
      </c>
      <c r="V4" s="130"/>
      <c r="W4" s="130" t="s">
        <v>412</v>
      </c>
      <c r="X4" s="130"/>
      <c r="Y4" s="128">
        <f>IF(ISBLANK(V4),0,$S4*$T4)</f>
        <v>0</v>
      </c>
      <c r="Z4" s="128">
        <f t="shared" ref="Z4:AA4" si="4">IF(ISBLANK(W4),0,$S4*$T4)</f>
        <v>40532.800000000003</v>
      </c>
      <c r="AA4" s="128">
        <f t="shared" si="4"/>
        <v>0</v>
      </c>
      <c r="AB4" s="115" t="s">
        <v>374</v>
      </c>
    </row>
    <row r="5" spans="2:28" ht="12.6" customHeight="1" x14ac:dyDescent="0.3">
      <c r="B5" s="91" t="s">
        <v>440</v>
      </c>
      <c r="C5" s="92" t="s">
        <v>374</v>
      </c>
      <c r="D5" s="92" t="s">
        <v>374</v>
      </c>
      <c r="E5" s="93">
        <v>0</v>
      </c>
      <c r="F5" s="94">
        <f>SUMIF('O&amp;M Costs'!$H$2:$H$50,B5,'O&amp;M Costs'!$AI$2:$AI$50)</f>
        <v>16510.72</v>
      </c>
      <c r="G5" s="94">
        <f>SUMIF('O&amp;M Costs'!$I$2:$I$50,B5,'O&amp;M Costs'!$AI$2:$AI$50)</f>
        <v>16510.72</v>
      </c>
      <c r="H5" s="95">
        <f t="shared" si="0"/>
        <v>0</v>
      </c>
      <c r="J5" s="106" t="s">
        <v>237</v>
      </c>
      <c r="K5" s="106" t="s">
        <v>99</v>
      </c>
      <c r="L5" s="106" t="s">
        <v>369</v>
      </c>
      <c r="M5" s="106" t="s">
        <v>369</v>
      </c>
      <c r="N5" s="123">
        <f t="shared" si="1"/>
        <v>8685.7800000000007</v>
      </c>
      <c r="O5" s="124">
        <v>0</v>
      </c>
      <c r="P5" s="124"/>
      <c r="Q5" s="123">
        <f t="shared" si="2"/>
        <v>0</v>
      </c>
      <c r="R5" s="143" t="s">
        <v>390</v>
      </c>
      <c r="S5" s="128">
        <f t="shared" si="3"/>
        <v>46054</v>
      </c>
      <c r="T5" s="130">
        <v>0.8</v>
      </c>
      <c r="U5" s="130" t="s">
        <v>411</v>
      </c>
      <c r="V5" s="130" t="s">
        <v>412</v>
      </c>
      <c r="W5" s="130"/>
      <c r="X5" s="130"/>
      <c r="Y5" s="128">
        <f t="shared" ref="Y5:Y34" si="5">IF(ISBLANK(V5),0,$S5*$T5)</f>
        <v>36843.200000000004</v>
      </c>
      <c r="Z5" s="128">
        <f t="shared" ref="Z5:Z34" si="6">IF(ISBLANK(W5),0,$S5*$T5)</f>
        <v>0</v>
      </c>
      <c r="AA5" s="128">
        <f t="shared" ref="AA5:AA34" si="7">IF(ISBLANK(X5),0,$S5*$T5)</f>
        <v>0</v>
      </c>
      <c r="AB5" s="115" t="s">
        <v>423</v>
      </c>
    </row>
    <row r="6" spans="2:28" ht="12" customHeight="1" x14ac:dyDescent="0.3">
      <c r="B6" s="91" t="s">
        <v>45</v>
      </c>
      <c r="C6" s="92" t="s">
        <v>47</v>
      </c>
      <c r="D6" s="92" t="s">
        <v>374</v>
      </c>
      <c r="E6" s="93">
        <v>1</v>
      </c>
      <c r="F6" s="94">
        <f>SUMIF('O&amp;M Costs'!$H$2:$H$50,B6,'O&amp;M Costs'!$AI$2:$AI$50)</f>
        <v>0</v>
      </c>
      <c r="G6" s="94">
        <f>SUMIF('O&amp;M Costs'!$I$2:$I$50,B6,'O&amp;M Costs'!$AI$2:$AI$50)</f>
        <v>12423.150000000001</v>
      </c>
      <c r="H6" s="95">
        <f t="shared" si="0"/>
        <v>12423.150000000001</v>
      </c>
      <c r="J6" s="106" t="s">
        <v>15</v>
      </c>
      <c r="K6" s="106" t="s">
        <v>99</v>
      </c>
      <c r="L6" s="106" t="s">
        <v>369</v>
      </c>
      <c r="M6" s="106" t="s">
        <v>369</v>
      </c>
      <c r="N6" s="123">
        <f t="shared" si="1"/>
        <v>6277.7</v>
      </c>
      <c r="O6" s="124">
        <v>0</v>
      </c>
      <c r="P6" s="124"/>
      <c r="Q6" s="123">
        <f t="shared" si="2"/>
        <v>0</v>
      </c>
      <c r="R6" s="143" t="s">
        <v>391</v>
      </c>
      <c r="S6" s="128">
        <f t="shared" si="3"/>
        <v>44137</v>
      </c>
      <c r="T6" s="130">
        <v>1</v>
      </c>
      <c r="U6" s="130" t="s">
        <v>414</v>
      </c>
      <c r="V6" s="130"/>
      <c r="W6" s="130" t="s">
        <v>412</v>
      </c>
      <c r="X6" s="130"/>
      <c r="Y6" s="128">
        <f t="shared" si="5"/>
        <v>0</v>
      </c>
      <c r="Z6" s="128">
        <f t="shared" si="6"/>
        <v>44137</v>
      </c>
      <c r="AA6" s="128">
        <f t="shared" si="7"/>
        <v>0</v>
      </c>
      <c r="AB6" s="115" t="s">
        <v>424</v>
      </c>
    </row>
    <row r="7" spans="2:28" ht="12.6" customHeight="1" x14ac:dyDescent="0.3">
      <c r="B7" s="91" t="s">
        <v>36</v>
      </c>
      <c r="C7" s="92" t="s">
        <v>374</v>
      </c>
      <c r="D7" s="92" t="s">
        <v>34</v>
      </c>
      <c r="E7" s="93">
        <v>-1</v>
      </c>
      <c r="F7" s="94">
        <f>SUMIF('O&amp;M Costs'!$H$2:$H$50,B7,'O&amp;M Costs'!$AI$2:$AI$50)</f>
        <v>6910.4</v>
      </c>
      <c r="G7" s="94">
        <f>SUMIF('O&amp;M Costs'!$I$2:$I$50,B7,'O&amp;M Costs'!$AI$2:$AI$50)</f>
        <v>0</v>
      </c>
      <c r="H7" s="95">
        <f t="shared" si="0"/>
        <v>-6910.4</v>
      </c>
      <c r="J7" s="106" t="s">
        <v>9</v>
      </c>
      <c r="K7" s="106" t="s">
        <v>99</v>
      </c>
      <c r="L7" s="106" t="s">
        <v>369</v>
      </c>
      <c r="M7" s="106" t="s">
        <v>369</v>
      </c>
      <c r="N7" s="123">
        <f t="shared" si="1"/>
        <v>6956.5</v>
      </c>
      <c r="O7" s="124">
        <v>0</v>
      </c>
      <c r="P7" s="124"/>
      <c r="Q7" s="123">
        <f t="shared" si="2"/>
        <v>0</v>
      </c>
      <c r="R7" s="143" t="s">
        <v>389</v>
      </c>
      <c r="S7" s="128">
        <f t="shared" si="3"/>
        <v>39525</v>
      </c>
      <c r="T7" s="130">
        <v>0.8</v>
      </c>
      <c r="U7" s="130" t="s">
        <v>415</v>
      </c>
      <c r="V7" s="130"/>
      <c r="W7" s="130"/>
      <c r="X7" s="130" t="s">
        <v>412</v>
      </c>
      <c r="Y7" s="128">
        <f t="shared" si="5"/>
        <v>0</v>
      </c>
      <c r="Z7" s="128">
        <f t="shared" si="6"/>
        <v>0</v>
      </c>
      <c r="AA7" s="128">
        <f t="shared" si="7"/>
        <v>31620</v>
      </c>
      <c r="AB7" s="115" t="s">
        <v>374</v>
      </c>
    </row>
    <row r="8" spans="2:28" ht="20.399999999999999" x14ac:dyDescent="0.3">
      <c r="B8" s="91" t="s">
        <v>53</v>
      </c>
      <c r="C8" s="92" t="s">
        <v>374</v>
      </c>
      <c r="D8" s="92" t="s">
        <v>374</v>
      </c>
      <c r="E8" s="93">
        <v>0</v>
      </c>
      <c r="F8" s="94">
        <f>SUMIF('O&amp;M Costs'!$H$2:$H$50,B8,'O&amp;M Costs'!$AI$2:$AI$50)</f>
        <v>14239.119999999999</v>
      </c>
      <c r="G8" s="94">
        <f>SUMIF('O&amp;M Costs'!$I$2:$I$50,B8,'O&amp;M Costs'!$AI$2:$AI$50)</f>
        <v>14239.119999999999</v>
      </c>
      <c r="H8" s="95">
        <f t="shared" si="0"/>
        <v>0</v>
      </c>
      <c r="J8" s="106" t="s">
        <v>11</v>
      </c>
      <c r="K8" s="106" t="s">
        <v>99</v>
      </c>
      <c r="L8" s="106" t="s">
        <v>369</v>
      </c>
      <c r="M8" s="106" t="s">
        <v>369</v>
      </c>
      <c r="N8" s="123">
        <f t="shared" si="1"/>
        <v>10403.99</v>
      </c>
      <c r="O8" s="124">
        <v>0</v>
      </c>
      <c r="P8" s="124"/>
      <c r="Q8" s="123">
        <f t="shared" si="2"/>
        <v>0</v>
      </c>
      <c r="R8" s="143" t="s">
        <v>422</v>
      </c>
      <c r="S8" s="128">
        <f t="shared" si="3"/>
        <v>65578</v>
      </c>
      <c r="T8" s="130">
        <v>0.25</v>
      </c>
      <c r="U8" s="130" t="s">
        <v>415</v>
      </c>
      <c r="V8" s="130"/>
      <c r="W8" s="130"/>
      <c r="X8" s="130" t="s">
        <v>412</v>
      </c>
      <c r="Y8" s="128">
        <f t="shared" si="5"/>
        <v>0</v>
      </c>
      <c r="Z8" s="128">
        <f t="shared" si="6"/>
        <v>0</v>
      </c>
      <c r="AA8" s="128">
        <f t="shared" si="7"/>
        <v>16394.5</v>
      </c>
      <c r="AB8" s="115" t="s">
        <v>425</v>
      </c>
    </row>
    <row r="9" spans="2:28" s="105" customFormat="1" x14ac:dyDescent="0.3">
      <c r="B9" s="107" t="s">
        <v>370</v>
      </c>
      <c r="C9" s="108" t="s">
        <v>375</v>
      </c>
      <c r="D9" s="108" t="s">
        <v>374</v>
      </c>
      <c r="E9" s="109">
        <v>4</v>
      </c>
      <c r="F9" s="110">
        <f>SUMIF('O&amp;M Costs'!$H$2:$H$50,B9,'O&amp;M Costs'!$AI$2:$AI$50)</f>
        <v>0</v>
      </c>
      <c r="G9" s="110">
        <f>SUMIF('O&amp;M Costs'!$I$2:$I$50,B9,'O&amp;M Costs'!$AI$2:$AI$50)</f>
        <v>15225.039999999999</v>
      </c>
      <c r="H9" s="111">
        <f t="shared" si="0"/>
        <v>15225.039999999999</v>
      </c>
      <c r="J9" s="106" t="s">
        <v>86</v>
      </c>
      <c r="K9" s="106" t="s">
        <v>99</v>
      </c>
      <c r="L9" s="106" t="s">
        <v>369</v>
      </c>
      <c r="M9" s="106" t="s">
        <v>369</v>
      </c>
      <c r="N9" s="123">
        <f t="shared" si="1"/>
        <v>10403.99</v>
      </c>
      <c r="O9" s="124">
        <v>0</v>
      </c>
      <c r="P9" s="124"/>
      <c r="Q9" s="123">
        <f t="shared" si="2"/>
        <v>0</v>
      </c>
      <c r="R9" s="143" t="s">
        <v>389</v>
      </c>
      <c r="S9" s="128">
        <f t="shared" si="3"/>
        <v>65578</v>
      </c>
      <c r="T9" s="130">
        <v>0.8</v>
      </c>
      <c r="U9" s="130" t="s">
        <v>411</v>
      </c>
      <c r="V9" s="130" t="s">
        <v>412</v>
      </c>
      <c r="W9" s="130"/>
      <c r="X9" s="130"/>
      <c r="Y9" s="128">
        <f t="shared" si="5"/>
        <v>52462.400000000001</v>
      </c>
      <c r="Z9" s="128">
        <f t="shared" si="6"/>
        <v>0</v>
      </c>
      <c r="AA9" s="128">
        <f t="shared" si="7"/>
        <v>0</v>
      </c>
      <c r="AB9" s="115" t="s">
        <v>426</v>
      </c>
    </row>
    <row r="10" spans="2:28" x14ac:dyDescent="0.3">
      <c r="B10" s="97" t="s">
        <v>0</v>
      </c>
      <c r="C10" s="98" t="s">
        <v>374</v>
      </c>
      <c r="D10" s="98" t="s">
        <v>379</v>
      </c>
      <c r="E10" s="99">
        <v>-1</v>
      </c>
      <c r="F10" s="100">
        <f>SUMIF('O&amp;M Costs'!$H$2:$H$50,B10,'O&amp;M Costs'!$AI$2:$AI$50)</f>
        <v>5595.2800000000007</v>
      </c>
      <c r="G10" s="100">
        <f>SUMIF('O&amp;M Costs'!$I$2:$I$50,B10,'O&amp;M Costs'!$AI$2:$AI$50)</f>
        <v>0</v>
      </c>
      <c r="H10" s="101">
        <f t="shared" ref="H10" si="8">G10-F10</f>
        <v>-5595.2800000000007</v>
      </c>
      <c r="J10" s="106" t="s">
        <v>43</v>
      </c>
      <c r="K10" s="106" t="s">
        <v>99</v>
      </c>
      <c r="L10" s="106" t="s">
        <v>369</v>
      </c>
      <c r="M10" s="106" t="s">
        <v>369</v>
      </c>
      <c r="N10" s="123">
        <f t="shared" si="1"/>
        <v>9725.19</v>
      </c>
      <c r="O10" s="124">
        <v>0</v>
      </c>
      <c r="P10" s="124"/>
      <c r="Q10" s="123">
        <f t="shared" si="2"/>
        <v>0</v>
      </c>
      <c r="R10" s="143" t="s">
        <v>389</v>
      </c>
      <c r="S10" s="128">
        <f t="shared" si="3"/>
        <v>70190</v>
      </c>
      <c r="T10" s="130">
        <v>0.8</v>
      </c>
      <c r="U10" s="130" t="s">
        <v>414</v>
      </c>
      <c r="V10" s="130"/>
      <c r="W10" s="130" t="s">
        <v>412</v>
      </c>
      <c r="X10" s="130"/>
      <c r="Y10" s="128">
        <f t="shared" si="5"/>
        <v>0</v>
      </c>
      <c r="Z10" s="128">
        <f t="shared" si="6"/>
        <v>56152</v>
      </c>
      <c r="AA10" s="128">
        <f t="shared" si="7"/>
        <v>0</v>
      </c>
      <c r="AB10" s="115" t="s">
        <v>374</v>
      </c>
    </row>
    <row r="11" spans="2:28" x14ac:dyDescent="0.3">
      <c r="B11" s="102" t="s">
        <v>372</v>
      </c>
      <c r="C11" s="90"/>
      <c r="D11" s="90"/>
      <c r="E11" s="103">
        <f>SUM(E3:E10)</f>
        <v>-4</v>
      </c>
      <c r="F11" s="104">
        <f>SUM(F3:F10)</f>
        <v>374415.25000000012</v>
      </c>
      <c r="G11" s="104">
        <f>SUM(G3:G10)</f>
        <v>341405.49999999994</v>
      </c>
      <c r="H11" s="104">
        <f>SUM(H3:H10)</f>
        <v>-33009.750000000051</v>
      </c>
      <c r="J11" s="106" t="s">
        <v>37</v>
      </c>
      <c r="K11" s="106" t="s">
        <v>99</v>
      </c>
      <c r="L11" s="106" t="s">
        <v>369</v>
      </c>
      <c r="M11" s="106" t="s">
        <v>369</v>
      </c>
      <c r="N11" s="123">
        <f t="shared" si="1"/>
        <v>9272.7800000000007</v>
      </c>
      <c r="O11" s="124">
        <v>0</v>
      </c>
      <c r="P11" s="124"/>
      <c r="Q11" s="123">
        <f t="shared" si="2"/>
        <v>0</v>
      </c>
      <c r="R11" s="143" t="s">
        <v>389</v>
      </c>
      <c r="S11" s="128">
        <f t="shared" si="3"/>
        <v>51924</v>
      </c>
      <c r="T11" s="130">
        <v>0.8</v>
      </c>
      <c r="U11" s="130" t="s">
        <v>414</v>
      </c>
      <c r="V11" s="130"/>
      <c r="W11" s="130" t="s">
        <v>412</v>
      </c>
      <c r="X11" s="130"/>
      <c r="Y11" s="128">
        <f t="shared" si="5"/>
        <v>0</v>
      </c>
      <c r="Z11" s="128">
        <f t="shared" si="6"/>
        <v>41539.200000000004</v>
      </c>
      <c r="AA11" s="128">
        <f t="shared" si="7"/>
        <v>0</v>
      </c>
      <c r="AB11" s="115" t="s">
        <v>374</v>
      </c>
    </row>
    <row r="12" spans="2:28" ht="40.799999999999997" x14ac:dyDescent="0.3">
      <c r="J12" s="106" t="s">
        <v>78</v>
      </c>
      <c r="K12" s="106" t="s">
        <v>94</v>
      </c>
      <c r="L12" s="106" t="s">
        <v>53</v>
      </c>
      <c r="M12" s="106" t="s">
        <v>53</v>
      </c>
      <c r="N12" s="123">
        <f t="shared" si="1"/>
        <v>4852.5</v>
      </c>
      <c r="O12" s="124">
        <v>0</v>
      </c>
      <c r="P12" s="133" t="s">
        <v>406</v>
      </c>
      <c r="Q12" s="123">
        <f t="shared" si="2"/>
        <v>0</v>
      </c>
      <c r="R12" s="143" t="s">
        <v>389</v>
      </c>
      <c r="S12" s="128">
        <f t="shared" si="3"/>
        <v>36525</v>
      </c>
      <c r="T12" s="130">
        <v>0.8</v>
      </c>
      <c r="U12" s="130" t="s">
        <v>415</v>
      </c>
      <c r="V12" s="130"/>
      <c r="W12" s="130"/>
      <c r="X12" s="130" t="s">
        <v>412</v>
      </c>
      <c r="Y12" s="128">
        <f t="shared" si="5"/>
        <v>0</v>
      </c>
      <c r="Z12" s="128">
        <f t="shared" si="6"/>
        <v>0</v>
      </c>
      <c r="AA12" s="128">
        <f t="shared" si="7"/>
        <v>29220</v>
      </c>
      <c r="AB12" s="115" t="s">
        <v>427</v>
      </c>
    </row>
    <row r="13" spans="2:28" ht="40.799999999999997" x14ac:dyDescent="0.3">
      <c r="J13" s="106" t="s">
        <v>56</v>
      </c>
      <c r="K13" s="106" t="s">
        <v>94</v>
      </c>
      <c r="L13" s="106" t="s">
        <v>53</v>
      </c>
      <c r="M13" s="106" t="s">
        <v>53</v>
      </c>
      <c r="N13" s="123">
        <f t="shared" si="1"/>
        <v>9386.619999999999</v>
      </c>
      <c r="O13" s="124">
        <v>0</v>
      </c>
      <c r="P13" s="133" t="s">
        <v>406</v>
      </c>
      <c r="Q13" s="123">
        <f t="shared" si="2"/>
        <v>0</v>
      </c>
      <c r="R13" s="143" t="s">
        <v>374</v>
      </c>
      <c r="S13" s="128">
        <f t="shared" si="3"/>
        <v>61778</v>
      </c>
      <c r="T13" s="130"/>
      <c r="U13" s="130" t="s">
        <v>363</v>
      </c>
      <c r="V13" s="130"/>
      <c r="W13" s="130"/>
      <c r="X13" s="130"/>
      <c r="Y13" s="128">
        <f t="shared" si="5"/>
        <v>0</v>
      </c>
      <c r="Z13" s="128">
        <f t="shared" si="6"/>
        <v>0</v>
      </c>
      <c r="AA13" s="128">
        <f t="shared" si="7"/>
        <v>0</v>
      </c>
      <c r="AB13" s="115" t="s">
        <v>427</v>
      </c>
    </row>
    <row r="14" spans="2:28" x14ac:dyDescent="0.2">
      <c r="D14" s="16"/>
      <c r="E14" s="16"/>
      <c r="J14" s="106" t="s">
        <v>21</v>
      </c>
      <c r="K14" s="106" t="s">
        <v>94</v>
      </c>
      <c r="L14" s="106" t="s">
        <v>439</v>
      </c>
      <c r="M14" s="106" t="s">
        <v>369</v>
      </c>
      <c r="N14" s="123">
        <f t="shared" si="1"/>
        <v>12531.68</v>
      </c>
      <c r="O14" s="124">
        <v>1</v>
      </c>
      <c r="P14" s="124"/>
      <c r="Q14" s="123">
        <f t="shared" si="2"/>
        <v>12531.68</v>
      </c>
      <c r="R14" s="143" t="s">
        <v>374</v>
      </c>
      <c r="S14" s="128">
        <f t="shared" si="3"/>
        <v>119096</v>
      </c>
      <c r="T14" s="130"/>
      <c r="U14" s="130" t="s">
        <v>363</v>
      </c>
      <c r="V14" s="130"/>
      <c r="W14" s="130"/>
      <c r="X14" s="130"/>
      <c r="Y14" s="128">
        <f t="shared" si="5"/>
        <v>0</v>
      </c>
      <c r="Z14" s="128">
        <f t="shared" si="6"/>
        <v>0</v>
      </c>
      <c r="AA14" s="128">
        <f t="shared" si="7"/>
        <v>0</v>
      </c>
      <c r="AB14" s="115" t="s">
        <v>374</v>
      </c>
    </row>
    <row r="15" spans="2:28" ht="30.6" x14ac:dyDescent="0.2">
      <c r="D15" s="16"/>
      <c r="E15" s="16"/>
      <c r="J15" s="106" t="s">
        <v>23</v>
      </c>
      <c r="K15" s="106" t="s">
        <v>94</v>
      </c>
      <c r="L15" s="106" t="s">
        <v>439</v>
      </c>
      <c r="M15" s="106" t="s">
        <v>369</v>
      </c>
      <c r="N15" s="123">
        <f t="shared" si="1"/>
        <v>12130.16</v>
      </c>
      <c r="O15" s="124">
        <v>1</v>
      </c>
      <c r="P15" s="124"/>
      <c r="Q15" s="123">
        <f t="shared" si="2"/>
        <v>12130.16</v>
      </c>
      <c r="R15" s="143" t="s">
        <v>419</v>
      </c>
      <c r="S15" s="128">
        <f t="shared" si="3"/>
        <v>114077</v>
      </c>
      <c r="T15" s="130">
        <v>1</v>
      </c>
      <c r="U15" s="130" t="s">
        <v>415</v>
      </c>
      <c r="V15" s="130"/>
      <c r="W15" s="130"/>
      <c r="X15" s="130" t="s">
        <v>412</v>
      </c>
      <c r="Y15" s="128">
        <f t="shared" si="5"/>
        <v>0</v>
      </c>
      <c r="Z15" s="128">
        <f t="shared" si="6"/>
        <v>0</v>
      </c>
      <c r="AA15" s="128">
        <f t="shared" si="7"/>
        <v>114077</v>
      </c>
      <c r="AB15" s="115" t="s">
        <v>428</v>
      </c>
    </row>
    <row r="16" spans="2:28" ht="51" x14ac:dyDescent="0.2">
      <c r="D16" s="16"/>
      <c r="E16" s="16"/>
      <c r="J16" s="106" t="s">
        <v>27</v>
      </c>
      <c r="K16" s="106" t="s">
        <v>94</v>
      </c>
      <c r="L16" s="106" t="s">
        <v>440</v>
      </c>
      <c r="M16" s="106" t="s">
        <v>440</v>
      </c>
      <c r="N16" s="123">
        <f t="shared" si="1"/>
        <v>9058.4000000000015</v>
      </c>
      <c r="O16" s="124">
        <v>0</v>
      </c>
      <c r="P16" s="133" t="s">
        <v>429</v>
      </c>
      <c r="Q16" s="123">
        <f t="shared" si="2"/>
        <v>0</v>
      </c>
      <c r="R16" s="143" t="s">
        <v>374</v>
      </c>
      <c r="S16" s="128">
        <f t="shared" si="3"/>
        <v>77180</v>
      </c>
      <c r="T16" s="130"/>
      <c r="U16" s="130" t="s">
        <v>363</v>
      </c>
      <c r="V16" s="130"/>
      <c r="W16" s="130"/>
      <c r="X16" s="130"/>
      <c r="Y16" s="128">
        <f t="shared" si="5"/>
        <v>0</v>
      </c>
      <c r="Z16" s="128">
        <f t="shared" si="6"/>
        <v>0</v>
      </c>
      <c r="AA16" s="128">
        <f t="shared" si="7"/>
        <v>0</v>
      </c>
      <c r="AB16" s="115" t="s">
        <v>430</v>
      </c>
    </row>
    <row r="17" spans="4:28" x14ac:dyDescent="0.2">
      <c r="D17" s="16"/>
      <c r="E17" s="16"/>
      <c r="J17" s="106" t="s">
        <v>4</v>
      </c>
      <c r="K17" s="106" t="s">
        <v>94</v>
      </c>
      <c r="L17" s="106" t="s">
        <v>439</v>
      </c>
      <c r="M17" s="106" t="s">
        <v>369</v>
      </c>
      <c r="N17" s="123">
        <f t="shared" si="1"/>
        <v>5268.24</v>
      </c>
      <c r="O17" s="124">
        <v>1</v>
      </c>
      <c r="P17" s="124"/>
      <c r="Q17" s="123">
        <f t="shared" si="2"/>
        <v>5268.24</v>
      </c>
      <c r="R17" s="143" t="s">
        <v>374</v>
      </c>
      <c r="S17" s="128">
        <f t="shared" si="3"/>
        <v>42553</v>
      </c>
      <c r="T17" s="130"/>
      <c r="U17" s="130" t="s">
        <v>363</v>
      </c>
      <c r="V17" s="130"/>
      <c r="W17" s="130"/>
      <c r="X17" s="130"/>
      <c r="Y17" s="128">
        <f t="shared" si="5"/>
        <v>0</v>
      </c>
      <c r="Z17" s="128">
        <f t="shared" si="6"/>
        <v>0</v>
      </c>
      <c r="AA17" s="128">
        <f t="shared" si="7"/>
        <v>0</v>
      </c>
      <c r="AB17" s="115" t="s">
        <v>374</v>
      </c>
    </row>
    <row r="18" spans="4:28" x14ac:dyDescent="0.2">
      <c r="D18" s="16"/>
      <c r="E18" s="87"/>
      <c r="J18" s="106" t="s">
        <v>41</v>
      </c>
      <c r="K18" s="106" t="s">
        <v>94</v>
      </c>
      <c r="L18" s="106" t="s">
        <v>439</v>
      </c>
      <c r="M18" s="106" t="s">
        <v>369</v>
      </c>
      <c r="N18" s="123">
        <f t="shared" si="1"/>
        <v>8583.58</v>
      </c>
      <c r="O18" s="124">
        <v>1</v>
      </c>
      <c r="P18" s="124"/>
      <c r="Q18" s="123">
        <f t="shared" si="2"/>
        <v>8583.58</v>
      </c>
      <c r="R18" s="143" t="s">
        <v>392</v>
      </c>
      <c r="S18" s="128">
        <f t="shared" si="3"/>
        <v>51740</v>
      </c>
      <c r="T18" s="130">
        <v>0.03</v>
      </c>
      <c r="U18" s="130" t="s">
        <v>411</v>
      </c>
      <c r="V18" s="130" t="s">
        <v>412</v>
      </c>
      <c r="W18" s="130"/>
      <c r="X18" s="130"/>
      <c r="Y18" s="128">
        <f t="shared" si="5"/>
        <v>1552.2</v>
      </c>
      <c r="Z18" s="128">
        <f t="shared" si="6"/>
        <v>0</v>
      </c>
      <c r="AA18" s="128">
        <f t="shared" si="7"/>
        <v>0</v>
      </c>
      <c r="AB18" s="115" t="s">
        <v>374</v>
      </c>
    </row>
    <row r="19" spans="4:28" x14ac:dyDescent="0.2">
      <c r="D19" s="16"/>
      <c r="E19" s="87"/>
      <c r="J19" s="106" t="s">
        <v>39</v>
      </c>
      <c r="K19" s="106" t="s">
        <v>94</v>
      </c>
      <c r="L19" s="106" t="s">
        <v>439</v>
      </c>
      <c r="M19" s="106" t="s">
        <v>369</v>
      </c>
      <c r="N19" s="123">
        <f t="shared" si="1"/>
        <v>11224.67</v>
      </c>
      <c r="O19" s="124">
        <v>1</v>
      </c>
      <c r="P19" s="124"/>
      <c r="Q19" s="123">
        <f t="shared" si="2"/>
        <v>11224.67</v>
      </c>
      <c r="R19" s="143" t="s">
        <v>392</v>
      </c>
      <c r="S19" s="128">
        <f t="shared" si="3"/>
        <v>83249</v>
      </c>
      <c r="T19" s="130">
        <v>0.03</v>
      </c>
      <c r="U19" s="130" t="s">
        <v>411</v>
      </c>
      <c r="V19" s="130" t="s">
        <v>412</v>
      </c>
      <c r="W19" s="130"/>
      <c r="X19" s="130"/>
      <c r="Y19" s="128">
        <f t="shared" si="5"/>
        <v>2497.4699999999998</v>
      </c>
      <c r="Z19" s="128">
        <f t="shared" si="6"/>
        <v>0</v>
      </c>
      <c r="AA19" s="128">
        <f t="shared" si="7"/>
        <v>0</v>
      </c>
      <c r="AB19" s="115" t="s">
        <v>374</v>
      </c>
    </row>
    <row r="20" spans="4:28" ht="20.399999999999999" x14ac:dyDescent="0.2">
      <c r="D20" s="16"/>
      <c r="E20" s="87"/>
      <c r="J20" s="106" t="s">
        <v>34</v>
      </c>
      <c r="K20" s="106" t="s">
        <v>94</v>
      </c>
      <c r="L20" s="106" t="s">
        <v>36</v>
      </c>
      <c r="M20" s="106" t="s">
        <v>369</v>
      </c>
      <c r="N20" s="123">
        <f t="shared" si="1"/>
        <v>6910.4</v>
      </c>
      <c r="O20" s="124">
        <v>1</v>
      </c>
      <c r="P20" s="124"/>
      <c r="Q20" s="123">
        <f t="shared" si="2"/>
        <v>6910.4</v>
      </c>
      <c r="R20" s="143" t="s">
        <v>421</v>
      </c>
      <c r="S20" s="128">
        <f t="shared" si="3"/>
        <v>48830</v>
      </c>
      <c r="T20" s="130">
        <v>0.2</v>
      </c>
      <c r="U20" s="130" t="s">
        <v>414</v>
      </c>
      <c r="V20" s="130"/>
      <c r="W20" s="130" t="s">
        <v>412</v>
      </c>
      <c r="X20" s="130"/>
      <c r="Y20" s="128">
        <f t="shared" si="5"/>
        <v>0</v>
      </c>
      <c r="Z20" s="128">
        <f t="shared" si="6"/>
        <v>9766</v>
      </c>
      <c r="AA20" s="128">
        <f t="shared" si="7"/>
        <v>0</v>
      </c>
      <c r="AB20" s="115" t="s">
        <v>398</v>
      </c>
    </row>
    <row r="21" spans="4:28" ht="20.399999999999999" x14ac:dyDescent="0.2">
      <c r="D21" s="16"/>
      <c r="E21" s="87"/>
      <c r="J21" s="106" t="s">
        <v>379</v>
      </c>
      <c r="K21" s="106" t="s">
        <v>94</v>
      </c>
      <c r="L21" s="106" t="s">
        <v>0</v>
      </c>
      <c r="M21" s="106" t="s">
        <v>369</v>
      </c>
      <c r="N21" s="123">
        <f t="shared" si="1"/>
        <v>5595.2800000000007</v>
      </c>
      <c r="O21" s="124">
        <v>1</v>
      </c>
      <c r="P21" s="124"/>
      <c r="Q21" s="123">
        <f t="shared" si="2"/>
        <v>5595.2800000000007</v>
      </c>
      <c r="R21" s="143" t="s">
        <v>392</v>
      </c>
      <c r="S21" s="128">
        <f t="shared" si="3"/>
        <v>51191</v>
      </c>
      <c r="T21" s="130">
        <v>0.04</v>
      </c>
      <c r="U21" s="130" t="s">
        <v>414</v>
      </c>
      <c r="V21" s="130"/>
      <c r="W21" s="130" t="s">
        <v>412</v>
      </c>
      <c r="X21" s="130"/>
      <c r="Y21" s="128">
        <f t="shared" si="5"/>
        <v>0</v>
      </c>
      <c r="Z21" s="128">
        <f t="shared" si="6"/>
        <v>2047.64</v>
      </c>
      <c r="AA21" s="128">
        <f t="shared" si="7"/>
        <v>0</v>
      </c>
      <c r="AB21" s="115" t="s">
        <v>399</v>
      </c>
    </row>
    <row r="22" spans="4:28" x14ac:dyDescent="0.2">
      <c r="D22" s="16"/>
      <c r="E22" s="87"/>
      <c r="J22" s="106" t="s">
        <v>76</v>
      </c>
      <c r="K22" s="112" t="s">
        <v>98</v>
      </c>
      <c r="L22" s="106" t="s">
        <v>369</v>
      </c>
      <c r="M22" s="106" t="s">
        <v>363</v>
      </c>
      <c r="N22" s="123">
        <f t="shared" si="1"/>
        <v>6277.7</v>
      </c>
      <c r="O22" s="124">
        <v>-1</v>
      </c>
      <c r="P22" s="124"/>
      <c r="Q22" s="123">
        <f t="shared" si="2"/>
        <v>-6277.7</v>
      </c>
      <c r="R22" s="143" t="s">
        <v>374</v>
      </c>
      <c r="S22" s="128">
        <f t="shared" si="3"/>
        <v>44137</v>
      </c>
      <c r="T22" s="130">
        <v>0.15</v>
      </c>
      <c r="U22" s="130" t="s">
        <v>415</v>
      </c>
      <c r="V22" s="130"/>
      <c r="W22" s="130"/>
      <c r="X22" s="130" t="s">
        <v>412</v>
      </c>
      <c r="Y22" s="128">
        <f t="shared" si="5"/>
        <v>0</v>
      </c>
      <c r="Z22" s="128">
        <f t="shared" si="6"/>
        <v>0</v>
      </c>
      <c r="AA22" s="128">
        <f t="shared" si="7"/>
        <v>6620.55</v>
      </c>
      <c r="AB22" s="115" t="s">
        <v>396</v>
      </c>
    </row>
    <row r="23" spans="4:28" x14ac:dyDescent="0.2">
      <c r="D23" s="16"/>
      <c r="E23" s="87"/>
      <c r="J23" s="106" t="s">
        <v>72</v>
      </c>
      <c r="K23" s="112" t="s">
        <v>98</v>
      </c>
      <c r="L23" s="106" t="s">
        <v>369</v>
      </c>
      <c r="M23" s="106" t="s">
        <v>363</v>
      </c>
      <c r="N23" s="123">
        <f t="shared" si="1"/>
        <v>3984.32</v>
      </c>
      <c r="O23" s="124">
        <v>-1</v>
      </c>
      <c r="P23" s="124"/>
      <c r="Q23" s="123">
        <f t="shared" si="2"/>
        <v>-3984.32</v>
      </c>
      <c r="R23" s="143" t="s">
        <v>374</v>
      </c>
      <c r="S23" s="128">
        <f t="shared" si="3"/>
        <v>28004</v>
      </c>
      <c r="T23" s="130">
        <v>0.15</v>
      </c>
      <c r="U23" s="130" t="s">
        <v>415</v>
      </c>
      <c r="V23" s="130"/>
      <c r="W23" s="130"/>
      <c r="X23" s="130" t="s">
        <v>412</v>
      </c>
      <c r="Y23" s="128">
        <f t="shared" si="5"/>
        <v>0</v>
      </c>
      <c r="Z23" s="128">
        <f t="shared" si="6"/>
        <v>0</v>
      </c>
      <c r="AA23" s="128">
        <f t="shared" si="7"/>
        <v>4200.5999999999995</v>
      </c>
      <c r="AB23" s="115" t="s">
        <v>394</v>
      </c>
    </row>
    <row r="24" spans="4:28" ht="30.6" x14ac:dyDescent="0.2">
      <c r="D24" s="16"/>
      <c r="E24" s="87"/>
      <c r="J24" s="106" t="s">
        <v>70</v>
      </c>
      <c r="K24" s="112" t="s">
        <v>98</v>
      </c>
      <c r="L24" s="106" t="s">
        <v>369</v>
      </c>
      <c r="M24" s="106" t="s">
        <v>387</v>
      </c>
      <c r="N24" s="123">
        <f t="shared" si="1"/>
        <v>4289.12</v>
      </c>
      <c r="O24" s="124">
        <v>-1</v>
      </c>
      <c r="P24" s="124"/>
      <c r="Q24" s="123">
        <f t="shared" si="2"/>
        <v>-4289.12</v>
      </c>
      <c r="R24" s="143" t="s">
        <v>374</v>
      </c>
      <c r="S24" s="128">
        <f t="shared" si="3"/>
        <v>29539</v>
      </c>
      <c r="T24" s="130">
        <v>0.15</v>
      </c>
      <c r="U24" s="130" t="s">
        <v>415</v>
      </c>
      <c r="V24" s="130"/>
      <c r="W24" s="130"/>
      <c r="X24" s="130" t="s">
        <v>412</v>
      </c>
      <c r="Y24" s="128">
        <f t="shared" si="5"/>
        <v>0</v>
      </c>
      <c r="Z24" s="128">
        <f t="shared" si="6"/>
        <v>0</v>
      </c>
      <c r="AA24" s="128">
        <f t="shared" si="7"/>
        <v>4430.8499999999995</v>
      </c>
      <c r="AB24" s="115" t="s">
        <v>431</v>
      </c>
    </row>
    <row r="25" spans="4:28" x14ac:dyDescent="0.3">
      <c r="J25" s="106" t="s">
        <v>68</v>
      </c>
      <c r="K25" s="112" t="s">
        <v>98</v>
      </c>
      <c r="L25" s="106" t="s">
        <v>369</v>
      </c>
      <c r="M25" s="106" t="s">
        <v>363</v>
      </c>
      <c r="N25" s="123">
        <f t="shared" si="1"/>
        <v>3509.2</v>
      </c>
      <c r="O25" s="124">
        <v>-1</v>
      </c>
      <c r="P25" s="124"/>
      <c r="Q25" s="123">
        <f t="shared" si="2"/>
        <v>-3509.2</v>
      </c>
      <c r="R25" s="143" t="s">
        <v>374</v>
      </c>
      <c r="S25" s="128">
        <f t="shared" si="3"/>
        <v>20565</v>
      </c>
      <c r="T25" s="130">
        <v>0.15</v>
      </c>
      <c r="U25" s="130" t="s">
        <v>415</v>
      </c>
      <c r="V25" s="130"/>
      <c r="W25" s="130"/>
      <c r="X25" s="130" t="s">
        <v>412</v>
      </c>
      <c r="Y25" s="128">
        <f t="shared" si="5"/>
        <v>0</v>
      </c>
      <c r="Z25" s="128">
        <f t="shared" si="6"/>
        <v>0</v>
      </c>
      <c r="AA25" s="128">
        <f t="shared" si="7"/>
        <v>3084.75</v>
      </c>
      <c r="AB25" s="115" t="s">
        <v>395</v>
      </c>
    </row>
    <row r="26" spans="4:28" x14ac:dyDescent="0.3">
      <c r="J26" s="106" t="s">
        <v>62</v>
      </c>
      <c r="K26" s="112" t="s">
        <v>98</v>
      </c>
      <c r="L26" s="106" t="s">
        <v>369</v>
      </c>
      <c r="M26" s="106" t="s">
        <v>363</v>
      </c>
      <c r="N26" s="123">
        <f t="shared" si="1"/>
        <v>3442.4</v>
      </c>
      <c r="O26" s="124">
        <v>-1</v>
      </c>
      <c r="P26" s="124"/>
      <c r="Q26" s="123">
        <f t="shared" si="2"/>
        <v>-3442.4</v>
      </c>
      <c r="R26" s="143" t="s">
        <v>374</v>
      </c>
      <c r="S26" s="128">
        <f t="shared" si="3"/>
        <v>19730</v>
      </c>
      <c r="T26" s="130">
        <v>0.15</v>
      </c>
      <c r="U26" s="130" t="s">
        <v>415</v>
      </c>
      <c r="V26" s="130"/>
      <c r="W26" s="130"/>
      <c r="X26" s="130" t="s">
        <v>412</v>
      </c>
      <c r="Y26" s="128">
        <f t="shared" si="5"/>
        <v>0</v>
      </c>
      <c r="Z26" s="128">
        <f t="shared" si="6"/>
        <v>0</v>
      </c>
      <c r="AA26" s="128">
        <f t="shared" si="7"/>
        <v>2959.5</v>
      </c>
      <c r="AB26" s="115" t="s">
        <v>395</v>
      </c>
    </row>
    <row r="27" spans="4:28" ht="20.399999999999999" x14ac:dyDescent="0.3">
      <c r="J27" s="106" t="s">
        <v>47</v>
      </c>
      <c r="K27" s="112" t="s">
        <v>98</v>
      </c>
      <c r="L27" s="106" t="s">
        <v>369</v>
      </c>
      <c r="M27" s="106" t="s">
        <v>45</v>
      </c>
      <c r="N27" s="123">
        <f t="shared" si="1"/>
        <v>12423.150000000001</v>
      </c>
      <c r="O27" s="124">
        <v>-1</v>
      </c>
      <c r="P27" s="124"/>
      <c r="Q27" s="123">
        <f t="shared" si="2"/>
        <v>-12423.150000000001</v>
      </c>
      <c r="R27" s="143" t="s">
        <v>374</v>
      </c>
      <c r="S27" s="128">
        <f t="shared" si="3"/>
        <v>80230</v>
      </c>
      <c r="T27" s="130"/>
      <c r="U27" s="130" t="s">
        <v>363</v>
      </c>
      <c r="V27" s="130"/>
      <c r="W27" s="130"/>
      <c r="X27" s="130"/>
      <c r="Y27" s="128">
        <f t="shared" si="5"/>
        <v>0</v>
      </c>
      <c r="Z27" s="128">
        <f t="shared" si="6"/>
        <v>0</v>
      </c>
      <c r="AA27" s="128">
        <f t="shared" si="7"/>
        <v>0</v>
      </c>
      <c r="AB27" s="115" t="s">
        <v>432</v>
      </c>
    </row>
    <row r="28" spans="4:28" ht="20.399999999999999" x14ac:dyDescent="0.3">
      <c r="J28" s="106" t="s">
        <v>90</v>
      </c>
      <c r="K28" s="112" t="s">
        <v>98</v>
      </c>
      <c r="L28" s="106" t="s">
        <v>369</v>
      </c>
      <c r="M28" s="106" t="s">
        <v>363</v>
      </c>
      <c r="N28" s="123">
        <f t="shared" si="1"/>
        <v>8685.7800000000007</v>
      </c>
      <c r="O28" s="124">
        <v>-1</v>
      </c>
      <c r="P28" s="124"/>
      <c r="Q28" s="123">
        <f t="shared" si="2"/>
        <v>-8685.7800000000007</v>
      </c>
      <c r="R28" s="143" t="s">
        <v>374</v>
      </c>
      <c r="S28" s="128">
        <f t="shared" si="3"/>
        <v>46054</v>
      </c>
      <c r="T28" s="130">
        <v>0.15</v>
      </c>
      <c r="U28" s="130" t="s">
        <v>411</v>
      </c>
      <c r="V28" s="130" t="s">
        <v>412</v>
      </c>
      <c r="W28" s="130"/>
      <c r="X28" s="130"/>
      <c r="Y28" s="128">
        <f t="shared" si="5"/>
        <v>6908.0999999999995</v>
      </c>
      <c r="Z28" s="128">
        <f t="shared" si="6"/>
        <v>0</v>
      </c>
      <c r="AA28" s="128">
        <f t="shared" si="7"/>
        <v>0</v>
      </c>
      <c r="AB28" s="115" t="s">
        <v>433</v>
      </c>
    </row>
    <row r="29" spans="4:28" x14ac:dyDescent="0.3">
      <c r="J29" s="106" t="s">
        <v>83</v>
      </c>
      <c r="K29" s="112" t="s">
        <v>98</v>
      </c>
      <c r="L29" s="106" t="s">
        <v>369</v>
      </c>
      <c r="M29" s="106" t="s">
        <v>363</v>
      </c>
      <c r="N29" s="123">
        <f t="shared" si="1"/>
        <v>7348.7800000000007</v>
      </c>
      <c r="O29" s="124">
        <v>-1</v>
      </c>
      <c r="P29" s="124"/>
      <c r="Q29" s="123">
        <f t="shared" si="2"/>
        <v>-7348.7800000000007</v>
      </c>
      <c r="R29" s="143" t="s">
        <v>374</v>
      </c>
      <c r="S29" s="128">
        <f t="shared" si="3"/>
        <v>32684</v>
      </c>
      <c r="T29" s="130">
        <v>0.15</v>
      </c>
      <c r="U29" s="130" t="s">
        <v>411</v>
      </c>
      <c r="V29" s="130" t="s">
        <v>412</v>
      </c>
      <c r="W29" s="130"/>
      <c r="X29" s="130"/>
      <c r="Y29" s="128">
        <f t="shared" si="5"/>
        <v>4902.5999999999995</v>
      </c>
      <c r="Z29" s="128">
        <f t="shared" si="6"/>
        <v>0</v>
      </c>
      <c r="AA29" s="128">
        <f t="shared" si="7"/>
        <v>0</v>
      </c>
      <c r="AB29" s="115" t="s">
        <v>434</v>
      </c>
    </row>
    <row r="30" spans="4:28" x14ac:dyDescent="0.3">
      <c r="J30" s="106" t="s">
        <v>88</v>
      </c>
      <c r="K30" s="112" t="s">
        <v>98</v>
      </c>
      <c r="L30" s="106" t="s">
        <v>369</v>
      </c>
      <c r="M30" s="106" t="s">
        <v>363</v>
      </c>
      <c r="N30" s="123">
        <f t="shared" si="1"/>
        <v>10697.49</v>
      </c>
      <c r="O30" s="124">
        <v>-1</v>
      </c>
      <c r="P30" s="124"/>
      <c r="Q30" s="123">
        <f t="shared" si="2"/>
        <v>-10697.49</v>
      </c>
      <c r="R30" s="143" t="s">
        <v>374</v>
      </c>
      <c r="S30" s="128">
        <f t="shared" si="3"/>
        <v>68513</v>
      </c>
      <c r="T30" s="130">
        <v>0.15</v>
      </c>
      <c r="U30" s="130" t="s">
        <v>414</v>
      </c>
      <c r="V30" s="130"/>
      <c r="W30" s="130" t="s">
        <v>412</v>
      </c>
      <c r="X30" s="130"/>
      <c r="Y30" s="128">
        <f t="shared" si="5"/>
        <v>0</v>
      </c>
      <c r="Z30" s="128">
        <f t="shared" si="6"/>
        <v>10276.949999999999</v>
      </c>
      <c r="AA30" s="128">
        <f t="shared" si="7"/>
        <v>0</v>
      </c>
      <c r="AB30" s="115" t="s">
        <v>435</v>
      </c>
    </row>
    <row r="31" spans="4:28" ht="40.799999999999997" x14ac:dyDescent="0.3">
      <c r="J31" s="106" t="s">
        <v>364</v>
      </c>
      <c r="K31" s="106" t="s">
        <v>97</v>
      </c>
      <c r="L31" s="106" t="s">
        <v>363</v>
      </c>
      <c r="M31" s="106" t="s">
        <v>369</v>
      </c>
      <c r="N31" s="123">
        <f t="shared" si="1"/>
        <v>13627.71</v>
      </c>
      <c r="O31" s="124">
        <v>0</v>
      </c>
      <c r="P31" s="133" t="s">
        <v>408</v>
      </c>
      <c r="Q31" s="123">
        <f t="shared" si="2"/>
        <v>0</v>
      </c>
      <c r="R31" s="143" t="s">
        <v>374</v>
      </c>
      <c r="S31" s="128">
        <f t="shared" si="3"/>
        <v>95287</v>
      </c>
      <c r="T31" s="130"/>
      <c r="U31" s="130" t="s">
        <v>363</v>
      </c>
      <c r="V31" s="130"/>
      <c r="W31" s="130"/>
      <c r="X31" s="130"/>
      <c r="Y31" s="128">
        <f t="shared" si="5"/>
        <v>0</v>
      </c>
      <c r="Z31" s="128">
        <f t="shared" si="6"/>
        <v>0</v>
      </c>
      <c r="AA31" s="128">
        <f t="shared" si="7"/>
        <v>0</v>
      </c>
      <c r="AB31" s="115" t="s">
        <v>397</v>
      </c>
    </row>
    <row r="32" spans="4:28" ht="40.799999999999997" x14ac:dyDescent="0.3">
      <c r="J32" s="106" t="s">
        <v>365</v>
      </c>
      <c r="K32" s="106" t="s">
        <v>97</v>
      </c>
      <c r="L32" s="106" t="s">
        <v>363</v>
      </c>
      <c r="M32" s="106" t="s">
        <v>369</v>
      </c>
      <c r="N32" s="123">
        <f t="shared" si="1"/>
        <v>13627.71</v>
      </c>
      <c r="O32" s="124">
        <v>0</v>
      </c>
      <c r="P32" s="133" t="s">
        <v>408</v>
      </c>
      <c r="Q32" s="123">
        <f t="shared" si="2"/>
        <v>0</v>
      </c>
      <c r="R32" s="143" t="s">
        <v>374</v>
      </c>
      <c r="S32" s="128">
        <f t="shared" si="3"/>
        <v>95287</v>
      </c>
      <c r="T32" s="130"/>
      <c r="U32" s="130" t="s">
        <v>363</v>
      </c>
      <c r="V32" s="130"/>
      <c r="W32" s="130"/>
      <c r="X32" s="130"/>
      <c r="Y32" s="128">
        <f t="shared" si="5"/>
        <v>0</v>
      </c>
      <c r="Z32" s="128">
        <f t="shared" si="6"/>
        <v>0</v>
      </c>
      <c r="AA32" s="128">
        <f t="shared" si="7"/>
        <v>0</v>
      </c>
      <c r="AB32" s="115" t="s">
        <v>397</v>
      </c>
    </row>
    <row r="33" spans="10:28" ht="30.6" x14ac:dyDescent="0.3">
      <c r="J33" s="106" t="s">
        <v>95</v>
      </c>
      <c r="K33" s="106" t="s">
        <v>97</v>
      </c>
      <c r="L33" s="106" t="s">
        <v>363</v>
      </c>
      <c r="M33" s="106" t="s">
        <v>369</v>
      </c>
      <c r="N33" s="123">
        <f t="shared" si="1"/>
        <v>10803.39</v>
      </c>
      <c r="O33" s="124">
        <v>0</v>
      </c>
      <c r="P33" s="133" t="s">
        <v>407</v>
      </c>
      <c r="Q33" s="123">
        <f t="shared" si="2"/>
        <v>0</v>
      </c>
      <c r="R33" s="143" t="s">
        <v>374</v>
      </c>
      <c r="S33" s="128">
        <f t="shared" si="3"/>
        <v>89240</v>
      </c>
      <c r="T33" s="130"/>
      <c r="U33" s="130" t="s">
        <v>363</v>
      </c>
      <c r="V33" s="130"/>
      <c r="W33" s="130"/>
      <c r="X33" s="130"/>
      <c r="Y33" s="128">
        <f t="shared" si="5"/>
        <v>0</v>
      </c>
      <c r="Z33" s="128">
        <f t="shared" si="6"/>
        <v>0</v>
      </c>
      <c r="AA33" s="128">
        <f t="shared" si="7"/>
        <v>0</v>
      </c>
      <c r="AB33" s="115" t="s">
        <v>437</v>
      </c>
    </row>
    <row r="34" spans="10:28" ht="30.6" x14ac:dyDescent="0.3">
      <c r="J34" s="116" t="s">
        <v>96</v>
      </c>
      <c r="K34" s="116" t="s">
        <v>97</v>
      </c>
      <c r="L34" s="116" t="s">
        <v>363</v>
      </c>
      <c r="M34" s="116" t="s">
        <v>369</v>
      </c>
      <c r="N34" s="125">
        <f t="shared" si="1"/>
        <v>6874.32</v>
      </c>
      <c r="O34" s="126">
        <v>0</v>
      </c>
      <c r="P34" s="134" t="s">
        <v>407</v>
      </c>
      <c r="Q34" s="125">
        <f t="shared" si="2"/>
        <v>0</v>
      </c>
      <c r="R34" s="144" t="s">
        <v>374</v>
      </c>
      <c r="S34" s="129">
        <f t="shared" si="3"/>
        <v>62629</v>
      </c>
      <c r="T34" s="131"/>
      <c r="U34" s="131" t="s">
        <v>363</v>
      </c>
      <c r="V34" s="131"/>
      <c r="W34" s="131"/>
      <c r="X34" s="131"/>
      <c r="Y34" s="129">
        <f t="shared" si="5"/>
        <v>0</v>
      </c>
      <c r="Z34" s="129">
        <f t="shared" si="6"/>
        <v>0</v>
      </c>
      <c r="AA34" s="129">
        <f t="shared" si="7"/>
        <v>0</v>
      </c>
      <c r="AB34" s="117" t="s">
        <v>436</v>
      </c>
    </row>
    <row r="35" spans="10:28" x14ac:dyDescent="0.3">
      <c r="O35" s="122"/>
      <c r="P35" s="135" t="s">
        <v>409</v>
      </c>
      <c r="Q35" s="127">
        <f>SUM(Q4:Q34)</f>
        <v>1586.0700000000033</v>
      </c>
      <c r="R35" s="113"/>
      <c r="X35" s="142" t="s">
        <v>418</v>
      </c>
      <c r="Y35" s="132">
        <f>SUM(Y4:Y34)</f>
        <v>105165.97000000002</v>
      </c>
      <c r="Z35" s="132">
        <f t="shared" ref="Z35:AA35" si="9">SUM(Z4:Z34)</f>
        <v>204451.59000000003</v>
      </c>
      <c r="AA35" s="132">
        <f t="shared" si="9"/>
        <v>212607.75</v>
      </c>
    </row>
    <row r="36" spans="10:28" x14ac:dyDescent="0.3">
      <c r="X36" s="142" t="s">
        <v>420</v>
      </c>
      <c r="Y36" s="132">
        <f>Y35/1</f>
        <v>105165.97000000002</v>
      </c>
      <c r="Z36" s="132">
        <f>Z35/2</f>
        <v>102225.79500000001</v>
      </c>
      <c r="AA36" s="132">
        <f>AA35/2</f>
        <v>106303.875</v>
      </c>
    </row>
  </sheetData>
  <mergeCells count="2">
    <mergeCell ref="Y2:AA2"/>
    <mergeCell ref="V2:X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7" sqref="A47:XFD47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>AH5+AC5</f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53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53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439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439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440</v>
      </c>
      <c r="I31" s="85" t="s">
        <v>440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440</v>
      </c>
      <c r="I32" s="145" t="s">
        <v>440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439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439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439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379</v>
      </c>
      <c r="B37" s="17" t="s">
        <v>381</v>
      </c>
      <c r="C37" s="18" t="b">
        <v>0</v>
      </c>
      <c r="D37" s="18" t="s">
        <v>380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382</v>
      </c>
      <c r="K37" s="30" t="s">
        <v>383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145" t="s">
        <v>363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145" t="s">
        <v>363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145" t="s">
        <v>363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145" t="s">
        <v>363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45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5120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15274</v>
      </c>
      <c r="Z47" s="19">
        <f t="shared" si="53"/>
        <v>12500</v>
      </c>
      <c r="AA47" s="20">
        <f t="shared" si="20"/>
        <v>80230</v>
      </c>
      <c r="AB47" s="39">
        <f t="shared" si="54"/>
        <v>0.08</v>
      </c>
      <c r="AC47" s="20">
        <f t="shared" si="21"/>
        <v>6418.4000000000005</v>
      </c>
      <c r="AD47" s="21">
        <f t="shared" ref="AD47" si="55">(R47*battery_replacement)/4</f>
        <v>364</v>
      </c>
      <c r="AE47" s="21">
        <f t="shared" ref="AE47" si="56">VLOOKUP(L47,communication,3,FALSE)</f>
        <v>1440</v>
      </c>
      <c r="AF47" s="21">
        <f t="shared" ref="AF47" si="57">VLOOKUP(Q47,power,3,FALSE)</f>
        <v>3120.75</v>
      </c>
      <c r="AG47" s="21">
        <f t="shared" si="25"/>
        <v>1080</v>
      </c>
      <c r="AH47" s="22">
        <f t="shared" si="23"/>
        <v>6004.75</v>
      </c>
      <c r="AI47" s="23">
        <f t="shared" si="22"/>
        <v>12423.150000000001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363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8">SUMIFS(T$2:T$50,$D$2:$D$50,$S54,T$2:T$50,"&lt;&gt;#N/A")</f>
        <v>39194</v>
      </c>
      <c r="U54" s="19">
        <f t="shared" si="58"/>
        <v>18370</v>
      </c>
      <c r="V54" s="19">
        <f t="shared" ref="V54:Z54" si="59">SUMIFS(V$2:V$50,$D$2:$D$50,$S54,V$2:V$50,"&lt;&gt;#N/A")</f>
        <v>163900</v>
      </c>
      <c r="W54" s="19">
        <f t="shared" si="59"/>
        <v>206316</v>
      </c>
      <c r="X54" s="19">
        <f t="shared" si="59"/>
        <v>484275</v>
      </c>
      <c r="Y54" s="19">
        <f t="shared" si="59"/>
        <v>300581</v>
      </c>
      <c r="Z54" s="19">
        <f t="shared" si="59"/>
        <v>312500</v>
      </c>
      <c r="AA54" s="35">
        <f>SUMIFS(AA$2:AA$50,$D$2:$D$50,$S54,AA$2:AA$50,"&lt;&gt;#N/A")</f>
        <v>1525136</v>
      </c>
      <c r="AB54" s="35"/>
      <c r="AC54" s="35">
        <f t="shared" ref="AC54:AE57" si="60">SUMIFS(AC$2:AC$50,$D$2:$D$50,$S54,AC$2:AC$50,"&lt;&gt;#N/A")</f>
        <v>135396.36000000002</v>
      </c>
      <c r="AD54" s="21">
        <f t="shared" si="60"/>
        <v>9282</v>
      </c>
      <c r="AE54" s="21">
        <f t="shared" si="60"/>
        <v>26580</v>
      </c>
      <c r="AF54" s="21">
        <f t="shared" ref="AF54:AG54" si="61">SUMIFS(AF$2:AF$50,$D$2:$D$50,$S54,AF$2:AF$50,"&lt;&gt;#N/A")</f>
        <v>22505.100000000002</v>
      </c>
      <c r="AG54" s="21">
        <f t="shared" si="61"/>
        <v>27000</v>
      </c>
      <c r="AH54" s="36">
        <f t="shared" ref="AH54:AI57" si="62">SUMIFS(AH$2:AH$50,$D$2:$D$50,$S54,AH$2:AH$50,"&lt;&gt;#N/A")</f>
        <v>85367.1</v>
      </c>
      <c r="AI54" s="37">
        <f t="shared" si="62"/>
        <v>220763.45999999996</v>
      </c>
    </row>
    <row r="55" spans="1:35" x14ac:dyDescent="0.2">
      <c r="S55" s="32" t="s">
        <v>94</v>
      </c>
      <c r="T55" s="19">
        <f t="shared" si="58"/>
        <v>13142</v>
      </c>
      <c r="U55" s="19">
        <f t="shared" si="58"/>
        <v>7515</v>
      </c>
      <c r="V55" s="19">
        <f t="shared" ref="V55:Z57" si="63">SUMIFS(V$2:V$50,$D$2:$D$50,$S55,V$2:V$50,"&lt;&gt;#N/A")</f>
        <v>44100</v>
      </c>
      <c r="W55" s="19">
        <f t="shared" si="63"/>
        <v>156300</v>
      </c>
      <c r="X55" s="19">
        <f t="shared" si="63"/>
        <v>231865</v>
      </c>
      <c r="Y55" s="19">
        <f t="shared" si="63"/>
        <v>69606</v>
      </c>
      <c r="Z55" s="19">
        <f t="shared" si="63"/>
        <v>112500</v>
      </c>
      <c r="AA55" s="35">
        <f>SUMIFS(AA$2:AA$50,$D$2:$D$50,$S55,AA$2:AA$50,"&lt;&gt;#N/A")</f>
        <v>635028</v>
      </c>
      <c r="AB55" s="35"/>
      <c r="AC55" s="35">
        <f t="shared" si="60"/>
        <v>51532.739999999991</v>
      </c>
      <c r="AD55" s="21">
        <f t="shared" si="60"/>
        <v>2912</v>
      </c>
      <c r="AE55" s="21">
        <f t="shared" si="60"/>
        <v>8940</v>
      </c>
      <c r="AF55" s="21">
        <f t="shared" ref="AF55:AG57" si="64">SUMIFS(AF$2:AF$50,$D$2:$D$50,$S55,AF$2:AF$50,"&lt;&gt;#N/A")</f>
        <v>6841.51</v>
      </c>
      <c r="AG55" s="21">
        <f t="shared" si="64"/>
        <v>9720</v>
      </c>
      <c r="AH55" s="36">
        <f t="shared" si="62"/>
        <v>28413.510000000002</v>
      </c>
      <c r="AI55" s="37">
        <f t="shared" si="62"/>
        <v>79946.25</v>
      </c>
    </row>
    <row r="56" spans="1:35" x14ac:dyDescent="0.2">
      <c r="S56" s="32" t="s">
        <v>97</v>
      </c>
      <c r="T56" s="19">
        <f t="shared" si="58"/>
        <v>6742</v>
      </c>
      <c r="U56" s="19">
        <f t="shared" si="58"/>
        <v>3340</v>
      </c>
      <c r="V56" s="19">
        <f t="shared" si="63"/>
        <v>17800</v>
      </c>
      <c r="W56" s="19">
        <f t="shared" si="63"/>
        <v>83360</v>
      </c>
      <c r="X56" s="19">
        <f t="shared" si="63"/>
        <v>117400</v>
      </c>
      <c r="Y56" s="19">
        <f t="shared" si="63"/>
        <v>63801</v>
      </c>
      <c r="Z56" s="19">
        <f t="shared" si="63"/>
        <v>50000</v>
      </c>
      <c r="AA56" s="35">
        <f>SUMIFS(AA$2:AA$50,$D$2:$D$50,$S56,AA$2:AA$50,"&lt;&gt;#N/A")</f>
        <v>342443</v>
      </c>
      <c r="AB56" s="35"/>
      <c r="AC56" s="35">
        <f t="shared" si="60"/>
        <v>27395.439999999999</v>
      </c>
      <c r="AD56" s="21">
        <f t="shared" si="60"/>
        <v>1456</v>
      </c>
      <c r="AE56" s="21">
        <f t="shared" si="60"/>
        <v>4620</v>
      </c>
      <c r="AF56" s="21">
        <f t="shared" si="64"/>
        <v>7141.6900000000005</v>
      </c>
      <c r="AG56" s="21">
        <f t="shared" si="64"/>
        <v>4320</v>
      </c>
      <c r="AH56" s="36">
        <f t="shared" si="62"/>
        <v>17537.690000000002</v>
      </c>
      <c r="AI56" s="37">
        <f t="shared" si="62"/>
        <v>44933.13</v>
      </c>
    </row>
    <row r="57" spans="1:35" x14ac:dyDescent="0.2">
      <c r="S57" s="34" t="s">
        <v>98</v>
      </c>
      <c r="T57" s="19">
        <f t="shared" si="58"/>
        <v>11710</v>
      </c>
      <c r="U57" s="19">
        <f t="shared" si="58"/>
        <v>5845</v>
      </c>
      <c r="V57" s="19">
        <f t="shared" si="63"/>
        <v>38450</v>
      </c>
      <c r="W57" s="19">
        <f t="shared" si="63"/>
        <v>35428</v>
      </c>
      <c r="X57" s="19">
        <f t="shared" si="63"/>
        <v>99790</v>
      </c>
      <c r="Y57" s="19">
        <f t="shared" si="63"/>
        <v>103233</v>
      </c>
      <c r="Z57" s="19">
        <f t="shared" si="63"/>
        <v>75000</v>
      </c>
      <c r="AA57" s="35">
        <f>SUMIFS(AA$2:AA$50,$D$2:$D$50,$S57,AA$2:AA$50,"&lt;&gt;#N/A")</f>
        <v>369456</v>
      </c>
      <c r="AB57" s="35"/>
      <c r="AC57" s="35">
        <f t="shared" si="60"/>
        <v>33384.240000000005</v>
      </c>
      <c r="AD57" s="21">
        <f t="shared" si="60"/>
        <v>2912</v>
      </c>
      <c r="AE57" s="21">
        <f t="shared" si="60"/>
        <v>7260</v>
      </c>
      <c r="AF57" s="21">
        <f t="shared" si="64"/>
        <v>7381.7000000000007</v>
      </c>
      <c r="AG57" s="21">
        <f t="shared" si="64"/>
        <v>9720</v>
      </c>
      <c r="AH57" s="36">
        <f t="shared" si="62"/>
        <v>27273.7</v>
      </c>
      <c r="AI57" s="37">
        <f t="shared" si="62"/>
        <v>60657.939999999995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5">U54+U57</f>
        <v>24215</v>
      </c>
      <c r="V59" s="47">
        <f t="shared" si="65"/>
        <v>202350</v>
      </c>
      <c r="W59" s="47">
        <f t="shared" si="65"/>
        <v>241744</v>
      </c>
      <c r="X59" s="47">
        <f t="shared" si="65"/>
        <v>584065</v>
      </c>
      <c r="Y59" s="47">
        <f t="shared" si="65"/>
        <v>403814</v>
      </c>
      <c r="Z59" s="47">
        <f t="shared" si="65"/>
        <v>387500</v>
      </c>
      <c r="AA59" s="48">
        <f>AA54+AA57</f>
        <v>1894592</v>
      </c>
      <c r="AB59" s="48"/>
      <c r="AC59" s="48">
        <f>AC54+AC57</f>
        <v>168780.60000000003</v>
      </c>
      <c r="AD59" s="49">
        <f>AD54+AD57</f>
        <v>12194</v>
      </c>
      <c r="AE59" s="49">
        <f>AE54+AE57</f>
        <v>33840</v>
      </c>
      <c r="AF59" s="49">
        <f t="shared" si="65"/>
        <v>29886.800000000003</v>
      </c>
      <c r="AG59" s="49">
        <f t="shared" si="65"/>
        <v>36720</v>
      </c>
      <c r="AH59" s="50">
        <f>AH54+AH57</f>
        <v>112640.8</v>
      </c>
      <c r="AI59" s="51">
        <f>AI54+AI57</f>
        <v>281421.39999999997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6">SUM(U54:U56)</f>
        <v>29225</v>
      </c>
      <c r="V60" s="47">
        <f t="shared" si="66"/>
        <v>225800</v>
      </c>
      <c r="W60" s="47">
        <f t="shared" si="66"/>
        <v>445976</v>
      </c>
      <c r="X60" s="47">
        <f t="shared" si="66"/>
        <v>833540</v>
      </c>
      <c r="Y60" s="47">
        <f t="shared" si="66"/>
        <v>433988</v>
      </c>
      <c r="Z60" s="47">
        <f t="shared" si="66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6"/>
        <v>40140</v>
      </c>
      <c r="AF60" s="49">
        <f t="shared" si="66"/>
        <v>36488.300000000003</v>
      </c>
      <c r="AG60" s="49">
        <f t="shared" si="66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7">U60-U59</f>
        <v>5010</v>
      </c>
      <c r="V61" s="47">
        <f t="shared" si="67"/>
        <v>23450</v>
      </c>
      <c r="W61" s="47">
        <f t="shared" si="67"/>
        <v>204232</v>
      </c>
      <c r="X61" s="47">
        <f t="shared" si="67"/>
        <v>249475</v>
      </c>
      <c r="Y61" s="47">
        <f t="shared" si="67"/>
        <v>30174</v>
      </c>
      <c r="Z61" s="47">
        <f t="shared" si="67"/>
        <v>87500</v>
      </c>
      <c r="AA61" s="48">
        <f>AA60-AA59</f>
        <v>608015</v>
      </c>
      <c r="AB61" s="48"/>
      <c r="AC61" s="48">
        <f>AC60-AC59</f>
        <v>45543.939999999973</v>
      </c>
      <c r="AD61" s="49">
        <f>AD60-AD59</f>
        <v>1456</v>
      </c>
      <c r="AE61" s="49">
        <f t="shared" si="67"/>
        <v>6300</v>
      </c>
      <c r="AF61" s="49">
        <f t="shared" si="67"/>
        <v>6601.5</v>
      </c>
      <c r="AG61" s="49">
        <f t="shared" si="67"/>
        <v>4320</v>
      </c>
      <c r="AH61" s="50">
        <f>AH60-AH59</f>
        <v>18677.500000000015</v>
      </c>
      <c r="AI61" s="51">
        <f>AI60-AI59</f>
        <v>64221.440000000002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8">U61/U59</f>
        <v>0.20689655172413793</v>
      </c>
      <c r="V62" s="52">
        <f t="shared" si="68"/>
        <v>0.11588831233012108</v>
      </c>
      <c r="W62" s="52">
        <f t="shared" si="68"/>
        <v>0.84482758620689657</v>
      </c>
      <c r="X62" s="52">
        <f t="shared" si="68"/>
        <v>0.42713567839195982</v>
      </c>
      <c r="Y62" s="52">
        <f t="shared" si="68"/>
        <v>7.47225207645104E-2</v>
      </c>
      <c r="Z62" s="52">
        <f t="shared" si="68"/>
        <v>0.22580645161290322</v>
      </c>
      <c r="AA62" s="53">
        <f>AA61/AA59</f>
        <v>0.32092133820896529</v>
      </c>
      <c r="AB62" s="53"/>
      <c r="AC62" s="53">
        <f>AC61/AC59</f>
        <v>0.26984108363164938</v>
      </c>
      <c r="AD62" s="54">
        <f>AD61/AD59</f>
        <v>0.11940298507462686</v>
      </c>
      <c r="AE62" s="54">
        <f t="shared" si="68"/>
        <v>0.18617021276595744</v>
      </c>
      <c r="AF62" s="54">
        <f t="shared" si="68"/>
        <v>0.22088346694861943</v>
      </c>
      <c r="AG62" s="54">
        <f t="shared" si="68"/>
        <v>0.11764705882352941</v>
      </c>
      <c r="AH62" s="55">
        <f>AH61/AH59</f>
        <v>0.16581469591835299</v>
      </c>
      <c r="AI62" s="56">
        <f>AI61/AI59</f>
        <v>0.22820382529544664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topLeftCell="Z1" workbookViewId="0">
      <selection activeCell="AP19" sqref="AP19:AQ19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230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E31" sqref="E31:G31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Cost Planning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om_costs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2025-08-11T22:33:15Z</dcterms:modified>
</cp:coreProperties>
</file>