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50" yWindow="60" windowWidth="14430" windowHeight="12885" activeTab="1"/>
  </bookViews>
  <sheets>
    <sheet name="Geometry options" sheetId="4" r:id="rId1"/>
    <sheet name="geometry calculation" sheetId="1" r:id="rId2"/>
    <sheet name="retrofit cost calculation" sheetId="2" r:id="rId3"/>
    <sheet name="geometry calculation-original" sheetId="3" r:id="rId4"/>
  </sheets>
  <externalReferences>
    <externalReference r:id="rId5"/>
  </externalReferences>
  <definedNames>
    <definedName name="AG_FloorArea" localSheetId="3">'geometry calculation-original'!$C$3</definedName>
    <definedName name="AG_FloorArea" comment="Above grade floor area">'geometry calculation'!$C$5</definedName>
    <definedName name="AreaBase6" localSheetId="3">'geometry calculation-original'!$I$9</definedName>
    <definedName name="AreaBase6">'geometry calculation'!$I$11</definedName>
    <definedName name="AreaTop5" localSheetId="3">'geometry calculation-original'!$I$8</definedName>
    <definedName name="AreaTop5">'geometry calculation'!$I$10</definedName>
    <definedName name="AreaWall1" localSheetId="3">'geometry calculation-original'!$I$4</definedName>
    <definedName name="AreaWall1" comment="Wall 1 area">'geometry calculation'!$I$6</definedName>
    <definedName name="AreaWall1_2nd" localSheetId="3">'geometry calculation-original'!$J$4</definedName>
    <definedName name="AreaWall1_2nd">'geometry calculation'!$J$6</definedName>
    <definedName name="AreaWall2" localSheetId="3">'geometry calculation-original'!$I$5</definedName>
    <definedName name="AreaWall2" comment="Area of wall 2">'geometry calculation'!$I$7</definedName>
    <definedName name="AreaWall2_2nd" localSheetId="3">'geometry calculation-original'!$J$5</definedName>
    <definedName name="AreaWall2_2nd">'geometry calculation'!$J$7</definedName>
    <definedName name="AreaWall3" localSheetId="3">'geometry calculation-original'!$I$6</definedName>
    <definedName name="AreaWall3" comment="Area of wall 3">'geometry calculation'!$I$8</definedName>
    <definedName name="AreaWall3_2nd" localSheetId="3">'geometry calculation-original'!$J$6</definedName>
    <definedName name="AreaWall3_2nd">'geometry calculation'!$J$8</definedName>
    <definedName name="AreaWall4" localSheetId="3">'geometry calculation-original'!$I$7</definedName>
    <definedName name="AreaWall4" comment="Area of wall 4">'geometry calculation'!$I$9</definedName>
    <definedName name="AreaWall4_2nd" localSheetId="3">'geometry calculation-original'!$J$7</definedName>
    <definedName name="AreaWall4_2nd">'geometry calculation'!$J$9</definedName>
    <definedName name="AreaWinWall1" localSheetId="3">'geometry calculation-original'!$I$10</definedName>
    <definedName name="AreaWinWall1">'geometry calculation'!$I$12</definedName>
    <definedName name="AreaWinWall1Ratio" localSheetId="3">'geometry calculation-original'!$H$10</definedName>
    <definedName name="AreaWinWall1Ratio">'geometry calculation'!$H$12</definedName>
    <definedName name="AreaWinWall2" localSheetId="3">'geometry calculation-original'!$I$11</definedName>
    <definedName name="AreaWinWall2">'geometry calculation'!$I$13</definedName>
    <definedName name="AreaWinWall2Ratio" localSheetId="3">'geometry calculation-original'!$H$11</definedName>
    <definedName name="AreaWinWall2Ratio">'geometry calculation'!$H$13</definedName>
    <definedName name="AreaWinWall3" localSheetId="3">'geometry calculation-original'!$I$12</definedName>
    <definedName name="AreaWinWall3">'geometry calculation'!$I$14</definedName>
    <definedName name="AreaWinWall3Ratio" localSheetId="3">'geometry calculation-original'!$H$12</definedName>
    <definedName name="AreaWinWall3Ratio">'geometry calculation'!$H$14</definedName>
    <definedName name="AreaWinWall4" localSheetId="3">'geometry calculation-original'!$I$13</definedName>
    <definedName name="AreaWinWall4">'geometry calculation'!$I$15</definedName>
    <definedName name="AreaWinWall4Ratio" localSheetId="3">'geometry calculation-original'!$H$13</definedName>
    <definedName name="AreaWinWall4Ratio">'geometry calculation'!$H$15</definedName>
    <definedName name="FloorAreaPerStorey">'Geometry options'!$E$3</definedName>
    <definedName name="found_wall_area" localSheetId="3">'geometry calculation-original'!$I$21</definedName>
    <definedName name="found_wall_area">'geometry calculation'!$I$22</definedName>
    <definedName name="Hght_Flr1" localSheetId="3">'geometry calculation-original'!$C$8</definedName>
    <definedName name="Hght_Flr1" comment="Height of floor 1 (ground floor)">'geometry calculation'!$C$10</definedName>
    <definedName name="Hght_Flr2" localSheetId="3">'geometry calculation-original'!$C$9</definedName>
    <definedName name="Hght_Flr2" comment="Height of floor 2">'geometry calculation'!$C$11</definedName>
    <definedName name="Hght_Flr3" localSheetId="3">'geometry calculation-original'!$C$10</definedName>
    <definedName name="Hght_Flr3" comment="Height of floor 3">'geometry calculation'!$C$12</definedName>
    <definedName name="Hght_WinWall1" localSheetId="3">'geometry calculation-original'!$N$10</definedName>
    <definedName name="Hght_WinWall1">'geometry calculation'!$N$12</definedName>
    <definedName name="Hght_WinWall2" localSheetId="3">'geometry calculation-original'!$N$11</definedName>
    <definedName name="Hght_WinWall2">'geometry calculation'!$N$13</definedName>
    <definedName name="Hght_WinWall3" localSheetId="3">'geometry calculation-original'!$N$12</definedName>
    <definedName name="Hght_WinWall3">'geometry calculation'!$N$14</definedName>
    <definedName name="Hght_WinWall4" localSheetId="3">'geometry calculation-original'!$N$13</definedName>
    <definedName name="Hght_WinWall4">'geometry calculation'!$N$15</definedName>
    <definedName name="Len_WinWall1" localSheetId="3">'geometry calculation-original'!$M$10</definedName>
    <definedName name="Len_WinWall1">'geometry calculation'!$M$12</definedName>
    <definedName name="Len_WinWall2" localSheetId="3">'geometry calculation-original'!$M$11</definedName>
    <definedName name="Len_WinWall2">'geometry calculation'!$M$13</definedName>
    <definedName name="Len_WinWall3" localSheetId="3">'geometry calculation-original'!$M$12</definedName>
    <definedName name="Len_WinWall3">'geometry calculation'!$M$14</definedName>
    <definedName name="Len_WinWall4" localSheetId="3">'geometry calculation-original'!$M$13</definedName>
    <definedName name="Len_WinWall4">'geometry calculation'!$M$15</definedName>
    <definedName name="Length">'Geometry options'!$G$3</definedName>
    <definedName name="main_area" localSheetId="3">'geometry calculation-original'!$I$18</definedName>
    <definedName name="main_area">'geometry calculation'!$I$19</definedName>
    <definedName name="NumberStoreys">'Geometry options'!$D$3</definedName>
    <definedName name="NumStorey">'Geometry options'!$D$4</definedName>
    <definedName name="NumStoreys" localSheetId="3">'geometry calculation-original'!$C$4</definedName>
    <definedName name="NumStoreys" comment="Number of storeys above grade">'geometry calculation'!$C$6</definedName>
    <definedName name="Opt_Area" localSheetId="3">'geometry calculation-original'!$C$5</definedName>
    <definedName name="Opt_Area" comment="Flor area per storey">'geometry calculation'!$C$7</definedName>
    <definedName name="Opt_Bsm_Depth" comment="Basement depth below grade" localSheetId="3">'geometry calculation-original'!$C$12</definedName>
    <definedName name="Opt_Bsm_Depth" comment="Basement depth below grade">'geometry calculation'!$C$14</definedName>
    <definedName name="Opt_Bsm_Height" localSheetId="3">'geometry calculation-original'!$C$11</definedName>
    <definedName name="Opt_Bsm_Height" comment="Basement wall height">'geometry calculation'!$C$13</definedName>
    <definedName name="Opt_Length" localSheetId="3">'geometry calculation-original'!$C$7</definedName>
    <definedName name="Opt_Length" comment="Length of first floor (footprint length)">'geometry calculation'!$C$9</definedName>
    <definedName name="Opt_Main_Height" localSheetId="3">'geometry calculation-original'!$C$13</definedName>
    <definedName name="Opt_Main_Height">'geometry calculation'!$C$15</definedName>
    <definedName name="Opt_Roof_Peak_W" localSheetId="3">'geometry calculation-original'!$C$14</definedName>
    <definedName name="Opt_Roof_Peak_W">'geometry calculation'!$C$18</definedName>
    <definedName name="Opt_Width" localSheetId="3">'geometry calculation-original'!$C$6</definedName>
    <definedName name="Opt_Width" comment="Width of first floor plan (footprint width)">'geometry calculation'!$C$8</definedName>
    <definedName name="Roof_Slope1" localSheetId="3">'geometry calculation-original'!$H$16</definedName>
    <definedName name="Roof_Slope1">'geometry calculation'!$C$16</definedName>
    <definedName name="second_area" localSheetId="3">'geometry calculation-original'!$I$19</definedName>
    <definedName name="second_area">'geometry calculation'!$I$20</definedName>
    <definedName name="third_area" localSheetId="3">'geometry calculation-original'!$I$20</definedName>
    <definedName name="third_area">'geometry calculation'!$I$21</definedName>
    <definedName name="Total_area">'Geometry options'!$C$3</definedName>
    <definedName name="Width">'Geometry options'!$F$3</definedName>
    <definedName name="win_bottom" localSheetId="3">'geometry calculation-original'!$C$15</definedName>
    <definedName name="win_bottom">'geometry calculation'!#REF!</definedName>
    <definedName name="win_top" localSheetId="3">'geometry calculation-original'!$C$16</definedName>
    <definedName name="win_top">'geometry calculation'!#REF!</definedName>
    <definedName name="win_wall_1_left" localSheetId="3">'geometry calculation-original'!$C$18</definedName>
    <definedName name="win_wall_1_left">'geometry calculation'!$C$20</definedName>
    <definedName name="win_wall_1_right" localSheetId="3">'geometry calculation-original'!$C$17</definedName>
    <definedName name="win_wall_1_right">'geometry calculation'!$C$19</definedName>
    <definedName name="win_wall_2_left" localSheetId="3">'geometry calculation-original'!$C$20</definedName>
    <definedName name="win_wall_2_left">'geometry calculation'!$C$22</definedName>
    <definedName name="win_wall_2_right" localSheetId="3">'geometry calculation-original'!$C$19</definedName>
    <definedName name="win_wall_2_right">'geometry calculation'!$C$21</definedName>
    <definedName name="win_wall_3_left" localSheetId="3">'geometry calculation-original'!$C$22</definedName>
    <definedName name="win_wall_3_left">'geometry calculation'!$C$24</definedName>
    <definedName name="win_wall_3_right" localSheetId="3">'geometry calculation-original'!$C$21</definedName>
    <definedName name="win_wall_3_right">'geometry calculation'!$C$23</definedName>
    <definedName name="win_wall_4_left" localSheetId="3">'geometry calculation-original'!$C$24</definedName>
    <definedName name="win_wall_4_left">'geometry calculation'!$C$26</definedName>
    <definedName name="win_wall_4_right" localSheetId="3">'geometry calculation-original'!$C$23</definedName>
    <definedName name="win_wall_4_right">'geometry calculation'!$C$25</definedName>
    <definedName name="x1st" localSheetId="3">'geometry calculation-original'!$B$28:$B$51</definedName>
    <definedName name="x1st" comment="x-coordinates for all vertices">'geometry calculation'!$B$32:$B$55</definedName>
    <definedName name="x2nd" localSheetId="3">'geometry calculation-original'!$F$28:$F$51</definedName>
    <definedName name="x2nd">'geometry calculation'!$F$32:$F$55</definedName>
    <definedName name="x3rd" localSheetId="3">'geometry calculation-original'!$J$28:$J$51</definedName>
    <definedName name="x3rd">'geometry calculation'!$J$32:$J$55</definedName>
    <definedName name="y1st" localSheetId="3">'geometry calculation-original'!$C$28:$C$51</definedName>
    <definedName name="y1st" comment="y-coordinates of all vertices">'geometry calculation'!$C$32:$C$55</definedName>
    <definedName name="y2nd" localSheetId="3">'geometry calculation-original'!$G$28:$G$51</definedName>
    <definedName name="y2nd">'geometry calculation'!$G$32:$G$55</definedName>
    <definedName name="y3rd" localSheetId="3">'geometry calculation-original'!$K$28:$K$51</definedName>
    <definedName name="y3rd">'geometry calculation'!$K$32:$K$55</definedName>
    <definedName name="z1st" localSheetId="3">'geometry calculation-original'!$D$28:$D$51</definedName>
    <definedName name="z1st" comment="z-coordinates of all vertices">'geometry calculation'!$D$32:$D$55</definedName>
    <definedName name="z2nd" localSheetId="3">'geometry calculation-original'!$H$28:$H$51</definedName>
    <definedName name="z2nd" comment="z-coordinates for the 2storey of house, if applicable">'geometry calculation'!$H$32:$H$55</definedName>
    <definedName name="z3rd" localSheetId="3">'geometry calculation-original'!$L$28:$L$51</definedName>
    <definedName name="z3rd">'geometry calculation'!$L$32:$L$55</definedName>
  </definedNames>
  <calcPr calcId="145621" concurrentCalc="0"/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K6" i="4"/>
  <c r="J6" i="4"/>
  <c r="H6" i="4"/>
  <c r="C6" i="4"/>
  <c r="E6" i="4"/>
  <c r="G6" i="4"/>
  <c r="P5" i="4"/>
  <c r="P4" i="4"/>
  <c r="P3" i="4"/>
  <c r="O4" i="4"/>
  <c r="O5" i="4"/>
  <c r="O3" i="4"/>
  <c r="C8" i="1"/>
  <c r="C9" i="1"/>
  <c r="C7" i="1"/>
  <c r="C6" i="1"/>
  <c r="C5" i="1"/>
  <c r="G3" i="4"/>
  <c r="E4" i="4"/>
  <c r="G4" i="4"/>
  <c r="L4" i="4"/>
  <c r="L3" i="4"/>
  <c r="C15" i="1"/>
  <c r="D37" i="1"/>
  <c r="T37" i="1"/>
  <c r="T38" i="1"/>
  <c r="T39" i="1"/>
  <c r="T36" i="1"/>
  <c r="D40" i="2"/>
  <c r="D39" i="2"/>
  <c r="D38" i="2"/>
  <c r="D37" i="2"/>
  <c r="F55" i="1"/>
  <c r="F54" i="1"/>
  <c r="F53" i="1"/>
  <c r="F52" i="1"/>
  <c r="G47" i="1"/>
  <c r="G44" i="1"/>
  <c r="G43" i="1"/>
  <c r="G42" i="1"/>
  <c r="G41" i="1"/>
  <c r="G40" i="1"/>
  <c r="F40" i="1"/>
  <c r="F43" i="1"/>
  <c r="J55" i="1"/>
  <c r="J54" i="1"/>
  <c r="J53" i="1"/>
  <c r="J52" i="1"/>
  <c r="K47" i="1"/>
  <c r="K44" i="1"/>
  <c r="K43" i="1"/>
  <c r="K42" i="1"/>
  <c r="J40" i="1"/>
  <c r="J43" i="1"/>
  <c r="K41" i="1"/>
  <c r="K40" i="1"/>
  <c r="H15" i="1"/>
  <c r="H14" i="1"/>
  <c r="H13" i="1"/>
  <c r="H12" i="1"/>
  <c r="C16" i="1"/>
  <c r="R38" i="1"/>
  <c r="R34" i="1"/>
  <c r="N34" i="1"/>
  <c r="R37" i="1"/>
  <c r="R33" i="1"/>
  <c r="N33" i="1"/>
  <c r="L5" i="4"/>
  <c r="E3" i="4"/>
  <c r="E5" i="4"/>
  <c r="G5" i="4"/>
  <c r="J51" i="3"/>
  <c r="F51" i="3"/>
  <c r="B51" i="3"/>
  <c r="J50" i="3"/>
  <c r="F50" i="3"/>
  <c r="B50" i="3"/>
  <c r="J49" i="3"/>
  <c r="F49" i="3"/>
  <c r="B49" i="3"/>
  <c r="J48" i="3"/>
  <c r="F48" i="3"/>
  <c r="B48" i="3"/>
  <c r="K43" i="3"/>
  <c r="G43" i="3"/>
  <c r="C43" i="3"/>
  <c r="K40" i="3"/>
  <c r="G40" i="3"/>
  <c r="C40" i="3"/>
  <c r="K39" i="3"/>
  <c r="G39" i="3"/>
  <c r="C39" i="3"/>
  <c r="K38" i="3"/>
  <c r="G38" i="3"/>
  <c r="C38" i="3"/>
  <c r="K37" i="3"/>
  <c r="G37" i="3"/>
  <c r="C37" i="3"/>
  <c r="K36" i="3"/>
  <c r="J36" i="3"/>
  <c r="G36" i="3"/>
  <c r="F36" i="3"/>
  <c r="C36" i="3"/>
  <c r="B36" i="3"/>
  <c r="J39" i="3"/>
  <c r="L35" i="3"/>
  <c r="L34" i="3"/>
  <c r="J34" i="3"/>
  <c r="F34" i="3"/>
  <c r="B34" i="3"/>
  <c r="F42" i="3"/>
  <c r="L33" i="3"/>
  <c r="J33" i="3"/>
  <c r="F33" i="3"/>
  <c r="B33" i="3"/>
  <c r="J43" i="3"/>
  <c r="L32" i="3"/>
  <c r="L31" i="3"/>
  <c r="H31" i="3"/>
  <c r="H48" i="3"/>
  <c r="D31" i="3"/>
  <c r="L45" i="3"/>
  <c r="L30" i="3"/>
  <c r="J30" i="3"/>
  <c r="H30" i="3"/>
  <c r="H44" i="3"/>
  <c r="F30" i="3"/>
  <c r="D30" i="3"/>
  <c r="L41" i="3"/>
  <c r="B30" i="3"/>
  <c r="F44" i="3"/>
  <c r="L29" i="3"/>
  <c r="J29" i="3"/>
  <c r="H29" i="3"/>
  <c r="H40" i="3"/>
  <c r="F29" i="3"/>
  <c r="D29" i="3"/>
  <c r="L40" i="3"/>
  <c r="B29" i="3"/>
  <c r="F40" i="3"/>
  <c r="L28" i="3"/>
  <c r="H28" i="3"/>
  <c r="H36" i="3"/>
  <c r="D28" i="3"/>
  <c r="L49" i="3"/>
  <c r="C19" i="3"/>
  <c r="C17" i="3"/>
  <c r="H16" i="3"/>
  <c r="C14" i="3"/>
  <c r="N13" i="3"/>
  <c r="C13" i="3"/>
  <c r="D35" i="3"/>
  <c r="N12" i="3"/>
  <c r="N11" i="3"/>
  <c r="N10" i="3"/>
  <c r="C10" i="3"/>
  <c r="C9" i="3"/>
  <c r="K6" i="3"/>
  <c r="C5" i="3"/>
  <c r="C7" i="3"/>
  <c r="K4" i="3"/>
  <c r="D7" i="2"/>
  <c r="S39" i="1"/>
  <c r="S35" i="1"/>
  <c r="O35" i="1"/>
  <c r="S38" i="1"/>
  <c r="O37" i="1"/>
  <c r="S34" i="1"/>
  <c r="O34" i="1"/>
  <c r="E26" i="2"/>
  <c r="F26" i="2"/>
  <c r="E27" i="2"/>
  <c r="F27" i="2"/>
  <c r="G34" i="3"/>
  <c r="G30" i="3"/>
  <c r="K35" i="3"/>
  <c r="G35" i="3"/>
  <c r="C35" i="3"/>
  <c r="K34" i="3"/>
  <c r="C34" i="3"/>
  <c r="I8" i="3"/>
  <c r="K31" i="3"/>
  <c r="K7" i="3"/>
  <c r="G31" i="3"/>
  <c r="C31" i="3"/>
  <c r="K30" i="3"/>
  <c r="K5" i="3"/>
  <c r="C30" i="3"/>
  <c r="I21" i="3"/>
  <c r="I20" i="3"/>
  <c r="H35" i="3"/>
  <c r="H32" i="3"/>
  <c r="H34" i="3"/>
  <c r="H33" i="3"/>
  <c r="D32" i="3"/>
  <c r="D33" i="3"/>
  <c r="D36" i="3"/>
  <c r="D38" i="3"/>
  <c r="L36" i="3"/>
  <c r="H37" i="3"/>
  <c r="L38" i="3"/>
  <c r="F39" i="3"/>
  <c r="H39" i="3"/>
  <c r="B40" i="3"/>
  <c r="D40" i="3"/>
  <c r="D42" i="3"/>
  <c r="J40" i="3"/>
  <c r="F41" i="3"/>
  <c r="H41" i="3"/>
  <c r="B42" i="3"/>
  <c r="J42" i="3"/>
  <c r="L42" i="3"/>
  <c r="F43" i="3"/>
  <c r="H43" i="3"/>
  <c r="B44" i="3"/>
  <c r="D44" i="3"/>
  <c r="J44" i="3"/>
  <c r="L44" i="3"/>
  <c r="H45" i="3"/>
  <c r="H46" i="3"/>
  <c r="H47" i="3"/>
  <c r="D48" i="3"/>
  <c r="L48" i="3"/>
  <c r="H49" i="3"/>
  <c r="H50" i="3"/>
  <c r="H51" i="3"/>
  <c r="I16" i="3"/>
  <c r="D34" i="3"/>
  <c r="D37" i="3"/>
  <c r="C15" i="3"/>
  <c r="L37" i="3"/>
  <c r="H38" i="3"/>
  <c r="B39" i="3"/>
  <c r="D39" i="3"/>
  <c r="C16" i="3"/>
  <c r="B41" i="3"/>
  <c r="D41" i="3"/>
  <c r="L43" i="3"/>
  <c r="J41" i="3"/>
  <c r="H42" i="3"/>
  <c r="B43" i="3"/>
  <c r="D43" i="3"/>
  <c r="D45" i="3"/>
  <c r="L46" i="3"/>
  <c r="D49" i="3"/>
  <c r="D50" i="3"/>
  <c r="L51" i="3"/>
  <c r="D51" i="3"/>
  <c r="I6" i="3"/>
  <c r="I12" i="3"/>
  <c r="M12" i="3"/>
  <c r="I4" i="3"/>
  <c r="L50" i="3"/>
  <c r="D46" i="3"/>
  <c r="J4" i="3"/>
  <c r="J6" i="3"/>
  <c r="K44" i="3"/>
  <c r="C44" i="3"/>
  <c r="G44" i="3"/>
  <c r="I5" i="3"/>
  <c r="I11" i="3"/>
  <c r="M11" i="3"/>
  <c r="K48" i="3"/>
  <c r="C48" i="3"/>
  <c r="G45" i="3"/>
  <c r="G48" i="3"/>
  <c r="K45" i="3"/>
  <c r="C45" i="3"/>
  <c r="I7" i="3"/>
  <c r="I13" i="3"/>
  <c r="M13" i="3"/>
  <c r="I9" i="3"/>
  <c r="J5" i="3"/>
  <c r="J47" i="3"/>
  <c r="B47" i="3"/>
  <c r="C21" i="3"/>
  <c r="F47" i="3"/>
  <c r="L39" i="3"/>
  <c r="J9" i="3"/>
  <c r="K9" i="3"/>
  <c r="J7" i="3"/>
  <c r="J8" i="3"/>
  <c r="K8" i="3"/>
  <c r="K13" i="3"/>
  <c r="J13" i="3"/>
  <c r="K46" i="3"/>
  <c r="C46" i="3"/>
  <c r="G46" i="3"/>
  <c r="G51" i="3"/>
  <c r="K51" i="3"/>
  <c r="C51" i="3"/>
  <c r="C23" i="3"/>
  <c r="K42" i="3"/>
  <c r="C42" i="3"/>
  <c r="G41" i="3"/>
  <c r="O11" i="3"/>
  <c r="G42" i="3"/>
  <c r="K41" i="3"/>
  <c r="C41" i="3"/>
  <c r="C20" i="3"/>
  <c r="J12" i="3"/>
  <c r="K12" i="3"/>
  <c r="L47" i="3"/>
  <c r="D47" i="3"/>
  <c r="I18" i="3"/>
  <c r="I10" i="3"/>
  <c r="M10" i="3"/>
  <c r="J11" i="3"/>
  <c r="K11" i="3"/>
  <c r="G49" i="3"/>
  <c r="K49" i="3"/>
  <c r="C49" i="3"/>
  <c r="O13" i="3"/>
  <c r="J10" i="3"/>
  <c r="I19" i="3"/>
  <c r="K10" i="3"/>
  <c r="J45" i="3"/>
  <c r="B45" i="3"/>
  <c r="O12" i="3"/>
  <c r="F45" i="3"/>
  <c r="F46" i="3"/>
  <c r="C22" i="3"/>
  <c r="J46" i="3"/>
  <c r="B46" i="3"/>
  <c r="F38" i="3"/>
  <c r="J37" i="3"/>
  <c r="B37" i="3"/>
  <c r="C18" i="3"/>
  <c r="O10" i="3"/>
  <c r="J38" i="3"/>
  <c r="B38" i="3"/>
  <c r="F37" i="3"/>
  <c r="G47" i="3"/>
  <c r="K47" i="3"/>
  <c r="C47" i="3"/>
  <c r="K50" i="3"/>
  <c r="C50" i="3"/>
  <c r="C24" i="3"/>
  <c r="G50" i="3"/>
  <c r="H36" i="1"/>
  <c r="N12" i="1"/>
  <c r="D27" i="2"/>
  <c r="G27" i="2"/>
  <c r="D26" i="2"/>
  <c r="G26" i="2"/>
  <c r="D35" i="2"/>
  <c r="D33" i="2"/>
  <c r="D32" i="2"/>
  <c r="D31" i="2"/>
  <c r="D30" i="2"/>
  <c r="D29" i="2"/>
  <c r="D24" i="2"/>
  <c r="D23" i="2"/>
  <c r="D22" i="2"/>
  <c r="D21" i="2"/>
  <c r="D5" i="2"/>
  <c r="D6" i="2"/>
  <c r="D19" i="2"/>
  <c r="D18" i="2"/>
  <c r="D17" i="2"/>
  <c r="D16" i="2"/>
  <c r="D15" i="2"/>
  <c r="D14" i="2"/>
  <c r="D13" i="2"/>
  <c r="D12" i="2"/>
  <c r="D11" i="2"/>
  <c r="D10" i="2"/>
  <c r="D9" i="2"/>
  <c r="D8" i="2"/>
  <c r="L32" i="1"/>
  <c r="H35" i="1"/>
  <c r="H52" i="1"/>
  <c r="H34" i="1"/>
  <c r="H48" i="1"/>
  <c r="H33" i="1"/>
  <c r="H44" i="1"/>
  <c r="H32" i="1"/>
  <c r="H40" i="1"/>
  <c r="D39" i="1"/>
  <c r="D32" i="1"/>
  <c r="C17" i="1"/>
  <c r="P33" i="1"/>
  <c r="P32" i="1"/>
  <c r="P35" i="1"/>
  <c r="P34" i="1"/>
  <c r="L53" i="1"/>
  <c r="N15" i="1"/>
  <c r="L54" i="1"/>
  <c r="L55" i="1"/>
  <c r="L41" i="1"/>
  <c r="L43" i="1"/>
  <c r="L40" i="1"/>
  <c r="L42" i="1"/>
  <c r="H45" i="1"/>
  <c r="H41" i="1"/>
  <c r="H53" i="1"/>
  <c r="H49" i="1"/>
  <c r="H37" i="1"/>
  <c r="H39" i="1"/>
  <c r="L35" i="1"/>
  <c r="L33" i="1"/>
  <c r="L44" i="1"/>
  <c r="N13" i="1"/>
  <c r="L46" i="1"/>
  <c r="L39" i="1"/>
  <c r="L37" i="1"/>
  <c r="H38" i="1"/>
  <c r="L34" i="1"/>
  <c r="L36" i="1"/>
  <c r="L38" i="1"/>
  <c r="C47" i="1"/>
  <c r="C44" i="1"/>
  <c r="C43" i="1"/>
  <c r="C42" i="1"/>
  <c r="C41" i="1"/>
  <c r="C40" i="1"/>
  <c r="B55" i="1"/>
  <c r="B54" i="1"/>
  <c r="B53" i="1"/>
  <c r="B52" i="1"/>
  <c r="B40" i="1"/>
  <c r="D35" i="1"/>
  <c r="D34" i="1"/>
  <c r="D33" i="1"/>
  <c r="D53" i="1"/>
  <c r="P37" i="1"/>
  <c r="P36" i="1"/>
  <c r="L49" i="1"/>
  <c r="N14" i="1"/>
  <c r="L50" i="1"/>
  <c r="L51" i="1"/>
  <c r="L52" i="1"/>
  <c r="L45" i="1"/>
  <c r="L47" i="1"/>
  <c r="L48" i="1"/>
  <c r="D44" i="1"/>
  <c r="D52" i="1"/>
  <c r="D48" i="1"/>
  <c r="B43" i="1"/>
  <c r="D45" i="1"/>
  <c r="D49" i="1"/>
  <c r="D40" i="1"/>
  <c r="D41" i="1"/>
  <c r="D38" i="1"/>
  <c r="D36" i="1"/>
  <c r="H50" i="1"/>
  <c r="H54" i="1"/>
  <c r="I22" i="1"/>
  <c r="H55" i="1"/>
  <c r="H47" i="1"/>
  <c r="H46" i="1"/>
  <c r="H42" i="1"/>
  <c r="H43" i="1"/>
  <c r="D50" i="1"/>
  <c r="D51" i="1"/>
  <c r="H51" i="1"/>
  <c r="J38" i="1"/>
  <c r="J46" i="1"/>
  <c r="J34" i="1"/>
  <c r="F37" i="1"/>
  <c r="F47" i="1"/>
  <c r="F33" i="1"/>
  <c r="J37" i="1"/>
  <c r="J47" i="1"/>
  <c r="J33" i="1"/>
  <c r="F38" i="1"/>
  <c r="F46" i="1"/>
  <c r="F34" i="1"/>
  <c r="K39" i="1"/>
  <c r="K35" i="1"/>
  <c r="G38" i="1"/>
  <c r="K38" i="1"/>
  <c r="K34" i="1"/>
  <c r="G39" i="1"/>
  <c r="G35" i="1"/>
  <c r="G34" i="1"/>
  <c r="D54" i="1"/>
  <c r="B38" i="1"/>
  <c r="B34" i="1"/>
  <c r="B33" i="1"/>
  <c r="I6" i="1"/>
  <c r="B37" i="1"/>
  <c r="C39" i="1"/>
  <c r="C35" i="1"/>
  <c r="C38" i="1"/>
  <c r="C34" i="1"/>
  <c r="D47" i="1"/>
  <c r="D46" i="1"/>
  <c r="D43" i="1"/>
  <c r="D42" i="1"/>
  <c r="C18" i="1"/>
  <c r="N36" i="1"/>
  <c r="N37" i="1"/>
  <c r="E24" i="2"/>
  <c r="F24" i="2"/>
  <c r="G24" i="2"/>
  <c r="E21" i="2"/>
  <c r="F21" i="2"/>
  <c r="G21" i="2"/>
  <c r="J9" i="1"/>
  <c r="K15" i="1"/>
  <c r="G52" i="1"/>
  <c r="G49" i="1"/>
  <c r="G50" i="1"/>
  <c r="G51" i="1"/>
  <c r="K7" i="1"/>
  <c r="K48" i="1"/>
  <c r="J7" i="1"/>
  <c r="K13" i="1"/>
  <c r="G48" i="1"/>
  <c r="K9" i="1"/>
  <c r="K52" i="1"/>
  <c r="K49" i="1"/>
  <c r="K50" i="1"/>
  <c r="K51" i="1"/>
  <c r="F48" i="1"/>
  <c r="F45" i="1"/>
  <c r="K6" i="1"/>
  <c r="J44" i="1"/>
  <c r="J6" i="1"/>
  <c r="K12" i="1"/>
  <c r="F44" i="1"/>
  <c r="K8" i="1"/>
  <c r="J48" i="1"/>
  <c r="J45" i="1"/>
  <c r="K11" i="1"/>
  <c r="K10" i="1"/>
  <c r="J11" i="1"/>
  <c r="J8" i="1"/>
  <c r="J10" i="1"/>
  <c r="B44" i="1"/>
  <c r="B46" i="1"/>
  <c r="C48" i="1"/>
  <c r="B47" i="1"/>
  <c r="D55" i="1"/>
  <c r="C52" i="1"/>
  <c r="C49" i="1"/>
  <c r="B45" i="1"/>
  <c r="B48" i="1"/>
  <c r="J15" i="1"/>
  <c r="J13" i="1"/>
  <c r="I21" i="1"/>
  <c r="J12" i="1"/>
  <c r="F51" i="1"/>
  <c r="I20" i="1"/>
  <c r="J51" i="1"/>
  <c r="G55" i="1"/>
  <c r="K55" i="1"/>
  <c r="J14" i="1"/>
  <c r="K14" i="1"/>
  <c r="B51" i="1"/>
  <c r="C50" i="1"/>
  <c r="C55" i="1"/>
  <c r="C21" i="1"/>
  <c r="C19" i="1"/>
  <c r="C51" i="1"/>
  <c r="I9" i="1"/>
  <c r="I7" i="1"/>
  <c r="I15" i="1"/>
  <c r="M15" i="1"/>
  <c r="I13" i="1"/>
  <c r="M13" i="1"/>
  <c r="I12" i="1"/>
  <c r="M12" i="1"/>
  <c r="I10" i="1"/>
  <c r="C25" i="1"/>
  <c r="O12" i="1"/>
  <c r="J41" i="1"/>
  <c r="F41" i="1"/>
  <c r="F42" i="1"/>
  <c r="J42" i="1"/>
  <c r="O15" i="1"/>
  <c r="G53" i="1"/>
  <c r="G54" i="1"/>
  <c r="K53" i="1"/>
  <c r="K54" i="1"/>
  <c r="G45" i="1"/>
  <c r="K45" i="1"/>
  <c r="K46" i="1"/>
  <c r="G46" i="1"/>
  <c r="O13" i="1"/>
  <c r="C45" i="1"/>
  <c r="C46" i="1"/>
  <c r="C53" i="1"/>
  <c r="B42" i="1"/>
  <c r="I11" i="1"/>
  <c r="I8" i="1"/>
  <c r="C26" i="1"/>
  <c r="C23" i="1"/>
  <c r="C22" i="1"/>
  <c r="I19" i="1"/>
  <c r="I23" i="1"/>
  <c r="C54" i="1"/>
  <c r="I14" i="1"/>
  <c r="M14" i="1"/>
  <c r="B41" i="1"/>
  <c r="C20" i="1"/>
  <c r="E38" i="2"/>
  <c r="F38" i="2"/>
  <c r="G38" i="2"/>
  <c r="E40" i="2"/>
  <c r="F40" i="2"/>
  <c r="G40" i="2"/>
  <c r="E39" i="2"/>
  <c r="F39" i="2"/>
  <c r="G39" i="2"/>
  <c r="E37" i="2"/>
  <c r="F37" i="2"/>
  <c r="G37" i="2"/>
  <c r="E17" i="2"/>
  <c r="F17" i="2"/>
  <c r="G17" i="2"/>
  <c r="E13" i="2"/>
  <c r="F13" i="2"/>
  <c r="G13" i="2"/>
  <c r="E7" i="2"/>
  <c r="F7" i="2"/>
  <c r="G7" i="2"/>
  <c r="E16" i="2"/>
  <c r="F16" i="2"/>
  <c r="G16" i="2"/>
  <c r="E10" i="2"/>
  <c r="F10" i="2"/>
  <c r="G10" i="2"/>
  <c r="O14" i="1"/>
  <c r="F49" i="1"/>
  <c r="F50" i="1"/>
  <c r="J49" i="1"/>
  <c r="J50" i="1"/>
  <c r="B49" i="1"/>
  <c r="B50" i="1"/>
  <c r="C24" i="1"/>
</calcChain>
</file>

<file path=xl/comments1.xml><?xml version="1.0" encoding="utf-8"?>
<comments xmlns="http://schemas.openxmlformats.org/spreadsheetml/2006/main">
  <authors>
    <author>jeffblake</author>
  </authors>
  <commentList>
    <comment ref="L6" authorId="0">
      <text>
        <r>
          <rPr>
            <b/>
            <sz val="9"/>
            <color indexed="81"/>
            <rFont val="Tahoma"/>
            <family val="2"/>
          </rPr>
          <t>jeffblake:</t>
        </r>
        <r>
          <rPr>
            <sz val="9"/>
            <color indexed="81"/>
            <rFont val="Tahoma"/>
            <family val="2"/>
          </rPr>
          <t xml:space="preserve">
Roof slope is 8/12</t>
        </r>
      </text>
    </comment>
  </commentList>
</comments>
</file>

<file path=xl/comments2.xml><?xml version="1.0" encoding="utf-8"?>
<comments xmlns="http://schemas.openxmlformats.org/spreadsheetml/2006/main">
  <authors>
    <author>Purdy, Julia</author>
  </authors>
  <commentList>
    <comment ref="C8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comments3.xml><?xml version="1.0" encoding="utf-8"?>
<comments xmlns="http://schemas.openxmlformats.org/spreadsheetml/2006/main">
  <authors>
    <author>Purdy, Julia</author>
  </authors>
  <commentList>
    <comment ref="C6" authorId="0">
      <text>
        <r>
          <rPr>
            <b/>
            <sz val="8"/>
            <color indexed="81"/>
            <rFont val="Tahoma"/>
            <family val="2"/>
          </rPr>
          <t>Purdy, Julia:</t>
        </r>
        <r>
          <rPr>
            <sz val="8"/>
            <color indexed="81"/>
            <rFont val="Tahoma"/>
            <family val="2"/>
          </rPr>
          <t xml:space="preserve">
Must be the larger of the two dimensions
</t>
        </r>
      </text>
    </comment>
  </commentList>
</comments>
</file>

<file path=xl/sharedStrings.xml><?xml version="1.0" encoding="utf-8"?>
<sst xmlns="http://schemas.openxmlformats.org/spreadsheetml/2006/main" count="372" uniqueCount="179">
  <si>
    <t>m²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</si>
  <si>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</si>
  <si>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</si>
  <si>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</si>
  <si>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</si>
  <si>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</si>
  <si>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</si>
  <si>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</si>
  <si>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</si>
  <si>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</si>
  <si>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</si>
  <si>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</si>
  <si>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</si>
  <si>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</si>
  <si>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</si>
  <si>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</si>
  <si>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</si>
  <si>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</si>
  <si>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</si>
  <si>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</si>
  <si>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</si>
  <si>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</si>
  <si>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</si>
  <si>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</si>
  <si>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</si>
  <si>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</si>
  <si>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</si>
  <si>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</si>
  <si>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</si>
  <si>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</si>
  <si>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</si>
  <si>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</si>
  <si>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</si>
  <si>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</si>
  <si>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</si>
  <si>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</si>
  <si>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</si>
  <si>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</si>
  <si>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</si>
  <si>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</si>
  <si>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</si>
  <si>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</si>
  <si>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</si>
  <si>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</si>
  <si>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</si>
  <si>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</si>
  <si>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</si>
  <si>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</si>
  <si>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</si>
  <si>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</si>
  <si>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</si>
  <si>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</si>
  <si>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</si>
  <si>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</si>
  <si>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</si>
  <si>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</si>
  <si>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</si>
  <si>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</si>
  <si>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</si>
  <si>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</si>
  <si>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</si>
  <si>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</si>
  <si>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</si>
  <si>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</si>
  <si>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</si>
  <si>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&lt;Opt-Bsm-Depth&gt;</t>
  </si>
  <si>
    <t xml:space="preserve"> &lt;Opt-Roof-Height&gt;</t>
  </si>
  <si>
    <t>roof-slope</t>
  </si>
  <si>
    <t>Window Geometry Calculations</t>
  </si>
  <si>
    <t>Number of storeys</t>
  </si>
  <si>
    <t>Total floor area (above grade)</t>
  </si>
  <si>
    <t>Height of basement + main wall</t>
  </si>
  <si>
    <t>First floor height</t>
  </si>
  <si>
    <t>Second floor height</t>
  </si>
  <si>
    <t>Basement depth below grade</t>
  </si>
  <si>
    <t>Surface name</t>
  </si>
  <si>
    <t>Surface #</t>
  </si>
  <si>
    <t>Window length</t>
  </si>
  <si>
    <t>Window height</t>
  </si>
  <si>
    <t>&lt;Opt-Roof-Peak-W&gt;</t>
  </si>
  <si>
    <t>&lt;Opt-Width&gt;</t>
  </si>
  <si>
    <t>&lt;Opt-Length&gt;</t>
  </si>
  <si>
    <t>Floor 1</t>
  </si>
  <si>
    <t>(Ground)</t>
  </si>
  <si>
    <t>Floor 1 (Ground)</t>
  </si>
  <si>
    <t>Avg. floor area per storey</t>
  </si>
  <si>
    <t>Estimated Width</t>
  </si>
  <si>
    <t>Estimated Length</t>
  </si>
  <si>
    <t>Third floor height</t>
  </si>
  <si>
    <t>Window Area Ratio (%)</t>
  </si>
  <si>
    <t>Floor 2 (Second Storey)</t>
  </si>
  <si>
    <t>Floor 3 (Third Storey)</t>
  </si>
  <si>
    <t>DISCREET RETROFIT MEASURES</t>
  </si>
  <si>
    <t>Main Walls</t>
  </si>
  <si>
    <t>1a</t>
  </si>
  <si>
    <t>1b</t>
  </si>
  <si>
    <t>2a - Interior Wall - 2" of XPS rigid foam</t>
  </si>
  <si>
    <t>2b</t>
  </si>
  <si>
    <t>2c</t>
  </si>
  <si>
    <t>3a - Interior Wall - 5.5" 2lb urethane foam</t>
  </si>
  <si>
    <t>3b</t>
  </si>
  <si>
    <t>4a</t>
  </si>
  <si>
    <t>4b - Exterior Wall - 4" EPS foam</t>
  </si>
  <si>
    <t>4c</t>
  </si>
  <si>
    <t>4d - Exterior Wall - 5/8" VIP</t>
  </si>
  <si>
    <t>4e - Exterior Wall - VIP embedded in boardstock (R39.3, RSI-6.92)</t>
  </si>
  <si>
    <t>4f - Exterior Wall - VIP embedded in boardstock applied to panelized 2x3 wall (R-47.5, RSI-8.36)</t>
  </si>
  <si>
    <t>5a</t>
  </si>
  <si>
    <t>5b</t>
  </si>
  <si>
    <t>Foundation</t>
  </si>
  <si>
    <t>6a - Interior Foundation - 2" 2lb urethane foam</t>
  </si>
  <si>
    <t xml:space="preserve">6b </t>
  </si>
  <si>
    <t>6c</t>
  </si>
  <si>
    <t xml:space="preserve">6d - Exterior Foundation - </t>
  </si>
  <si>
    <t>Ceiling</t>
  </si>
  <si>
    <t>8a - Ceiling - 6" cellulose</t>
  </si>
  <si>
    <t>8b - Ceiling - 12" cellulose</t>
  </si>
  <si>
    <t>HVAC</t>
  </si>
  <si>
    <t>12a - 96% AFUE Furnace</t>
  </si>
  <si>
    <t>12b - CCASHP w/ air handler (ZUBA)</t>
  </si>
  <si>
    <t>12d - GSHP</t>
  </si>
  <si>
    <t>15a - condensing tankless water heater</t>
  </si>
  <si>
    <t>15c - HP water heater</t>
  </si>
  <si>
    <t>Renewables</t>
  </si>
  <si>
    <t>16 - PV + balance of system costs</t>
  </si>
  <si>
    <t>$</t>
  </si>
  <si>
    <t>UNITS</t>
  </si>
  <si>
    <t>sf wall</t>
  </si>
  <si>
    <t>sf foundation</t>
  </si>
  <si>
    <t>sf ceiling</t>
  </si>
  <si>
    <t>each</t>
  </si>
  <si>
    <t>kWp</t>
  </si>
  <si>
    <t>UNIT COST</t>
  </si>
  <si>
    <t>TOTAL COST</t>
  </si>
  <si>
    <t>main floor wall area</t>
  </si>
  <si>
    <t>third floor wall area</t>
  </si>
  <si>
    <t>foundation wall area</t>
  </si>
  <si>
    <t>second floor wall area</t>
  </si>
  <si>
    <t>3/12</t>
  </si>
  <si>
    <t>Floor 2</t>
  </si>
  <si>
    <t>Floor 3</t>
  </si>
  <si>
    <t>(Second)</t>
  </si>
  <si>
    <t>(Third)</t>
  </si>
  <si>
    <t>Retro-int_2XPS</t>
  </si>
  <si>
    <t>Retro-int_spray</t>
  </si>
  <si>
    <t>Windows</t>
  </si>
  <si>
    <t>Name</t>
  </si>
  <si>
    <t>Description</t>
  </si>
  <si>
    <t>Roof Slope</t>
  </si>
  <si>
    <t>Vancouver_80_2Storey</t>
  </si>
  <si>
    <t>Building Width</t>
  </si>
  <si>
    <t>Building Length</t>
  </si>
  <si>
    <t>Archetype</t>
  </si>
  <si>
    <t>Montreal_70_3storey_row</t>
  </si>
  <si>
    <t>Calgary_3st_80</t>
  </si>
  <si>
    <t>GenOpt Tag</t>
  </si>
  <si>
    <t>Window to Wall Ratio</t>
  </si>
  <si>
    <t>Front</t>
  </si>
  <si>
    <t>Back</t>
  </si>
  <si>
    <t>Right</t>
  </si>
  <si>
    <t>Left</t>
  </si>
  <si>
    <t>Total window area</t>
  </si>
  <si>
    <t>&lt;Opt-Roof-Height&gt;</t>
  </si>
  <si>
    <t>ft²</t>
  </si>
  <si>
    <t>10a - Double-glazed, hard-coat low-e, argon-filled vinyl casement windows</t>
  </si>
  <si>
    <t>sf window</t>
  </si>
  <si>
    <t>10b - Double-glazed, soft-coat low-e, argon-filled vinyl casement windows</t>
  </si>
  <si>
    <t>10c - Triple-glazed, hard-coat low-e, argon-filled vinyl casement windows</t>
  </si>
  <si>
    <t>10d - Triple-glazed, soft-coat low-e, argon-filled vinyl casement windows</t>
  </si>
  <si>
    <t>ACH</t>
  </si>
  <si>
    <t>retroatt_6</t>
  </si>
  <si>
    <t>retroatt_12</t>
  </si>
  <si>
    <t>Retro-ext_4EPS</t>
  </si>
  <si>
    <t>Retro_added_R20_ext</t>
  </si>
  <si>
    <t>Retro_added_spray_int</t>
  </si>
  <si>
    <t>Roof</t>
  </si>
  <si>
    <t>Basement</t>
  </si>
  <si>
    <t>Ottawa_new_2storey</t>
  </si>
  <si>
    <t>Archetype for Ottawa LEEP session - Sep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</si>
</sst>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quotePrefix="1"/>
    <xf numFmtId="0" fontId="1" fillId="2" borderId="0" xfId="0" applyFont="1" applyFill="1"/>
    <xf numFmtId="0" fontId="1" fillId="0" borderId="1" xfId="0" applyFont="1" applyBorder="1"/>
    <xf numFmtId="0" fontId="0" fillId="0" borderId="1" xfId="0" applyBorder="1"/>
    <xf numFmtId="0" fontId="3" fillId="2" borderId="0" xfId="0" applyFont="1" applyFill="1"/>
    <xf numFmtId="164" fontId="3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164" fontId="2" fillId="2" borderId="0" xfId="0" applyNumberFormat="1" applyFont="1" applyFill="1"/>
    <xf numFmtId="0" fontId="5" fillId="2" borderId="0" xfId="0" applyFont="1" applyFill="1"/>
    <xf numFmtId="164" fontId="5" fillId="2" borderId="0" xfId="0" applyNumberFormat="1" applyFont="1" applyFill="1"/>
    <xf numFmtId="0" fontId="0" fillId="0" borderId="3" xfId="0" applyFont="1" applyFill="1" applyBorder="1"/>
    <xf numFmtId="0" fontId="0" fillId="0" borderId="2" xfId="0" applyFont="1" applyFill="1" applyBorder="1"/>
    <xf numFmtId="0" fontId="0" fillId="0" borderId="2" xfId="0" applyFont="1" applyBorder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/>
    <xf numFmtId="165" fontId="0" fillId="0" borderId="2" xfId="0" applyNumberFormat="1" applyBorder="1"/>
    <xf numFmtId="0" fontId="6" fillId="2" borderId="0" xfId="0" applyFont="1" applyFill="1"/>
    <xf numFmtId="164" fontId="5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/>
    <xf numFmtId="0" fontId="0" fillId="0" borderId="0" xfId="0" applyFont="1" applyFill="1"/>
    <xf numFmtId="0" fontId="1" fillId="0" borderId="0" xfId="0" applyFont="1" applyFill="1"/>
    <xf numFmtId="2" fontId="0" fillId="2" borderId="0" xfId="0" applyNumberFormat="1" applyFont="1" applyFill="1" applyBorder="1"/>
    <xf numFmtId="166" fontId="0" fillId="0" borderId="0" xfId="0" applyNumberFormat="1"/>
    <xf numFmtId="0" fontId="3" fillId="0" borderId="2" xfId="0" applyFont="1" applyBorder="1"/>
    <xf numFmtId="0" fontId="4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0" xfId="0" applyAlignment="1">
      <alignment horizontal="center"/>
    </xf>
    <xf numFmtId="4" fontId="11" fillId="3" borderId="0" xfId="0" applyNumberFormat="1" applyFont="1" applyFill="1" applyBorder="1" applyAlignment="1" applyProtection="1">
      <alignment vertical="center"/>
    </xf>
    <xf numFmtId="4" fontId="11" fillId="0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4" fontId="12" fillId="0" borderId="0" xfId="0" applyNumberFormat="1" applyFont="1" applyFill="1" applyBorder="1" applyAlignment="1" applyProtection="1">
      <alignment vertical="center"/>
    </xf>
    <xf numFmtId="4" fontId="11" fillId="3" borderId="0" xfId="0" applyNumberFormat="1" applyFont="1" applyFill="1" applyBorder="1" applyAlignment="1" applyProtection="1">
      <alignment horizontal="center" vertical="center"/>
    </xf>
    <xf numFmtId="49" fontId="12" fillId="0" borderId="0" xfId="0" applyNumberFormat="1" applyFont="1" applyFill="1" applyBorder="1" applyAlignment="1" applyProtection="1">
      <alignment horizontal="center" vertic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2" borderId="0" xfId="0" applyNumberForma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164" fontId="5" fillId="0" borderId="0" xfId="0" applyNumberFormat="1" applyFont="1" applyFill="1"/>
    <xf numFmtId="0" fontId="0" fillId="0" borderId="3" xfId="0" applyFont="1" applyBorder="1"/>
    <xf numFmtId="0" fontId="0" fillId="0" borderId="0" xfId="0" applyFont="1" applyBorder="1"/>
    <xf numFmtId="0" fontId="0" fillId="0" borderId="0" xfId="0" applyFont="1" applyFill="1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5" fontId="0" fillId="0" borderId="0" xfId="0" applyNumberFormat="1" applyBorder="1"/>
    <xf numFmtId="0" fontId="5" fillId="0" borderId="0" xfId="0" applyFont="1" applyBorder="1"/>
    <xf numFmtId="2" fontId="1" fillId="2" borderId="0" xfId="0" applyNumberFormat="1" applyFont="1" applyFill="1" applyBorder="1"/>
    <xf numFmtId="0" fontId="5" fillId="0" borderId="0" xfId="0" applyFont="1" applyFill="1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" fontId="11" fillId="3" borderId="0" xfId="0" quotePrefix="1" applyNumberFormat="1" applyFont="1" applyFill="1" applyBorder="1" applyAlignment="1" applyProtection="1">
      <alignment horizontal="center" vertic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0-ott-nas1\CETC-CTEC\SBC\Housing_&amp;_Buildings\HBCS_2012_2016_Initiatives\PERD_Housing_Subprogram\Retrofit_Measures_and_Costs\Copy%20of%20Retrofit%20Measures%20Cost%20Data-j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ING DIMS"/>
      <sheetName val="EXISTING CONSTRUCTION"/>
      <sheetName val="UNIT COSTS"/>
      <sheetName val="TEMPLATE"/>
      <sheetName val="EXAMPLE"/>
      <sheetName val="MEASURE 1."/>
      <sheetName val="MEASURE 2."/>
      <sheetName val="MEASURE 3."/>
      <sheetName val="MEASURE 4."/>
      <sheetName val="MEASURE 5."/>
      <sheetName val="MEASURE 6."/>
      <sheetName val="MEASURE 7."/>
      <sheetName val="MEASURE 8."/>
      <sheetName val="MEASURE 9."/>
      <sheetName val="MEASURE 10."/>
      <sheetName val="MEASURE 11."/>
      <sheetName val="MEASURE 12."/>
      <sheetName val="MEASURE 13."/>
      <sheetName val="MEASURE 14."/>
      <sheetName val="MEASURE 15."/>
      <sheetName val="MEASURE 16."/>
      <sheetName val="MEASURE 17"/>
    </sheetNames>
    <sheetDataSet>
      <sheetData sheetId="0"/>
      <sheetData sheetId="1"/>
      <sheetData sheetId="2">
        <row r="31">
          <cell r="H31">
            <v>0</v>
          </cell>
        </row>
        <row r="32">
          <cell r="H32">
            <v>0</v>
          </cell>
        </row>
        <row r="33">
          <cell r="H33">
            <v>9.5422222222222217</v>
          </cell>
        </row>
        <row r="34">
          <cell r="H34">
            <v>0</v>
          </cell>
        </row>
        <row r="35">
          <cell r="H35">
            <v>0</v>
          </cell>
        </row>
        <row r="36">
          <cell r="H36">
            <v>10.457777777777778</v>
          </cell>
        </row>
        <row r="37">
          <cell r="H37">
            <v>0</v>
          </cell>
        </row>
        <row r="38">
          <cell r="H38">
            <v>0</v>
          </cell>
        </row>
        <row r="39">
          <cell r="H39">
            <v>9.51</v>
          </cell>
        </row>
        <row r="40">
          <cell r="H40">
            <v>0</v>
          </cell>
        </row>
        <row r="41">
          <cell r="H41">
            <v>0</v>
          </cell>
        </row>
        <row r="42">
          <cell r="H42">
            <v>15</v>
          </cell>
        </row>
        <row r="43">
          <cell r="H43">
            <v>16.055</v>
          </cell>
        </row>
        <row r="44">
          <cell r="H44">
            <v>0</v>
          </cell>
        </row>
        <row r="45">
          <cell r="H45">
            <v>0</v>
          </cell>
        </row>
        <row r="47">
          <cell r="H47">
            <v>4.3599999999999994</v>
          </cell>
        </row>
        <row r="48">
          <cell r="H48">
            <v>0</v>
          </cell>
        </row>
        <row r="49">
          <cell r="H49">
            <v>0</v>
          </cell>
        </row>
        <row r="50">
          <cell r="H50">
            <v>8.9000000000000021</v>
          </cell>
        </row>
        <row r="52">
          <cell r="H52">
            <v>0.92</v>
          </cell>
        </row>
        <row r="53">
          <cell r="H53">
            <v>1</v>
          </cell>
        </row>
        <row r="55">
          <cell r="H55">
            <v>5900</v>
          </cell>
        </row>
        <row r="56">
          <cell r="H56">
            <v>11895</v>
          </cell>
        </row>
        <row r="57">
          <cell r="H57">
            <v>32500</v>
          </cell>
        </row>
        <row r="58">
          <cell r="H58">
            <v>3500</v>
          </cell>
        </row>
        <row r="59">
          <cell r="H59">
            <v>3750</v>
          </cell>
        </row>
        <row r="61">
          <cell r="H61">
            <v>3532.1716666666666</v>
          </cell>
        </row>
        <row r="63">
          <cell r="H63">
            <v>70.596743144418141</v>
          </cell>
        </row>
        <row r="64">
          <cell r="H64">
            <v>70.596743144418141</v>
          </cell>
        </row>
        <row r="65">
          <cell r="H65">
            <v>78.848804332674945</v>
          </cell>
        </row>
        <row r="66">
          <cell r="H66">
            <v>78.848804332674945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6"/>
  <sheetViews>
    <sheetView workbookViewId="0">
      <selection activeCell="A6" sqref="A6"/>
    </sheetView>
  </sheetViews>
  <sheetFormatPr defaultRowHeight="15" x14ac:dyDescent="0.25"/>
  <cols>
    <col min="2" max="2" width="24.5703125" bestFit="1" customWidth="1"/>
    <col min="3" max="3" width="17.42578125" style="47" customWidth="1"/>
    <col min="4" max="4" width="15.5703125" style="47" customWidth="1"/>
    <col min="5" max="5" width="14.140625" style="47" customWidth="1"/>
    <col min="6" max="6" width="14.28515625" style="47" bestFit="1" customWidth="1"/>
    <col min="7" max="7" width="14.85546875" style="47" bestFit="1" customWidth="1"/>
    <col min="8" max="11" width="10.42578125" style="47" bestFit="1" customWidth="1"/>
    <col min="12" max="13" width="11.28515625" style="47" customWidth="1"/>
    <col min="14" max="14" width="12.85546875" customWidth="1"/>
    <col min="15" max="15" width="12.7109375" customWidth="1"/>
    <col min="16" max="16" width="11.5703125" customWidth="1"/>
    <col min="17" max="17" width="11" customWidth="1"/>
    <col min="18" max="18" width="12.28515625" customWidth="1"/>
    <col min="19" max="19" width="19.28515625" customWidth="1"/>
    <col min="20" max="20" width="11.140625" bestFit="1" customWidth="1"/>
  </cols>
  <sheetData>
    <row r="1" spans="2:19" x14ac:dyDescent="0.25">
      <c r="H1" s="86" t="s">
        <v>156</v>
      </c>
      <c r="I1" s="86"/>
      <c r="J1" s="86"/>
      <c r="K1" s="86"/>
    </row>
    <row r="2" spans="2:19" ht="45" x14ac:dyDescent="0.25">
      <c r="B2" t="s">
        <v>146</v>
      </c>
      <c r="C2" s="71" t="s">
        <v>70</v>
      </c>
      <c r="D2" s="71" t="s">
        <v>69</v>
      </c>
      <c r="E2" s="72" t="s">
        <v>85</v>
      </c>
      <c r="F2" s="71" t="s">
        <v>150</v>
      </c>
      <c r="G2" s="71" t="s">
        <v>151</v>
      </c>
      <c r="H2" s="73" t="s">
        <v>157</v>
      </c>
      <c r="I2" s="73" t="s">
        <v>159</v>
      </c>
      <c r="J2" s="73" t="s">
        <v>158</v>
      </c>
      <c r="K2" s="73" t="s">
        <v>160</v>
      </c>
      <c r="L2" s="70" t="s">
        <v>148</v>
      </c>
      <c r="M2" s="70" t="s">
        <v>169</v>
      </c>
      <c r="N2" s="73" t="s">
        <v>72</v>
      </c>
      <c r="O2" s="73" t="s">
        <v>73</v>
      </c>
      <c r="P2" s="73" t="s">
        <v>88</v>
      </c>
      <c r="Q2" s="73" t="s">
        <v>31</v>
      </c>
      <c r="R2" s="73" t="s">
        <v>74</v>
      </c>
      <c r="S2" s="70" t="s">
        <v>147</v>
      </c>
    </row>
    <row r="3" spans="2:19" x14ac:dyDescent="0.25">
      <c r="B3" t="s">
        <v>149</v>
      </c>
      <c r="C3" s="47">
        <v>264.3</v>
      </c>
      <c r="D3" s="47">
        <v>2</v>
      </c>
      <c r="E3" s="47">
        <f>+Total_area/NumberStoreys</f>
        <v>132.15</v>
      </c>
      <c r="F3" s="47">
        <v>12</v>
      </c>
      <c r="G3" s="66">
        <f>+E3/F3</f>
        <v>11.012500000000001</v>
      </c>
      <c r="H3" s="47">
        <v>15</v>
      </c>
      <c r="I3" s="47">
        <v>15</v>
      </c>
      <c r="J3" s="47">
        <v>15</v>
      </c>
      <c r="K3" s="47">
        <v>15</v>
      </c>
      <c r="L3" s="68">
        <f>3/12</f>
        <v>0.25</v>
      </c>
      <c r="M3" s="69">
        <v>6.8680000000000003</v>
      </c>
      <c r="N3" s="85">
        <v>3.048</v>
      </c>
      <c r="O3" s="85">
        <f>IF(NumberStoreys&gt;1,2.44,0)</f>
        <v>2.44</v>
      </c>
      <c r="P3" s="85">
        <f>IF(NumberStoreys=3,2.44,0)</f>
        <v>0</v>
      </c>
      <c r="Q3" s="85">
        <v>2.4384000000000001</v>
      </c>
      <c r="R3" s="85">
        <v>2</v>
      </c>
    </row>
    <row r="4" spans="2:19" x14ac:dyDescent="0.25">
      <c r="B4" t="s">
        <v>153</v>
      </c>
      <c r="C4" s="47">
        <v>250</v>
      </c>
      <c r="D4" s="47">
        <v>3</v>
      </c>
      <c r="E4" s="66">
        <f>+C4/D4</f>
        <v>83.333333333333329</v>
      </c>
      <c r="F4" s="66">
        <v>9</v>
      </c>
      <c r="G4" s="66">
        <f>+E4/F4</f>
        <v>9.2592592592592595</v>
      </c>
      <c r="H4" s="66">
        <v>15</v>
      </c>
      <c r="I4" s="66">
        <v>5</v>
      </c>
      <c r="J4" s="66">
        <v>15</v>
      </c>
      <c r="K4" s="66">
        <v>5</v>
      </c>
      <c r="L4" s="69">
        <f>2/12</f>
        <v>0.16666666666666666</v>
      </c>
      <c r="N4" s="85">
        <v>3.048</v>
      </c>
      <c r="O4" s="85">
        <f>IF(NumberStoreys&gt;1,2.44,0)</f>
        <v>2.44</v>
      </c>
      <c r="P4" s="85">
        <f>IF(NumberStoreys=3,2.44,0)</f>
        <v>0</v>
      </c>
      <c r="Q4" s="85">
        <v>2.4384000000000001</v>
      </c>
      <c r="R4" s="85">
        <v>2</v>
      </c>
    </row>
    <row r="5" spans="2:19" x14ac:dyDescent="0.25">
      <c r="B5" t="s">
        <v>154</v>
      </c>
      <c r="C5" s="47">
        <v>285.3</v>
      </c>
      <c r="D5" s="47">
        <v>3</v>
      </c>
      <c r="E5" s="47">
        <f>+C5/D5</f>
        <v>95.100000000000009</v>
      </c>
      <c r="F5" s="47">
        <v>10</v>
      </c>
      <c r="G5" s="47">
        <f>+E5/F5</f>
        <v>9.5100000000000016</v>
      </c>
      <c r="H5" s="47">
        <v>15</v>
      </c>
      <c r="I5" s="47">
        <v>5</v>
      </c>
      <c r="J5" s="47">
        <v>15</v>
      </c>
      <c r="K5" s="47">
        <v>5</v>
      </c>
      <c r="L5" s="69">
        <f>2/12</f>
        <v>0.16666666666666666</v>
      </c>
      <c r="M5" s="69"/>
      <c r="N5" s="85">
        <v>3.048</v>
      </c>
      <c r="O5" s="85">
        <f>IF(NumberStoreys&gt;1,2.44,0)</f>
        <v>2.44</v>
      </c>
      <c r="P5" s="85">
        <f>IF(NumberStoreys=3,2.44,0)</f>
        <v>0</v>
      </c>
      <c r="Q5" s="85">
        <v>2.4384000000000001</v>
      </c>
      <c r="R5" s="85">
        <v>2</v>
      </c>
    </row>
    <row r="6" spans="2:19" x14ac:dyDescent="0.25">
      <c r="B6" t="s">
        <v>177</v>
      </c>
      <c r="C6" s="91">
        <f>2396.99/10.76</f>
        <v>222.76858736059478</v>
      </c>
      <c r="D6" s="82">
        <v>2</v>
      </c>
      <c r="E6" s="91">
        <f>+C6/D6</f>
        <v>111.38429368029739</v>
      </c>
      <c r="F6" s="82">
        <v>12.9</v>
      </c>
      <c r="G6" s="68">
        <f>+E6/F6</f>
        <v>8.6344413705656891</v>
      </c>
      <c r="H6" s="92">
        <f>100*10.32/56.9</f>
        <v>18.13708260105448</v>
      </c>
      <c r="I6" s="92">
        <v>0.05</v>
      </c>
      <c r="J6" s="92">
        <f>100*17/66.99</f>
        <v>25.37692192864607</v>
      </c>
      <c r="K6" s="92">
        <f>100*2.68/63.28</f>
        <v>4.2351453855878631</v>
      </c>
      <c r="L6" s="82">
        <v>0.66700000000000004</v>
      </c>
      <c r="M6" s="82">
        <v>1.5</v>
      </c>
      <c r="N6" s="93">
        <v>2.79</v>
      </c>
      <c r="O6" s="93">
        <v>2.44</v>
      </c>
      <c r="P6" s="93">
        <v>0</v>
      </c>
      <c r="Q6" s="93">
        <v>2.4384000000000001</v>
      </c>
      <c r="R6" s="93">
        <v>1.9</v>
      </c>
      <c r="S6" t="s">
        <v>178</v>
      </c>
    </row>
  </sheetData>
  <mergeCells count="1">
    <mergeCell ref="H1:K1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55"/>
  <sheetViews>
    <sheetView tabSelected="1" zoomScaleNormal="100" workbookViewId="0">
      <selection activeCell="B2" sqref="B2"/>
    </sheetView>
  </sheetViews>
  <sheetFormatPr defaultRowHeight="15" x14ac:dyDescent="0.25"/>
  <cols>
    <col min="1" max="1" width="36.7109375" customWidth="1"/>
    <col min="2" max="2" width="21.5703125" bestFit="1" customWidth="1"/>
    <col min="3" max="3" width="9.42578125" customWidth="1"/>
    <col min="4" max="4" width="11" customWidth="1"/>
    <col min="6" max="6" width="15.28515625" customWidth="1"/>
    <col min="7" max="7" width="10.7109375" bestFit="1" customWidth="1"/>
    <col min="8" max="8" width="13" customWidth="1"/>
    <col min="10" max="10" width="8.85546875" bestFit="1" customWidth="1"/>
    <col min="11" max="11" width="8.28515625" customWidth="1"/>
    <col min="12" max="12" width="8.85546875" customWidth="1"/>
    <col min="13" max="14" width="14.7109375" bestFit="1" customWidth="1"/>
  </cols>
  <sheetData>
    <row r="2" spans="1:15" x14ac:dyDescent="0.25">
      <c r="A2" t="s">
        <v>152</v>
      </c>
      <c r="B2" t="s">
        <v>177</v>
      </c>
      <c r="F2" s="59"/>
      <c r="G2" s="59"/>
      <c r="H2" s="59"/>
    </row>
    <row r="3" spans="1:15" x14ac:dyDescent="0.25">
      <c r="F3" s="59"/>
      <c r="G3" s="59"/>
      <c r="H3" s="59"/>
      <c r="I3" s="56" t="s">
        <v>82</v>
      </c>
      <c r="J3" s="56" t="s">
        <v>139</v>
      </c>
      <c r="K3" s="56" t="s">
        <v>140</v>
      </c>
    </row>
    <row r="4" spans="1:15" ht="18.75" x14ac:dyDescent="0.3">
      <c r="A4" s="38" t="s">
        <v>68</v>
      </c>
      <c r="B4" s="67" t="s">
        <v>155</v>
      </c>
      <c r="C4" s="1"/>
      <c r="D4" s="1"/>
      <c r="F4" s="59"/>
      <c r="G4" s="59"/>
      <c r="H4" s="89" t="s">
        <v>89</v>
      </c>
      <c r="I4" s="58" t="s">
        <v>83</v>
      </c>
      <c r="J4" s="58" t="s">
        <v>141</v>
      </c>
      <c r="K4" s="58" t="s">
        <v>142</v>
      </c>
    </row>
    <row r="5" spans="1:15" ht="15.75" thickBot="1" x14ac:dyDescent="0.3">
      <c r="A5" s="1" t="s">
        <v>70</v>
      </c>
      <c r="B5" s="1"/>
      <c r="C5" s="64">
        <f>VLOOKUP($B$2,'Geometry options'!B3:S38,2,FALSE)</f>
        <v>222.76858736059478</v>
      </c>
      <c r="D5" s="1" t="s">
        <v>0</v>
      </c>
      <c r="F5" s="60" t="s">
        <v>75</v>
      </c>
      <c r="G5" s="60" t="s">
        <v>76</v>
      </c>
      <c r="H5" s="90"/>
      <c r="I5" s="88" t="s">
        <v>45</v>
      </c>
      <c r="J5" s="88"/>
      <c r="K5" s="88"/>
    </row>
    <row r="6" spans="1:15" x14ac:dyDescent="0.25">
      <c r="A6" s="1" t="s">
        <v>69</v>
      </c>
      <c r="B6" s="1"/>
      <c r="C6" s="64">
        <f>VLOOKUP($B$2,'Geometry options'!B3:S38,3,FALSE)</f>
        <v>2</v>
      </c>
      <c r="D6" s="1"/>
      <c r="F6" t="s">
        <v>39</v>
      </c>
      <c r="G6" t="s">
        <v>33</v>
      </c>
      <c r="I6" s="33">
        <f>+(INDEX(x1st,2)-INDEX(x1st,1))*(INDEX(z1st,7)-INDEX(z1st,2))</f>
        <v>35.991000000000007</v>
      </c>
      <c r="J6" s="33">
        <f>+(INDEX(x2nd,2)-INDEX(x2nd,1))*(INDEX(z2nd,7)-INDEX(z2nd,2))</f>
        <v>31.475999999999996</v>
      </c>
      <c r="K6" s="33">
        <f>+(INDEX(x3rd,2)-INDEX(x3rd,1))*(INDEX(z3rd,7)-INDEX(z3rd,2))</f>
        <v>0</v>
      </c>
      <c r="L6" t="s">
        <v>0</v>
      </c>
    </row>
    <row r="7" spans="1:15" x14ac:dyDescent="0.25">
      <c r="A7" s="39" t="s">
        <v>85</v>
      </c>
      <c r="B7" s="40" t="s">
        <v>6</v>
      </c>
      <c r="C7" s="11">
        <f>VLOOKUP($B$2,'Geometry options'!B3:S38,4,FALSE)</f>
        <v>111.38429368029739</v>
      </c>
      <c r="D7" s="39" t="s">
        <v>0</v>
      </c>
      <c r="F7" t="s">
        <v>40</v>
      </c>
      <c r="G7" t="s">
        <v>34</v>
      </c>
      <c r="I7" s="33">
        <f>+(INDEX(y1st,3)-INDEX(y1st,2))*(INDEX(z1st,7)-(INDEX(z1st,3)))</f>
        <v>24.090091423878278</v>
      </c>
      <c r="J7" s="33">
        <f>+(INDEX(y2nd,3)-INDEX(y2nd,2))*(INDEX(z2nd,7)-(INDEX(z2nd,3)))</f>
        <v>21.068036944180278</v>
      </c>
      <c r="K7" s="33">
        <f>+(INDEX(y3rd,3)-INDEX(y3rd,2))*(INDEX(z3rd,7)-(INDEX(z3rd,3)))</f>
        <v>0</v>
      </c>
      <c r="L7" t="s">
        <v>0</v>
      </c>
    </row>
    <row r="8" spans="1:15" x14ac:dyDescent="0.25">
      <c r="A8" s="1" t="s">
        <v>86</v>
      </c>
      <c r="B8" s="7" t="s">
        <v>80</v>
      </c>
      <c r="C8" s="76">
        <f>VLOOKUP($B$2,'Geometry options'!B3:S38,5,FALSE)</f>
        <v>12.9</v>
      </c>
      <c r="D8" s="39" t="s">
        <v>1</v>
      </c>
      <c r="F8" t="s">
        <v>41</v>
      </c>
      <c r="G8" t="s">
        <v>35</v>
      </c>
      <c r="I8" s="33">
        <f>(INDEX(x1st,3)-INDEX(x1st,4))*(INDEX(z1st,7)-INDEX(z1st,4))</f>
        <v>35.991000000000007</v>
      </c>
      <c r="J8" s="33">
        <f>(INDEX(x2nd,3)-INDEX(x2nd,4))*(INDEX(z2nd,7)-INDEX(z2nd,4))</f>
        <v>31.475999999999996</v>
      </c>
      <c r="K8" s="33">
        <f>(INDEX(x3rd,3)-INDEX(x3rd,4))*(INDEX(z3rd,7)-INDEX(z3rd,4))</f>
        <v>0</v>
      </c>
      <c r="L8" t="s">
        <v>0</v>
      </c>
    </row>
    <row r="9" spans="1:15" x14ac:dyDescent="0.25">
      <c r="A9" s="1" t="s">
        <v>87</v>
      </c>
      <c r="B9" s="7" t="s">
        <v>81</v>
      </c>
      <c r="C9" s="76">
        <f>VLOOKUP($B$2,'Geometry options'!B3:S38,6,FALSE)</f>
        <v>8.6344413705656891</v>
      </c>
      <c r="D9" s="39" t="s">
        <v>1</v>
      </c>
      <c r="E9" s="1"/>
      <c r="F9" t="s">
        <v>42</v>
      </c>
      <c r="G9" t="s">
        <v>36</v>
      </c>
      <c r="I9" s="33">
        <f>(INDEX(y1st,4)-INDEX(y1st,1))*(INDEX(z1st,8)-INDEX(z1st,4))</f>
        <v>24.090091423878278</v>
      </c>
      <c r="J9" s="33">
        <f>(INDEX(y2nd,4)-INDEX(y2nd,1))*(INDEX(z2nd,8)-INDEX(z2nd,4))</f>
        <v>21.068036944180278</v>
      </c>
      <c r="K9" s="33">
        <f>(INDEX(y3rd,4)-INDEX(y3rd,1))*(INDEX(z3rd,8)-INDEX(z3rd,4))</f>
        <v>0</v>
      </c>
      <c r="L9" t="s">
        <v>0</v>
      </c>
    </row>
    <row r="10" spans="1:15" x14ac:dyDescent="0.25">
      <c r="A10" s="1" t="s">
        <v>72</v>
      </c>
      <c r="B10" s="7"/>
      <c r="C10" s="76">
        <f>VLOOKUP($B$2,'Geometry options'!$B$3:$S$38,13,FALSE)</f>
        <v>2.79</v>
      </c>
      <c r="D10" s="1" t="s">
        <v>1</v>
      </c>
      <c r="F10" t="s">
        <v>43</v>
      </c>
      <c r="G10" t="s">
        <v>37</v>
      </c>
      <c r="I10" s="33">
        <f>INDEX(x1st,6)*INDEX(y1st,7)</f>
        <v>111.38429368029739</v>
      </c>
      <c r="J10" s="33">
        <f>INDEX(x2nd,6)*INDEX(y2nd,7)</f>
        <v>111.38429368029739</v>
      </c>
      <c r="K10" s="33">
        <f>INDEX(x2nd,6)*INDEX(y2nd,7)</f>
        <v>111.38429368029739</v>
      </c>
      <c r="L10" t="s">
        <v>0</v>
      </c>
    </row>
    <row r="11" spans="1:15" ht="15.75" thickBot="1" x14ac:dyDescent="0.3">
      <c r="A11" s="1" t="s">
        <v>73</v>
      </c>
      <c r="B11" s="7"/>
      <c r="C11" s="76">
        <f>VLOOKUP($B$2,'Geometry options'!$B$3:$S$38,14,FALSE)</f>
        <v>2.44</v>
      </c>
      <c r="D11" s="1" t="s">
        <v>1</v>
      </c>
      <c r="F11" t="s">
        <v>44</v>
      </c>
      <c r="G11" t="s">
        <v>38</v>
      </c>
      <c r="I11" s="33">
        <f>INDEX(x1st,3)*INDEX(y1st,4)</f>
        <v>111.38429368029739</v>
      </c>
      <c r="J11" s="33">
        <f>INDEX(x2nd,3)*INDEX(y2nd,4)</f>
        <v>111.38429368029739</v>
      </c>
      <c r="K11" s="33">
        <f>INDEX(x2nd,3)*INDEX(y2nd,4)</f>
        <v>111.38429368029739</v>
      </c>
      <c r="L11" t="s">
        <v>0</v>
      </c>
      <c r="M11" s="13" t="s">
        <v>77</v>
      </c>
      <c r="N11" s="13" t="s">
        <v>78</v>
      </c>
    </row>
    <row r="12" spans="1:15" x14ac:dyDescent="0.25">
      <c r="A12" s="1" t="s">
        <v>88</v>
      </c>
      <c r="B12" s="7"/>
      <c r="C12" s="76">
        <f>VLOOKUP($B$2,'Geometry options'!$B$3:$S$38,15,FALSE)</f>
        <v>0</v>
      </c>
      <c r="D12" s="1" t="s">
        <v>1</v>
      </c>
      <c r="F12" s="3" t="s">
        <v>46</v>
      </c>
      <c r="G12" s="3" t="s">
        <v>50</v>
      </c>
      <c r="H12" s="43">
        <f>VLOOKUP($B$2,'Geometry options'!B3:O38,7,FALSE)</f>
        <v>18.13708260105448</v>
      </c>
      <c r="I12" s="15">
        <f>AreaWall1*AreaWinWall1Ratio/100</f>
        <v>6.5277173989455193</v>
      </c>
      <c r="J12" s="15">
        <f>AreaWall1_2nd*AreaWinWall1Ratio/100</f>
        <v>5.7088281195079071</v>
      </c>
      <c r="K12" s="15">
        <f>AreaWall1_2nd*AreaWinWall1Ratio/100</f>
        <v>5.7088281195079071</v>
      </c>
      <c r="L12" s="3" t="s">
        <v>0</v>
      </c>
      <c r="M12" s="27">
        <f>AreaWinWall1/Hght_WinWall1</f>
        <v>4.6793673110720562</v>
      </c>
      <c r="N12" s="26">
        <f>(Opt_Main_Height-Opt_Bsm_Height)/2</f>
        <v>1.3950000000000002</v>
      </c>
      <c r="O12">
        <f>+Len_WinWall1*Hght_WinWall1</f>
        <v>6.5277173989455193</v>
      </c>
    </row>
    <row r="13" spans="1:15" x14ac:dyDescent="0.25">
      <c r="A13" s="1" t="s">
        <v>31</v>
      </c>
      <c r="B13" s="7"/>
      <c r="C13" s="76">
        <f>VLOOKUP($B$2,'Geometry options'!$B$3:$S$38,16,FALSE)</f>
        <v>2.4384000000000001</v>
      </c>
      <c r="D13" s="1" t="s">
        <v>1</v>
      </c>
      <c r="F13" s="4" t="s">
        <v>47</v>
      </c>
      <c r="G13" s="4" t="s">
        <v>51</v>
      </c>
      <c r="H13" s="44">
        <f>VLOOKUP($B$2,'Geometry options'!B3:O38,8,FALSE)</f>
        <v>0.05</v>
      </c>
      <c r="I13" s="17">
        <f>AreaWall2*AreaWinWall2Ratio/100</f>
        <v>1.204504571193914E-2</v>
      </c>
      <c r="J13" s="17">
        <f>AreaWall2_2nd*AreaWinWall2Ratio/100</f>
        <v>1.0534018472090139E-2</v>
      </c>
      <c r="K13" s="17">
        <f>AreaWall2_2nd*AreaWinWall2Ratio/100</f>
        <v>1.0534018472090139E-2</v>
      </c>
      <c r="L13" s="4" t="s">
        <v>0</v>
      </c>
      <c r="M13" s="28">
        <f>AreaWinWall2/Hght_WinWall2</f>
        <v>8.6344413705656906E-3</v>
      </c>
      <c r="N13" s="29">
        <f>(Opt_Main_Height-Opt_Bsm_Height)/2</f>
        <v>1.3950000000000002</v>
      </c>
      <c r="O13">
        <f>+Len_WinWall2*Hght_WinWall2</f>
        <v>1.204504571193914E-2</v>
      </c>
    </row>
    <row r="14" spans="1:15" x14ac:dyDescent="0.25">
      <c r="A14" s="1" t="s">
        <v>74</v>
      </c>
      <c r="B14" s="7"/>
      <c r="C14" s="76">
        <f>VLOOKUP($B$2,'Geometry options'!$B$3:$S$38,17,FALSE)</f>
        <v>1.9</v>
      </c>
      <c r="D14" s="1" t="s">
        <v>1</v>
      </c>
      <c r="F14" s="2" t="s">
        <v>48</v>
      </c>
      <c r="G14" s="2" t="s">
        <v>52</v>
      </c>
      <c r="H14" s="45">
        <f>VLOOKUP($B$2,'Geometry options'!B3:O38,9,FALSE)</f>
        <v>25.37692192864607</v>
      </c>
      <c r="I14" s="18">
        <f>AreaWall3*AreaWinWall3Ratio/100</f>
        <v>9.1334079713390093</v>
      </c>
      <c r="J14" s="18">
        <f>AreaWall3_2nd*AreaWinWall3Ratio/100</f>
        <v>7.9876399462606358</v>
      </c>
      <c r="K14" s="18">
        <f>AreaWall3_2nd*AreaWinWall3Ratio/100</f>
        <v>7.9876399462606358</v>
      </c>
      <c r="L14" s="2" t="s">
        <v>0</v>
      </c>
      <c r="M14" s="30">
        <f>AreaWinWall3/Hght_WinWall3</f>
        <v>6.5472458575906867</v>
      </c>
      <c r="N14" s="31">
        <f>(Opt_Main_Height-Opt_Bsm_Height)/2</f>
        <v>1.3950000000000002</v>
      </c>
      <c r="O14">
        <f>+Len_WinWall3*Hght_WinWall3</f>
        <v>9.1334079713390093</v>
      </c>
    </row>
    <row r="15" spans="1:15" x14ac:dyDescent="0.25">
      <c r="A15" s="1" t="s">
        <v>71</v>
      </c>
      <c r="B15" s="7"/>
      <c r="C15" s="39">
        <f>Hght_Flr1+Opt_Bsm_Height</f>
        <v>5.2284000000000006</v>
      </c>
      <c r="F15" s="6" t="s">
        <v>49</v>
      </c>
      <c r="G15" s="6" t="s">
        <v>53</v>
      </c>
      <c r="H15" s="46">
        <f>VLOOKUP($B$2,'Geometry options'!B3:O38,10,FALSE)</f>
        <v>4.2351453855878631</v>
      </c>
      <c r="I15" s="20">
        <f>AreaWall4*AreaWinWall4Ratio/100</f>
        <v>1.0202503953222783</v>
      </c>
      <c r="J15" s="20">
        <f>AreaWall4_2nd*AreaWinWall4Ratio/100</f>
        <v>0.89226199447539722</v>
      </c>
      <c r="K15" s="20">
        <f>AreaWall4_2nd*AreaWinWall4Ratio/100</f>
        <v>0.89226199447539722</v>
      </c>
      <c r="L15" s="6" t="s">
        <v>0</v>
      </c>
      <c r="M15" s="36">
        <f>AreaWinWall4/Hght_WinWall4</f>
        <v>0.73136229055360447</v>
      </c>
      <c r="N15" s="32">
        <f>(Opt_Main_Height-Opt_Bsm_Height)/2</f>
        <v>1.3950000000000002</v>
      </c>
      <c r="O15">
        <f>+Len_WinWall4*Hght_WinWall4</f>
        <v>1.0202503953222783</v>
      </c>
    </row>
    <row r="16" spans="1:15" x14ac:dyDescent="0.25">
      <c r="A16" t="s">
        <v>148</v>
      </c>
      <c r="B16" s="7"/>
      <c r="C16" s="74">
        <f>VLOOKUP($B$2,'Geometry options'!B3:O38,11,FALSE)</f>
        <v>0.66700000000000004</v>
      </c>
      <c r="F16" s="6"/>
      <c r="G16" s="6"/>
      <c r="H16" s="75"/>
      <c r="I16" s="61"/>
      <c r="J16" s="61"/>
      <c r="K16" s="61"/>
      <c r="L16" s="77"/>
      <c r="M16" s="78"/>
      <c r="N16" s="79"/>
    </row>
    <row r="17" spans="1:20" x14ac:dyDescent="0.25">
      <c r="A17" s="1"/>
      <c r="B17" s="7" t="s">
        <v>162</v>
      </c>
      <c r="C17" s="35">
        <f>Opt_Main_Height+Hght_Flr2+Hght_Flr3+(Opt_Width*Roof_Slope1)</f>
        <v>16.2727</v>
      </c>
      <c r="D17" s="1" t="s">
        <v>1</v>
      </c>
      <c r="F17" s="6"/>
      <c r="G17" s="6"/>
      <c r="H17" s="75"/>
      <c r="I17" s="61"/>
      <c r="J17" s="61"/>
      <c r="K17" s="61"/>
      <c r="L17" s="77"/>
      <c r="M17" s="78"/>
      <c r="N17" s="79"/>
    </row>
    <row r="18" spans="1:20" x14ac:dyDescent="0.25">
      <c r="A18" s="1"/>
      <c r="B18" s="7" t="s">
        <v>79</v>
      </c>
      <c r="C18" s="11">
        <f>Opt_Width/2</f>
        <v>6.45</v>
      </c>
      <c r="D18" s="1"/>
    </row>
    <row r="19" spans="1:20" x14ac:dyDescent="0.25">
      <c r="A19" s="1"/>
      <c r="B19" s="3" t="s">
        <v>55</v>
      </c>
      <c r="C19" s="14">
        <f>INDEX(x1st,9)</f>
        <v>0.5</v>
      </c>
      <c r="F19" t="s">
        <v>134</v>
      </c>
      <c r="I19" s="42">
        <f>SUM(I6:I9)</f>
        <v>120.16218284775657</v>
      </c>
      <c r="J19" t="s">
        <v>0</v>
      </c>
    </row>
    <row r="20" spans="1:20" x14ac:dyDescent="0.25">
      <c r="B20" s="3" t="s">
        <v>56</v>
      </c>
      <c r="C20" s="15">
        <f>INDEX(x1st,10)</f>
        <v>5.1793673110720562</v>
      </c>
      <c r="D20" s="1"/>
      <c r="F20" t="s">
        <v>137</v>
      </c>
      <c r="I20">
        <f>+SUM(J6:J9)</f>
        <v>105.08807388836055</v>
      </c>
      <c r="J20" t="s">
        <v>0</v>
      </c>
      <c r="K20" s="9"/>
      <c r="L20" s="5"/>
    </row>
    <row r="21" spans="1:20" x14ac:dyDescent="0.25">
      <c r="A21" s="1"/>
      <c r="B21" s="4" t="s">
        <v>57</v>
      </c>
      <c r="C21" s="16">
        <f>INDEX(y1st,13)</f>
        <v>0.5</v>
      </c>
      <c r="F21" t="s">
        <v>135</v>
      </c>
      <c r="I21">
        <f>+SUM(K6:K9)</f>
        <v>0</v>
      </c>
      <c r="J21" t="s">
        <v>0</v>
      </c>
    </row>
    <row r="22" spans="1:20" x14ac:dyDescent="0.25">
      <c r="A22" s="1"/>
      <c r="B22" s="4" t="s">
        <v>58</v>
      </c>
      <c r="C22" s="17">
        <f>INDEX(y1st,14)</f>
        <v>0.50863444137056568</v>
      </c>
      <c r="F22" t="s">
        <v>136</v>
      </c>
      <c r="I22">
        <f>2*(Opt_Width*Opt_Bsm_Height)+2*(Opt_Length*Opt_Bsm_Height)</f>
        <v>105.01916367597477</v>
      </c>
      <c r="J22" t="s">
        <v>0</v>
      </c>
    </row>
    <row r="23" spans="1:20" x14ac:dyDescent="0.25">
      <c r="A23" s="1"/>
      <c r="B23" s="2" t="s">
        <v>61</v>
      </c>
      <c r="C23" s="18">
        <f>INDEX(x1st,17)</f>
        <v>12.4</v>
      </c>
      <c r="F23" t="s">
        <v>161</v>
      </c>
      <c r="I23">
        <f>+AreaWinWall1Ratio/100*SUM(I6:K6)+AreaWinWall2Ratio/100*SUM(I7:K7)+AreaWinWall3Ratio/100*SUM(I8:K8)+AreaWinWall4Ratio/100*SUM(I9:K9)</f>
        <v>31.292684890034774</v>
      </c>
      <c r="J23" t="s">
        <v>0</v>
      </c>
    </row>
    <row r="24" spans="1:20" x14ac:dyDescent="0.25">
      <c r="A24" s="1"/>
      <c r="B24" s="2" t="s">
        <v>62</v>
      </c>
      <c r="C24" s="18">
        <f>INDEX(x1st,18)</f>
        <v>5.8527541424093137</v>
      </c>
    </row>
    <row r="25" spans="1:20" x14ac:dyDescent="0.25">
      <c r="B25" s="6" t="s">
        <v>63</v>
      </c>
      <c r="C25" s="19">
        <f>INDEX(y1st,21)</f>
        <v>8.1344413705656891</v>
      </c>
    </row>
    <row r="26" spans="1:20" x14ac:dyDescent="0.25">
      <c r="B26" s="6" t="s">
        <v>64</v>
      </c>
      <c r="C26" s="20">
        <f>INDEX(y1st,22)</f>
        <v>7.4030790800120849</v>
      </c>
    </row>
    <row r="29" spans="1:20" x14ac:dyDescent="0.25">
      <c r="B29" s="6"/>
      <c r="C29" s="61"/>
    </row>
    <row r="30" spans="1:20" x14ac:dyDescent="0.25">
      <c r="B30" s="87" t="s">
        <v>84</v>
      </c>
      <c r="C30" s="87"/>
      <c r="D30" s="87"/>
      <c r="F30" s="87" t="s">
        <v>90</v>
      </c>
      <c r="G30" s="87"/>
      <c r="H30" s="87"/>
      <c r="J30" s="87" t="s">
        <v>91</v>
      </c>
      <c r="K30" s="87"/>
      <c r="L30" s="87"/>
      <c r="N30" s="87" t="s">
        <v>175</v>
      </c>
      <c r="O30" s="87"/>
      <c r="P30" s="87"/>
      <c r="R30" s="87" t="s">
        <v>176</v>
      </c>
      <c r="S30" s="87"/>
      <c r="T30" s="87"/>
    </row>
    <row r="31" spans="1:20" ht="15.75" thickBot="1" x14ac:dyDescent="0.3">
      <c r="A31" s="12" t="s">
        <v>54</v>
      </c>
      <c r="B31" s="37" t="s">
        <v>2</v>
      </c>
      <c r="C31" s="37" t="s">
        <v>3</v>
      </c>
      <c r="D31" s="37" t="s">
        <v>4</v>
      </c>
      <c r="F31" s="37" t="s">
        <v>2</v>
      </c>
      <c r="G31" s="37" t="s">
        <v>3</v>
      </c>
      <c r="H31" s="37" t="s">
        <v>4</v>
      </c>
      <c r="J31" s="37" t="s">
        <v>2</v>
      </c>
      <c r="K31" s="37" t="s">
        <v>3</v>
      </c>
      <c r="L31" s="37" t="s">
        <v>4</v>
      </c>
      <c r="N31" s="65" t="s">
        <v>2</v>
      </c>
      <c r="O31" s="65" t="s">
        <v>3</v>
      </c>
      <c r="P31" s="65" t="s">
        <v>4</v>
      </c>
      <c r="R31" s="65" t="s">
        <v>2</v>
      </c>
      <c r="S31" s="65" t="s">
        <v>3</v>
      </c>
      <c r="T31" s="65" t="s">
        <v>4</v>
      </c>
    </row>
    <row r="32" spans="1:20" x14ac:dyDescent="0.25">
      <c r="A32" t="s">
        <v>7</v>
      </c>
      <c r="B32" s="24">
        <v>0</v>
      </c>
      <c r="C32" s="24">
        <v>0</v>
      </c>
      <c r="D32" s="57">
        <f>Opt_Bsm_Height</f>
        <v>2.4384000000000001</v>
      </c>
      <c r="F32" s="24">
        <v>0</v>
      </c>
      <c r="G32" s="24">
        <v>0</v>
      </c>
      <c r="H32" s="24">
        <f>+Opt_Bsm_Height+Hght_Flr1</f>
        <v>5.2284000000000006</v>
      </c>
      <c r="J32" s="24">
        <v>0</v>
      </c>
      <c r="K32" s="24">
        <v>0</v>
      </c>
      <c r="L32" s="24">
        <f>+IF(NumStoreys=3,Opt_Bsm_Height+Hght_Flr1+Hght_Flr2,0)</f>
        <v>0</v>
      </c>
      <c r="N32" s="24">
        <v>0</v>
      </c>
      <c r="O32" s="24">
        <v>0</v>
      </c>
      <c r="P32" s="24">
        <f>+Opt_Bsm_Height+Hght_Flr1+Hght_Flr2+Hght_Flr3</f>
        <v>7.6684000000000001</v>
      </c>
      <c r="R32" s="24">
        <v>0</v>
      </c>
      <c r="S32" s="24">
        <v>0</v>
      </c>
      <c r="T32" s="24">
        <v>0</v>
      </c>
    </row>
    <row r="33" spans="1:20" x14ac:dyDescent="0.25">
      <c r="A33" t="s">
        <v>8</v>
      </c>
      <c r="B33" s="25">
        <f>Opt_Width</f>
        <v>12.9</v>
      </c>
      <c r="C33" s="24">
        <v>0</v>
      </c>
      <c r="D33" s="24">
        <f>Opt_Bsm_Height</f>
        <v>2.4384000000000001</v>
      </c>
      <c r="F33" s="25">
        <f>Opt_Width</f>
        <v>12.9</v>
      </c>
      <c r="G33" s="24">
        <v>0</v>
      </c>
      <c r="H33" s="24">
        <f>+Opt_Bsm_Height+Hght_Flr1</f>
        <v>5.2284000000000006</v>
      </c>
      <c r="J33" s="25">
        <f>Opt_Width</f>
        <v>12.9</v>
      </c>
      <c r="K33" s="24">
        <v>0</v>
      </c>
      <c r="L33" s="24">
        <f>+IF(NumStoreys=3,Opt_Bsm_Height+Hght_Flr1+Hght_Flr2,0)</f>
        <v>0</v>
      </c>
      <c r="N33" s="25">
        <f>Opt_Width</f>
        <v>12.9</v>
      </c>
      <c r="O33" s="24">
        <v>0</v>
      </c>
      <c r="P33" s="24">
        <f>+Opt_Bsm_Height+Hght_Flr1+Hght_Flr2+Hght_Flr3</f>
        <v>7.6684000000000001</v>
      </c>
      <c r="R33" s="25">
        <f>Opt_Width</f>
        <v>12.9</v>
      </c>
      <c r="S33" s="24">
        <v>0</v>
      </c>
      <c r="T33" s="24">
        <v>0</v>
      </c>
    </row>
    <row r="34" spans="1:20" x14ac:dyDescent="0.25">
      <c r="A34" t="s">
        <v>9</v>
      </c>
      <c r="B34" s="25">
        <f>Opt_Width</f>
        <v>12.9</v>
      </c>
      <c r="C34" s="24">
        <f>Opt_Length</f>
        <v>8.6344413705656891</v>
      </c>
      <c r="D34" s="24">
        <f>Opt_Bsm_Height</f>
        <v>2.4384000000000001</v>
      </c>
      <c r="F34" s="25">
        <f>Opt_Width</f>
        <v>12.9</v>
      </c>
      <c r="G34" s="24">
        <f>Opt_Length</f>
        <v>8.6344413705656891</v>
      </c>
      <c r="H34" s="24">
        <f>+Opt_Bsm_Height+Hght_Flr1</f>
        <v>5.2284000000000006</v>
      </c>
      <c r="J34" s="25">
        <f>Opt_Width</f>
        <v>12.9</v>
      </c>
      <c r="K34" s="24">
        <f>Opt_Length</f>
        <v>8.6344413705656891</v>
      </c>
      <c r="L34" s="24">
        <f>+IF(NumStoreys=3,Opt_Bsm_Height+Hght_Flr1+Hght_Flr2,0)</f>
        <v>0</v>
      </c>
      <c r="N34" s="25">
        <f>Opt_Width</f>
        <v>12.9</v>
      </c>
      <c r="O34" s="24">
        <f>Opt_Length</f>
        <v>8.6344413705656891</v>
      </c>
      <c r="P34" s="24">
        <f>+Opt_Bsm_Height+Hght_Flr1+Hght_Flr2+Hght_Flr3</f>
        <v>7.6684000000000001</v>
      </c>
      <c r="R34" s="25">
        <f>Opt_Width</f>
        <v>12.9</v>
      </c>
      <c r="S34" s="24">
        <f>Opt_Length</f>
        <v>8.6344413705656891</v>
      </c>
      <c r="T34" s="24">
        <v>0</v>
      </c>
    </row>
    <row r="35" spans="1:20" x14ac:dyDescent="0.25">
      <c r="A35" t="s">
        <v>10</v>
      </c>
      <c r="B35" s="24">
        <v>0</v>
      </c>
      <c r="C35" s="24">
        <f>Opt_Length</f>
        <v>8.6344413705656891</v>
      </c>
      <c r="D35" s="24">
        <f>Opt_Bsm_Height</f>
        <v>2.4384000000000001</v>
      </c>
      <c r="F35" s="24">
        <v>0</v>
      </c>
      <c r="G35" s="24">
        <f>Opt_Length</f>
        <v>8.6344413705656891</v>
      </c>
      <c r="H35" s="24">
        <f>+Opt_Bsm_Height+Hght_Flr1</f>
        <v>5.2284000000000006</v>
      </c>
      <c r="J35" s="24">
        <v>0</v>
      </c>
      <c r="K35" s="24">
        <f>Opt_Length</f>
        <v>8.6344413705656891</v>
      </c>
      <c r="L35" s="24">
        <f>+IF(NumStoreys=3,Opt_Bsm_Height+Hght_Flr1+Hght_Flr2,0)</f>
        <v>0</v>
      </c>
      <c r="N35" s="24">
        <v>0</v>
      </c>
      <c r="O35" s="24">
        <f>Opt_Length</f>
        <v>8.6344413705656891</v>
      </c>
      <c r="P35" s="24">
        <f>+Opt_Bsm_Height+Hght_Flr1+Hght_Flr2+Hght_Flr3</f>
        <v>7.6684000000000001</v>
      </c>
      <c r="R35" s="24">
        <v>0</v>
      </c>
      <c r="S35" s="24">
        <f>Opt_Length</f>
        <v>8.6344413705656891</v>
      </c>
      <c r="T35" s="24">
        <v>0</v>
      </c>
    </row>
    <row r="36" spans="1:20" x14ac:dyDescent="0.25">
      <c r="A36" t="s">
        <v>11</v>
      </c>
      <c r="B36" s="24">
        <v>0</v>
      </c>
      <c r="C36" s="24">
        <v>0</v>
      </c>
      <c r="D36" s="24">
        <f>Opt_Main_Height</f>
        <v>5.2284000000000006</v>
      </c>
      <c r="F36" s="24">
        <v>0</v>
      </c>
      <c r="G36" s="24">
        <v>0</v>
      </c>
      <c r="H36" s="24">
        <f>+Opt_Bsm_Height+Hght_Flr1+Hght_Flr2</f>
        <v>7.6684000000000001</v>
      </c>
      <c r="J36" s="24">
        <v>0</v>
      </c>
      <c r="K36" s="24">
        <v>0</v>
      </c>
      <c r="L36" s="24">
        <f>+IF(NumStoreys=3,Opt_Bsm_Height+Hght_Flr1+Hght_Flr2+Hght_Flr3,0)</f>
        <v>0</v>
      </c>
      <c r="N36" s="25">
        <f>+Opt_Roof_Peak_W</f>
        <v>6.45</v>
      </c>
      <c r="O36" s="24">
        <v>0</v>
      </c>
      <c r="P36" s="24">
        <f>+C17</f>
        <v>16.2727</v>
      </c>
      <c r="R36" s="24">
        <v>0</v>
      </c>
      <c r="S36" s="24">
        <v>0</v>
      </c>
      <c r="T36" s="57">
        <f>Opt_Bsm_Height</f>
        <v>2.4384000000000001</v>
      </c>
    </row>
    <row r="37" spans="1:20" x14ac:dyDescent="0.25">
      <c r="A37" t="s">
        <v>12</v>
      </c>
      <c r="B37" s="25">
        <f>Opt_Width</f>
        <v>12.9</v>
      </c>
      <c r="C37" s="24">
        <v>0</v>
      </c>
      <c r="D37" s="24">
        <f>Opt_Main_Height</f>
        <v>5.2284000000000006</v>
      </c>
      <c r="F37" s="25">
        <f>Opt_Width</f>
        <v>12.9</v>
      </c>
      <c r="G37" s="24">
        <v>0</v>
      </c>
      <c r="H37" s="24">
        <f>+Opt_Bsm_Height+Hght_Flr1+Hght_Flr2</f>
        <v>7.6684000000000001</v>
      </c>
      <c r="J37" s="25">
        <f>Opt_Width</f>
        <v>12.9</v>
      </c>
      <c r="K37" s="24">
        <v>0</v>
      </c>
      <c r="L37" s="24">
        <f>+IF(NumStoreys=3,Opt_Bsm_Height+Hght_Flr1+Hght_Flr2+Hght_Flr3,0)</f>
        <v>0</v>
      </c>
      <c r="N37" s="25">
        <f>+Opt_Roof_Peak_W</f>
        <v>6.45</v>
      </c>
      <c r="O37" s="24">
        <f>Opt_Length</f>
        <v>8.6344413705656891</v>
      </c>
      <c r="P37" s="24">
        <f>+C17</f>
        <v>16.2727</v>
      </c>
      <c r="R37" s="25">
        <f>Opt_Width</f>
        <v>12.9</v>
      </c>
      <c r="S37" s="24">
        <v>0</v>
      </c>
      <c r="T37" s="57">
        <f>Opt_Bsm_Height</f>
        <v>2.4384000000000001</v>
      </c>
    </row>
    <row r="38" spans="1:20" x14ac:dyDescent="0.25">
      <c r="A38" t="s">
        <v>13</v>
      </c>
      <c r="B38" s="25">
        <f>Opt_Width</f>
        <v>12.9</v>
      </c>
      <c r="C38" s="24">
        <f>Opt_Length</f>
        <v>8.6344413705656891</v>
      </c>
      <c r="D38" s="24">
        <f>Opt_Main_Height</f>
        <v>5.2284000000000006</v>
      </c>
      <c r="F38" s="25">
        <f>Opt_Width</f>
        <v>12.9</v>
      </c>
      <c r="G38" s="24">
        <f>Opt_Length</f>
        <v>8.6344413705656891</v>
      </c>
      <c r="H38" s="24">
        <f>+Opt_Bsm_Height+Hght_Flr1+Hght_Flr2</f>
        <v>7.6684000000000001</v>
      </c>
      <c r="J38" s="25">
        <f>Opt_Width</f>
        <v>12.9</v>
      </c>
      <c r="K38" s="24">
        <f>Opt_Length</f>
        <v>8.6344413705656891</v>
      </c>
      <c r="L38" s="24">
        <f>+IF(NumStoreys=3,Opt_Bsm_Height+Hght_Flr1+Hght_Flr2+Hght_Flr3,0)</f>
        <v>0</v>
      </c>
      <c r="N38" s="83"/>
      <c r="O38" s="84"/>
      <c r="R38" s="25">
        <f>Opt_Width</f>
        <v>12.9</v>
      </c>
      <c r="S38" s="24">
        <f>Opt_Length</f>
        <v>8.6344413705656891</v>
      </c>
      <c r="T38" s="57">
        <f>Opt_Bsm_Height</f>
        <v>2.4384000000000001</v>
      </c>
    </row>
    <row r="39" spans="1:20" x14ac:dyDescent="0.25">
      <c r="A39" t="s">
        <v>14</v>
      </c>
      <c r="B39" s="24">
        <v>0</v>
      </c>
      <c r="C39" s="24">
        <f>Opt_Length</f>
        <v>8.6344413705656891</v>
      </c>
      <c r="D39" s="24">
        <f>Opt_Main_Height</f>
        <v>5.2284000000000006</v>
      </c>
      <c r="F39" s="24">
        <v>0</v>
      </c>
      <c r="G39" s="24">
        <f>Opt_Length</f>
        <v>8.6344413705656891</v>
      </c>
      <c r="H39" s="24">
        <f>+Opt_Bsm_Height+Hght_Flr1+Hght_Flr2</f>
        <v>7.6684000000000001</v>
      </c>
      <c r="J39" s="24">
        <v>0</v>
      </c>
      <c r="K39" s="24">
        <f>Opt_Length</f>
        <v>8.6344413705656891</v>
      </c>
      <c r="L39" s="24">
        <f>+IF(NumStoreys=3,Opt_Bsm_Height+Hght_Flr1+Hght_Flr2+Hght_Flr3,0)</f>
        <v>0</v>
      </c>
      <c r="N39" s="84"/>
      <c r="O39" s="84"/>
      <c r="R39" s="24">
        <v>0</v>
      </c>
      <c r="S39" s="24">
        <f>Opt_Length</f>
        <v>8.6344413705656891</v>
      </c>
      <c r="T39" s="57">
        <f>Opt_Bsm_Height</f>
        <v>2.4384000000000001</v>
      </c>
    </row>
    <row r="40" spans="1:20" x14ac:dyDescent="0.25">
      <c r="A40" s="3" t="s">
        <v>15</v>
      </c>
      <c r="B40" s="26">
        <f>INDEX(x1st,1)+0.5</f>
        <v>0.5</v>
      </c>
      <c r="C40" s="26">
        <f>INDEX(y1st,1)</f>
        <v>0</v>
      </c>
      <c r="D40" s="26">
        <f>INDEX(z1st,1)+0.5</f>
        <v>2.9384000000000001</v>
      </c>
      <c r="F40" s="26">
        <f>INDEX(x2nd,1)+0.5</f>
        <v>0.5</v>
      </c>
      <c r="G40" s="26">
        <f>INDEX(y2nd,1)</f>
        <v>0</v>
      </c>
      <c r="H40" s="26">
        <f>INDEX(z2nd,1)+0.5</f>
        <v>5.7284000000000006</v>
      </c>
      <c r="J40" s="26">
        <f>INDEX(x3rd,1)+0.5</f>
        <v>0.5</v>
      </c>
      <c r="K40" s="26">
        <f>INDEX(y3rd,1)</f>
        <v>0</v>
      </c>
      <c r="L40" s="26">
        <f>INDEX(z3rd,1)+0.5</f>
        <v>0.5</v>
      </c>
    </row>
    <row r="41" spans="1:20" x14ac:dyDescent="0.25">
      <c r="A41" s="3" t="s">
        <v>16</v>
      </c>
      <c r="B41" s="27">
        <f>INDEX(x1st,9)+Len_WinWall1</f>
        <v>5.1793673110720562</v>
      </c>
      <c r="C41" s="26">
        <f>INDEX(y1st,2)</f>
        <v>0</v>
      </c>
      <c r="D41" s="26">
        <f>INDEX(z1st,1)+0.5</f>
        <v>2.9384000000000001</v>
      </c>
      <c r="F41" s="27">
        <f>INDEX(x2nd,9)+Len_WinWall1</f>
        <v>5.1793673110720562</v>
      </c>
      <c r="G41" s="26">
        <f>INDEX(y2nd,2)</f>
        <v>0</v>
      </c>
      <c r="H41" s="26">
        <f>INDEX(z2nd,1)+0.5</f>
        <v>5.7284000000000006</v>
      </c>
      <c r="J41" s="27">
        <f>INDEX(x3rd,9)+Len_WinWall1</f>
        <v>5.1793673110720562</v>
      </c>
      <c r="K41" s="26">
        <f>INDEX(y3rd,2)</f>
        <v>0</v>
      </c>
      <c r="L41" s="26">
        <f>INDEX(z3rd,1)+0.5</f>
        <v>0.5</v>
      </c>
    </row>
    <row r="42" spans="1:20" x14ac:dyDescent="0.25">
      <c r="A42" s="3" t="s">
        <v>17</v>
      </c>
      <c r="B42" s="27">
        <f>INDEX(x1st,9)+Len_WinWall1</f>
        <v>5.1793673110720562</v>
      </c>
      <c r="C42" s="26">
        <f>INDEX(y1st,5)</f>
        <v>0</v>
      </c>
      <c r="D42" s="26">
        <f>INDEX(z1st,9)+Hght_WinWall1</f>
        <v>4.3334000000000001</v>
      </c>
      <c r="F42" s="27">
        <f>INDEX(x2nd,9)+Len_WinWall1</f>
        <v>5.1793673110720562</v>
      </c>
      <c r="G42" s="26">
        <f>INDEX(y2nd,5)</f>
        <v>0</v>
      </c>
      <c r="H42" s="26">
        <f>INDEX(z2nd,9)+Hght_WinWall1</f>
        <v>7.1234000000000011</v>
      </c>
      <c r="J42" s="27">
        <f>INDEX(x3rd,9)+Len_WinWall1</f>
        <v>5.1793673110720562</v>
      </c>
      <c r="K42" s="26">
        <f>INDEX(y3rd,5)</f>
        <v>0</v>
      </c>
      <c r="L42" s="26">
        <f>INDEX(z3rd,9)+Hght_WinWall1</f>
        <v>1.8950000000000002</v>
      </c>
    </row>
    <row r="43" spans="1:20" x14ac:dyDescent="0.25">
      <c r="A43" s="3" t="s">
        <v>18</v>
      </c>
      <c r="B43" s="26">
        <f>INDEX(x1st,9)</f>
        <v>0.5</v>
      </c>
      <c r="C43" s="26">
        <f>INDEX(y1st,6)</f>
        <v>0</v>
      </c>
      <c r="D43" s="26">
        <f>INDEX(z1st,10)+Hght_WinWall1</f>
        <v>4.3334000000000001</v>
      </c>
      <c r="F43" s="26">
        <f>INDEX(x2nd,9)</f>
        <v>0.5</v>
      </c>
      <c r="G43" s="26">
        <f>INDEX(y2nd,6)</f>
        <v>0</v>
      </c>
      <c r="H43" s="26">
        <f>INDEX(z2nd,10)+Hght_WinWall1</f>
        <v>7.1234000000000011</v>
      </c>
      <c r="J43" s="26">
        <f>INDEX(x3rd,9)</f>
        <v>0.5</v>
      </c>
      <c r="K43" s="26">
        <f>INDEX(y3rd,6)</f>
        <v>0</v>
      </c>
      <c r="L43" s="26">
        <f>INDEX(z3rd,10)+Hght_WinWall1</f>
        <v>1.8950000000000002</v>
      </c>
    </row>
    <row r="44" spans="1:20" x14ac:dyDescent="0.25">
      <c r="A44" s="4" t="s">
        <v>19</v>
      </c>
      <c r="B44" s="28">
        <f>INDEX(x1st,2)</f>
        <v>12.9</v>
      </c>
      <c r="C44" s="29">
        <f>INDEX(y1st,2)+0.5</f>
        <v>0.5</v>
      </c>
      <c r="D44" s="29">
        <f>INDEX(z1st,2)+0.5</f>
        <v>2.9384000000000001</v>
      </c>
      <c r="F44" s="28">
        <f>INDEX(x2nd,2)</f>
        <v>12.9</v>
      </c>
      <c r="G44" s="29">
        <f>INDEX(y2nd,2)+0.5</f>
        <v>0.5</v>
      </c>
      <c r="H44" s="29">
        <f>INDEX(z2nd,2)+0.5</f>
        <v>5.7284000000000006</v>
      </c>
      <c r="J44" s="28">
        <f>INDEX(x3rd,2)</f>
        <v>12.9</v>
      </c>
      <c r="K44" s="29">
        <f>INDEX(y3rd,2)+0.5</f>
        <v>0.5</v>
      </c>
      <c r="L44" s="29">
        <f>INDEX(z3rd,2)+0.5</f>
        <v>0.5</v>
      </c>
    </row>
    <row r="45" spans="1:20" x14ac:dyDescent="0.25">
      <c r="A45" s="4" t="s">
        <v>20</v>
      </c>
      <c r="B45" s="28">
        <f>INDEX(x1st,3)</f>
        <v>12.9</v>
      </c>
      <c r="C45" s="29">
        <f>INDEX(y1st,13)+Len_WinWall2</f>
        <v>0.50863444137056568</v>
      </c>
      <c r="D45" s="29">
        <f>INDEX(z1st,3)+0.5</f>
        <v>2.9384000000000001</v>
      </c>
      <c r="F45" s="28">
        <f>INDEX(x2nd,3)</f>
        <v>12.9</v>
      </c>
      <c r="G45" s="29">
        <f>INDEX(y2nd,13)+Len_WinWall2</f>
        <v>0.50863444137056568</v>
      </c>
      <c r="H45" s="29">
        <f>INDEX(z2nd,3)+0.5</f>
        <v>5.7284000000000006</v>
      </c>
      <c r="J45" s="28">
        <f>INDEX(x3rd,3)</f>
        <v>12.9</v>
      </c>
      <c r="K45" s="29">
        <f>INDEX(y3rd,13)+Len_WinWall2</f>
        <v>0.50863444137056568</v>
      </c>
      <c r="L45" s="29">
        <f>INDEX(z3rd,3)+0.5</f>
        <v>0.5</v>
      </c>
    </row>
    <row r="46" spans="1:20" x14ac:dyDescent="0.25">
      <c r="A46" s="4" t="s">
        <v>21</v>
      </c>
      <c r="B46" s="28">
        <f>INDEX(x1st,7)</f>
        <v>12.9</v>
      </c>
      <c r="C46" s="29">
        <f>INDEX(y1st,13)+Len_WinWall2</f>
        <v>0.50863444137056568</v>
      </c>
      <c r="D46" s="29">
        <f>INDEX(z1st,13)+Hght_WinWall2</f>
        <v>4.3334000000000001</v>
      </c>
      <c r="F46" s="28">
        <f>INDEX(x2nd,7)</f>
        <v>12.9</v>
      </c>
      <c r="G46" s="29">
        <f>INDEX(y2nd,13)+Len_WinWall2</f>
        <v>0.50863444137056568</v>
      </c>
      <c r="H46" s="29">
        <f>INDEX(z2nd,13)+Hght_WinWall2</f>
        <v>7.1234000000000011</v>
      </c>
      <c r="J46" s="28">
        <f>INDEX(x3rd,7)</f>
        <v>12.9</v>
      </c>
      <c r="K46" s="29">
        <f>INDEX(y3rd,13)+Len_WinWall2</f>
        <v>0.50863444137056568</v>
      </c>
      <c r="L46" s="29">
        <f>INDEX(z3rd,13)+Hght_WinWall2</f>
        <v>1.8950000000000002</v>
      </c>
    </row>
    <row r="47" spans="1:20" x14ac:dyDescent="0.25">
      <c r="A47" s="4" t="s">
        <v>22</v>
      </c>
      <c r="B47" s="28">
        <f>INDEX(x1st,6)</f>
        <v>12.9</v>
      </c>
      <c r="C47" s="29">
        <f>INDEX(y1st,6)+0.5</f>
        <v>0.5</v>
      </c>
      <c r="D47" s="29">
        <f>INDEX(z1st,14)+Hght_WinWall2</f>
        <v>4.3334000000000001</v>
      </c>
      <c r="F47" s="28">
        <f>INDEX(x2nd,6)</f>
        <v>12.9</v>
      </c>
      <c r="G47" s="29">
        <f>INDEX(y2nd,6)+0.5</f>
        <v>0.5</v>
      </c>
      <c r="H47" s="29">
        <f>INDEX(z2nd,14)+Hght_WinWall2</f>
        <v>7.1234000000000011</v>
      </c>
      <c r="J47" s="28">
        <f>INDEX(x3rd,6)</f>
        <v>12.9</v>
      </c>
      <c r="K47" s="29">
        <f>INDEX(y3rd,6)+0.5</f>
        <v>0.5</v>
      </c>
      <c r="L47" s="29">
        <f>INDEX(z3rd,14)+Hght_WinWall2</f>
        <v>1.8950000000000002</v>
      </c>
    </row>
    <row r="48" spans="1:20" x14ac:dyDescent="0.25">
      <c r="A48" s="2" t="s">
        <v>23</v>
      </c>
      <c r="B48" s="30">
        <f>INDEX(x1st,3)-0.5</f>
        <v>12.4</v>
      </c>
      <c r="C48" s="31">
        <f>INDEX(y1st,3)</f>
        <v>8.6344413705656891</v>
      </c>
      <c r="D48" s="31">
        <f>INDEX(z1st,3)+0.5</f>
        <v>2.9384000000000001</v>
      </c>
      <c r="F48" s="30">
        <f>INDEX(x2nd,3)-0.5</f>
        <v>12.4</v>
      </c>
      <c r="G48" s="31">
        <f>INDEX(y2nd,3)</f>
        <v>8.6344413705656891</v>
      </c>
      <c r="H48" s="31">
        <f>INDEX(z2nd,3)+0.5</f>
        <v>5.7284000000000006</v>
      </c>
      <c r="J48" s="30">
        <f>INDEX(x3rd,3)-0.5</f>
        <v>12.4</v>
      </c>
      <c r="K48" s="31">
        <f>INDEX(y3rd,3)</f>
        <v>8.6344413705656891</v>
      </c>
      <c r="L48" s="31">
        <f>INDEX(z3rd,3)+0.5</f>
        <v>0.5</v>
      </c>
    </row>
    <row r="49" spans="1:12" x14ac:dyDescent="0.25">
      <c r="A49" s="2" t="s">
        <v>24</v>
      </c>
      <c r="B49" s="30">
        <f>INDEX(x1st,17)-Len_WinWall3</f>
        <v>5.8527541424093137</v>
      </c>
      <c r="C49" s="31">
        <f>INDEX(y1st,4)</f>
        <v>8.6344413705656891</v>
      </c>
      <c r="D49" s="31">
        <f>INDEX(z1st,4)+0.5</f>
        <v>2.9384000000000001</v>
      </c>
      <c r="F49" s="30">
        <f>INDEX(x2nd,17)-Len_WinWall3</f>
        <v>5.8527541424093137</v>
      </c>
      <c r="G49" s="31">
        <f>INDEX(y2nd,4)</f>
        <v>8.6344413705656891</v>
      </c>
      <c r="H49" s="31">
        <f>INDEX(z2nd,4)+0.5</f>
        <v>5.7284000000000006</v>
      </c>
      <c r="J49" s="30">
        <f>INDEX(x3rd,17)-Len_WinWall3</f>
        <v>5.8527541424093137</v>
      </c>
      <c r="K49" s="31">
        <f>INDEX(y3rd,4)</f>
        <v>8.6344413705656891</v>
      </c>
      <c r="L49" s="31">
        <f>INDEX(z3rd,4)+0.5</f>
        <v>0.5</v>
      </c>
    </row>
    <row r="50" spans="1:12" x14ac:dyDescent="0.25">
      <c r="A50" s="2" t="s">
        <v>25</v>
      </c>
      <c r="B50" s="30">
        <f>INDEX(x1st,18)</f>
        <v>5.8527541424093137</v>
      </c>
      <c r="C50" s="31">
        <f>INDEX(y1st,18)</f>
        <v>8.6344413705656891</v>
      </c>
      <c r="D50" s="31">
        <f>INDEX(z1st,18)+Hght_WinWall3</f>
        <v>4.3334000000000001</v>
      </c>
      <c r="F50" s="30">
        <f>INDEX(x2nd,18)</f>
        <v>5.8527541424093137</v>
      </c>
      <c r="G50" s="31">
        <f>INDEX(y2nd,18)</f>
        <v>8.6344413705656891</v>
      </c>
      <c r="H50" s="31">
        <f>INDEX(z2nd,18)+Hght_WinWall3</f>
        <v>7.1234000000000011</v>
      </c>
      <c r="J50" s="30">
        <f>INDEX(x3rd,18)</f>
        <v>5.8527541424093137</v>
      </c>
      <c r="K50" s="31">
        <f>INDEX(y3rd,18)</f>
        <v>8.6344413705656891</v>
      </c>
      <c r="L50" s="31">
        <f>INDEX(z3rd,18)+Hght_WinWall3</f>
        <v>1.8950000000000002</v>
      </c>
    </row>
    <row r="51" spans="1:12" x14ac:dyDescent="0.25">
      <c r="A51" s="2" t="s">
        <v>26</v>
      </c>
      <c r="B51" s="30">
        <f>INDEX(x1st,17)</f>
        <v>12.4</v>
      </c>
      <c r="C51" s="31">
        <f>INDEX(y1st,19)</f>
        <v>8.6344413705656891</v>
      </c>
      <c r="D51" s="31">
        <f>INDEX(z1st,19)</f>
        <v>4.3334000000000001</v>
      </c>
      <c r="F51" s="30">
        <f>INDEX(x2nd,17)</f>
        <v>12.4</v>
      </c>
      <c r="G51" s="31">
        <f>INDEX(y2nd,19)</f>
        <v>8.6344413705656891</v>
      </c>
      <c r="H51" s="31">
        <f>INDEX(z2nd,19)</f>
        <v>7.1234000000000011</v>
      </c>
      <c r="J51" s="30">
        <f>INDEX(x3rd,17)</f>
        <v>12.4</v>
      </c>
      <c r="K51" s="31">
        <f>INDEX(y3rd,19)</f>
        <v>8.6344413705656891</v>
      </c>
      <c r="L51" s="31">
        <f>INDEX(z3rd,19)</f>
        <v>1.8950000000000002</v>
      </c>
    </row>
    <row r="52" spans="1:12" x14ac:dyDescent="0.25">
      <c r="A52" s="6" t="s">
        <v>27</v>
      </c>
      <c r="B52" s="32">
        <f>INDEX(x1st,4)</f>
        <v>0</v>
      </c>
      <c r="C52" s="32">
        <f>INDEX(y1st,4)-0.5</f>
        <v>8.1344413705656891</v>
      </c>
      <c r="D52" s="32">
        <f>INDEX(z1st,4)+0.5</f>
        <v>2.9384000000000001</v>
      </c>
      <c r="F52" s="32">
        <f>INDEX(x2nd,4)</f>
        <v>0</v>
      </c>
      <c r="G52" s="32">
        <f>INDEX(y2nd,4)-0.5</f>
        <v>8.1344413705656891</v>
      </c>
      <c r="H52" s="32">
        <f>INDEX(z2nd,4)+0.5</f>
        <v>5.7284000000000006</v>
      </c>
      <c r="J52" s="32">
        <f>INDEX(x3rd,4)</f>
        <v>0</v>
      </c>
      <c r="K52" s="32">
        <f>INDEX(y3rd,4)-0.5</f>
        <v>8.1344413705656891</v>
      </c>
      <c r="L52" s="32">
        <f>INDEX(z3rd,4)+0.5</f>
        <v>0.5</v>
      </c>
    </row>
    <row r="53" spans="1:12" x14ac:dyDescent="0.25">
      <c r="A53" s="6" t="s">
        <v>28</v>
      </c>
      <c r="B53" s="32">
        <f>INDEX(x1st,1)</f>
        <v>0</v>
      </c>
      <c r="C53" s="32">
        <f>INDEX(y1st,21)-Len_WinWall4</f>
        <v>7.4030790800120849</v>
      </c>
      <c r="D53" s="32">
        <f>INDEX(z1st,1)+0.5</f>
        <v>2.9384000000000001</v>
      </c>
      <c r="F53" s="32">
        <f>INDEX(x2nd,1)</f>
        <v>0</v>
      </c>
      <c r="G53" s="32">
        <f>INDEX(y2nd,21)-Len_WinWall4</f>
        <v>7.4030790800120849</v>
      </c>
      <c r="H53" s="32">
        <f>INDEX(z2nd,1)+0.5</f>
        <v>5.7284000000000006</v>
      </c>
      <c r="J53" s="32">
        <f>INDEX(x3rd,1)</f>
        <v>0</v>
      </c>
      <c r="K53" s="32">
        <f>INDEX(y3rd,21)-Len_WinWall4</f>
        <v>7.4030790800120849</v>
      </c>
      <c r="L53" s="32">
        <f>INDEX(z3rd,1)+0.5</f>
        <v>0.5</v>
      </c>
    </row>
    <row r="54" spans="1:12" x14ac:dyDescent="0.25">
      <c r="A54" s="6" t="s">
        <v>29</v>
      </c>
      <c r="B54" s="32">
        <f>INDEX(x1st,5)</f>
        <v>0</v>
      </c>
      <c r="C54" s="32">
        <f>INDEX(y1st,22)</f>
        <v>7.4030790800120849</v>
      </c>
      <c r="D54" s="32">
        <f>INDEX(z1st,22)+Hght_WinWall4</f>
        <v>4.3334000000000001</v>
      </c>
      <c r="F54" s="32">
        <f>INDEX(x2nd,5)</f>
        <v>0</v>
      </c>
      <c r="G54" s="32">
        <f>INDEX(y2nd,22)</f>
        <v>7.4030790800120849</v>
      </c>
      <c r="H54" s="32">
        <f>INDEX(z2nd,22)+Hght_WinWall4</f>
        <v>7.1234000000000011</v>
      </c>
      <c r="J54" s="32">
        <f>INDEX(x3rd,5)</f>
        <v>0</v>
      </c>
      <c r="K54" s="32">
        <f>INDEX(y3rd,22)</f>
        <v>7.4030790800120849</v>
      </c>
      <c r="L54" s="32">
        <f>INDEX(z3rd,22)+Hght_WinWall4</f>
        <v>1.8950000000000002</v>
      </c>
    </row>
    <row r="55" spans="1:12" x14ac:dyDescent="0.25">
      <c r="A55" s="6" t="s">
        <v>30</v>
      </c>
      <c r="B55" s="32">
        <f>INDEX(x1st,8)</f>
        <v>0</v>
      </c>
      <c r="C55" s="32">
        <f>INDEX(y1st,21)</f>
        <v>8.1344413705656891</v>
      </c>
      <c r="D55" s="32">
        <f>INDEX(z1st,23)</f>
        <v>4.3334000000000001</v>
      </c>
      <c r="F55" s="32">
        <f>INDEX(x2nd,8)</f>
        <v>0</v>
      </c>
      <c r="G55" s="32">
        <f>INDEX(y2nd,21)</f>
        <v>8.1344413705656891</v>
      </c>
      <c r="H55" s="32">
        <f>INDEX(z2nd,23)</f>
        <v>7.1234000000000011</v>
      </c>
      <c r="J55" s="32">
        <f>INDEX(x3rd,8)</f>
        <v>0</v>
      </c>
      <c r="K55" s="32">
        <f>INDEX(y3rd,21)</f>
        <v>8.1344413705656891</v>
      </c>
      <c r="L55" s="32">
        <f>INDEX(z3rd,23)</f>
        <v>1.8950000000000002</v>
      </c>
    </row>
  </sheetData>
  <mergeCells count="7">
    <mergeCell ref="I5:K5"/>
    <mergeCell ref="H4:H5"/>
    <mergeCell ref="N30:P30"/>
    <mergeCell ref="R30:T30"/>
    <mergeCell ref="B30:D30"/>
    <mergeCell ref="F30:H30"/>
    <mergeCell ref="J30:L30"/>
  </mergeCells>
  <conditionalFormatting sqref="J30:L55">
    <cfRule type="expression" dxfId="0" priority="1">
      <formula>$C$6&lt;3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'Geometry options'!$B$3:$B$30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opLeftCell="A19" workbookViewId="0">
      <selection activeCell="I4" sqref="I4"/>
    </sheetView>
  </sheetViews>
  <sheetFormatPr defaultRowHeight="15" x14ac:dyDescent="0.25"/>
  <cols>
    <col min="1" max="1" width="5.5703125" customWidth="1"/>
    <col min="2" max="2" width="82.5703125" bestFit="1" customWidth="1"/>
    <col min="3" max="3" width="12.85546875" bestFit="1" customWidth="1"/>
    <col min="4" max="4" width="11.85546875" style="47" customWidth="1"/>
    <col min="5" max="5" width="9" style="47" bestFit="1" customWidth="1"/>
    <col min="6" max="6" width="8.140625" style="47" bestFit="1" customWidth="1"/>
    <col min="7" max="7" width="12.85546875" style="47" bestFit="1" customWidth="1"/>
    <col min="8" max="8" width="22" bestFit="1" customWidth="1"/>
  </cols>
  <sheetData>
    <row r="2" spans="2:8" x14ac:dyDescent="0.25">
      <c r="B2" s="48" t="s">
        <v>92</v>
      </c>
      <c r="C2" s="53" t="s">
        <v>126</v>
      </c>
      <c r="D2" s="53" t="s">
        <v>132</v>
      </c>
      <c r="E2" s="80" t="s">
        <v>0</v>
      </c>
      <c r="F2" s="80" t="s">
        <v>163</v>
      </c>
      <c r="G2" s="53" t="s">
        <v>133</v>
      </c>
    </row>
    <row r="3" spans="2:8" x14ac:dyDescent="0.25">
      <c r="B3" s="49"/>
      <c r="C3" s="49"/>
      <c r="D3" s="50" t="s">
        <v>125</v>
      </c>
      <c r="E3" s="50"/>
      <c r="F3" s="50"/>
      <c r="G3" s="50" t="s">
        <v>125</v>
      </c>
    </row>
    <row r="4" spans="2:8" x14ac:dyDescent="0.25">
      <c r="B4" s="49" t="s">
        <v>93</v>
      </c>
      <c r="D4" s="55"/>
      <c r="E4" s="55"/>
      <c r="F4" s="55"/>
    </row>
    <row r="5" spans="2:8" x14ac:dyDescent="0.25">
      <c r="B5" s="52" t="s">
        <v>94</v>
      </c>
      <c r="C5" s="54" t="s">
        <v>127</v>
      </c>
      <c r="D5" s="55">
        <f>+'[1]UNIT COSTS'!$H$31</f>
        <v>0</v>
      </c>
      <c r="E5" s="55"/>
      <c r="F5" s="55"/>
    </row>
    <row r="6" spans="2:8" x14ac:dyDescent="0.25">
      <c r="B6" s="52" t="s">
        <v>95</v>
      </c>
      <c r="C6" s="54" t="s">
        <v>127</v>
      </c>
      <c r="D6" s="55">
        <f>+'[1]UNIT COSTS'!$H$32</f>
        <v>0</v>
      </c>
      <c r="E6" s="55"/>
      <c r="F6" s="55"/>
    </row>
    <row r="7" spans="2:8" x14ac:dyDescent="0.25">
      <c r="B7" s="52" t="s">
        <v>96</v>
      </c>
      <c r="C7" s="54" t="s">
        <v>127</v>
      </c>
      <c r="D7" s="55">
        <f>+'[1]UNIT COSTS'!$H$33</f>
        <v>9.5422222222222217</v>
      </c>
      <c r="E7" s="55">
        <f>(main_area+second_area+third_area)</f>
        <v>225.25025673611714</v>
      </c>
      <c r="F7" s="55">
        <f>+E7*10.7639</f>
        <v>2424.5712384818912</v>
      </c>
      <c r="G7" s="81">
        <f>+D7*F7</f>
        <v>23135.797551202755</v>
      </c>
      <c r="H7" t="s">
        <v>143</v>
      </c>
    </row>
    <row r="8" spans="2:8" x14ac:dyDescent="0.25">
      <c r="B8" s="52" t="s">
        <v>97</v>
      </c>
      <c r="C8" s="54" t="s">
        <v>127</v>
      </c>
      <c r="D8" s="55">
        <f>+'[1]UNIT COSTS'!$H$34</f>
        <v>0</v>
      </c>
      <c r="E8" s="55"/>
      <c r="F8" s="55"/>
      <c r="G8" s="81"/>
    </row>
    <row r="9" spans="2:8" x14ac:dyDescent="0.25">
      <c r="B9" s="52" t="s">
        <v>98</v>
      </c>
      <c r="C9" s="54" t="s">
        <v>127</v>
      </c>
      <c r="D9" s="55">
        <f>+'[1]UNIT COSTS'!$H$35</f>
        <v>0</v>
      </c>
      <c r="E9" s="55"/>
      <c r="F9" s="55"/>
      <c r="G9" s="81"/>
    </row>
    <row r="10" spans="2:8" x14ac:dyDescent="0.25">
      <c r="B10" s="52" t="s">
        <v>99</v>
      </c>
      <c r="C10" s="54" t="s">
        <v>127</v>
      </c>
      <c r="D10" s="55">
        <f>+'[1]UNIT COSTS'!$H$36</f>
        <v>10.457777777777778</v>
      </c>
      <c r="E10" s="55">
        <f>(main_area+second_area+third_area)</f>
        <v>225.25025673611714</v>
      </c>
      <c r="F10" s="55">
        <f>+E10*10.7639</f>
        <v>2424.5712384818912</v>
      </c>
      <c r="G10" s="81">
        <f>+D10*F10</f>
        <v>25355.627218435067</v>
      </c>
      <c r="H10" t="s">
        <v>144</v>
      </c>
    </row>
    <row r="11" spans="2:8" x14ac:dyDescent="0.25">
      <c r="B11" s="52" t="s">
        <v>100</v>
      </c>
      <c r="C11" s="54" t="s">
        <v>127</v>
      </c>
      <c r="D11" s="55">
        <f>+'[1]UNIT COSTS'!$H$37</f>
        <v>0</v>
      </c>
      <c r="E11" s="55"/>
      <c r="F11" s="55"/>
      <c r="G11" s="81"/>
    </row>
    <row r="12" spans="2:8" x14ac:dyDescent="0.25">
      <c r="B12" s="52" t="s">
        <v>101</v>
      </c>
      <c r="C12" s="54" t="s">
        <v>127</v>
      </c>
      <c r="D12" s="55">
        <f>+'[1]UNIT COSTS'!$H$38</f>
        <v>0</v>
      </c>
      <c r="E12" s="55"/>
      <c r="F12" s="55"/>
      <c r="G12" s="81"/>
    </row>
    <row r="13" spans="2:8" x14ac:dyDescent="0.25">
      <c r="B13" s="52" t="s">
        <v>102</v>
      </c>
      <c r="C13" s="54" t="s">
        <v>127</v>
      </c>
      <c r="D13" s="55">
        <f>+'[1]UNIT COSTS'!$H$39</f>
        <v>9.51</v>
      </c>
      <c r="E13" s="55">
        <f>(main_area+second_area+third_area)</f>
        <v>225.25025673611714</v>
      </c>
      <c r="F13" s="55">
        <f>+E13*10.7639</f>
        <v>2424.5712384818912</v>
      </c>
      <c r="G13" s="81">
        <f>+D13*F13</f>
        <v>23057.672477962784</v>
      </c>
      <c r="H13" t="s">
        <v>172</v>
      </c>
    </row>
    <row r="14" spans="2:8" x14ac:dyDescent="0.25">
      <c r="B14" s="52" t="s">
        <v>103</v>
      </c>
      <c r="C14" s="54" t="s">
        <v>127</v>
      </c>
      <c r="D14" s="55">
        <f>+'[1]UNIT COSTS'!$H$40</f>
        <v>0</v>
      </c>
      <c r="E14" s="55"/>
      <c r="F14" s="55"/>
      <c r="G14" s="81"/>
    </row>
    <row r="15" spans="2:8" x14ac:dyDescent="0.25">
      <c r="B15" s="52" t="s">
        <v>104</v>
      </c>
      <c r="C15" s="54" t="s">
        <v>127</v>
      </c>
      <c r="D15" s="55">
        <f>+'[1]UNIT COSTS'!$H$41</f>
        <v>0</v>
      </c>
      <c r="E15" s="55"/>
      <c r="F15" s="55"/>
      <c r="G15" s="81"/>
    </row>
    <row r="16" spans="2:8" x14ac:dyDescent="0.25">
      <c r="B16" s="52" t="s">
        <v>105</v>
      </c>
      <c r="C16" s="54" t="s">
        <v>127</v>
      </c>
      <c r="D16" s="55">
        <f>+'[1]UNIT COSTS'!$H$42</f>
        <v>15</v>
      </c>
      <c r="E16" s="55">
        <f>(main_area+second_area+third_area)</f>
        <v>225.25025673611714</v>
      </c>
      <c r="F16" s="55">
        <f>+E16*10.7639</f>
        <v>2424.5712384818912</v>
      </c>
      <c r="G16" s="81">
        <f t="shared" ref="G16:G17" si="0">+D16*F16</f>
        <v>36368.568577228369</v>
      </c>
    </row>
    <row r="17" spans="2:8" x14ac:dyDescent="0.25">
      <c r="B17" s="52" t="s">
        <v>106</v>
      </c>
      <c r="C17" s="54" t="s">
        <v>127</v>
      </c>
      <c r="D17" s="55">
        <f>+'[1]UNIT COSTS'!$H$43</f>
        <v>16.055</v>
      </c>
      <c r="E17" s="55">
        <f>(main_area+second_area+third_area)</f>
        <v>225.25025673611714</v>
      </c>
      <c r="F17" s="55">
        <f>+E17*10.7639</f>
        <v>2424.5712384818912</v>
      </c>
      <c r="G17" s="81">
        <f t="shared" si="0"/>
        <v>38926.49123382676</v>
      </c>
    </row>
    <row r="18" spans="2:8" x14ac:dyDescent="0.25">
      <c r="B18" s="52" t="s">
        <v>107</v>
      </c>
      <c r="C18" s="54" t="s">
        <v>127</v>
      </c>
      <c r="D18" s="55">
        <f>+'[1]UNIT COSTS'!$H$44</f>
        <v>0</v>
      </c>
      <c r="E18" s="55"/>
      <c r="F18" s="55"/>
    </row>
    <row r="19" spans="2:8" x14ac:dyDescent="0.25">
      <c r="B19" s="52" t="s">
        <v>108</v>
      </c>
      <c r="C19" s="54" t="s">
        <v>127</v>
      </c>
      <c r="D19" s="55">
        <f>+'[1]UNIT COSTS'!$H$45</f>
        <v>0</v>
      </c>
      <c r="E19" s="55"/>
      <c r="F19" s="55"/>
    </row>
    <row r="20" spans="2:8" x14ac:dyDescent="0.25">
      <c r="B20" s="49" t="s">
        <v>109</v>
      </c>
      <c r="C20" s="54"/>
      <c r="D20" s="55"/>
      <c r="E20" s="55"/>
      <c r="F20" s="55"/>
    </row>
    <row r="21" spans="2:8" x14ac:dyDescent="0.25">
      <c r="B21" s="52" t="s">
        <v>110</v>
      </c>
      <c r="C21" s="54" t="s">
        <v>128</v>
      </c>
      <c r="D21" s="55">
        <f>+'[1]UNIT COSTS'!$H$47</f>
        <v>4.3599999999999994</v>
      </c>
      <c r="E21" s="55">
        <f>found_wall_area</f>
        <v>105.01916367597477</v>
      </c>
      <c r="F21" s="55">
        <f>+E21*10.7639</f>
        <v>1130.4157758918248</v>
      </c>
      <c r="G21" s="68">
        <f>+F21*D21</f>
        <v>4928.6127828883555</v>
      </c>
      <c r="H21" t="s">
        <v>173</v>
      </c>
    </row>
    <row r="22" spans="2:8" x14ac:dyDescent="0.25">
      <c r="B22" s="52" t="s">
        <v>111</v>
      </c>
      <c r="C22" s="54" t="s">
        <v>128</v>
      </c>
      <c r="D22" s="55">
        <f>+'[1]UNIT COSTS'!$H$48</f>
        <v>0</v>
      </c>
      <c r="E22" s="55"/>
      <c r="F22" s="55"/>
    </row>
    <row r="23" spans="2:8" x14ac:dyDescent="0.25">
      <c r="B23" s="52" t="s">
        <v>112</v>
      </c>
      <c r="C23" s="54" t="s">
        <v>128</v>
      </c>
      <c r="D23" s="55">
        <f>+'[1]UNIT COSTS'!$H$49</f>
        <v>0</v>
      </c>
      <c r="E23" s="55"/>
      <c r="F23" s="55"/>
    </row>
    <row r="24" spans="2:8" x14ac:dyDescent="0.25">
      <c r="B24" s="52" t="s">
        <v>113</v>
      </c>
      <c r="C24" s="54" t="s">
        <v>128</v>
      </c>
      <c r="D24" s="55">
        <f>+'[1]UNIT COSTS'!$H$50</f>
        <v>8.9000000000000021</v>
      </c>
      <c r="E24" s="55">
        <f>found_wall_area</f>
        <v>105.01916367597477</v>
      </c>
      <c r="F24" s="55">
        <f>+E24*10.7639</f>
        <v>1130.4157758918248</v>
      </c>
      <c r="G24" s="68">
        <f>+F24*D24</f>
        <v>10060.700405437243</v>
      </c>
      <c r="H24" t="s">
        <v>174</v>
      </c>
    </row>
    <row r="25" spans="2:8" x14ac:dyDescent="0.25">
      <c r="B25" s="49" t="s">
        <v>114</v>
      </c>
      <c r="C25" s="54"/>
      <c r="D25" s="55"/>
      <c r="E25" s="55"/>
      <c r="F25" s="55"/>
    </row>
    <row r="26" spans="2:8" x14ac:dyDescent="0.25">
      <c r="B26" s="52" t="s">
        <v>115</v>
      </c>
      <c r="C26" s="54" t="s">
        <v>129</v>
      </c>
      <c r="D26" s="55">
        <f>+'[1]UNIT COSTS'!$H$52</f>
        <v>0.92</v>
      </c>
      <c r="E26" s="55">
        <f>+Opt_Area</f>
        <v>111.38429368029739</v>
      </c>
      <c r="F26" s="55">
        <f>+E26*10.7639</f>
        <v>1198.929398745353</v>
      </c>
      <c r="G26" s="68">
        <f>+F26*D26</f>
        <v>1103.0150468457248</v>
      </c>
      <c r="H26" t="s">
        <v>170</v>
      </c>
    </row>
    <row r="27" spans="2:8" x14ac:dyDescent="0.25">
      <c r="B27" s="52" t="s">
        <v>116</v>
      </c>
      <c r="C27" s="54" t="s">
        <v>129</v>
      </c>
      <c r="D27" s="55">
        <f>+'[1]UNIT COSTS'!$H$53</f>
        <v>1</v>
      </c>
      <c r="E27" s="55">
        <f>+Opt_Area</f>
        <v>111.38429368029739</v>
      </c>
      <c r="F27" s="55">
        <f>+E27*10.7639</f>
        <v>1198.929398745353</v>
      </c>
      <c r="G27" s="68">
        <f>+F27*D27</f>
        <v>1198.929398745353</v>
      </c>
      <c r="H27" t="s">
        <v>171</v>
      </c>
    </row>
    <row r="28" spans="2:8" x14ac:dyDescent="0.25">
      <c r="B28" s="49" t="s">
        <v>117</v>
      </c>
      <c r="C28" s="54"/>
      <c r="D28" s="55"/>
      <c r="E28" s="55"/>
      <c r="F28" s="55"/>
    </row>
    <row r="29" spans="2:8" x14ac:dyDescent="0.25">
      <c r="B29" s="52" t="s">
        <v>118</v>
      </c>
      <c r="C29" s="54" t="s">
        <v>130</v>
      </c>
      <c r="D29" s="55">
        <f>+'[1]UNIT COSTS'!$H$55</f>
        <v>5900</v>
      </c>
      <c r="E29" s="55"/>
      <c r="F29" s="55"/>
    </row>
    <row r="30" spans="2:8" x14ac:dyDescent="0.25">
      <c r="B30" s="52" t="s">
        <v>119</v>
      </c>
      <c r="C30" s="54" t="s">
        <v>130</v>
      </c>
      <c r="D30" s="55">
        <f>+'[1]UNIT COSTS'!$H$56</f>
        <v>11895</v>
      </c>
      <c r="E30" s="55"/>
      <c r="F30" s="55"/>
    </row>
    <row r="31" spans="2:8" x14ac:dyDescent="0.25">
      <c r="B31" s="52" t="s">
        <v>120</v>
      </c>
      <c r="C31" s="54" t="s">
        <v>130</v>
      </c>
      <c r="D31" s="55">
        <f>+'[1]UNIT COSTS'!$H$57</f>
        <v>32500</v>
      </c>
      <c r="E31" s="55"/>
      <c r="F31" s="55"/>
    </row>
    <row r="32" spans="2:8" x14ac:dyDescent="0.25">
      <c r="B32" s="52" t="s">
        <v>121</v>
      </c>
      <c r="C32" s="54" t="s">
        <v>130</v>
      </c>
      <c r="D32" s="55">
        <f>+'[1]UNIT COSTS'!$H$58</f>
        <v>3500</v>
      </c>
      <c r="E32" s="55"/>
      <c r="F32" s="55"/>
    </row>
    <row r="33" spans="2:7" x14ac:dyDescent="0.25">
      <c r="B33" s="52" t="s">
        <v>122</v>
      </c>
      <c r="C33" s="54" t="s">
        <v>130</v>
      </c>
      <c r="D33" s="55">
        <f>+'[1]UNIT COSTS'!$H$59</f>
        <v>3750</v>
      </c>
      <c r="E33" s="55"/>
      <c r="F33" s="55"/>
    </row>
    <row r="34" spans="2:7" x14ac:dyDescent="0.25">
      <c r="B34" s="49" t="s">
        <v>123</v>
      </c>
      <c r="C34" s="54"/>
      <c r="D34" s="55"/>
      <c r="E34" s="55"/>
      <c r="F34" s="55"/>
    </row>
    <row r="35" spans="2:7" x14ac:dyDescent="0.25">
      <c r="B35" s="52" t="s">
        <v>124</v>
      </c>
      <c r="C35" s="54" t="s">
        <v>131</v>
      </c>
      <c r="D35" s="55">
        <f>+'[1]UNIT COSTS'!$H$61</f>
        <v>3532.1716666666666</v>
      </c>
      <c r="E35" s="55"/>
      <c r="F35" s="55"/>
    </row>
    <row r="36" spans="2:7" x14ac:dyDescent="0.25">
      <c r="B36" s="49" t="s">
        <v>145</v>
      </c>
      <c r="C36" s="51"/>
    </row>
    <row r="37" spans="2:7" x14ac:dyDescent="0.25">
      <c r="B37" t="s">
        <v>164</v>
      </c>
      <c r="C37" s="47" t="s">
        <v>165</v>
      </c>
      <c r="D37" s="81">
        <f>+'[1]UNIT COSTS'!$H$63</f>
        <v>70.596743144418141</v>
      </c>
      <c r="E37" s="47">
        <f>+'geometry calculation'!$I$23</f>
        <v>31.292684890034774</v>
      </c>
      <c r="F37" s="55">
        <f t="shared" ref="F37:F40" si="1">+E37*10.7639</f>
        <v>336.8313308878453</v>
      </c>
      <c r="G37" s="68">
        <f>+D37*F37</f>
        <v>23779.194949681732</v>
      </c>
    </row>
    <row r="38" spans="2:7" x14ac:dyDescent="0.25">
      <c r="B38" t="s">
        <v>166</v>
      </c>
      <c r="C38" s="47" t="s">
        <v>165</v>
      </c>
      <c r="D38" s="81">
        <f>+'[1]UNIT COSTS'!$H$64</f>
        <v>70.596743144418141</v>
      </c>
      <c r="E38" s="47">
        <f>+'geometry calculation'!$I$23</f>
        <v>31.292684890034774</v>
      </c>
      <c r="F38" s="55">
        <f t="shared" si="1"/>
        <v>336.8313308878453</v>
      </c>
      <c r="G38" s="68">
        <f t="shared" ref="G38:G40" si="2">+D38*F38</f>
        <v>23779.194949681732</v>
      </c>
    </row>
    <row r="39" spans="2:7" x14ac:dyDescent="0.25">
      <c r="B39" t="s">
        <v>167</v>
      </c>
      <c r="C39" s="47" t="s">
        <v>165</v>
      </c>
      <c r="D39" s="81">
        <f>+'[1]UNIT COSTS'!$H$65</f>
        <v>78.848804332674945</v>
      </c>
      <c r="E39" s="47">
        <f>+'geometry calculation'!$I$23</f>
        <v>31.292684890034774</v>
      </c>
      <c r="F39" s="55">
        <f t="shared" si="1"/>
        <v>336.8313308878453</v>
      </c>
      <c r="G39" s="68">
        <f t="shared" si="2"/>
        <v>26558.747702290206</v>
      </c>
    </row>
    <row r="40" spans="2:7" x14ac:dyDescent="0.25">
      <c r="B40" t="s">
        <v>168</v>
      </c>
      <c r="C40" s="47" t="s">
        <v>165</v>
      </c>
      <c r="D40" s="81">
        <f>+'[1]UNIT COSTS'!$H$66</f>
        <v>78.848804332674945</v>
      </c>
      <c r="E40" s="47">
        <f>+'geometry calculation'!$I$23</f>
        <v>31.292684890034774</v>
      </c>
      <c r="F40" s="55">
        <f t="shared" si="1"/>
        <v>336.8313308878453</v>
      </c>
      <c r="G40" s="68">
        <f t="shared" si="2"/>
        <v>26558.747702290206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1"/>
  <sheetViews>
    <sheetView zoomScaleNormal="100" workbookViewId="0">
      <selection activeCell="A5" sqref="A5"/>
    </sheetView>
  </sheetViews>
  <sheetFormatPr defaultRowHeight="15" x14ac:dyDescent="0.25"/>
  <cols>
    <col min="1" max="1" width="36.7109375" customWidth="1"/>
    <col min="2" max="2" width="20.28515625" customWidth="1"/>
    <col min="3" max="3" width="9.42578125" customWidth="1"/>
    <col min="4" max="4" width="11" customWidth="1"/>
    <col min="6" max="6" width="21" customWidth="1"/>
    <col min="7" max="7" width="11.28515625" customWidth="1"/>
    <col min="8" max="8" width="22.28515625" bestFit="1" customWidth="1"/>
    <col min="10" max="10" width="8.85546875" bestFit="1" customWidth="1"/>
    <col min="11" max="11" width="13" bestFit="1" customWidth="1"/>
    <col min="12" max="12" width="8.85546875" customWidth="1"/>
  </cols>
  <sheetData>
    <row r="1" spans="1:15" x14ac:dyDescent="0.25">
      <c r="F1" s="59"/>
      <c r="G1" s="59"/>
      <c r="H1" s="59"/>
      <c r="I1" s="56" t="s">
        <v>82</v>
      </c>
      <c r="J1" s="56" t="s">
        <v>139</v>
      </c>
      <c r="K1" s="56" t="s">
        <v>140</v>
      </c>
    </row>
    <row r="2" spans="1:15" ht="18.75" x14ac:dyDescent="0.3">
      <c r="A2" s="38" t="s">
        <v>68</v>
      </c>
      <c r="B2" s="1"/>
      <c r="C2" s="1"/>
      <c r="D2" s="1"/>
      <c r="F2" s="59"/>
      <c r="G2" s="59"/>
      <c r="H2" s="59"/>
      <c r="I2" s="58" t="s">
        <v>83</v>
      </c>
      <c r="J2" s="58" t="s">
        <v>141</v>
      </c>
      <c r="K2" s="58" t="s">
        <v>142</v>
      </c>
    </row>
    <row r="3" spans="1:15" ht="15.75" thickBot="1" x14ac:dyDescent="0.3">
      <c r="A3" s="1" t="s">
        <v>70</v>
      </c>
      <c r="B3" s="1"/>
      <c r="C3" s="22">
        <v>125</v>
      </c>
      <c r="D3" s="1" t="s">
        <v>0</v>
      </c>
      <c r="F3" s="60" t="s">
        <v>75</v>
      </c>
      <c r="G3" s="60" t="s">
        <v>76</v>
      </c>
      <c r="H3" s="37" t="s">
        <v>89</v>
      </c>
      <c r="I3" s="88" t="s">
        <v>45</v>
      </c>
      <c r="J3" s="88"/>
      <c r="K3" s="88"/>
    </row>
    <row r="4" spans="1:15" x14ac:dyDescent="0.25">
      <c r="A4" s="1" t="s">
        <v>69</v>
      </c>
      <c r="B4" s="1"/>
      <c r="C4" s="21">
        <v>2</v>
      </c>
      <c r="D4" s="1"/>
      <c r="F4" t="s">
        <v>39</v>
      </c>
      <c r="G4" t="s">
        <v>33</v>
      </c>
      <c r="I4" s="33">
        <f>+(INDEX(x1st,2)-INDEX(x1st,1))*(INDEX(z1st,7)-INDEX(z1st,2))</f>
        <v>36.575999999999993</v>
      </c>
      <c r="J4" s="33">
        <f>+(INDEX(x2nd,2)-INDEX(x2nd,1))*(INDEX(z2nd,7)-INDEX(z2nd,2))</f>
        <v>29.279999999999994</v>
      </c>
      <c r="K4" s="33">
        <f>+(INDEX(x3rd,2)-INDEX(x3rd,1))*(INDEX(z3rd,7)-INDEX(z3rd,2))</f>
        <v>0</v>
      </c>
      <c r="L4" t="s">
        <v>0</v>
      </c>
    </row>
    <row r="5" spans="1:15" x14ac:dyDescent="0.25">
      <c r="A5" s="39" t="s">
        <v>85</v>
      </c>
      <c r="B5" s="39" t="s">
        <v>6</v>
      </c>
      <c r="C5" s="11">
        <f>+AG_FloorArea/NumStoreys</f>
        <v>62.5</v>
      </c>
      <c r="D5" s="40" t="s">
        <v>0</v>
      </c>
      <c r="F5" t="s">
        <v>40</v>
      </c>
      <c r="G5" t="s">
        <v>34</v>
      </c>
      <c r="I5" s="33">
        <f>+(INDEX(y1st,3)-INDEX(y1st,2))*(INDEX(z1st,7)-(INDEX(z1st,3)))</f>
        <v>15.874999999999996</v>
      </c>
      <c r="J5" s="33">
        <f>+(INDEX(y2nd,3)-INDEX(y2nd,2))*(INDEX(z2nd,7)-(INDEX(z2nd,3)))</f>
        <v>12.70833333333333</v>
      </c>
      <c r="K5" s="33">
        <f>+(INDEX(y3rd,3)-INDEX(y3rd,2))*(INDEX(z3rd,7)-(INDEX(z3rd,3)))</f>
        <v>0</v>
      </c>
      <c r="L5" t="s">
        <v>0</v>
      </c>
    </row>
    <row r="6" spans="1:15" x14ac:dyDescent="0.25">
      <c r="A6" s="1" t="s">
        <v>86</v>
      </c>
      <c r="B6" t="s">
        <v>80</v>
      </c>
      <c r="C6" s="41">
        <v>12</v>
      </c>
      <c r="D6" s="1" t="s">
        <v>1</v>
      </c>
      <c r="F6" t="s">
        <v>41</v>
      </c>
      <c r="G6" t="s">
        <v>35</v>
      </c>
      <c r="I6" s="33">
        <f>(INDEX(x1st,3)-INDEX(x1st,4))*(INDEX(z1st,7)-INDEX(z1st,4))</f>
        <v>36.575999999999993</v>
      </c>
      <c r="J6" s="33">
        <f>(INDEX(x2nd,3)-INDEX(x2nd,4))*(INDEX(z2nd,7)-INDEX(z2nd,4))</f>
        <v>29.279999999999994</v>
      </c>
      <c r="K6" s="33">
        <f>(INDEX(x3rd,3)-INDEX(x3rd,4))*(INDEX(z3rd,7)-INDEX(z3rd,4))</f>
        <v>0</v>
      </c>
      <c r="L6" t="s">
        <v>0</v>
      </c>
    </row>
    <row r="7" spans="1:15" x14ac:dyDescent="0.25">
      <c r="A7" s="1" t="s">
        <v>87</v>
      </c>
      <c r="B7" t="s">
        <v>81</v>
      </c>
      <c r="C7" s="41">
        <f>+Opt_Area/Opt_Width</f>
        <v>5.208333333333333</v>
      </c>
      <c r="D7" s="1" t="s">
        <v>1</v>
      </c>
      <c r="E7" s="1"/>
      <c r="F7" t="s">
        <v>42</v>
      </c>
      <c r="G7" t="s">
        <v>36</v>
      </c>
      <c r="I7" s="33">
        <f>(INDEX(y1st,4)-INDEX(y1st,1))*(INDEX(z1st,8)-INDEX(z1st,4))</f>
        <v>15.874999999999996</v>
      </c>
      <c r="J7" s="33">
        <f>(INDEX(y2nd,4)-INDEX(y2nd,1))*(INDEX(z2nd,8)-INDEX(z2nd,4))</f>
        <v>12.70833333333333</v>
      </c>
      <c r="K7" s="33">
        <f>(INDEX(y3rd,4)-INDEX(y3rd,1))*(INDEX(z3rd,8)-INDEX(z3rd,4))</f>
        <v>0</v>
      </c>
      <c r="L7" t="s">
        <v>0</v>
      </c>
    </row>
    <row r="8" spans="1:15" x14ac:dyDescent="0.25">
      <c r="A8" s="1" t="s">
        <v>72</v>
      </c>
      <c r="B8" s="1"/>
      <c r="C8" s="63">
        <v>3.048</v>
      </c>
      <c r="D8" s="7" t="s">
        <v>1</v>
      </c>
      <c r="F8" t="s">
        <v>43</v>
      </c>
      <c r="G8" t="s">
        <v>37</v>
      </c>
      <c r="I8" s="33">
        <f>INDEX(x1st,6)*INDEX(y1st,7)</f>
        <v>62.5</v>
      </c>
      <c r="J8" s="33">
        <f>INDEX(x2nd,6)*INDEX(y2nd,7)</f>
        <v>62.5</v>
      </c>
      <c r="K8" s="33">
        <f>INDEX(x2nd,6)*INDEX(y2nd,7)</f>
        <v>62.5</v>
      </c>
      <c r="L8" t="s">
        <v>0</v>
      </c>
    </row>
    <row r="9" spans="1:15" ht="15.75" thickBot="1" x14ac:dyDescent="0.3">
      <c r="A9" s="1" t="s">
        <v>73</v>
      </c>
      <c r="B9" s="1"/>
      <c r="C9" s="63">
        <f>IF(NumStoreys&gt;1,2.44,0)</f>
        <v>2.44</v>
      </c>
      <c r="D9" s="7" t="s">
        <v>1</v>
      </c>
      <c r="F9" t="s">
        <v>44</v>
      </c>
      <c r="G9" t="s">
        <v>38</v>
      </c>
      <c r="I9" s="33">
        <f>INDEX(x1st,3)*INDEX(y1st,4)</f>
        <v>62.5</v>
      </c>
      <c r="J9" s="33">
        <f>INDEX(x2nd,3)*INDEX(y2nd,4)</f>
        <v>62.5</v>
      </c>
      <c r="K9" s="33">
        <f>INDEX(x2nd,3)*INDEX(y2nd,4)</f>
        <v>62.5</v>
      </c>
      <c r="L9" t="s">
        <v>0</v>
      </c>
      <c r="M9" s="13" t="s">
        <v>77</v>
      </c>
      <c r="N9" s="13" t="s">
        <v>78</v>
      </c>
    </row>
    <row r="10" spans="1:15" x14ac:dyDescent="0.25">
      <c r="A10" s="1" t="s">
        <v>88</v>
      </c>
      <c r="B10" s="1"/>
      <c r="C10" s="63">
        <f>IF(NumStoreys=3,2.44,0)</f>
        <v>0</v>
      </c>
      <c r="D10" s="7" t="s">
        <v>1</v>
      </c>
      <c r="F10" s="3" t="s">
        <v>46</v>
      </c>
      <c r="G10" s="3" t="s">
        <v>50</v>
      </c>
      <c r="H10" s="43">
        <v>15</v>
      </c>
      <c r="I10" s="15">
        <f>AreaWall1*AreaWinWall1Ratio/100</f>
        <v>5.4863999999999988</v>
      </c>
      <c r="J10" s="15">
        <f>AreaWall1_2nd*AreaWinWall1Ratio/100</f>
        <v>4.3919999999999995</v>
      </c>
      <c r="K10" s="15">
        <f>AreaWall1_2nd*AreaWinWall1Ratio/100</f>
        <v>4.3919999999999995</v>
      </c>
      <c r="L10" s="3" t="s">
        <v>0</v>
      </c>
      <c r="M10" s="27">
        <f>AreaWinWall1/Hght_WinWall1</f>
        <v>3.5999999999999996</v>
      </c>
      <c r="N10" s="26">
        <f>(Opt_Main_Height-Opt_Bsm_Height)/2</f>
        <v>1.5239999999999998</v>
      </c>
      <c r="O10">
        <f>+Len_WinWall1*Hght_WinWall1</f>
        <v>5.4863999999999988</v>
      </c>
    </row>
    <row r="11" spans="1:15" x14ac:dyDescent="0.25">
      <c r="A11" s="1" t="s">
        <v>31</v>
      </c>
      <c r="B11" s="1" t="s">
        <v>5</v>
      </c>
      <c r="C11" s="62">
        <v>2.4384000000000001</v>
      </c>
      <c r="D11" s="7" t="s">
        <v>1</v>
      </c>
      <c r="F11" s="4" t="s">
        <v>47</v>
      </c>
      <c r="G11" s="4" t="s">
        <v>51</v>
      </c>
      <c r="H11" s="44">
        <v>15</v>
      </c>
      <c r="I11" s="17">
        <f>AreaWall2*AreaWinWall2Ratio/100</f>
        <v>2.3812499999999996</v>
      </c>
      <c r="J11" s="17">
        <f>AreaWall2_2nd*AreaWinWall2Ratio/100</f>
        <v>1.9062499999999993</v>
      </c>
      <c r="K11" s="17">
        <f>AreaWall2_2nd*AreaWinWall2Ratio/100</f>
        <v>1.9062499999999993</v>
      </c>
      <c r="L11" s="4" t="s">
        <v>0</v>
      </c>
      <c r="M11" s="28">
        <f>AreaWinWall2/Hght_WinWall2</f>
        <v>1.5625</v>
      </c>
      <c r="N11" s="29">
        <f>(Opt_Main_Height-Opt_Bsm_Height)/2</f>
        <v>1.5239999999999998</v>
      </c>
      <c r="O11">
        <f>+Len_WinWall2*Hght_WinWall2</f>
        <v>2.3812499999999996</v>
      </c>
    </row>
    <row r="12" spans="1:15" x14ac:dyDescent="0.25">
      <c r="A12" s="1" t="s">
        <v>74</v>
      </c>
      <c r="B12" s="1" t="s">
        <v>65</v>
      </c>
      <c r="C12" s="23">
        <v>2</v>
      </c>
      <c r="D12" s="7" t="s">
        <v>1</v>
      </c>
      <c r="F12" s="2" t="s">
        <v>48</v>
      </c>
      <c r="G12" s="2" t="s">
        <v>52</v>
      </c>
      <c r="H12" s="45">
        <v>15</v>
      </c>
      <c r="I12" s="18">
        <f>AreaWall3*AreaWinWall3Ratio/100</f>
        <v>5.4863999999999988</v>
      </c>
      <c r="J12" s="18">
        <f>AreaWall3_2nd*AreaWinWall3Ratio/100</f>
        <v>4.3919999999999995</v>
      </c>
      <c r="K12" s="18">
        <f>AreaWall3_2nd*AreaWinWall3Ratio/100</f>
        <v>4.3919999999999995</v>
      </c>
      <c r="L12" s="2" t="s">
        <v>0</v>
      </c>
      <c r="M12" s="30">
        <f>AreaWinWall3/Hght_WinWall3</f>
        <v>3.5999999999999996</v>
      </c>
      <c r="N12" s="31">
        <f>(Opt_Main_Height-Opt_Bsm_Height)/2</f>
        <v>1.5239999999999998</v>
      </c>
      <c r="O12">
        <f>+Len_WinWall3*Hght_WinWall3</f>
        <v>5.4863999999999988</v>
      </c>
    </row>
    <row r="13" spans="1:15" x14ac:dyDescent="0.25">
      <c r="A13" s="1" t="s">
        <v>71</v>
      </c>
      <c r="B13" s="1" t="s">
        <v>32</v>
      </c>
      <c r="C13" s="11">
        <f>Hght_Flr1+Opt_Bsm_Height</f>
        <v>5.4863999999999997</v>
      </c>
      <c r="F13" s="6" t="s">
        <v>49</v>
      </c>
      <c r="G13" s="6" t="s">
        <v>53</v>
      </c>
      <c r="H13" s="46">
        <v>15</v>
      </c>
      <c r="I13" s="20">
        <f>AreaWall4*AreaWinWall4Ratio/100</f>
        <v>2.3812499999999996</v>
      </c>
      <c r="J13" s="20">
        <f>AreaWall4_2nd*AreaWinWall4Ratio/100</f>
        <v>1.9062499999999993</v>
      </c>
      <c r="K13" s="20">
        <f>AreaWall4_2nd*AreaWinWall4Ratio/100</f>
        <v>1.9062499999999993</v>
      </c>
      <c r="L13" s="6" t="s">
        <v>0</v>
      </c>
      <c r="M13" s="36">
        <f>AreaWinWall4/Hght_WinWall4</f>
        <v>1.5625</v>
      </c>
      <c r="N13" s="32">
        <f>(Opt_Main_Height-Opt_Bsm_Height)/2</f>
        <v>1.5239999999999998</v>
      </c>
      <c r="O13">
        <f>+Len_WinWall4*Hght_WinWall4</f>
        <v>2.3812499999999996</v>
      </c>
    </row>
    <row r="14" spans="1:15" x14ac:dyDescent="0.25">
      <c r="A14" s="1"/>
      <c r="B14" s="7" t="s">
        <v>79</v>
      </c>
      <c r="C14" s="11">
        <f>Opt_Width/2</f>
        <v>6</v>
      </c>
      <c r="D14" s="1"/>
    </row>
    <row r="15" spans="1:15" x14ac:dyDescent="0.25">
      <c r="B15" s="3" t="s">
        <v>59</v>
      </c>
      <c r="C15" s="14">
        <f>INDEX(z1st,10)</f>
        <v>2.9384000000000001</v>
      </c>
      <c r="D15" s="1"/>
      <c r="F15" s="4"/>
      <c r="G15" t="s">
        <v>67</v>
      </c>
      <c r="H15" s="4"/>
      <c r="I15" s="8"/>
      <c r="J15" s="4"/>
      <c r="K15" s="9"/>
      <c r="L15" s="5"/>
    </row>
    <row r="16" spans="1:15" x14ac:dyDescent="0.25">
      <c r="A16" s="1"/>
      <c r="B16" s="3" t="s">
        <v>60</v>
      </c>
      <c r="C16" s="14">
        <f>INDEX(z1st,12)</f>
        <v>4.4623999999999997</v>
      </c>
      <c r="F16" t="s">
        <v>66</v>
      </c>
      <c r="G16" s="10" t="s">
        <v>138</v>
      </c>
      <c r="H16" s="34">
        <f>3/12</f>
        <v>0.25</v>
      </c>
      <c r="I16" s="35">
        <f>Opt_Main_Height+Hght_Flr2+Hght_Flr3+(Opt_Width*Roof_Slope1)</f>
        <v>10.926399999999999</v>
      </c>
      <c r="J16" s="7" t="s">
        <v>1</v>
      </c>
    </row>
    <row r="17" spans="1:12" x14ac:dyDescent="0.25">
      <c r="A17" s="1"/>
      <c r="B17" s="3" t="s">
        <v>55</v>
      </c>
      <c r="C17" s="14">
        <f>INDEX(x1st,9)</f>
        <v>0.5</v>
      </c>
      <c r="G17" s="10"/>
      <c r="H17" s="10"/>
    </row>
    <row r="18" spans="1:12" x14ac:dyDescent="0.25">
      <c r="A18" s="1"/>
      <c r="B18" s="3" t="s">
        <v>56</v>
      </c>
      <c r="C18" s="15">
        <f>INDEX(x1st,10)</f>
        <v>4.0999999999999996</v>
      </c>
      <c r="F18" t="s">
        <v>134</v>
      </c>
      <c r="I18" s="42">
        <f>SUM(I4:I7)</f>
        <v>104.90199999999999</v>
      </c>
      <c r="J18" t="s">
        <v>0</v>
      </c>
    </row>
    <row r="19" spans="1:12" x14ac:dyDescent="0.25">
      <c r="A19" s="1"/>
      <c r="B19" s="4" t="s">
        <v>57</v>
      </c>
      <c r="C19" s="16">
        <f>INDEX(y1st,13)</f>
        <v>0.5</v>
      </c>
      <c r="F19" t="s">
        <v>137</v>
      </c>
      <c r="I19">
        <f>+SUM(J4:J7)</f>
        <v>83.976666666666645</v>
      </c>
      <c r="J19" t="s">
        <v>0</v>
      </c>
    </row>
    <row r="20" spans="1:12" x14ac:dyDescent="0.25">
      <c r="B20" s="4" t="s">
        <v>58</v>
      </c>
      <c r="C20" s="17">
        <f>INDEX(y1st,14)</f>
        <v>2.0625</v>
      </c>
      <c r="F20" t="s">
        <v>135</v>
      </c>
      <c r="I20">
        <f>+SUM(K4:K7)</f>
        <v>0</v>
      </c>
      <c r="J20" t="s">
        <v>0</v>
      </c>
    </row>
    <row r="21" spans="1:12" x14ac:dyDescent="0.25">
      <c r="B21" s="2" t="s">
        <v>61</v>
      </c>
      <c r="C21" s="18">
        <f>INDEX(x1st,17)</f>
        <v>11.5</v>
      </c>
      <c r="F21" t="s">
        <v>136</v>
      </c>
      <c r="I21">
        <f>2*(Opt_Width*Opt_Bsm_Height)+2*(Opt_Length*Opt_Bsm_Height)</f>
        <v>83.921600000000012</v>
      </c>
      <c r="J21" t="s">
        <v>0</v>
      </c>
    </row>
    <row r="22" spans="1:12" x14ac:dyDescent="0.25">
      <c r="B22" s="2" t="s">
        <v>62</v>
      </c>
      <c r="C22" s="18">
        <f>INDEX(x1st,18)</f>
        <v>7.9</v>
      </c>
    </row>
    <row r="23" spans="1:12" x14ac:dyDescent="0.25">
      <c r="B23" s="6" t="s">
        <v>63</v>
      </c>
      <c r="C23" s="19">
        <f>INDEX(y1st,21)</f>
        <v>4.708333333333333</v>
      </c>
    </row>
    <row r="24" spans="1:12" x14ac:dyDescent="0.25">
      <c r="B24" s="6" t="s">
        <v>64</v>
      </c>
      <c r="C24" s="20">
        <f>INDEX(y1st,22)</f>
        <v>3.145833333333333</v>
      </c>
    </row>
    <row r="25" spans="1:12" x14ac:dyDescent="0.25">
      <c r="B25" s="6"/>
      <c r="C25" s="61"/>
    </row>
    <row r="26" spans="1:12" x14ac:dyDescent="0.25">
      <c r="B26" s="87" t="s">
        <v>84</v>
      </c>
      <c r="C26" s="87"/>
      <c r="D26" s="87"/>
      <c r="F26" s="87" t="s">
        <v>90</v>
      </c>
      <c r="G26" s="87"/>
      <c r="H26" s="87"/>
      <c r="J26" s="87" t="s">
        <v>91</v>
      </c>
      <c r="K26" s="87"/>
      <c r="L26" s="87"/>
    </row>
    <row r="27" spans="1:12" ht="15.75" thickBot="1" x14ac:dyDescent="0.3">
      <c r="A27" s="12" t="s">
        <v>54</v>
      </c>
      <c r="B27" s="37" t="s">
        <v>2</v>
      </c>
      <c r="C27" s="37" t="s">
        <v>3</v>
      </c>
      <c r="D27" s="37" t="s">
        <v>4</v>
      </c>
      <c r="F27" s="37" t="s">
        <v>2</v>
      </c>
      <c r="G27" s="37" t="s">
        <v>3</v>
      </c>
      <c r="H27" s="37" t="s">
        <v>4</v>
      </c>
      <c r="J27" s="37" t="s">
        <v>2</v>
      </c>
      <c r="K27" s="37" t="s">
        <v>3</v>
      </c>
      <c r="L27" s="37" t="s">
        <v>4</v>
      </c>
    </row>
    <row r="28" spans="1:12" x14ac:dyDescent="0.25">
      <c r="A28" t="s">
        <v>7</v>
      </c>
      <c r="B28" s="24">
        <v>0</v>
      </c>
      <c r="C28" s="24">
        <v>0</v>
      </c>
      <c r="D28" s="57">
        <f>Opt_Bsm_Height</f>
        <v>2.4384000000000001</v>
      </c>
      <c r="F28" s="24">
        <v>0</v>
      </c>
      <c r="G28" s="24">
        <v>0</v>
      </c>
      <c r="H28" s="24">
        <f>+Opt_Bsm_Height+Hght_Flr1</f>
        <v>5.4863999999999997</v>
      </c>
      <c r="J28" s="24">
        <v>0</v>
      </c>
      <c r="K28" s="24">
        <v>0</v>
      </c>
      <c r="L28" s="24">
        <f>+IF(NumStoreys=3,Opt_Bsm_Height+Hght_Flr1+Hght_Flr2,0)</f>
        <v>0</v>
      </c>
    </row>
    <row r="29" spans="1:12" x14ac:dyDescent="0.25">
      <c r="A29" t="s">
        <v>8</v>
      </c>
      <c r="B29" s="25">
        <f>Opt_Width</f>
        <v>12</v>
      </c>
      <c r="C29" s="24">
        <v>0</v>
      </c>
      <c r="D29" s="24">
        <f>Opt_Bsm_Height</f>
        <v>2.4384000000000001</v>
      </c>
      <c r="F29" s="25">
        <f>Opt_Width</f>
        <v>12</v>
      </c>
      <c r="G29" s="24">
        <v>0</v>
      </c>
      <c r="H29" s="24">
        <f>+Opt_Bsm_Height+Hght_Flr1</f>
        <v>5.4863999999999997</v>
      </c>
      <c r="J29" s="25">
        <f>Opt_Width</f>
        <v>12</v>
      </c>
      <c r="K29" s="24">
        <v>0</v>
      </c>
      <c r="L29" s="24">
        <f>+IF(NumStoreys=3,Opt_Bsm_Height+Hght_Flr1+Hght_Flr2,0)</f>
        <v>0</v>
      </c>
    </row>
    <row r="30" spans="1:12" x14ac:dyDescent="0.25">
      <c r="A30" t="s">
        <v>9</v>
      </c>
      <c r="B30" s="25">
        <f>Opt_Width</f>
        <v>12</v>
      </c>
      <c r="C30" s="24">
        <f>Opt_Length</f>
        <v>5.208333333333333</v>
      </c>
      <c r="D30" s="24">
        <f>Opt_Bsm_Height</f>
        <v>2.4384000000000001</v>
      </c>
      <c r="F30" s="25">
        <f>Opt_Width</f>
        <v>12</v>
      </c>
      <c r="G30" s="24">
        <f>Opt_Length</f>
        <v>5.208333333333333</v>
      </c>
      <c r="H30" s="24">
        <f>+Opt_Bsm_Height+Hght_Flr1</f>
        <v>5.4863999999999997</v>
      </c>
      <c r="J30" s="25">
        <f>Opt_Width</f>
        <v>12</v>
      </c>
      <c r="K30" s="24">
        <f>Opt_Length</f>
        <v>5.208333333333333</v>
      </c>
      <c r="L30" s="24">
        <f>+IF(NumStoreys=3,Opt_Bsm_Height+Hght_Flr1+Hght_Flr2,0)</f>
        <v>0</v>
      </c>
    </row>
    <row r="31" spans="1:12" x14ac:dyDescent="0.25">
      <c r="A31" t="s">
        <v>10</v>
      </c>
      <c r="B31" s="24">
        <v>0</v>
      </c>
      <c r="C31" s="24">
        <f>Opt_Length</f>
        <v>5.208333333333333</v>
      </c>
      <c r="D31" s="24">
        <f>Opt_Bsm_Height</f>
        <v>2.4384000000000001</v>
      </c>
      <c r="F31" s="24">
        <v>0</v>
      </c>
      <c r="G31" s="24">
        <f>Opt_Length</f>
        <v>5.208333333333333</v>
      </c>
      <c r="H31" s="24">
        <f>+Opt_Bsm_Height+Hght_Flr1</f>
        <v>5.4863999999999997</v>
      </c>
      <c r="J31" s="24">
        <v>0</v>
      </c>
      <c r="K31" s="24">
        <f>Opt_Length</f>
        <v>5.208333333333333</v>
      </c>
      <c r="L31" s="24">
        <f>+IF(NumStoreys=3,Opt_Bsm_Height+Hght_Flr1+Hght_Flr2,0)</f>
        <v>0</v>
      </c>
    </row>
    <row r="32" spans="1:12" x14ac:dyDescent="0.25">
      <c r="A32" t="s">
        <v>11</v>
      </c>
      <c r="B32" s="24">
        <v>0</v>
      </c>
      <c r="C32" s="24">
        <v>0</v>
      </c>
      <c r="D32" s="24">
        <f>Opt_Main_Height</f>
        <v>5.4863999999999997</v>
      </c>
      <c r="F32" s="24">
        <v>0</v>
      </c>
      <c r="G32" s="24">
        <v>0</v>
      </c>
      <c r="H32" s="24">
        <f>+Opt_Bsm_Height+Hght_Flr1+Hght_Flr2</f>
        <v>7.9263999999999992</v>
      </c>
      <c r="J32" s="24">
        <v>0</v>
      </c>
      <c r="K32" s="24">
        <v>0</v>
      </c>
      <c r="L32" s="24">
        <f>+IF(NumStoreys=3,Opt_Bsm_Height+Hght_Flr1+Hght_Flr2+Hght_Flr3,0)</f>
        <v>0</v>
      </c>
    </row>
    <row r="33" spans="1:12" x14ac:dyDescent="0.25">
      <c r="A33" t="s">
        <v>12</v>
      </c>
      <c r="B33" s="25">
        <f>Opt_Width</f>
        <v>12</v>
      </c>
      <c r="C33" s="24">
        <v>0</v>
      </c>
      <c r="D33" s="24">
        <f>Opt_Main_Height</f>
        <v>5.4863999999999997</v>
      </c>
      <c r="F33" s="25">
        <f>Opt_Width</f>
        <v>12</v>
      </c>
      <c r="G33" s="24">
        <v>0</v>
      </c>
      <c r="H33" s="24">
        <f>+Opt_Bsm_Height+Hght_Flr1+Hght_Flr2</f>
        <v>7.9263999999999992</v>
      </c>
      <c r="J33" s="25">
        <f>Opt_Width</f>
        <v>12</v>
      </c>
      <c r="K33" s="24">
        <v>0</v>
      </c>
      <c r="L33" s="24">
        <f>+IF(NumStoreys=3,Opt_Bsm_Height+Hght_Flr1+Hght_Flr2+Hght_Flr3,0)</f>
        <v>0</v>
      </c>
    </row>
    <row r="34" spans="1:12" x14ac:dyDescent="0.25">
      <c r="A34" t="s">
        <v>13</v>
      </c>
      <c r="B34" s="25">
        <f>Opt_Width</f>
        <v>12</v>
      </c>
      <c r="C34" s="24">
        <f>Opt_Length</f>
        <v>5.208333333333333</v>
      </c>
      <c r="D34" s="24">
        <f>Opt_Main_Height</f>
        <v>5.4863999999999997</v>
      </c>
      <c r="F34" s="25">
        <f>Opt_Width</f>
        <v>12</v>
      </c>
      <c r="G34" s="24">
        <f>Opt_Length</f>
        <v>5.208333333333333</v>
      </c>
      <c r="H34" s="24">
        <f>+Opt_Bsm_Height+Hght_Flr1+Hght_Flr2</f>
        <v>7.9263999999999992</v>
      </c>
      <c r="J34" s="25">
        <f>Opt_Width</f>
        <v>12</v>
      </c>
      <c r="K34" s="24">
        <f>Opt_Length</f>
        <v>5.208333333333333</v>
      </c>
      <c r="L34" s="24">
        <f>+IF(NumStoreys=3,Opt_Bsm_Height+Hght_Flr1+Hght_Flr2+Hght_Flr3,0)</f>
        <v>0</v>
      </c>
    </row>
    <row r="35" spans="1:12" x14ac:dyDescent="0.25">
      <c r="A35" t="s">
        <v>14</v>
      </c>
      <c r="B35" s="24">
        <v>0</v>
      </c>
      <c r="C35" s="24">
        <f>Opt_Length</f>
        <v>5.208333333333333</v>
      </c>
      <c r="D35" s="24">
        <f>Opt_Main_Height</f>
        <v>5.4863999999999997</v>
      </c>
      <c r="F35" s="24">
        <v>0</v>
      </c>
      <c r="G35" s="24">
        <f>Opt_Length</f>
        <v>5.208333333333333</v>
      </c>
      <c r="H35" s="24">
        <f>+Opt_Bsm_Height+Hght_Flr1+Hght_Flr2</f>
        <v>7.9263999999999992</v>
      </c>
      <c r="J35" s="24">
        <v>0</v>
      </c>
      <c r="K35" s="24">
        <f>Opt_Length</f>
        <v>5.208333333333333</v>
      </c>
      <c r="L35" s="24">
        <f>+IF(NumStoreys=3,Opt_Bsm_Height+Hght_Flr1+Hght_Flr2+Hght_Flr3,0)</f>
        <v>0</v>
      </c>
    </row>
    <row r="36" spans="1:12" x14ac:dyDescent="0.25">
      <c r="A36" s="3" t="s">
        <v>15</v>
      </c>
      <c r="B36" s="26">
        <f>INDEX(x1st,1)+0.5</f>
        <v>0.5</v>
      </c>
      <c r="C36" s="26">
        <f>INDEX(y1st,1)</f>
        <v>0</v>
      </c>
      <c r="D36" s="26">
        <f>INDEX(z1st,1)+0.5</f>
        <v>2.9384000000000001</v>
      </c>
      <c r="F36" s="26">
        <f>INDEX(x1st,1)+0.5</f>
        <v>0.5</v>
      </c>
      <c r="G36" s="26">
        <f>INDEX(y1st,1)</f>
        <v>0</v>
      </c>
      <c r="H36" s="26">
        <f>INDEX(z2nd,1)+0.5</f>
        <v>5.9863999999999997</v>
      </c>
      <c r="J36" s="26">
        <f>INDEX(x1st,1)+0.5</f>
        <v>0.5</v>
      </c>
      <c r="K36" s="26">
        <f>INDEX(y1st,1)</f>
        <v>0</v>
      </c>
      <c r="L36" s="26">
        <f>INDEX(z1st,1)+0.5</f>
        <v>2.9384000000000001</v>
      </c>
    </row>
    <row r="37" spans="1:12" x14ac:dyDescent="0.25">
      <c r="A37" s="3" t="s">
        <v>16</v>
      </c>
      <c r="B37" s="27">
        <f>INDEX(x1st,9)+Len_WinWall1</f>
        <v>4.0999999999999996</v>
      </c>
      <c r="C37" s="26">
        <f>INDEX(y1st,2)</f>
        <v>0</v>
      </c>
      <c r="D37" s="26">
        <f>INDEX(z1st,1)+0.5</f>
        <v>2.9384000000000001</v>
      </c>
      <c r="F37" s="27">
        <f>INDEX(x1st,9)+Len_WinWall1</f>
        <v>4.0999999999999996</v>
      </c>
      <c r="G37" s="26">
        <f>INDEX(y1st,2)</f>
        <v>0</v>
      </c>
      <c r="H37" s="26">
        <f>INDEX(z2nd,1)+0.5</f>
        <v>5.9863999999999997</v>
      </c>
      <c r="J37" s="27">
        <f>INDEX(x1st,9)+Len_WinWall1</f>
        <v>4.0999999999999996</v>
      </c>
      <c r="K37" s="26">
        <f>INDEX(y1st,2)</f>
        <v>0</v>
      </c>
      <c r="L37" s="26">
        <f>INDEX(z1st,1)+0.5</f>
        <v>2.9384000000000001</v>
      </c>
    </row>
    <row r="38" spans="1:12" x14ac:dyDescent="0.25">
      <c r="A38" s="3" t="s">
        <v>17</v>
      </c>
      <c r="B38" s="27">
        <f>INDEX(x1st,9)+Len_WinWall1</f>
        <v>4.0999999999999996</v>
      </c>
      <c r="C38" s="26">
        <f>INDEX(y1st,5)</f>
        <v>0</v>
      </c>
      <c r="D38" s="26">
        <f>INDEX(z1st,9)+Hght_WinWall1</f>
        <v>4.4623999999999997</v>
      </c>
      <c r="F38" s="27">
        <f>INDEX(x1st,9)+Len_WinWall1</f>
        <v>4.0999999999999996</v>
      </c>
      <c r="G38" s="26">
        <f>INDEX(y1st,5)</f>
        <v>0</v>
      </c>
      <c r="H38" s="26">
        <f>INDEX(z2nd,9)+Hght_WinWall1</f>
        <v>7.5103999999999997</v>
      </c>
      <c r="J38" s="27">
        <f>INDEX(x1st,9)+Len_WinWall1</f>
        <v>4.0999999999999996</v>
      </c>
      <c r="K38" s="26">
        <f>INDEX(y1st,5)</f>
        <v>0</v>
      </c>
      <c r="L38" s="26">
        <f>INDEX(z1st,9)+Hght_WinWall1</f>
        <v>4.4623999999999997</v>
      </c>
    </row>
    <row r="39" spans="1:12" x14ac:dyDescent="0.25">
      <c r="A39" s="3" t="s">
        <v>18</v>
      </c>
      <c r="B39" s="26">
        <f>INDEX(x1st,9)</f>
        <v>0.5</v>
      </c>
      <c r="C39" s="26">
        <f>INDEX(y1st,6)</f>
        <v>0</v>
      </c>
      <c r="D39" s="26">
        <f>INDEX(z1st,10)+Hght_WinWall1</f>
        <v>4.4623999999999997</v>
      </c>
      <c r="F39" s="26">
        <f>INDEX(x1st,9)</f>
        <v>0.5</v>
      </c>
      <c r="G39" s="26">
        <f>INDEX(y1st,6)</f>
        <v>0</v>
      </c>
      <c r="H39" s="26">
        <f>INDEX(z2nd,10)+Hght_WinWall1</f>
        <v>7.5103999999999997</v>
      </c>
      <c r="J39" s="26">
        <f>INDEX(x1st,9)</f>
        <v>0.5</v>
      </c>
      <c r="K39" s="26">
        <f>INDEX(y1st,6)</f>
        <v>0</v>
      </c>
      <c r="L39" s="26">
        <f>INDEX(z1st,10)+Hght_WinWall1</f>
        <v>4.4623999999999997</v>
      </c>
    </row>
    <row r="40" spans="1:12" x14ac:dyDescent="0.25">
      <c r="A40" s="4" t="s">
        <v>19</v>
      </c>
      <c r="B40" s="28">
        <f>INDEX(x1st,2)</f>
        <v>12</v>
      </c>
      <c r="C40" s="29">
        <f>INDEX(y1st,2)+0.5</f>
        <v>0.5</v>
      </c>
      <c r="D40" s="29">
        <f>INDEX(z1st,2)+0.5</f>
        <v>2.9384000000000001</v>
      </c>
      <c r="F40" s="28">
        <f>INDEX(x1st,2)</f>
        <v>12</v>
      </c>
      <c r="G40" s="29">
        <f>INDEX(y1st,2)+0.5</f>
        <v>0.5</v>
      </c>
      <c r="H40" s="29">
        <f>INDEX(z2nd,2)+0.5</f>
        <v>5.9863999999999997</v>
      </c>
      <c r="J40" s="28">
        <f>INDEX(x1st,2)</f>
        <v>12</v>
      </c>
      <c r="K40" s="29">
        <f>INDEX(y1st,2)+0.5</f>
        <v>0.5</v>
      </c>
      <c r="L40" s="29">
        <f>INDEX(z1st,2)+0.5</f>
        <v>2.9384000000000001</v>
      </c>
    </row>
    <row r="41" spans="1:12" x14ac:dyDescent="0.25">
      <c r="A41" s="4" t="s">
        <v>20</v>
      </c>
      <c r="B41" s="28">
        <f>INDEX(x1st,3)</f>
        <v>12</v>
      </c>
      <c r="C41" s="29">
        <f>INDEX(y1st,13)+Len_WinWall2</f>
        <v>2.0625</v>
      </c>
      <c r="D41" s="29">
        <f>INDEX(z1st,3)+0.5</f>
        <v>2.9384000000000001</v>
      </c>
      <c r="F41" s="28">
        <f>INDEX(x1st,3)</f>
        <v>12</v>
      </c>
      <c r="G41" s="29">
        <f>INDEX(y1st,13)+Len_WinWall2</f>
        <v>2.0625</v>
      </c>
      <c r="H41" s="29">
        <f>INDEX(z2nd,3)+0.5</f>
        <v>5.9863999999999997</v>
      </c>
      <c r="J41" s="28">
        <f>INDEX(x1st,3)</f>
        <v>12</v>
      </c>
      <c r="K41" s="29">
        <f>INDEX(y1st,13)+Len_WinWall2</f>
        <v>2.0625</v>
      </c>
      <c r="L41" s="29">
        <f>INDEX(z1st,3)+0.5</f>
        <v>2.9384000000000001</v>
      </c>
    </row>
    <row r="42" spans="1:12" x14ac:dyDescent="0.25">
      <c r="A42" s="4" t="s">
        <v>21</v>
      </c>
      <c r="B42" s="28">
        <f>INDEX(x1st,7)</f>
        <v>12</v>
      </c>
      <c r="C42" s="29">
        <f>INDEX(y1st,13)+Len_WinWall2</f>
        <v>2.0625</v>
      </c>
      <c r="D42" s="29">
        <f>INDEX(z1st,13)+Hght_WinWall2</f>
        <v>4.4623999999999997</v>
      </c>
      <c r="F42" s="28">
        <f>INDEX(x1st,7)</f>
        <v>12</v>
      </c>
      <c r="G42" s="29">
        <f>INDEX(y1st,13)+Len_WinWall2</f>
        <v>2.0625</v>
      </c>
      <c r="H42" s="29">
        <f>INDEX(z2nd,13)+Hght_WinWall2</f>
        <v>7.5103999999999997</v>
      </c>
      <c r="J42" s="28">
        <f>INDEX(x1st,7)</f>
        <v>12</v>
      </c>
      <c r="K42" s="29">
        <f>INDEX(y1st,13)+Len_WinWall2</f>
        <v>2.0625</v>
      </c>
      <c r="L42" s="29">
        <f>INDEX(z1st,13)+Hght_WinWall2</f>
        <v>4.4623999999999997</v>
      </c>
    </row>
    <row r="43" spans="1:12" x14ac:dyDescent="0.25">
      <c r="A43" s="4" t="s">
        <v>22</v>
      </c>
      <c r="B43" s="28">
        <f>INDEX(x1st,6)</f>
        <v>12</v>
      </c>
      <c r="C43" s="29">
        <f>INDEX(y1st,6)+0.5</f>
        <v>0.5</v>
      </c>
      <c r="D43" s="29">
        <f>INDEX(z1st,14)+Hght_WinWall2</f>
        <v>4.4623999999999997</v>
      </c>
      <c r="F43" s="28">
        <f>INDEX(x1st,6)</f>
        <v>12</v>
      </c>
      <c r="G43" s="29">
        <f>INDEX(y1st,6)+0.5</f>
        <v>0.5</v>
      </c>
      <c r="H43" s="29">
        <f>INDEX(z2nd,14)+Hght_WinWall2</f>
        <v>7.5103999999999997</v>
      </c>
      <c r="J43" s="28">
        <f>INDEX(x1st,6)</f>
        <v>12</v>
      </c>
      <c r="K43" s="29">
        <f>INDEX(y1st,6)+0.5</f>
        <v>0.5</v>
      </c>
      <c r="L43" s="29">
        <f>INDEX(z1st,14)+Hght_WinWall2</f>
        <v>4.4623999999999997</v>
      </c>
    </row>
    <row r="44" spans="1:12" x14ac:dyDescent="0.25">
      <c r="A44" s="2" t="s">
        <v>23</v>
      </c>
      <c r="B44" s="30">
        <f>INDEX(x1st,3)-0.5</f>
        <v>11.5</v>
      </c>
      <c r="C44" s="31">
        <f>INDEX(y1st,3)</f>
        <v>5.208333333333333</v>
      </c>
      <c r="D44" s="31">
        <f>INDEX(z1st,3)+0.5</f>
        <v>2.9384000000000001</v>
      </c>
      <c r="F44" s="30">
        <f>INDEX(x1st,3)-0.5</f>
        <v>11.5</v>
      </c>
      <c r="G44" s="31">
        <f>INDEX(y1st,3)</f>
        <v>5.208333333333333</v>
      </c>
      <c r="H44" s="31">
        <f>INDEX(z2nd,3)+0.5</f>
        <v>5.9863999999999997</v>
      </c>
      <c r="J44" s="30">
        <f>INDEX(x1st,3)-0.5</f>
        <v>11.5</v>
      </c>
      <c r="K44" s="31">
        <f>INDEX(y1st,3)</f>
        <v>5.208333333333333</v>
      </c>
      <c r="L44" s="31">
        <f>INDEX(z1st,3)+0.5</f>
        <v>2.9384000000000001</v>
      </c>
    </row>
    <row r="45" spans="1:12" x14ac:dyDescent="0.25">
      <c r="A45" s="2" t="s">
        <v>24</v>
      </c>
      <c r="B45" s="30">
        <f>INDEX(x1st,17)-Len_WinWall3</f>
        <v>7.9</v>
      </c>
      <c r="C45" s="31">
        <f>INDEX(y1st,4)</f>
        <v>5.208333333333333</v>
      </c>
      <c r="D45" s="31">
        <f>INDEX(z1st,4)+0.5</f>
        <v>2.9384000000000001</v>
      </c>
      <c r="F45" s="30">
        <f>INDEX(x1st,17)-Len_WinWall3</f>
        <v>7.9</v>
      </c>
      <c r="G45" s="31">
        <f>INDEX(y1st,4)</f>
        <v>5.208333333333333</v>
      </c>
      <c r="H45" s="31">
        <f>INDEX(z2nd,4)+0.5</f>
        <v>5.9863999999999997</v>
      </c>
      <c r="J45" s="30">
        <f>INDEX(x1st,17)-Len_WinWall3</f>
        <v>7.9</v>
      </c>
      <c r="K45" s="31">
        <f>INDEX(y1st,4)</f>
        <v>5.208333333333333</v>
      </c>
      <c r="L45" s="31">
        <f>INDEX(z1st,4)+0.5</f>
        <v>2.9384000000000001</v>
      </c>
    </row>
    <row r="46" spans="1:12" x14ac:dyDescent="0.25">
      <c r="A46" s="2" t="s">
        <v>25</v>
      </c>
      <c r="B46" s="30">
        <f>INDEX(x1st,18)</f>
        <v>7.9</v>
      </c>
      <c r="C46" s="31">
        <f>INDEX(y1st,18)</f>
        <v>5.208333333333333</v>
      </c>
      <c r="D46" s="31">
        <f>INDEX(z1st,18)+Hght_WinWall3</f>
        <v>4.4623999999999997</v>
      </c>
      <c r="F46" s="30">
        <f>INDEX(x1st,18)</f>
        <v>7.9</v>
      </c>
      <c r="G46" s="31">
        <f>INDEX(y1st,18)</f>
        <v>5.208333333333333</v>
      </c>
      <c r="H46" s="31">
        <f>INDEX(z2nd,18)+Hght_WinWall3</f>
        <v>7.5103999999999997</v>
      </c>
      <c r="J46" s="30">
        <f>INDEX(x1st,18)</f>
        <v>7.9</v>
      </c>
      <c r="K46" s="31">
        <f>INDEX(y1st,18)</f>
        <v>5.208333333333333</v>
      </c>
      <c r="L46" s="31">
        <f>INDEX(z1st,18)+Hght_WinWall3</f>
        <v>4.4623999999999997</v>
      </c>
    </row>
    <row r="47" spans="1:12" x14ac:dyDescent="0.25">
      <c r="A47" s="2" t="s">
        <v>26</v>
      </c>
      <c r="B47" s="30">
        <f>INDEX(x1st,17)</f>
        <v>11.5</v>
      </c>
      <c r="C47" s="31">
        <f>INDEX(y1st,19)</f>
        <v>5.208333333333333</v>
      </c>
      <c r="D47" s="31">
        <f>INDEX(z1st,19)</f>
        <v>4.4623999999999997</v>
      </c>
      <c r="F47" s="30">
        <f>INDEX(x1st,17)</f>
        <v>11.5</v>
      </c>
      <c r="G47" s="31">
        <f>INDEX(y1st,19)</f>
        <v>5.208333333333333</v>
      </c>
      <c r="H47" s="31">
        <f>INDEX(z2nd,19)</f>
        <v>7.5103999999999997</v>
      </c>
      <c r="J47" s="30">
        <f>INDEX(x1st,17)</f>
        <v>11.5</v>
      </c>
      <c r="K47" s="31">
        <f>INDEX(y1st,19)</f>
        <v>5.208333333333333</v>
      </c>
      <c r="L47" s="31">
        <f>INDEX(z1st,19)</f>
        <v>4.4623999999999997</v>
      </c>
    </row>
    <row r="48" spans="1:12" x14ac:dyDescent="0.25">
      <c r="A48" s="6" t="s">
        <v>27</v>
      </c>
      <c r="B48" s="32">
        <f>INDEX(x1st,4)</f>
        <v>0</v>
      </c>
      <c r="C48" s="32">
        <f>INDEX(y1st,4)-0.5</f>
        <v>4.708333333333333</v>
      </c>
      <c r="D48" s="32">
        <f>INDEX(z1st,4)+0.5</f>
        <v>2.9384000000000001</v>
      </c>
      <c r="F48" s="32">
        <f>INDEX(x1st,4)</f>
        <v>0</v>
      </c>
      <c r="G48" s="32">
        <f>INDEX(y1st,4)-0.5</f>
        <v>4.708333333333333</v>
      </c>
      <c r="H48" s="32">
        <f>INDEX(z2nd,4)+0.5</f>
        <v>5.9863999999999997</v>
      </c>
      <c r="J48" s="32">
        <f>INDEX(x1st,4)</f>
        <v>0</v>
      </c>
      <c r="K48" s="32">
        <f>INDEX(y1st,4)-0.5</f>
        <v>4.708333333333333</v>
      </c>
      <c r="L48" s="32">
        <f>INDEX(z1st,4)+0.5</f>
        <v>2.9384000000000001</v>
      </c>
    </row>
    <row r="49" spans="1:12" x14ac:dyDescent="0.25">
      <c r="A49" s="6" t="s">
        <v>28</v>
      </c>
      <c r="B49" s="32">
        <f>INDEX(x1st,1)</f>
        <v>0</v>
      </c>
      <c r="C49" s="32">
        <f>INDEX(y1st,21)-Len_WinWall4</f>
        <v>3.145833333333333</v>
      </c>
      <c r="D49" s="32">
        <f>INDEX(z1st,1)+0.5</f>
        <v>2.9384000000000001</v>
      </c>
      <c r="F49" s="32">
        <f>INDEX(x1st,1)</f>
        <v>0</v>
      </c>
      <c r="G49" s="32">
        <f>INDEX(y1st,21)-Len_WinWall4</f>
        <v>3.145833333333333</v>
      </c>
      <c r="H49" s="32">
        <f>INDEX(z2nd,1)+0.5</f>
        <v>5.9863999999999997</v>
      </c>
      <c r="J49" s="32">
        <f>INDEX(x1st,1)</f>
        <v>0</v>
      </c>
      <c r="K49" s="32">
        <f>INDEX(y1st,21)-Len_WinWall4</f>
        <v>3.145833333333333</v>
      </c>
      <c r="L49" s="32">
        <f>INDEX(z1st,1)+0.5</f>
        <v>2.9384000000000001</v>
      </c>
    </row>
    <row r="50" spans="1:12" x14ac:dyDescent="0.25">
      <c r="A50" s="6" t="s">
        <v>29</v>
      </c>
      <c r="B50" s="32">
        <f>INDEX(x1st,5)</f>
        <v>0</v>
      </c>
      <c r="C50" s="32">
        <f>INDEX(y1st,22)</f>
        <v>3.145833333333333</v>
      </c>
      <c r="D50" s="32">
        <f>INDEX(z1st,22)+Hght_WinWall4</f>
        <v>4.4623999999999997</v>
      </c>
      <c r="F50" s="32">
        <f>INDEX(x1st,5)</f>
        <v>0</v>
      </c>
      <c r="G50" s="32">
        <f>INDEX(y1st,22)</f>
        <v>3.145833333333333</v>
      </c>
      <c r="H50" s="32">
        <f>INDEX(z2nd,22)+Hght_WinWall4</f>
        <v>7.5103999999999997</v>
      </c>
      <c r="J50" s="32">
        <f>INDEX(x1st,5)</f>
        <v>0</v>
      </c>
      <c r="K50" s="32">
        <f>INDEX(y1st,22)</f>
        <v>3.145833333333333</v>
      </c>
      <c r="L50" s="32">
        <f>INDEX(z1st,22)+Hght_WinWall4</f>
        <v>4.4623999999999997</v>
      </c>
    </row>
    <row r="51" spans="1:12" x14ac:dyDescent="0.25">
      <c r="A51" s="6" t="s">
        <v>30</v>
      </c>
      <c r="B51" s="32">
        <f>INDEX(x1st,8)</f>
        <v>0</v>
      </c>
      <c r="C51" s="32">
        <f>INDEX(y1st,21)</f>
        <v>4.708333333333333</v>
      </c>
      <c r="D51" s="32">
        <f>INDEX(z1st,23)</f>
        <v>4.4623999999999997</v>
      </c>
      <c r="F51" s="32">
        <f>INDEX(x1st,8)</f>
        <v>0</v>
      </c>
      <c r="G51" s="32">
        <f>INDEX(y1st,21)</f>
        <v>4.708333333333333</v>
      </c>
      <c r="H51" s="32">
        <f>INDEX(z2nd,23)</f>
        <v>7.5103999999999997</v>
      </c>
      <c r="J51" s="32">
        <f>INDEX(x1st,8)</f>
        <v>0</v>
      </c>
      <c r="K51" s="32">
        <f>INDEX(y1st,21)</f>
        <v>4.708333333333333</v>
      </c>
      <c r="L51" s="32">
        <f>INDEX(z1st,23)</f>
        <v>4.4623999999999997</v>
      </c>
    </row>
  </sheetData>
  <mergeCells count="4">
    <mergeCell ref="I3:K3"/>
    <mergeCell ref="B26:D26"/>
    <mergeCell ref="F26:H26"/>
    <mergeCell ref="J26:L2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128</vt:i4>
      </vt:variant>
    </vt:vector>
  </HeadingPairs>
  <TitlesOfParts>
    <vt:vector size="132" baseType="lpstr">
      <vt:lpstr>Geometry options</vt:lpstr>
      <vt:lpstr>geometry calculation</vt:lpstr>
      <vt:lpstr>retrofit cost calculation</vt:lpstr>
      <vt:lpstr>geometry calculation-original</vt:lpstr>
      <vt:lpstr>'geometry calculation-original'!AG_FloorArea</vt:lpstr>
      <vt:lpstr>AG_FloorArea</vt:lpstr>
      <vt:lpstr>'geometry calculation-original'!AreaBase6</vt:lpstr>
      <vt:lpstr>AreaBase6</vt:lpstr>
      <vt:lpstr>'geometry calculation-original'!AreaTop5</vt:lpstr>
      <vt:lpstr>AreaTop5</vt:lpstr>
      <vt:lpstr>'geometry calculation-original'!AreaWall1</vt:lpstr>
      <vt:lpstr>AreaWall1</vt:lpstr>
      <vt:lpstr>'geometry calculation-original'!AreaWall1_2nd</vt:lpstr>
      <vt:lpstr>AreaWall1_2nd</vt:lpstr>
      <vt:lpstr>'geometry calculation-original'!AreaWall2</vt:lpstr>
      <vt:lpstr>AreaWall2</vt:lpstr>
      <vt:lpstr>'geometry calculation-original'!AreaWall2_2nd</vt:lpstr>
      <vt:lpstr>AreaWall2_2nd</vt:lpstr>
      <vt:lpstr>'geometry calculation-original'!AreaWall3</vt:lpstr>
      <vt:lpstr>AreaWall3</vt:lpstr>
      <vt:lpstr>'geometry calculation-original'!AreaWall3_2nd</vt:lpstr>
      <vt:lpstr>AreaWall3_2nd</vt:lpstr>
      <vt:lpstr>'geometry calculation-original'!AreaWall4</vt:lpstr>
      <vt:lpstr>AreaWall4</vt:lpstr>
      <vt:lpstr>'geometry calculation-original'!AreaWall4_2nd</vt:lpstr>
      <vt:lpstr>AreaWall4_2nd</vt:lpstr>
      <vt:lpstr>'geometry calculation-original'!AreaWinWall1</vt:lpstr>
      <vt:lpstr>AreaWinWall1</vt:lpstr>
      <vt:lpstr>'geometry calculation-original'!AreaWinWall1Ratio</vt:lpstr>
      <vt:lpstr>AreaWinWall1Ratio</vt:lpstr>
      <vt:lpstr>'geometry calculation-original'!AreaWinWall2</vt:lpstr>
      <vt:lpstr>AreaWinWall2</vt:lpstr>
      <vt:lpstr>'geometry calculation-original'!AreaWinWall2Ratio</vt:lpstr>
      <vt:lpstr>AreaWinWall2Ratio</vt:lpstr>
      <vt:lpstr>'geometry calculation-original'!AreaWinWall3</vt:lpstr>
      <vt:lpstr>AreaWinWall3</vt:lpstr>
      <vt:lpstr>'geometry calculation-original'!AreaWinWall3Ratio</vt:lpstr>
      <vt:lpstr>AreaWinWall3Ratio</vt:lpstr>
      <vt:lpstr>'geometry calculation-original'!AreaWinWall4</vt:lpstr>
      <vt:lpstr>AreaWinWall4</vt:lpstr>
      <vt:lpstr>'geometry calculation-original'!AreaWinWall4Ratio</vt:lpstr>
      <vt:lpstr>AreaWinWall4Ratio</vt:lpstr>
      <vt:lpstr>FloorAreaPerStorey</vt:lpstr>
      <vt:lpstr>'geometry calculation-original'!found_wall_area</vt:lpstr>
      <vt:lpstr>found_wall_area</vt:lpstr>
      <vt:lpstr>'geometry calculation-original'!Hght_Flr1</vt:lpstr>
      <vt:lpstr>Hght_Flr1</vt:lpstr>
      <vt:lpstr>'geometry calculation-original'!Hght_Flr2</vt:lpstr>
      <vt:lpstr>Hght_Flr2</vt:lpstr>
      <vt:lpstr>'geometry calculation-original'!Hght_Flr3</vt:lpstr>
      <vt:lpstr>Hght_Flr3</vt:lpstr>
      <vt:lpstr>'geometry calculation-original'!Hght_WinWall1</vt:lpstr>
      <vt:lpstr>Hght_WinWall1</vt:lpstr>
      <vt:lpstr>'geometry calculation-original'!Hght_WinWall2</vt:lpstr>
      <vt:lpstr>Hght_WinWall2</vt:lpstr>
      <vt:lpstr>'geometry calculation-original'!Hght_WinWall3</vt:lpstr>
      <vt:lpstr>Hght_WinWall3</vt:lpstr>
      <vt:lpstr>'geometry calculation-original'!Hght_WinWall4</vt:lpstr>
      <vt:lpstr>Hght_WinWall4</vt:lpstr>
      <vt:lpstr>'geometry calculation-original'!Len_WinWall1</vt:lpstr>
      <vt:lpstr>Len_WinWall1</vt:lpstr>
      <vt:lpstr>'geometry calculation-original'!Len_WinWall2</vt:lpstr>
      <vt:lpstr>Len_WinWall2</vt:lpstr>
      <vt:lpstr>'geometry calculation-original'!Len_WinWall3</vt:lpstr>
      <vt:lpstr>Len_WinWall3</vt:lpstr>
      <vt:lpstr>'geometry calculation-original'!Len_WinWall4</vt:lpstr>
      <vt:lpstr>Len_WinWall4</vt:lpstr>
      <vt:lpstr>Length</vt:lpstr>
      <vt:lpstr>'geometry calculation-original'!main_area</vt:lpstr>
      <vt:lpstr>main_area</vt:lpstr>
      <vt:lpstr>NumberStoreys</vt:lpstr>
      <vt:lpstr>NumStorey</vt:lpstr>
      <vt:lpstr>'geometry calculation-original'!NumStoreys</vt:lpstr>
      <vt:lpstr>NumStoreys</vt:lpstr>
      <vt:lpstr>'geometry calculation-original'!Opt_Area</vt:lpstr>
      <vt:lpstr>Opt_Area</vt:lpstr>
      <vt:lpstr>'geometry calculation-original'!Opt_Bsm_Depth</vt:lpstr>
      <vt:lpstr>Opt_Bsm_Depth</vt:lpstr>
      <vt:lpstr>'geometry calculation-original'!Opt_Bsm_Height</vt:lpstr>
      <vt:lpstr>Opt_Bsm_Height</vt:lpstr>
      <vt:lpstr>'geometry calculation-original'!Opt_Length</vt:lpstr>
      <vt:lpstr>Opt_Length</vt:lpstr>
      <vt:lpstr>'geometry calculation-original'!Opt_Main_Height</vt:lpstr>
      <vt:lpstr>Opt_Main_Height</vt:lpstr>
      <vt:lpstr>'geometry calculation-original'!Opt_Roof_Peak_W</vt:lpstr>
      <vt:lpstr>Opt_Roof_Peak_W</vt:lpstr>
      <vt:lpstr>'geometry calculation-original'!Opt_Width</vt:lpstr>
      <vt:lpstr>Opt_Width</vt:lpstr>
      <vt:lpstr>'geometry calculation-original'!Roof_Slope1</vt:lpstr>
      <vt:lpstr>Roof_Slope1</vt:lpstr>
      <vt:lpstr>'geometry calculation-original'!second_area</vt:lpstr>
      <vt:lpstr>second_area</vt:lpstr>
      <vt:lpstr>'geometry calculation-original'!third_area</vt:lpstr>
      <vt:lpstr>third_area</vt:lpstr>
      <vt:lpstr>Total_area</vt:lpstr>
      <vt:lpstr>Width</vt:lpstr>
      <vt:lpstr>'geometry calculation-original'!win_bottom</vt:lpstr>
      <vt:lpstr>'geometry calculation-original'!win_top</vt:lpstr>
      <vt:lpstr>'geometry calculation-original'!win_wall_1_left</vt:lpstr>
      <vt:lpstr>win_wall_1_left</vt:lpstr>
      <vt:lpstr>'geometry calculation-original'!win_wall_1_right</vt:lpstr>
      <vt:lpstr>win_wall_1_right</vt:lpstr>
      <vt:lpstr>'geometry calculation-original'!win_wall_2_left</vt:lpstr>
      <vt:lpstr>win_wall_2_left</vt:lpstr>
      <vt:lpstr>'geometry calculation-original'!win_wall_2_right</vt:lpstr>
      <vt:lpstr>win_wall_2_right</vt:lpstr>
      <vt:lpstr>'geometry calculation-original'!win_wall_3_left</vt:lpstr>
      <vt:lpstr>win_wall_3_left</vt:lpstr>
      <vt:lpstr>'geometry calculation-original'!win_wall_3_right</vt:lpstr>
      <vt:lpstr>win_wall_3_right</vt:lpstr>
      <vt:lpstr>'geometry calculation-original'!win_wall_4_left</vt:lpstr>
      <vt:lpstr>win_wall_4_left</vt:lpstr>
      <vt:lpstr>'geometry calculation-original'!win_wall_4_right</vt:lpstr>
      <vt:lpstr>win_wall_4_right</vt:lpstr>
      <vt:lpstr>'geometry calculation-original'!x1st</vt:lpstr>
      <vt:lpstr>x1st</vt:lpstr>
      <vt:lpstr>'geometry calculation-original'!x2nd</vt:lpstr>
      <vt:lpstr>x2nd</vt:lpstr>
      <vt:lpstr>'geometry calculation-original'!x3rd</vt:lpstr>
      <vt:lpstr>x3rd</vt:lpstr>
      <vt:lpstr>'geometry calculation-original'!y1st</vt:lpstr>
      <vt:lpstr>y1st</vt:lpstr>
      <vt:lpstr>'geometry calculation-original'!y2nd</vt:lpstr>
      <vt:lpstr>y2nd</vt:lpstr>
      <vt:lpstr>'geometry calculation-original'!y3rd</vt:lpstr>
      <vt:lpstr>y3rd</vt:lpstr>
      <vt:lpstr>'geometry calculation-original'!z1st</vt:lpstr>
      <vt:lpstr>z1st</vt:lpstr>
      <vt:lpstr>'geometry calculation-original'!z2nd</vt:lpstr>
      <vt:lpstr>z2nd</vt:lpstr>
      <vt:lpstr>'geometry calculation-original'!z3rd</vt:lpstr>
      <vt:lpstr>z3rd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jeffblake</cp:lastModifiedBy>
  <dcterms:created xsi:type="dcterms:W3CDTF">2014-04-11T16:08:23Z</dcterms:created>
  <dcterms:modified xsi:type="dcterms:W3CDTF">2014-08-11T15:39:48Z</dcterms:modified>
</cp:coreProperties>
</file>