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0" yWindow="120" windowWidth="14430" windowHeight="12825" activeTab="1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calculation'!$I$22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calculation'!$I$19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calculation'!$I$20</definedName>
    <definedName name="third_area" localSheetId="3">'geometry calculation-original'!$I$20</definedName>
    <definedName name="third_area">'geometry calculation'!$I$21</definedName>
    <definedName name="Total_area">'Geometry options'!$C$3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calculation'!$C$20</definedName>
    <definedName name="win_wall_1_right" localSheetId="3">'geometry calculation-original'!$C$17</definedName>
    <definedName name="win_wall_1_right">'geometry calculation'!$C$19</definedName>
    <definedName name="win_wall_2_left" localSheetId="3">'geometry calculation-original'!$C$20</definedName>
    <definedName name="win_wall_2_left">'geometry calculation'!$C$22</definedName>
    <definedName name="win_wall_2_right" localSheetId="3">'geometry calculation-original'!$C$19</definedName>
    <definedName name="win_wall_2_right">'geometry calculation'!$C$21</definedName>
    <definedName name="win_wall_3_left" localSheetId="3">'geometry calculation-original'!$C$22</definedName>
    <definedName name="win_wall_3_left">'geometry calculation'!$C$24</definedName>
    <definedName name="win_wall_3_right" localSheetId="3">'geometry calculation-original'!$C$21</definedName>
    <definedName name="win_wall_3_right">'geometry calculation'!$C$23</definedName>
    <definedName name="win_wall_4_left" localSheetId="3">'geometry calculation-original'!$C$24</definedName>
    <definedName name="win_wall_4_left">'geometry calculation'!$C$26</definedName>
    <definedName name="win_wall_4_right" localSheetId="3">'geometry calculation-original'!$C$23</definedName>
    <definedName name="win_wall_4_right">'geometry calculation'!$C$25</definedName>
    <definedName name="x1st" localSheetId="3">'geometry calculation-original'!$B$28:$B$51</definedName>
    <definedName name="x1st" comment="x-coordinates for all vertices">'geometry calculation'!$B$32:$B$55</definedName>
    <definedName name="x2nd" localSheetId="3">'geometry calculation-original'!$F$28:$F$51</definedName>
    <definedName name="x2nd">'geometry calculation'!$F$32:$F$55</definedName>
    <definedName name="x3rd" localSheetId="3">'geometry calculation-original'!$J$28:$J$51</definedName>
    <definedName name="x3rd">'geometry calculation'!$J$32:$J$55</definedName>
    <definedName name="y1st" localSheetId="3">'geometry calculation-original'!$C$28:$C$51</definedName>
    <definedName name="y1st" comment="y-coordinates of all vertices">'geometry calculation'!$C$32:$C$55</definedName>
    <definedName name="y2nd" localSheetId="3">'geometry calculation-original'!$G$28:$G$51</definedName>
    <definedName name="y2nd">'geometry calculation'!$G$32:$G$55</definedName>
    <definedName name="y3rd" localSheetId="3">'geometry calculation-original'!$K$28:$K$51</definedName>
    <definedName name="y3rd">'geometry calculation'!$K$32:$K$55</definedName>
    <definedName name="z1st" localSheetId="3">'geometry calculation-original'!$D$28:$D$51</definedName>
    <definedName name="z1st" comment="z-coordinates of all vertices">'geometry calculation'!$D$32:$D$55</definedName>
    <definedName name="z2nd" localSheetId="3">'geometry calculation-original'!$H$28:$H$51</definedName>
    <definedName name="z2nd" comment="z-coordinates for the 2storey of house, if applicable">'geometry calculation'!$H$32:$H$55</definedName>
    <definedName name="z3rd" localSheetId="3">'geometry calculation-original'!$L$28:$L$51</definedName>
    <definedName name="z3rd">'geometry calculation'!$L$32:$L$55</definedName>
  </definedNames>
  <calcPr calcId="145621" concurrentCalc="0"/>
</workbook>
</file>

<file path=xl/calcChain.xml><?xml version="1.0" encoding="utf-8"?>
<calcChain xmlns="http://schemas.openxmlformats.org/spreadsheetml/2006/main">
  <c r="C17" i="1" l="1"/>
  <c r="C14" i="1"/>
  <c r="C13" i="1"/>
  <c r="C12" i="1"/>
  <c r="C11" i="1"/>
  <c r="C10" i="1"/>
  <c r="K6" i="4"/>
  <c r="J6" i="4"/>
  <c r="H6" i="4"/>
  <c r="C6" i="4"/>
  <c r="E6" i="4"/>
  <c r="G6" i="4"/>
  <c r="P5" i="4"/>
  <c r="P4" i="4"/>
  <c r="P3" i="4"/>
  <c r="O4" i="4"/>
  <c r="O5" i="4"/>
  <c r="O3" i="4"/>
  <c r="C8" i="1"/>
  <c r="C9" i="1"/>
  <c r="C7" i="1"/>
  <c r="C6" i="1"/>
  <c r="C5" i="1"/>
  <c r="G3" i="4"/>
  <c r="E4" i="4"/>
  <c r="G4" i="4"/>
  <c r="L4" i="4"/>
  <c r="L3" i="4"/>
  <c r="C15" i="1"/>
  <c r="D37" i="1"/>
  <c r="T37" i="1"/>
  <c r="T38" i="1"/>
  <c r="T39" i="1"/>
  <c r="T36" i="1"/>
  <c r="D40" i="2"/>
  <c r="D39" i="2"/>
  <c r="D38" i="2"/>
  <c r="D37" i="2"/>
  <c r="F55" i="1"/>
  <c r="F54" i="1"/>
  <c r="F53" i="1"/>
  <c r="F52" i="1"/>
  <c r="G47" i="1"/>
  <c r="G44" i="1"/>
  <c r="G43" i="1"/>
  <c r="G42" i="1"/>
  <c r="G41" i="1"/>
  <c r="G40" i="1"/>
  <c r="F40" i="1"/>
  <c r="F43" i="1"/>
  <c r="J55" i="1"/>
  <c r="J54" i="1"/>
  <c r="J53" i="1"/>
  <c r="J52" i="1"/>
  <c r="K47" i="1"/>
  <c r="K44" i="1"/>
  <c r="K43" i="1"/>
  <c r="K42" i="1"/>
  <c r="J40" i="1"/>
  <c r="J43" i="1"/>
  <c r="K41" i="1"/>
  <c r="K40" i="1"/>
  <c r="H15" i="1"/>
  <c r="H14" i="1"/>
  <c r="H13" i="1"/>
  <c r="H12" i="1"/>
  <c r="C16" i="1"/>
  <c r="R38" i="1"/>
  <c r="R34" i="1"/>
  <c r="N34" i="1"/>
  <c r="R37" i="1"/>
  <c r="R33" i="1"/>
  <c r="N33" i="1"/>
  <c r="L5" i="4"/>
  <c r="E3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D7" i="2"/>
  <c r="S39" i="1"/>
  <c r="S35" i="1"/>
  <c r="O35" i="1"/>
  <c r="S38" i="1"/>
  <c r="O37" i="1"/>
  <c r="S34" i="1"/>
  <c r="O34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36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2" i="1"/>
  <c r="H35" i="1"/>
  <c r="H52" i="1"/>
  <c r="H34" i="1"/>
  <c r="H48" i="1"/>
  <c r="H33" i="1"/>
  <c r="H44" i="1"/>
  <c r="H32" i="1"/>
  <c r="H40" i="1"/>
  <c r="D39" i="1"/>
  <c r="D32" i="1"/>
  <c r="P33" i="1"/>
  <c r="P32" i="1"/>
  <c r="P35" i="1"/>
  <c r="P34" i="1"/>
  <c r="L53" i="1"/>
  <c r="N15" i="1"/>
  <c r="L54" i="1"/>
  <c r="L55" i="1"/>
  <c r="L41" i="1"/>
  <c r="L43" i="1"/>
  <c r="L40" i="1"/>
  <c r="L42" i="1"/>
  <c r="H45" i="1"/>
  <c r="H41" i="1"/>
  <c r="H53" i="1"/>
  <c r="H49" i="1"/>
  <c r="H37" i="1"/>
  <c r="H39" i="1"/>
  <c r="L35" i="1"/>
  <c r="L33" i="1"/>
  <c r="L44" i="1"/>
  <c r="N13" i="1"/>
  <c r="L46" i="1"/>
  <c r="L39" i="1"/>
  <c r="L37" i="1"/>
  <c r="H38" i="1"/>
  <c r="L34" i="1"/>
  <c r="L36" i="1"/>
  <c r="L38" i="1"/>
  <c r="C47" i="1"/>
  <c r="C44" i="1"/>
  <c r="C43" i="1"/>
  <c r="C42" i="1"/>
  <c r="C41" i="1"/>
  <c r="C40" i="1"/>
  <c r="B55" i="1"/>
  <c r="B54" i="1"/>
  <c r="B53" i="1"/>
  <c r="B52" i="1"/>
  <c r="B40" i="1"/>
  <c r="D35" i="1"/>
  <c r="D34" i="1"/>
  <c r="D33" i="1"/>
  <c r="D53" i="1"/>
  <c r="P37" i="1"/>
  <c r="P36" i="1"/>
  <c r="L49" i="1"/>
  <c r="N14" i="1"/>
  <c r="L50" i="1"/>
  <c r="L51" i="1"/>
  <c r="L52" i="1"/>
  <c r="L45" i="1"/>
  <c r="L47" i="1"/>
  <c r="L48" i="1"/>
  <c r="D44" i="1"/>
  <c r="D52" i="1"/>
  <c r="D48" i="1"/>
  <c r="B43" i="1"/>
  <c r="D45" i="1"/>
  <c r="D49" i="1"/>
  <c r="D40" i="1"/>
  <c r="D41" i="1"/>
  <c r="D38" i="1"/>
  <c r="D36" i="1"/>
  <c r="H50" i="1"/>
  <c r="H54" i="1"/>
  <c r="I22" i="1"/>
  <c r="H55" i="1"/>
  <c r="H47" i="1"/>
  <c r="H46" i="1"/>
  <c r="H42" i="1"/>
  <c r="H43" i="1"/>
  <c r="D50" i="1"/>
  <c r="D51" i="1"/>
  <c r="H51" i="1"/>
  <c r="J38" i="1"/>
  <c r="J46" i="1"/>
  <c r="J34" i="1"/>
  <c r="F37" i="1"/>
  <c r="F47" i="1"/>
  <c r="F33" i="1"/>
  <c r="J37" i="1"/>
  <c r="J47" i="1"/>
  <c r="J33" i="1"/>
  <c r="F38" i="1"/>
  <c r="F46" i="1"/>
  <c r="F34" i="1"/>
  <c r="K39" i="1"/>
  <c r="K35" i="1"/>
  <c r="G38" i="1"/>
  <c r="K38" i="1"/>
  <c r="K34" i="1"/>
  <c r="G39" i="1"/>
  <c r="G35" i="1"/>
  <c r="G34" i="1"/>
  <c r="D54" i="1"/>
  <c r="B38" i="1"/>
  <c r="B34" i="1"/>
  <c r="B33" i="1"/>
  <c r="I6" i="1"/>
  <c r="B37" i="1"/>
  <c r="C39" i="1"/>
  <c r="C35" i="1"/>
  <c r="C38" i="1"/>
  <c r="C34" i="1"/>
  <c r="D47" i="1"/>
  <c r="D46" i="1"/>
  <c r="D43" i="1"/>
  <c r="D42" i="1"/>
  <c r="C18" i="1"/>
  <c r="N36" i="1"/>
  <c r="N37" i="1"/>
  <c r="E24" i="2"/>
  <c r="F24" i="2"/>
  <c r="G24" i="2"/>
  <c r="E21" i="2"/>
  <c r="F21" i="2"/>
  <c r="G21" i="2"/>
  <c r="J9" i="1"/>
  <c r="K15" i="1"/>
  <c r="G52" i="1"/>
  <c r="G49" i="1"/>
  <c r="G50" i="1"/>
  <c r="G51" i="1"/>
  <c r="K7" i="1"/>
  <c r="K48" i="1"/>
  <c r="J7" i="1"/>
  <c r="K13" i="1"/>
  <c r="G48" i="1"/>
  <c r="K9" i="1"/>
  <c r="K52" i="1"/>
  <c r="K49" i="1"/>
  <c r="K50" i="1"/>
  <c r="K51" i="1"/>
  <c r="F48" i="1"/>
  <c r="F45" i="1"/>
  <c r="K6" i="1"/>
  <c r="J44" i="1"/>
  <c r="J6" i="1"/>
  <c r="K12" i="1"/>
  <c r="F44" i="1"/>
  <c r="K8" i="1"/>
  <c r="J48" i="1"/>
  <c r="J45" i="1"/>
  <c r="K11" i="1"/>
  <c r="K10" i="1"/>
  <c r="J11" i="1"/>
  <c r="J8" i="1"/>
  <c r="J10" i="1"/>
  <c r="B44" i="1"/>
  <c r="B46" i="1"/>
  <c r="C48" i="1"/>
  <c r="B47" i="1"/>
  <c r="D55" i="1"/>
  <c r="C52" i="1"/>
  <c r="C49" i="1"/>
  <c r="B45" i="1"/>
  <c r="B48" i="1"/>
  <c r="J15" i="1"/>
  <c r="J13" i="1"/>
  <c r="I21" i="1"/>
  <c r="J12" i="1"/>
  <c r="F51" i="1"/>
  <c r="I20" i="1"/>
  <c r="J51" i="1"/>
  <c r="G55" i="1"/>
  <c r="K55" i="1"/>
  <c r="J14" i="1"/>
  <c r="K14" i="1"/>
  <c r="B51" i="1"/>
  <c r="C50" i="1"/>
  <c r="C55" i="1"/>
  <c r="C21" i="1"/>
  <c r="C19" i="1"/>
  <c r="C51" i="1"/>
  <c r="I9" i="1"/>
  <c r="I7" i="1"/>
  <c r="I15" i="1"/>
  <c r="M15" i="1"/>
  <c r="I13" i="1"/>
  <c r="M13" i="1"/>
  <c r="I12" i="1"/>
  <c r="M12" i="1"/>
  <c r="I10" i="1"/>
  <c r="C25" i="1"/>
  <c r="O12" i="1"/>
  <c r="J41" i="1"/>
  <c r="F41" i="1"/>
  <c r="F42" i="1"/>
  <c r="J42" i="1"/>
  <c r="O15" i="1"/>
  <c r="G53" i="1"/>
  <c r="G54" i="1"/>
  <c r="K53" i="1"/>
  <c r="K54" i="1"/>
  <c r="G45" i="1"/>
  <c r="K45" i="1"/>
  <c r="K46" i="1"/>
  <c r="G46" i="1"/>
  <c r="O13" i="1"/>
  <c r="C45" i="1"/>
  <c r="C46" i="1"/>
  <c r="C53" i="1"/>
  <c r="B42" i="1"/>
  <c r="I11" i="1"/>
  <c r="I8" i="1"/>
  <c r="C26" i="1"/>
  <c r="C23" i="1"/>
  <c r="C22" i="1"/>
  <c r="I19" i="1"/>
  <c r="I23" i="1"/>
  <c r="C54" i="1"/>
  <c r="I14" i="1"/>
  <c r="M14" i="1"/>
  <c r="B41" i="1"/>
  <c r="C20" i="1"/>
  <c r="E38" i="2"/>
  <c r="F38" i="2"/>
  <c r="G38" i="2"/>
  <c r="E40" i="2"/>
  <c r="F40" i="2"/>
  <c r="G40" i="2"/>
  <c r="E39" i="2"/>
  <c r="F39" i="2"/>
  <c r="G39" i="2"/>
  <c r="E37" i="2"/>
  <c r="F37" i="2"/>
  <c r="G37" i="2"/>
  <c r="E17" i="2"/>
  <c r="F17" i="2"/>
  <c r="G17" i="2"/>
  <c r="E13" i="2"/>
  <c r="F13" i="2"/>
  <c r="G13" i="2"/>
  <c r="E7" i="2"/>
  <c r="F7" i="2"/>
  <c r="G7" i="2"/>
  <c r="E16" i="2"/>
  <c r="F16" i="2"/>
  <c r="G16" i="2"/>
  <c r="E10" i="2"/>
  <c r="F10" i="2"/>
  <c r="G10" i="2"/>
  <c r="O14" i="1"/>
  <c r="F49" i="1"/>
  <c r="F50" i="1"/>
  <c r="J49" i="1"/>
  <c r="J50" i="1"/>
  <c r="B49" i="1"/>
  <c r="B50" i="1"/>
  <c r="C24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comments3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<sst xmlns="http://schemas.openxmlformats.org/spreadsheetml/2006/main" count="373" uniqueCount="180">
  <si>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</si>
  <si>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</si>
  <si>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</si>
  <si>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</si>
  <si>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</si>
  <si>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</si>
  <si>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</si>
  <si>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</si>
  <si>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</si>
  <si>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</si>
  <si>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</si>
  <si>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</si>
  <si>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</si>
  <si>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</si>
  <si>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</si>
  <si>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</si>
  <si>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</si>
  <si>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</si>
  <si>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</si>
  <si>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</si>
  <si>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</si>
  <si>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</si>
  <si>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</si>
  <si>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</si>
  <si>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</si>
  <si>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</si>
  <si>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</si>
  <si>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</si>
  <si>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</si>
  <si>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</si>
  <si>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</si>
  <si>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</si>
  <si>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</si>
  <si>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</si>
  <si>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</si>
  <si>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</si>
  <si>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</si>
  <si>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</si>
  <si>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</si>
  <si>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</si>
  <si>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</si>
  <si>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</si>
  <si>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</si>
  <si>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</si>
  <si>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</si>
  <si>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</si>
  <si>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</si>
  <si>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</si>
  <si>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</si>
  <si>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</si>
  <si>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</si>
  <si>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</si>
  <si>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</si>
  <si>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</si>
  <si>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</si>
  <si>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</si>
  <si>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</si>
  <si>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</si>
  <si>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</si>
  <si>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</si>
  <si>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</si>
  <si>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</si>
  <si>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</si>
  <si>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</si>
  <si>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</si>
  <si>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</si>
  <si>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</si>
  <si>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</si>
  <si>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</si>
  <si>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</si>
  <si>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</si>
  <si>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</si>
  <si>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</si>
  <si>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</si>
  <si>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</si>
  <si>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</si>
  <si>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</si>
  <si>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</si>
  <si>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</si>
  <si>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</si>
  <si>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</si>
  <si>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</si>
  <si>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</si>
  <si>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</si>
  <si>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</si>
  <si>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</si>
  <si>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</si>
  <si>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</si>
  <si>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</si>
  <si>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</si>
  <si>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</si>
  <si>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</si>
  <si>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</si>
  <si>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</si>
  <si>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</si>
  <si>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</si>
  <si>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</si>
  <si>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</si>
  <si>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</si>
  <si>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</si>
  <si>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</si>
  <si>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</si>
  <si>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</si>
  <si>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</si>
  <si>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</si>
  <si>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</si>
  <si>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</si>
  <si>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</si>
  <si>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</si>
  <si>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</si>
  <si>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</si>
  <si>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</si>
  <si>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</si>
  <si>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</si>
  <si>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</si>
  <si>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</si>
  <si>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</si>
  <si>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</si>
  <si>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</si>
  <si>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</si>
  <si>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</si>
  <si>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</si>
  <si>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</si>
  <si>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</si>
  <si>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</si>
  <si>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</si>
  <si>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</si>
  <si>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</si>
  <si>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</si>
  <si>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</si>
  <si>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</si>
  <si>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</si>
  <si>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</si>
  <si>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</si>
  <si>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</si>
  <si>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</si>
  <si>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</si>
  <si>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</si>
  <si>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</si>
  <si>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</si>
  <si>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</si>
  <si>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</si>
  <si>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</si>
  <si>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</si>
  <si>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</si>
  <si>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</si>
  <si>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</si>
  <si>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</si>
  <si>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</si>
  <si>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</si>
  <si>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</si>
  <si>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</si>
  <si>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</si>
  <si>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</si>
  <si>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</si>
  <si>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</si>
  <si>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</si>
  <si>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</si>
  <si>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</si>
  <si>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</si>
  <si>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</si>
  <si>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</si>
  <si>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</si>
  <si>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</si>
  <si>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</si>
  <si>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</si>
  <si>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</si>
  <si>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</si>
  <si>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</si>
  <si>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</si>
  <si>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</si>
  <si>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</si>
  <si>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</si>
  <si>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</si>
  <si>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</si>
  <si>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</si>
  <si>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</si>
  <si>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</si>
  <si>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</si>
  <si>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The data below is provided for debugging purposes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</si>
</sst>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6"/>
  <sheetViews>
    <sheetView workbookViewId="0">
      <selection activeCell="A6" sqref="A6"/>
    </sheetView>
  </sheetViews>
  <sheetFormatPr defaultRowHeight="15" x14ac:dyDescent="0.25"/>
  <cols>
    <col min="2" max="2" width="24.5703125" bestFit="1" customWidth="1"/>
    <col min="3" max="3" width="17.42578125" style="47" customWidth="1"/>
    <col min="4" max="4" width="15.570312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19.28515625" customWidth="1"/>
    <col min="20" max="20" width="11.140625" bestFit="1" customWidth="1"/>
  </cols>
  <sheetData>
    <row r="1" spans="2:19" x14ac:dyDescent="0.25">
      <c r="H1" s="89" t="s">
        <v>156</v>
      </c>
      <c r="I1" s="89"/>
      <c r="J1" s="89"/>
      <c r="K1" s="89"/>
    </row>
    <row r="2" spans="2:19" ht="45" x14ac:dyDescent="0.25">
      <c r="B2" t="s">
        <v>146</v>
      </c>
      <c r="C2" s="71" t="s">
        <v>70</v>
      </c>
      <c r="D2" s="71" t="s">
        <v>69</v>
      </c>
      <c r="E2" s="72" t="s">
        <v>85</v>
      </c>
      <c r="F2" s="71" t="s">
        <v>150</v>
      </c>
      <c r="G2" s="71" t="s">
        <v>151</v>
      </c>
      <c r="H2" s="73" t="s">
        <v>157</v>
      </c>
      <c r="I2" s="73" t="s">
        <v>159</v>
      </c>
      <c r="J2" s="73" t="s">
        <v>158</v>
      </c>
      <c r="K2" s="73" t="s">
        <v>160</v>
      </c>
      <c r="L2" s="70" t="s">
        <v>148</v>
      </c>
      <c r="M2" s="70" t="s">
        <v>169</v>
      </c>
      <c r="N2" s="73" t="s">
        <v>72</v>
      </c>
      <c r="O2" s="73" t="s">
        <v>73</v>
      </c>
      <c r="P2" s="73" t="s">
        <v>88</v>
      </c>
      <c r="Q2" s="73" t="s">
        <v>31</v>
      </c>
      <c r="R2" s="73" t="s">
        <v>74</v>
      </c>
      <c r="S2" s="70" t="s">
        <v>147</v>
      </c>
    </row>
    <row r="3" spans="2:19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12</v>
      </c>
      <c r="G3" s="66">
        <f>+E3/F3</f>
        <v>11.012500000000001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</row>
    <row r="4" spans="2:19" x14ac:dyDescent="0.25">
      <c r="B4" t="s">
        <v>153</v>
      </c>
      <c r="C4" s="47">
        <v>250</v>
      </c>
      <c r="D4" s="47">
        <v>3</v>
      </c>
      <c r="E4" s="66">
        <f>+C4/D4</f>
        <v>83.333333333333329</v>
      </c>
      <c r="F4" s="66">
        <v>9</v>
      </c>
      <c r="G4" s="66">
        <f>+E4/F4</f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</row>
    <row r="5" spans="2:19" x14ac:dyDescent="0.25">
      <c r="B5" t="s">
        <v>154</v>
      </c>
      <c r="C5" s="47">
        <v>285.3</v>
      </c>
      <c r="D5" s="47">
        <v>3</v>
      </c>
      <c r="E5" s="47">
        <f>+C5/D5</f>
        <v>95.100000000000009</v>
      </c>
      <c r="F5" s="47">
        <v>10</v>
      </c>
      <c r="G5" s="47">
        <f>+E5/F5</f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</row>
    <row r="6" spans="2:19" x14ac:dyDescent="0.25">
      <c r="B6" t="s">
        <v>177</v>
      </c>
      <c r="C6" s="86">
        <f>2396.99/10.76</f>
        <v>222.76858736059478</v>
      </c>
      <c r="D6" s="82">
        <v>2</v>
      </c>
      <c r="E6" s="86">
        <f>+C6/D6</f>
        <v>111.38429368029739</v>
      </c>
      <c r="F6" s="82">
        <v>12.9</v>
      </c>
      <c r="G6" s="68">
        <f>+E6/F6</f>
        <v>8.6344413705656891</v>
      </c>
      <c r="H6" s="87">
        <f>100*10.32/56.9</f>
        <v>18.13708260105448</v>
      </c>
      <c r="I6" s="87">
        <v>0.05</v>
      </c>
      <c r="J6" s="87">
        <f>100*17/66.99</f>
        <v>25.37692192864607</v>
      </c>
      <c r="K6" s="87">
        <f>100*2.68/63.28</f>
        <v>4.2351453855878631</v>
      </c>
      <c r="L6" s="82">
        <v>0.66700000000000004</v>
      </c>
      <c r="M6" s="82">
        <v>1.5</v>
      </c>
      <c r="N6" s="88">
        <v>2.79</v>
      </c>
      <c r="O6" s="88">
        <v>2.44</v>
      </c>
      <c r="P6" s="88">
        <v>0</v>
      </c>
      <c r="Q6" s="88">
        <v>2.4384000000000001</v>
      </c>
      <c r="R6" s="88">
        <v>1.9</v>
      </c>
      <c r="S6" t="s">
        <v>178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5"/>
  <sheetViews>
    <sheetView tabSelected="1" zoomScaleNormal="100" workbookViewId="0">
      <selection activeCell="C17" sqref="C17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177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91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options'!B3:S38,2,FALSE)</f>
        <v>222.76858736059478</v>
      </c>
      <c r="D5" s="1" t="s">
        <v>0</v>
      </c>
      <c r="F5" s="60" t="s">
        <v>75</v>
      </c>
      <c r="G5" s="60" t="s">
        <v>76</v>
      </c>
      <c r="H5" s="92"/>
      <c r="I5" s="90" t="s">
        <v>45</v>
      </c>
      <c r="J5" s="90"/>
      <c r="K5" s="90"/>
    </row>
    <row r="6" spans="1:15" x14ac:dyDescent="0.25">
      <c r="A6" s="1" t="s">
        <v>69</v>
      </c>
      <c r="B6" s="1"/>
      <c r="C6" s="64">
        <f>VLOOKUP($B$2,'Geometry options'!B3:S38,3,FALSE)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35.991000000000007</v>
      </c>
      <c r="J6" s="33">
        <f>+(INDEX(x2nd,2)-INDEX(x2nd,1))*(INDEX(z2nd,7)-INDEX(z2nd,2))</f>
        <v>31.475999999999996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options'!B3:S38,4,FALSE)</f>
        <v>111.38429368029739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24.090091423878278</v>
      </c>
      <c r="J7" s="33">
        <f>+(INDEX(y2nd,3)-INDEX(y2nd,2))*(INDEX(z2nd,7)-(INDEX(z2nd,3)))</f>
        <v>21.068036944180278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options'!B3:S38,5,FALSE)</f>
        <v>12.9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35.991000000000007</v>
      </c>
      <c r="J8" s="33">
        <f>(INDEX(x2nd,3)-INDEX(x2nd,4))*(INDEX(z2nd,7)-INDEX(z2nd,4))</f>
        <v>31.475999999999996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options'!B3:S38,6,FALSE)</f>
        <v>8.6344413705656891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24.090091423878278</v>
      </c>
      <c r="J9" s="33">
        <f>(INDEX(y2nd,4)-INDEX(y2nd,1))*(INDEX(z2nd,8)-INDEX(z2nd,4))</f>
        <v>21.068036944180278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options'!$B$3:$S$38,13,FALSE)</f>
        <v>2.79</v>
      </c>
      <c r="D10" s="1" t="s">
        <v>1</v>
      </c>
      <c r="F10" t="s">
        <v>43</v>
      </c>
      <c r="G10" t="s">
        <v>37</v>
      </c>
      <c r="I10" s="33">
        <f>INDEX(x1st,6)*INDEX(y1st,7)</f>
        <v>111.38429368029739</v>
      </c>
      <c r="J10" s="33">
        <f>INDEX(x2nd,6)*INDEX(y2nd,7)</f>
        <v>111.38429368029739</v>
      </c>
      <c r="K10" s="33">
        <f>INDEX(x2nd,6)*INDEX(y2nd,7)</f>
        <v>111.38429368029739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options'!$B$3:$S$38,14,FALSE)</f>
        <v>2.44</v>
      </c>
      <c r="D11" s="1" t="s">
        <v>1</v>
      </c>
      <c r="F11" t="s">
        <v>44</v>
      </c>
      <c r="G11" t="s">
        <v>38</v>
      </c>
      <c r="I11" s="33">
        <f>INDEX(x1st,3)*INDEX(y1st,4)</f>
        <v>111.38429368029739</v>
      </c>
      <c r="J11" s="33">
        <f>INDEX(x2nd,3)*INDEX(y2nd,4)</f>
        <v>111.38429368029739</v>
      </c>
      <c r="K11" s="33">
        <f>INDEX(x2nd,3)*INDEX(y2nd,4)</f>
        <v>111.38429368029739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options'!$B$3:$S$38,15,FALSE)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18.13708260105448</v>
      </c>
      <c r="I12" s="15">
        <f>AreaWall1*AreaWinWall1Ratio/100</f>
        <v>6.5277173989455193</v>
      </c>
      <c r="J12" s="15">
        <f>AreaWall1_2nd*AreaWinWall1Ratio/100</f>
        <v>5.7088281195079071</v>
      </c>
      <c r="K12" s="15">
        <f>AreaWall1_2nd*AreaWinWall1Ratio/100</f>
        <v>5.7088281195079071</v>
      </c>
      <c r="L12" s="3" t="s">
        <v>0</v>
      </c>
      <c r="M12" s="27">
        <f>AreaWinWall1/Hght_WinWall1</f>
        <v>4.6793673110720562</v>
      </c>
      <c r="N12" s="26">
        <f>(Opt_Main_Height-Opt_Bsm_Height)/2</f>
        <v>1.3950000000000002</v>
      </c>
      <c r="O12">
        <f>+Len_WinWall1*Hght_WinWall1</f>
        <v>6.5277173989455193</v>
      </c>
    </row>
    <row r="13" spans="1:15" x14ac:dyDescent="0.25">
      <c r="A13" s="1" t="s">
        <v>31</v>
      </c>
      <c r="B13" s="7"/>
      <c r="C13" s="76">
        <f>VLOOKUP($B$2,'Geometry options'!$B$3:$S$38,16,FALSE)</f>
        <v>2.4384000000000001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0.05</v>
      </c>
      <c r="I13" s="17">
        <f>AreaWall2*AreaWinWall2Ratio/100</f>
        <v>1.204504571193914E-2</v>
      </c>
      <c r="J13" s="17">
        <f>AreaWall2_2nd*AreaWinWall2Ratio/100</f>
        <v>1.0534018472090139E-2</v>
      </c>
      <c r="K13" s="17">
        <f>AreaWall2_2nd*AreaWinWall2Ratio/100</f>
        <v>1.0534018472090139E-2</v>
      </c>
      <c r="L13" s="4" t="s">
        <v>0</v>
      </c>
      <c r="M13" s="28">
        <f>AreaWinWall2/Hght_WinWall2</f>
        <v>8.6344413705656906E-3</v>
      </c>
      <c r="N13" s="29">
        <f>(Opt_Main_Height-Opt_Bsm_Height)/2</f>
        <v>1.3950000000000002</v>
      </c>
      <c r="O13">
        <f>+Len_WinWall2*Hght_WinWall2</f>
        <v>1.204504571193914E-2</v>
      </c>
    </row>
    <row r="14" spans="1:15" x14ac:dyDescent="0.25">
      <c r="A14" s="1" t="s">
        <v>74</v>
      </c>
      <c r="B14" s="7"/>
      <c r="C14" s="76">
        <f>VLOOKUP($B$2,'Geometry options'!$B$3:$S$38,17,FALSE)</f>
        <v>1.9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25.37692192864607</v>
      </c>
      <c r="I14" s="18">
        <f>AreaWall3*AreaWinWall3Ratio/100</f>
        <v>9.1334079713390093</v>
      </c>
      <c r="J14" s="18">
        <f>AreaWall3_2nd*AreaWinWall3Ratio/100</f>
        <v>7.9876399462606358</v>
      </c>
      <c r="K14" s="18">
        <f>AreaWall3_2nd*AreaWinWall3Ratio/100</f>
        <v>7.9876399462606358</v>
      </c>
      <c r="L14" s="2" t="s">
        <v>0</v>
      </c>
      <c r="M14" s="30">
        <f>AreaWinWall3/Hght_WinWall3</f>
        <v>6.5472458575906867</v>
      </c>
      <c r="N14" s="31">
        <f>(Opt_Main_Height-Opt_Bsm_Height)/2</f>
        <v>1.3950000000000002</v>
      </c>
      <c r="O14">
        <f>+Len_WinWall3*Hght_WinWall3</f>
        <v>9.1334079713390093</v>
      </c>
    </row>
    <row r="15" spans="1:15" x14ac:dyDescent="0.25">
      <c r="A15" s="1" t="s">
        <v>71</v>
      </c>
      <c r="B15" s="7"/>
      <c r="C15" s="39">
        <f>Hght_Flr1+Opt_Bsm_Height</f>
        <v>5.2284000000000006</v>
      </c>
      <c r="F15" s="6" t="s">
        <v>49</v>
      </c>
      <c r="G15" s="6" t="s">
        <v>53</v>
      </c>
      <c r="H15" s="46">
        <f>VLOOKUP($B$2,'Geometry options'!B3:O38,10,FALSE)</f>
        <v>4.2351453855878631</v>
      </c>
      <c r="I15" s="20">
        <f>AreaWall4*AreaWinWall4Ratio/100</f>
        <v>1.0202503953222783</v>
      </c>
      <c r="J15" s="20">
        <f>AreaWall4_2nd*AreaWinWall4Ratio/100</f>
        <v>0.89226199447539722</v>
      </c>
      <c r="K15" s="20">
        <f>AreaWall4_2nd*AreaWinWall4Ratio/100</f>
        <v>0.89226199447539722</v>
      </c>
      <c r="L15" s="6" t="s">
        <v>0</v>
      </c>
      <c r="M15" s="36">
        <f>AreaWinWall4/Hght_WinWall4</f>
        <v>0.73136229055360447</v>
      </c>
      <c r="N15" s="32">
        <f>(Opt_Main_Height-Opt_Bsm_Height)/2</f>
        <v>1.3950000000000002</v>
      </c>
      <c r="O15">
        <f>+Len_WinWall4*Hght_WinWall4</f>
        <v>1.0202503953222783</v>
      </c>
    </row>
    <row r="16" spans="1:15" x14ac:dyDescent="0.25">
      <c r="A16" t="s">
        <v>148</v>
      </c>
      <c r="B16" s="7"/>
      <c r="C16" s="74">
        <f>VLOOKUP($B$2,'Geometry options'!B3:O38,11,FALSE)</f>
        <v>0.66700000000000004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20" x14ac:dyDescent="0.25">
      <c r="A17" s="1"/>
      <c r="B17" s="7" t="s">
        <v>162</v>
      </c>
      <c r="C17" s="35">
        <f>Opt_Main_Height+Hght_Flr2+Hght_Flr3+(Opt_Roof_Peak_W*Roof_Slope1)</f>
        <v>11.970549999999999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20" x14ac:dyDescent="0.25">
      <c r="A18" s="1"/>
      <c r="B18" s="7" t="s">
        <v>79</v>
      </c>
      <c r="C18" s="11">
        <f>Opt_Width/2</f>
        <v>6.45</v>
      </c>
      <c r="D18" s="1"/>
    </row>
    <row r="19" spans="1:20" x14ac:dyDescent="0.25">
      <c r="A19" s="1"/>
      <c r="B19" s="3" t="s">
        <v>55</v>
      </c>
      <c r="C19" s="14">
        <f>INDEX(x1st,9)</f>
        <v>0.5</v>
      </c>
      <c r="F19" t="s">
        <v>134</v>
      </c>
      <c r="I19" s="42">
        <f>SUM(I6:I9)</f>
        <v>120.16218284775657</v>
      </c>
      <c r="J19" t="s">
        <v>0</v>
      </c>
    </row>
    <row r="20" spans="1:20" x14ac:dyDescent="0.25">
      <c r="B20" s="3" t="s">
        <v>56</v>
      </c>
      <c r="C20" s="15">
        <f>INDEX(x1st,10)</f>
        <v>5.1793673110720562</v>
      </c>
      <c r="D20" s="1"/>
      <c r="F20" t="s">
        <v>137</v>
      </c>
      <c r="I20">
        <f>+SUM(J6:J9)</f>
        <v>105.08807388836055</v>
      </c>
      <c r="J20" t="s">
        <v>0</v>
      </c>
      <c r="K20" s="9"/>
      <c r="L20" s="5"/>
    </row>
    <row r="21" spans="1:20" x14ac:dyDescent="0.25">
      <c r="A21" s="1"/>
      <c r="B21" s="4" t="s">
        <v>57</v>
      </c>
      <c r="C21" s="16">
        <f>INDEX(y1st,13)</f>
        <v>0.5</v>
      </c>
      <c r="F21" t="s">
        <v>135</v>
      </c>
      <c r="I21">
        <f>+SUM(K6:K9)</f>
        <v>0</v>
      </c>
      <c r="J21" t="s">
        <v>0</v>
      </c>
    </row>
    <row r="22" spans="1:20" x14ac:dyDescent="0.25">
      <c r="A22" s="1"/>
      <c r="B22" s="4" t="s">
        <v>58</v>
      </c>
      <c r="C22" s="17">
        <f>INDEX(y1st,14)</f>
        <v>0.50863444137056568</v>
      </c>
      <c r="F22" t="s">
        <v>136</v>
      </c>
      <c r="I22">
        <f>2*(Opt_Width*Opt_Bsm_Height)+2*(Opt_Length*Opt_Bsm_Height)</f>
        <v>105.01916367597477</v>
      </c>
      <c r="J22" t="s">
        <v>0</v>
      </c>
    </row>
    <row r="23" spans="1:20" x14ac:dyDescent="0.25">
      <c r="A23" s="1"/>
      <c r="B23" s="2" t="s">
        <v>61</v>
      </c>
      <c r="C23" s="18">
        <f>INDEX(x1st,17)</f>
        <v>12.4</v>
      </c>
      <c r="F23" t="s">
        <v>161</v>
      </c>
      <c r="I23">
        <f>+AreaWinWall1Ratio/100*SUM(I6:K6)+AreaWinWall2Ratio/100*SUM(I7:K7)+AreaWinWall3Ratio/100*SUM(I8:K8)+AreaWinWall4Ratio/100*SUM(I9:K9)</f>
        <v>31.292684890034774</v>
      </c>
      <c r="J23" t="s">
        <v>0</v>
      </c>
    </row>
    <row r="24" spans="1:20" x14ac:dyDescent="0.25">
      <c r="A24" s="1"/>
      <c r="B24" s="2" t="s">
        <v>62</v>
      </c>
      <c r="C24" s="18">
        <f>INDEX(x1st,18)</f>
        <v>5.8527541424093137</v>
      </c>
    </row>
    <row r="25" spans="1:20" x14ac:dyDescent="0.25">
      <c r="B25" s="6" t="s">
        <v>63</v>
      </c>
      <c r="C25" s="19">
        <f>INDEX(y1st,21)</f>
        <v>8.1344413705656891</v>
      </c>
    </row>
    <row r="26" spans="1:20" x14ac:dyDescent="0.25">
      <c r="B26" s="6" t="s">
        <v>64</v>
      </c>
      <c r="C26" s="20">
        <f>INDEX(y1st,22)</f>
        <v>7.4030790800120849</v>
      </c>
    </row>
    <row r="29" spans="1:20" x14ac:dyDescent="0.25">
      <c r="A29" s="94" t="s">
        <v>179</v>
      </c>
      <c r="B29" s="6"/>
      <c r="C29" s="61"/>
    </row>
    <row r="30" spans="1:20" x14ac:dyDescent="0.25">
      <c r="B30" s="93" t="s">
        <v>84</v>
      </c>
      <c r="C30" s="93"/>
      <c r="D30" s="93"/>
      <c r="F30" s="93" t="s">
        <v>90</v>
      </c>
      <c r="G30" s="93"/>
      <c r="H30" s="93"/>
      <c r="J30" s="93" t="s">
        <v>91</v>
      </c>
      <c r="K30" s="93"/>
      <c r="L30" s="93"/>
      <c r="N30" s="93" t="s">
        <v>175</v>
      </c>
      <c r="O30" s="93"/>
      <c r="P30" s="93"/>
      <c r="R30" s="93" t="s">
        <v>176</v>
      </c>
      <c r="S30" s="93"/>
      <c r="T30" s="93"/>
    </row>
    <row r="31" spans="1:20" ht="15.75" thickBot="1" x14ac:dyDescent="0.3">
      <c r="A31" s="12" t="s">
        <v>54</v>
      </c>
      <c r="B31" s="37" t="s">
        <v>2</v>
      </c>
      <c r="C31" s="37" t="s">
        <v>3</v>
      </c>
      <c r="D31" s="37" t="s">
        <v>4</v>
      </c>
      <c r="F31" s="37" t="s">
        <v>2</v>
      </c>
      <c r="G31" s="37" t="s">
        <v>3</v>
      </c>
      <c r="H31" s="37" t="s">
        <v>4</v>
      </c>
      <c r="J31" s="37" t="s">
        <v>2</v>
      </c>
      <c r="K31" s="37" t="s">
        <v>3</v>
      </c>
      <c r="L31" s="37" t="s">
        <v>4</v>
      </c>
      <c r="N31" s="65" t="s">
        <v>2</v>
      </c>
      <c r="O31" s="65" t="s">
        <v>3</v>
      </c>
      <c r="P31" s="65" t="s">
        <v>4</v>
      </c>
      <c r="R31" s="65" t="s">
        <v>2</v>
      </c>
      <c r="S31" s="65" t="s">
        <v>3</v>
      </c>
      <c r="T31" s="65" t="s">
        <v>4</v>
      </c>
    </row>
    <row r="32" spans="1:20" x14ac:dyDescent="0.25">
      <c r="A32" t="s">
        <v>7</v>
      </c>
      <c r="B32" s="24">
        <v>0</v>
      </c>
      <c r="C32" s="24">
        <v>0</v>
      </c>
      <c r="D32" s="57">
        <f>Opt_Bsm_Height</f>
        <v>2.4384000000000001</v>
      </c>
      <c r="F32" s="24">
        <v>0</v>
      </c>
      <c r="G32" s="24">
        <v>0</v>
      </c>
      <c r="H32" s="24">
        <f>+Opt_Bsm_Height+Hght_Flr1</f>
        <v>5.2284000000000006</v>
      </c>
      <c r="J32" s="24">
        <v>0</v>
      </c>
      <c r="K32" s="24">
        <v>0</v>
      </c>
      <c r="L32" s="24">
        <f>+IF(NumStoreys=3,Opt_Bsm_Height+Hght_Flr1+Hght_Flr2,0)</f>
        <v>0</v>
      </c>
      <c r="N32" s="24">
        <v>0</v>
      </c>
      <c r="O32" s="24">
        <v>0</v>
      </c>
      <c r="P32" s="24">
        <f>+Opt_Bsm_Height+Hght_Flr1+Hght_Flr2+Hght_Flr3</f>
        <v>7.6684000000000001</v>
      </c>
      <c r="R32" s="24">
        <v>0</v>
      </c>
      <c r="S32" s="24">
        <v>0</v>
      </c>
      <c r="T32" s="24">
        <v>0</v>
      </c>
    </row>
    <row r="33" spans="1:20" x14ac:dyDescent="0.25">
      <c r="A33" t="s">
        <v>8</v>
      </c>
      <c r="B33" s="25">
        <f>Opt_Width</f>
        <v>12.9</v>
      </c>
      <c r="C33" s="24">
        <v>0</v>
      </c>
      <c r="D33" s="24">
        <f>Opt_Bsm_Height</f>
        <v>2.4384000000000001</v>
      </c>
      <c r="F33" s="25">
        <f>Opt_Width</f>
        <v>12.9</v>
      </c>
      <c r="G33" s="24">
        <v>0</v>
      </c>
      <c r="H33" s="24">
        <f>+Opt_Bsm_Height+Hght_Flr1</f>
        <v>5.2284000000000006</v>
      </c>
      <c r="J33" s="25">
        <f>Opt_Width</f>
        <v>12.9</v>
      </c>
      <c r="K33" s="24">
        <v>0</v>
      </c>
      <c r="L33" s="24">
        <f>+IF(NumStoreys=3,Opt_Bsm_Height+Hght_Flr1+Hght_Flr2,0)</f>
        <v>0</v>
      </c>
      <c r="N33" s="25">
        <f>Opt_Width</f>
        <v>12.9</v>
      </c>
      <c r="O33" s="24">
        <v>0</v>
      </c>
      <c r="P33" s="24">
        <f>+Opt_Bsm_Height+Hght_Flr1+Hght_Flr2+Hght_Flr3</f>
        <v>7.6684000000000001</v>
      </c>
      <c r="R33" s="25">
        <f>Opt_Width</f>
        <v>12.9</v>
      </c>
      <c r="S33" s="24">
        <v>0</v>
      </c>
      <c r="T33" s="24">
        <v>0</v>
      </c>
    </row>
    <row r="34" spans="1:20" x14ac:dyDescent="0.25">
      <c r="A34" t="s">
        <v>9</v>
      </c>
      <c r="B34" s="25">
        <f>Opt_Width</f>
        <v>12.9</v>
      </c>
      <c r="C34" s="24">
        <f>Opt_Length</f>
        <v>8.6344413705656891</v>
      </c>
      <c r="D34" s="24">
        <f>Opt_Bsm_Height</f>
        <v>2.4384000000000001</v>
      </c>
      <c r="F34" s="25">
        <f>Opt_Width</f>
        <v>12.9</v>
      </c>
      <c r="G34" s="24">
        <f>Opt_Length</f>
        <v>8.6344413705656891</v>
      </c>
      <c r="H34" s="24">
        <f>+Opt_Bsm_Height+Hght_Flr1</f>
        <v>5.2284000000000006</v>
      </c>
      <c r="J34" s="25">
        <f>Opt_Width</f>
        <v>12.9</v>
      </c>
      <c r="K34" s="24">
        <f>Opt_Length</f>
        <v>8.6344413705656891</v>
      </c>
      <c r="L34" s="24">
        <f>+IF(NumStoreys=3,Opt_Bsm_Height+Hght_Flr1+Hght_Flr2,0)</f>
        <v>0</v>
      </c>
      <c r="N34" s="25">
        <f>Opt_Width</f>
        <v>12.9</v>
      </c>
      <c r="O34" s="24">
        <f>Opt_Length</f>
        <v>8.6344413705656891</v>
      </c>
      <c r="P34" s="24">
        <f>+Opt_Bsm_Height+Hght_Flr1+Hght_Flr2+Hght_Flr3</f>
        <v>7.6684000000000001</v>
      </c>
      <c r="R34" s="25">
        <f>Opt_Width</f>
        <v>12.9</v>
      </c>
      <c r="S34" s="24">
        <f>Opt_Length</f>
        <v>8.6344413705656891</v>
      </c>
      <c r="T34" s="24">
        <v>0</v>
      </c>
    </row>
    <row r="35" spans="1:20" x14ac:dyDescent="0.25">
      <c r="A35" t="s">
        <v>10</v>
      </c>
      <c r="B35" s="24">
        <v>0</v>
      </c>
      <c r="C35" s="24">
        <f>Opt_Length</f>
        <v>8.6344413705656891</v>
      </c>
      <c r="D35" s="24">
        <f>Opt_Bsm_Height</f>
        <v>2.4384000000000001</v>
      </c>
      <c r="F35" s="24">
        <v>0</v>
      </c>
      <c r="G35" s="24">
        <f>Opt_Length</f>
        <v>8.6344413705656891</v>
      </c>
      <c r="H35" s="24">
        <f>+Opt_Bsm_Height+Hght_Flr1</f>
        <v>5.2284000000000006</v>
      </c>
      <c r="J35" s="24">
        <v>0</v>
      </c>
      <c r="K35" s="24">
        <f>Opt_Length</f>
        <v>8.6344413705656891</v>
      </c>
      <c r="L35" s="24">
        <f>+IF(NumStoreys=3,Opt_Bsm_Height+Hght_Flr1+Hght_Flr2,0)</f>
        <v>0</v>
      </c>
      <c r="N35" s="24">
        <v>0</v>
      </c>
      <c r="O35" s="24">
        <f>Opt_Length</f>
        <v>8.6344413705656891</v>
      </c>
      <c r="P35" s="24">
        <f>+Opt_Bsm_Height+Hght_Flr1+Hght_Flr2+Hght_Flr3</f>
        <v>7.6684000000000001</v>
      </c>
      <c r="R35" s="24">
        <v>0</v>
      </c>
      <c r="S35" s="24">
        <f>Opt_Length</f>
        <v>8.6344413705656891</v>
      </c>
      <c r="T35" s="24">
        <v>0</v>
      </c>
    </row>
    <row r="36" spans="1:20" x14ac:dyDescent="0.25">
      <c r="A36" t="s">
        <v>11</v>
      </c>
      <c r="B36" s="24">
        <v>0</v>
      </c>
      <c r="C36" s="24">
        <v>0</v>
      </c>
      <c r="D36" s="24">
        <f>Opt_Main_Height</f>
        <v>5.2284000000000006</v>
      </c>
      <c r="F36" s="24">
        <v>0</v>
      </c>
      <c r="G36" s="24">
        <v>0</v>
      </c>
      <c r="H36" s="24">
        <f>+Opt_Bsm_Height+Hght_Flr1+Hght_Flr2</f>
        <v>7.6684000000000001</v>
      </c>
      <c r="J36" s="24">
        <v>0</v>
      </c>
      <c r="K36" s="24">
        <v>0</v>
      </c>
      <c r="L36" s="24">
        <f>+IF(NumStoreys=3,Opt_Bsm_Height+Hght_Flr1+Hght_Flr2+Hght_Flr3,0)</f>
        <v>0</v>
      </c>
      <c r="N36" s="25">
        <f>+Opt_Roof_Peak_W</f>
        <v>6.45</v>
      </c>
      <c r="O36" s="24">
        <v>0</v>
      </c>
      <c r="P36" s="24">
        <f>+C17</f>
        <v>11.970549999999999</v>
      </c>
      <c r="R36" s="24">
        <v>0</v>
      </c>
      <c r="S36" s="24">
        <v>0</v>
      </c>
      <c r="T36" s="57">
        <f>Opt_Bsm_Height</f>
        <v>2.4384000000000001</v>
      </c>
    </row>
    <row r="37" spans="1:20" x14ac:dyDescent="0.25">
      <c r="A37" t="s">
        <v>12</v>
      </c>
      <c r="B37" s="25">
        <f>Opt_Width</f>
        <v>12.9</v>
      </c>
      <c r="C37" s="24">
        <v>0</v>
      </c>
      <c r="D37" s="24">
        <f>Opt_Main_Height</f>
        <v>5.2284000000000006</v>
      </c>
      <c r="F37" s="25">
        <f>Opt_Width</f>
        <v>12.9</v>
      </c>
      <c r="G37" s="24">
        <v>0</v>
      </c>
      <c r="H37" s="24">
        <f>+Opt_Bsm_Height+Hght_Flr1+Hght_Flr2</f>
        <v>7.6684000000000001</v>
      </c>
      <c r="J37" s="25">
        <f>Opt_Width</f>
        <v>12.9</v>
      </c>
      <c r="K37" s="24">
        <v>0</v>
      </c>
      <c r="L37" s="24">
        <f>+IF(NumStoreys=3,Opt_Bsm_Height+Hght_Flr1+Hght_Flr2+Hght_Flr3,0)</f>
        <v>0</v>
      </c>
      <c r="N37" s="25">
        <f>+Opt_Roof_Peak_W</f>
        <v>6.45</v>
      </c>
      <c r="O37" s="24">
        <f>Opt_Length</f>
        <v>8.6344413705656891</v>
      </c>
      <c r="P37" s="24">
        <f>+C17</f>
        <v>11.970549999999999</v>
      </c>
      <c r="R37" s="25">
        <f>Opt_Width</f>
        <v>12.9</v>
      </c>
      <c r="S37" s="24">
        <v>0</v>
      </c>
      <c r="T37" s="57">
        <f>Opt_Bsm_Height</f>
        <v>2.4384000000000001</v>
      </c>
    </row>
    <row r="38" spans="1:20" x14ac:dyDescent="0.25">
      <c r="A38" t="s">
        <v>13</v>
      </c>
      <c r="B38" s="25">
        <f>Opt_Width</f>
        <v>12.9</v>
      </c>
      <c r="C38" s="24">
        <f>Opt_Length</f>
        <v>8.6344413705656891</v>
      </c>
      <c r="D38" s="24">
        <f>Opt_Main_Height</f>
        <v>5.2284000000000006</v>
      </c>
      <c r="F38" s="25">
        <f>Opt_Width</f>
        <v>12.9</v>
      </c>
      <c r="G38" s="24">
        <f>Opt_Length</f>
        <v>8.6344413705656891</v>
      </c>
      <c r="H38" s="24">
        <f>+Opt_Bsm_Height+Hght_Flr1+Hght_Flr2</f>
        <v>7.6684000000000001</v>
      </c>
      <c r="J38" s="25">
        <f>Opt_Width</f>
        <v>12.9</v>
      </c>
      <c r="K38" s="24">
        <f>Opt_Length</f>
        <v>8.6344413705656891</v>
      </c>
      <c r="L38" s="24">
        <f>+IF(NumStoreys=3,Opt_Bsm_Height+Hght_Flr1+Hght_Flr2+Hght_Flr3,0)</f>
        <v>0</v>
      </c>
      <c r="N38" s="83"/>
      <c r="O38" s="84"/>
      <c r="R38" s="25">
        <f>Opt_Width</f>
        <v>12.9</v>
      </c>
      <c r="S38" s="24">
        <f>Opt_Length</f>
        <v>8.6344413705656891</v>
      </c>
      <c r="T38" s="57">
        <f>Opt_Bsm_Height</f>
        <v>2.4384000000000001</v>
      </c>
    </row>
    <row r="39" spans="1:20" x14ac:dyDescent="0.25">
      <c r="A39" t="s">
        <v>14</v>
      </c>
      <c r="B39" s="24">
        <v>0</v>
      </c>
      <c r="C39" s="24">
        <f>Opt_Length</f>
        <v>8.6344413705656891</v>
      </c>
      <c r="D39" s="24">
        <f>Opt_Main_Height</f>
        <v>5.2284000000000006</v>
      </c>
      <c r="F39" s="24">
        <v>0</v>
      </c>
      <c r="G39" s="24">
        <f>Opt_Length</f>
        <v>8.6344413705656891</v>
      </c>
      <c r="H39" s="24">
        <f>+Opt_Bsm_Height+Hght_Flr1+Hght_Flr2</f>
        <v>7.6684000000000001</v>
      </c>
      <c r="J39" s="24">
        <v>0</v>
      </c>
      <c r="K39" s="24">
        <f>Opt_Length</f>
        <v>8.6344413705656891</v>
      </c>
      <c r="L39" s="24">
        <f>+IF(NumStoreys=3,Opt_Bsm_Height+Hght_Flr1+Hght_Flr2+Hght_Flr3,0)</f>
        <v>0</v>
      </c>
      <c r="N39" s="84"/>
      <c r="O39" s="84"/>
      <c r="R39" s="24">
        <v>0</v>
      </c>
      <c r="S39" s="24">
        <f>Opt_Length</f>
        <v>8.6344413705656891</v>
      </c>
      <c r="T39" s="57">
        <f>Opt_Bsm_Height</f>
        <v>2.4384000000000001</v>
      </c>
    </row>
    <row r="40" spans="1:20" x14ac:dyDescent="0.25">
      <c r="A40" s="3" t="s">
        <v>15</v>
      </c>
      <c r="B40" s="26">
        <f>INDEX(x1st,1)+0.5</f>
        <v>0.5</v>
      </c>
      <c r="C40" s="26">
        <f>INDEX(y1st,1)</f>
        <v>0</v>
      </c>
      <c r="D40" s="26">
        <f>INDEX(z1st,1)+0.5</f>
        <v>2.9384000000000001</v>
      </c>
      <c r="F40" s="26">
        <f>INDEX(x2nd,1)+0.5</f>
        <v>0.5</v>
      </c>
      <c r="G40" s="26">
        <f>INDEX(y2nd,1)</f>
        <v>0</v>
      </c>
      <c r="H40" s="26">
        <f>INDEX(z2nd,1)+0.5</f>
        <v>5.7284000000000006</v>
      </c>
      <c r="J40" s="26">
        <f>INDEX(x3rd,1)+0.5</f>
        <v>0.5</v>
      </c>
      <c r="K40" s="26">
        <f>INDEX(y3rd,1)</f>
        <v>0</v>
      </c>
      <c r="L40" s="26">
        <f>INDEX(z3rd,1)+0.5</f>
        <v>0.5</v>
      </c>
    </row>
    <row r="41" spans="1:20" x14ac:dyDescent="0.25">
      <c r="A41" s="3" t="s">
        <v>16</v>
      </c>
      <c r="B41" s="27">
        <f>INDEX(x1st,9)+Len_WinWall1</f>
        <v>5.1793673110720562</v>
      </c>
      <c r="C41" s="26">
        <f>INDEX(y1st,2)</f>
        <v>0</v>
      </c>
      <c r="D41" s="26">
        <f>INDEX(z1st,1)+0.5</f>
        <v>2.9384000000000001</v>
      </c>
      <c r="F41" s="27">
        <f>INDEX(x2nd,9)+Len_WinWall1</f>
        <v>5.1793673110720562</v>
      </c>
      <c r="G41" s="26">
        <f>INDEX(y2nd,2)</f>
        <v>0</v>
      </c>
      <c r="H41" s="26">
        <f>INDEX(z2nd,1)+0.5</f>
        <v>5.7284000000000006</v>
      </c>
      <c r="J41" s="27">
        <f>INDEX(x3rd,9)+Len_WinWall1</f>
        <v>5.1793673110720562</v>
      </c>
      <c r="K41" s="26">
        <f>INDEX(y3rd,2)</f>
        <v>0</v>
      </c>
      <c r="L41" s="26">
        <f>INDEX(z3rd,1)+0.5</f>
        <v>0.5</v>
      </c>
    </row>
    <row r="42" spans="1:20" x14ac:dyDescent="0.25">
      <c r="A42" s="3" t="s">
        <v>17</v>
      </c>
      <c r="B42" s="27">
        <f>INDEX(x1st,9)+Len_WinWall1</f>
        <v>5.1793673110720562</v>
      </c>
      <c r="C42" s="26">
        <f>INDEX(y1st,5)</f>
        <v>0</v>
      </c>
      <c r="D42" s="26">
        <f>INDEX(z1st,9)+Hght_WinWall1</f>
        <v>4.3334000000000001</v>
      </c>
      <c r="F42" s="27">
        <f>INDEX(x2nd,9)+Len_WinWall1</f>
        <v>5.1793673110720562</v>
      </c>
      <c r="G42" s="26">
        <f>INDEX(y2nd,5)</f>
        <v>0</v>
      </c>
      <c r="H42" s="26">
        <f>INDEX(z2nd,9)+Hght_WinWall1</f>
        <v>7.1234000000000011</v>
      </c>
      <c r="J42" s="27">
        <f>INDEX(x3rd,9)+Len_WinWall1</f>
        <v>5.1793673110720562</v>
      </c>
      <c r="K42" s="26">
        <f>INDEX(y3rd,5)</f>
        <v>0</v>
      </c>
      <c r="L42" s="26">
        <f>INDEX(z3rd,9)+Hght_WinWall1</f>
        <v>1.8950000000000002</v>
      </c>
    </row>
    <row r="43" spans="1:20" x14ac:dyDescent="0.25">
      <c r="A43" s="3" t="s">
        <v>18</v>
      </c>
      <c r="B43" s="26">
        <f>INDEX(x1st,9)</f>
        <v>0.5</v>
      </c>
      <c r="C43" s="26">
        <f>INDEX(y1st,6)</f>
        <v>0</v>
      </c>
      <c r="D43" s="26">
        <f>INDEX(z1st,10)+Hght_WinWall1</f>
        <v>4.3334000000000001</v>
      </c>
      <c r="F43" s="26">
        <f>INDEX(x2nd,9)</f>
        <v>0.5</v>
      </c>
      <c r="G43" s="26">
        <f>INDEX(y2nd,6)</f>
        <v>0</v>
      </c>
      <c r="H43" s="26">
        <f>INDEX(z2nd,10)+Hght_WinWall1</f>
        <v>7.1234000000000011</v>
      </c>
      <c r="J43" s="26">
        <f>INDEX(x3rd,9)</f>
        <v>0.5</v>
      </c>
      <c r="K43" s="26">
        <f>INDEX(y3rd,6)</f>
        <v>0</v>
      </c>
      <c r="L43" s="26">
        <f>INDEX(z3rd,10)+Hght_WinWall1</f>
        <v>1.8950000000000002</v>
      </c>
    </row>
    <row r="44" spans="1:20" x14ac:dyDescent="0.25">
      <c r="A44" s="4" t="s">
        <v>19</v>
      </c>
      <c r="B44" s="28">
        <f>INDEX(x1st,2)</f>
        <v>12.9</v>
      </c>
      <c r="C44" s="29">
        <f>INDEX(y1st,2)+0.5</f>
        <v>0.5</v>
      </c>
      <c r="D44" s="29">
        <f>INDEX(z1st,2)+0.5</f>
        <v>2.9384000000000001</v>
      </c>
      <c r="F44" s="28">
        <f>INDEX(x2nd,2)</f>
        <v>12.9</v>
      </c>
      <c r="G44" s="29">
        <f>INDEX(y2nd,2)+0.5</f>
        <v>0.5</v>
      </c>
      <c r="H44" s="29">
        <f>INDEX(z2nd,2)+0.5</f>
        <v>5.7284000000000006</v>
      </c>
      <c r="J44" s="28">
        <f>INDEX(x3rd,2)</f>
        <v>12.9</v>
      </c>
      <c r="K44" s="29">
        <f>INDEX(y3rd,2)+0.5</f>
        <v>0.5</v>
      </c>
      <c r="L44" s="29">
        <f>INDEX(z3rd,2)+0.5</f>
        <v>0.5</v>
      </c>
    </row>
    <row r="45" spans="1:20" x14ac:dyDescent="0.25">
      <c r="A45" s="4" t="s">
        <v>20</v>
      </c>
      <c r="B45" s="28">
        <f>INDEX(x1st,3)</f>
        <v>12.9</v>
      </c>
      <c r="C45" s="29">
        <f>INDEX(y1st,13)+Len_WinWall2</f>
        <v>0.50863444137056568</v>
      </c>
      <c r="D45" s="29">
        <f>INDEX(z1st,3)+0.5</f>
        <v>2.9384000000000001</v>
      </c>
      <c r="F45" s="28">
        <f>INDEX(x2nd,3)</f>
        <v>12.9</v>
      </c>
      <c r="G45" s="29">
        <f>INDEX(y2nd,13)+Len_WinWall2</f>
        <v>0.50863444137056568</v>
      </c>
      <c r="H45" s="29">
        <f>INDEX(z2nd,3)+0.5</f>
        <v>5.7284000000000006</v>
      </c>
      <c r="J45" s="28">
        <f>INDEX(x3rd,3)</f>
        <v>12.9</v>
      </c>
      <c r="K45" s="29">
        <f>INDEX(y3rd,13)+Len_WinWall2</f>
        <v>0.50863444137056568</v>
      </c>
      <c r="L45" s="29">
        <f>INDEX(z3rd,3)+0.5</f>
        <v>0.5</v>
      </c>
    </row>
    <row r="46" spans="1:20" x14ac:dyDescent="0.25">
      <c r="A46" s="4" t="s">
        <v>21</v>
      </c>
      <c r="B46" s="28">
        <f>INDEX(x1st,7)</f>
        <v>12.9</v>
      </c>
      <c r="C46" s="29">
        <f>INDEX(y1st,13)+Len_WinWall2</f>
        <v>0.50863444137056568</v>
      </c>
      <c r="D46" s="29">
        <f>INDEX(z1st,13)+Hght_WinWall2</f>
        <v>4.3334000000000001</v>
      </c>
      <c r="F46" s="28">
        <f>INDEX(x2nd,7)</f>
        <v>12.9</v>
      </c>
      <c r="G46" s="29">
        <f>INDEX(y2nd,13)+Len_WinWall2</f>
        <v>0.50863444137056568</v>
      </c>
      <c r="H46" s="29">
        <f>INDEX(z2nd,13)+Hght_WinWall2</f>
        <v>7.1234000000000011</v>
      </c>
      <c r="J46" s="28">
        <f>INDEX(x3rd,7)</f>
        <v>12.9</v>
      </c>
      <c r="K46" s="29">
        <f>INDEX(y3rd,13)+Len_WinWall2</f>
        <v>0.50863444137056568</v>
      </c>
      <c r="L46" s="29">
        <f>INDEX(z3rd,13)+Hght_WinWall2</f>
        <v>1.8950000000000002</v>
      </c>
    </row>
    <row r="47" spans="1:20" x14ac:dyDescent="0.25">
      <c r="A47" s="4" t="s">
        <v>22</v>
      </c>
      <c r="B47" s="28">
        <f>INDEX(x1st,6)</f>
        <v>12.9</v>
      </c>
      <c r="C47" s="29">
        <f>INDEX(y1st,6)+0.5</f>
        <v>0.5</v>
      </c>
      <c r="D47" s="29">
        <f>INDEX(z1st,14)+Hght_WinWall2</f>
        <v>4.3334000000000001</v>
      </c>
      <c r="F47" s="28">
        <f>INDEX(x2nd,6)</f>
        <v>12.9</v>
      </c>
      <c r="G47" s="29">
        <f>INDEX(y2nd,6)+0.5</f>
        <v>0.5</v>
      </c>
      <c r="H47" s="29">
        <f>INDEX(z2nd,14)+Hght_WinWall2</f>
        <v>7.1234000000000011</v>
      </c>
      <c r="J47" s="28">
        <f>INDEX(x3rd,6)</f>
        <v>12.9</v>
      </c>
      <c r="K47" s="29">
        <f>INDEX(y3rd,6)+0.5</f>
        <v>0.5</v>
      </c>
      <c r="L47" s="29">
        <f>INDEX(z3rd,14)+Hght_WinWall2</f>
        <v>1.8950000000000002</v>
      </c>
    </row>
    <row r="48" spans="1:20" x14ac:dyDescent="0.25">
      <c r="A48" s="2" t="s">
        <v>23</v>
      </c>
      <c r="B48" s="30">
        <f>INDEX(x1st,3)-0.5</f>
        <v>12.4</v>
      </c>
      <c r="C48" s="31">
        <f>INDEX(y1st,3)</f>
        <v>8.6344413705656891</v>
      </c>
      <c r="D48" s="31">
        <f>INDEX(z1st,3)+0.5</f>
        <v>2.9384000000000001</v>
      </c>
      <c r="F48" s="30">
        <f>INDEX(x2nd,3)-0.5</f>
        <v>12.4</v>
      </c>
      <c r="G48" s="31">
        <f>INDEX(y2nd,3)</f>
        <v>8.6344413705656891</v>
      </c>
      <c r="H48" s="31">
        <f>INDEX(z2nd,3)+0.5</f>
        <v>5.7284000000000006</v>
      </c>
      <c r="J48" s="30">
        <f>INDEX(x3rd,3)-0.5</f>
        <v>12.4</v>
      </c>
      <c r="K48" s="31">
        <f>INDEX(y3rd,3)</f>
        <v>8.6344413705656891</v>
      </c>
      <c r="L48" s="31">
        <f>INDEX(z3rd,3)+0.5</f>
        <v>0.5</v>
      </c>
    </row>
    <row r="49" spans="1:12" x14ac:dyDescent="0.25">
      <c r="A49" s="2" t="s">
        <v>24</v>
      </c>
      <c r="B49" s="30">
        <f>INDEX(x1st,17)-Len_WinWall3</f>
        <v>5.8527541424093137</v>
      </c>
      <c r="C49" s="31">
        <f>INDEX(y1st,4)</f>
        <v>8.6344413705656891</v>
      </c>
      <c r="D49" s="31">
        <f>INDEX(z1st,4)+0.5</f>
        <v>2.9384000000000001</v>
      </c>
      <c r="F49" s="30">
        <f>INDEX(x2nd,17)-Len_WinWall3</f>
        <v>5.8527541424093137</v>
      </c>
      <c r="G49" s="31">
        <f>INDEX(y2nd,4)</f>
        <v>8.6344413705656891</v>
      </c>
      <c r="H49" s="31">
        <f>INDEX(z2nd,4)+0.5</f>
        <v>5.7284000000000006</v>
      </c>
      <c r="J49" s="30">
        <f>INDEX(x3rd,17)-Len_WinWall3</f>
        <v>5.8527541424093137</v>
      </c>
      <c r="K49" s="31">
        <f>INDEX(y3rd,4)</f>
        <v>8.6344413705656891</v>
      </c>
      <c r="L49" s="31">
        <f>INDEX(z3rd,4)+0.5</f>
        <v>0.5</v>
      </c>
    </row>
    <row r="50" spans="1:12" x14ac:dyDescent="0.25">
      <c r="A50" s="2" t="s">
        <v>25</v>
      </c>
      <c r="B50" s="30">
        <f>INDEX(x1st,18)</f>
        <v>5.8527541424093137</v>
      </c>
      <c r="C50" s="31">
        <f>INDEX(y1st,18)</f>
        <v>8.6344413705656891</v>
      </c>
      <c r="D50" s="31">
        <f>INDEX(z1st,18)+Hght_WinWall3</f>
        <v>4.3334000000000001</v>
      </c>
      <c r="F50" s="30">
        <f>INDEX(x2nd,18)</f>
        <v>5.8527541424093137</v>
      </c>
      <c r="G50" s="31">
        <f>INDEX(y2nd,18)</f>
        <v>8.6344413705656891</v>
      </c>
      <c r="H50" s="31">
        <f>INDEX(z2nd,18)+Hght_WinWall3</f>
        <v>7.1234000000000011</v>
      </c>
      <c r="J50" s="30">
        <f>INDEX(x3rd,18)</f>
        <v>5.8527541424093137</v>
      </c>
      <c r="K50" s="31">
        <f>INDEX(y3rd,18)</f>
        <v>8.6344413705656891</v>
      </c>
      <c r="L50" s="31">
        <f>INDEX(z3rd,18)+Hght_WinWall3</f>
        <v>1.8950000000000002</v>
      </c>
    </row>
    <row r="51" spans="1:12" x14ac:dyDescent="0.25">
      <c r="A51" s="2" t="s">
        <v>26</v>
      </c>
      <c r="B51" s="30">
        <f>INDEX(x1st,17)</f>
        <v>12.4</v>
      </c>
      <c r="C51" s="31">
        <f>INDEX(y1st,19)</f>
        <v>8.6344413705656891</v>
      </c>
      <c r="D51" s="31">
        <f>INDEX(z1st,19)</f>
        <v>4.3334000000000001</v>
      </c>
      <c r="F51" s="30">
        <f>INDEX(x2nd,17)</f>
        <v>12.4</v>
      </c>
      <c r="G51" s="31">
        <f>INDEX(y2nd,19)</f>
        <v>8.6344413705656891</v>
      </c>
      <c r="H51" s="31">
        <f>INDEX(z2nd,19)</f>
        <v>7.1234000000000011</v>
      </c>
      <c r="J51" s="30">
        <f>INDEX(x3rd,17)</f>
        <v>12.4</v>
      </c>
      <c r="K51" s="31">
        <f>INDEX(y3rd,19)</f>
        <v>8.6344413705656891</v>
      </c>
      <c r="L51" s="31">
        <f>INDEX(z3rd,19)</f>
        <v>1.8950000000000002</v>
      </c>
    </row>
    <row r="52" spans="1:12" x14ac:dyDescent="0.25">
      <c r="A52" s="6" t="s">
        <v>27</v>
      </c>
      <c r="B52" s="32">
        <f>INDEX(x1st,4)</f>
        <v>0</v>
      </c>
      <c r="C52" s="32">
        <f>INDEX(y1st,4)-0.5</f>
        <v>8.1344413705656891</v>
      </c>
      <c r="D52" s="32">
        <f>INDEX(z1st,4)+0.5</f>
        <v>2.9384000000000001</v>
      </c>
      <c r="F52" s="32">
        <f>INDEX(x2nd,4)</f>
        <v>0</v>
      </c>
      <c r="G52" s="32">
        <f>INDEX(y2nd,4)-0.5</f>
        <v>8.1344413705656891</v>
      </c>
      <c r="H52" s="32">
        <f>INDEX(z2nd,4)+0.5</f>
        <v>5.7284000000000006</v>
      </c>
      <c r="J52" s="32">
        <f>INDEX(x3rd,4)</f>
        <v>0</v>
      </c>
      <c r="K52" s="32">
        <f>INDEX(y3rd,4)-0.5</f>
        <v>8.1344413705656891</v>
      </c>
      <c r="L52" s="32">
        <f>INDEX(z3rd,4)+0.5</f>
        <v>0.5</v>
      </c>
    </row>
    <row r="53" spans="1:12" x14ac:dyDescent="0.25">
      <c r="A53" s="6" t="s">
        <v>28</v>
      </c>
      <c r="B53" s="32">
        <f>INDEX(x1st,1)</f>
        <v>0</v>
      </c>
      <c r="C53" s="32">
        <f>INDEX(y1st,21)-Len_WinWall4</f>
        <v>7.4030790800120849</v>
      </c>
      <c r="D53" s="32">
        <f>INDEX(z1st,1)+0.5</f>
        <v>2.9384000000000001</v>
      </c>
      <c r="F53" s="32">
        <f>INDEX(x2nd,1)</f>
        <v>0</v>
      </c>
      <c r="G53" s="32">
        <f>INDEX(y2nd,21)-Len_WinWall4</f>
        <v>7.4030790800120849</v>
      </c>
      <c r="H53" s="32">
        <f>INDEX(z2nd,1)+0.5</f>
        <v>5.7284000000000006</v>
      </c>
      <c r="J53" s="32">
        <f>INDEX(x3rd,1)</f>
        <v>0</v>
      </c>
      <c r="K53" s="32">
        <f>INDEX(y3rd,21)-Len_WinWall4</f>
        <v>7.4030790800120849</v>
      </c>
      <c r="L53" s="32">
        <f>INDEX(z3rd,1)+0.5</f>
        <v>0.5</v>
      </c>
    </row>
    <row r="54" spans="1:12" x14ac:dyDescent="0.25">
      <c r="A54" s="6" t="s">
        <v>29</v>
      </c>
      <c r="B54" s="32">
        <f>INDEX(x1st,5)</f>
        <v>0</v>
      </c>
      <c r="C54" s="32">
        <f>INDEX(y1st,22)</f>
        <v>7.4030790800120849</v>
      </c>
      <c r="D54" s="32">
        <f>INDEX(z1st,22)+Hght_WinWall4</f>
        <v>4.3334000000000001</v>
      </c>
      <c r="F54" s="32">
        <f>INDEX(x2nd,5)</f>
        <v>0</v>
      </c>
      <c r="G54" s="32">
        <f>INDEX(y2nd,22)</f>
        <v>7.4030790800120849</v>
      </c>
      <c r="H54" s="32">
        <f>INDEX(z2nd,22)+Hght_WinWall4</f>
        <v>7.1234000000000011</v>
      </c>
      <c r="J54" s="32">
        <f>INDEX(x3rd,5)</f>
        <v>0</v>
      </c>
      <c r="K54" s="32">
        <f>INDEX(y3rd,22)</f>
        <v>7.4030790800120849</v>
      </c>
      <c r="L54" s="32">
        <f>INDEX(z3rd,22)+Hght_WinWall4</f>
        <v>1.8950000000000002</v>
      </c>
    </row>
    <row r="55" spans="1:12" x14ac:dyDescent="0.25">
      <c r="A55" s="6" t="s">
        <v>30</v>
      </c>
      <c r="B55" s="32">
        <f>INDEX(x1st,8)</f>
        <v>0</v>
      </c>
      <c r="C55" s="32">
        <f>INDEX(y1st,21)</f>
        <v>8.1344413705656891</v>
      </c>
      <c r="D55" s="32">
        <f>INDEX(z1st,23)</f>
        <v>4.3334000000000001</v>
      </c>
      <c r="F55" s="32">
        <f>INDEX(x2nd,8)</f>
        <v>0</v>
      </c>
      <c r="G55" s="32">
        <f>INDEX(y2nd,21)</f>
        <v>8.1344413705656891</v>
      </c>
      <c r="H55" s="32">
        <f>INDEX(z2nd,23)</f>
        <v>7.1234000000000011</v>
      </c>
      <c r="J55" s="32">
        <f>INDEX(x3rd,8)</f>
        <v>0</v>
      </c>
      <c r="K55" s="32">
        <f>INDEX(y3rd,21)</f>
        <v>8.1344413705656891</v>
      </c>
      <c r="L55" s="32">
        <f>INDEX(z3rd,23)</f>
        <v>1.8950000000000002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19" workbookViewId="0">
      <selection activeCell="I4" sqref="I4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163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(main_area+second_area+third_area)</f>
        <v>225.25025673611714</v>
      </c>
      <c r="F7" s="55">
        <f>+E7*10.7639</f>
        <v>2424.5712384818912</v>
      </c>
      <c r="G7" s="81">
        <f>+D7*F7</f>
        <v>23135.797551202755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225.25025673611714</v>
      </c>
      <c r="F10" s="55">
        <f>+E10*10.7639</f>
        <v>2424.5712384818912</v>
      </c>
      <c r="G10" s="81">
        <f>+D10*F10</f>
        <v>25355.627218435067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225.25025673611714</v>
      </c>
      <c r="F13" s="55">
        <f>+E13*10.7639</f>
        <v>2424.5712384818912</v>
      </c>
      <c r="G13" s="81">
        <f>+D13*F13</f>
        <v>23057.672477962784</v>
      </c>
      <c r="H13" t="s">
        <v>172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225.25025673611714</v>
      </c>
      <c r="F16" s="55">
        <f>+E16*10.7639</f>
        <v>2424.5712384818912</v>
      </c>
      <c r="G16" s="81">
        <f t="shared" ref="G16:G17" si="0">+D16*F16</f>
        <v>36368.568577228369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225.25025673611714</v>
      </c>
      <c r="F17" s="55">
        <f>+E17*10.7639</f>
        <v>2424.5712384818912</v>
      </c>
      <c r="G17" s="81">
        <f t="shared" si="0"/>
        <v>38926.49123382676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105.01916367597477</v>
      </c>
      <c r="F21" s="55">
        <f>+E21*10.7639</f>
        <v>1130.4157758918248</v>
      </c>
      <c r="G21" s="68">
        <f>+F21*D21</f>
        <v>4928.6127828883555</v>
      </c>
      <c r="H21" t="s">
        <v>173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105.01916367597477</v>
      </c>
      <c r="F24" s="55">
        <f>+E24*10.7639</f>
        <v>1130.4157758918248</v>
      </c>
      <c r="G24" s="68">
        <f>+F24*D24</f>
        <v>10060.700405437243</v>
      </c>
      <c r="H24" t="s">
        <v>174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111.38429368029739</v>
      </c>
      <c r="F26" s="55">
        <f>+E26*10.7639</f>
        <v>1198.929398745353</v>
      </c>
      <c r="G26" s="68">
        <f>+F26*D26</f>
        <v>1103.0150468457248</v>
      </c>
      <c r="H26" t="s">
        <v>170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111.38429368029739</v>
      </c>
      <c r="F27" s="55">
        <f>+E27*10.7639</f>
        <v>1198.929398745353</v>
      </c>
      <c r="G27" s="68">
        <f>+F27*D27</f>
        <v>1198.929398745353</v>
      </c>
      <c r="H27" t="s">
        <v>171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164</v>
      </c>
      <c r="C37" s="47" t="s">
        <v>165</v>
      </c>
      <c r="D37" s="81">
        <f>+'[1]UNIT COSTS'!$H$63</f>
        <v>70.596743144418141</v>
      </c>
      <c r="E37" s="47">
        <f>+'geometry calculation'!$I$23</f>
        <v>31.292684890034774</v>
      </c>
      <c r="F37" s="55">
        <f t="shared" ref="F37:F40" si="1">+E37*10.7639</f>
        <v>336.8313308878453</v>
      </c>
      <c r="G37" s="68">
        <f>+D37*F37</f>
        <v>23779.194949681732</v>
      </c>
    </row>
    <row r="38" spans="2:7" x14ac:dyDescent="0.25">
      <c r="B38" t="s">
        <v>166</v>
      </c>
      <c r="C38" s="47" t="s">
        <v>165</v>
      </c>
      <c r="D38" s="81">
        <f>+'[1]UNIT COSTS'!$H$64</f>
        <v>70.596743144418141</v>
      </c>
      <c r="E38" s="47">
        <f>+'geometry calculation'!$I$23</f>
        <v>31.292684890034774</v>
      </c>
      <c r="F38" s="55">
        <f t="shared" si="1"/>
        <v>336.8313308878453</v>
      </c>
      <c r="G38" s="68">
        <f t="shared" ref="G38:G40" si="2">+D38*F38</f>
        <v>23779.194949681732</v>
      </c>
    </row>
    <row r="39" spans="2:7" x14ac:dyDescent="0.25">
      <c r="B39" t="s">
        <v>167</v>
      </c>
      <c r="C39" s="47" t="s">
        <v>165</v>
      </c>
      <c r="D39" s="81">
        <f>+'[1]UNIT COSTS'!$H$65</f>
        <v>78.848804332674945</v>
      </c>
      <c r="E39" s="47">
        <f>+'geometry calculation'!$I$23</f>
        <v>31.292684890034774</v>
      </c>
      <c r="F39" s="55">
        <f t="shared" si="1"/>
        <v>336.8313308878453</v>
      </c>
      <c r="G39" s="68">
        <f t="shared" si="2"/>
        <v>26558.747702290206</v>
      </c>
    </row>
    <row r="40" spans="2:7" x14ac:dyDescent="0.25">
      <c r="B40" t="s">
        <v>168</v>
      </c>
      <c r="C40" s="47" t="s">
        <v>165</v>
      </c>
      <c r="D40" s="81">
        <f>+'[1]UNIT COSTS'!$H$66</f>
        <v>78.848804332674945</v>
      </c>
      <c r="E40" s="47">
        <f>+'geometry calculation'!$I$23</f>
        <v>31.292684890034774</v>
      </c>
      <c r="F40" s="55">
        <f t="shared" si="1"/>
        <v>336.8313308878453</v>
      </c>
      <c r="G40" s="68">
        <f t="shared" si="2"/>
        <v>26558.747702290206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F16" sqref="F16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90" t="s">
        <v>45</v>
      </c>
      <c r="J3" s="90"/>
      <c r="K3" s="90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93" t="s">
        <v>84</v>
      </c>
      <c r="C26" s="93"/>
      <c r="D26" s="93"/>
      <c r="F26" s="93" t="s">
        <v>90</v>
      </c>
      <c r="G26" s="93"/>
      <c r="H26" s="93"/>
      <c r="J26" s="93" t="s">
        <v>91</v>
      </c>
      <c r="K26" s="93"/>
      <c r="L26" s="93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128</vt:i4>
      </vt:variant>
    </vt:vector>
  </HeadingPairs>
  <TitlesOfParts>
    <vt:vector size="132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jeffblake</cp:lastModifiedBy>
  <dcterms:created xsi:type="dcterms:W3CDTF">2014-04-11T16:08:23Z</dcterms:created>
  <dcterms:modified xsi:type="dcterms:W3CDTF">2014-08-12T17:51:57Z</dcterms:modified>
</cp:coreProperties>
</file>