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G7" i="4" l="1"/>
  <c r="H7" i="4"/>
  <c r="J7" i="4"/>
  <c r="K7" i="4"/>
  <c r="E7" i="4"/>
  <c r="C10" i="1"/>
  <c r="C13" i="1"/>
  <c r="C15" i="1"/>
  <c r="O3" i="4"/>
  <c r="C11" i="1"/>
  <c r="P3" i="4"/>
  <c r="C12" i="1"/>
  <c r="C8" i="1"/>
  <c r="C18" i="1"/>
  <c r="C16" i="1"/>
  <c r="C17" i="1"/>
  <c r="H12" i="1"/>
  <c r="B33" i="1"/>
  <c r="D38" i="1"/>
  <c r="D33" i="1"/>
  <c r="I6" i="1"/>
  <c r="F33" i="1"/>
  <c r="H38" i="1"/>
  <c r="H33" i="1"/>
  <c r="J6" i="1"/>
  <c r="J33" i="1"/>
  <c r="C6" i="1"/>
  <c r="L38" i="1"/>
  <c r="L33" i="1"/>
  <c r="K6" i="1"/>
  <c r="H13" i="1"/>
  <c r="E3" i="4"/>
  <c r="G3" i="4"/>
  <c r="C9" i="1"/>
  <c r="C34" i="1"/>
  <c r="D34" i="1"/>
  <c r="I7" i="1"/>
  <c r="G34" i="1"/>
  <c r="H34" i="1"/>
  <c r="J7" i="1"/>
  <c r="K34" i="1"/>
  <c r="L34" i="1"/>
  <c r="K7" i="1"/>
  <c r="H14" i="1"/>
  <c r="B34" i="1"/>
  <c r="D35" i="1"/>
  <c r="I8" i="1"/>
  <c r="F34" i="1"/>
  <c r="H35" i="1"/>
  <c r="J8" i="1"/>
  <c r="J34" i="1"/>
  <c r="L35" i="1"/>
  <c r="K8" i="1"/>
  <c r="H15" i="1"/>
  <c r="C35" i="1"/>
  <c r="D39" i="1"/>
  <c r="I9" i="1"/>
  <c r="G35" i="1"/>
  <c r="H39" i="1"/>
  <c r="J9" i="1"/>
  <c r="K35" i="1"/>
  <c r="L39" i="1"/>
  <c r="K9" i="1"/>
  <c r="I23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3" i="1"/>
  <c r="I19" i="1"/>
  <c r="I21" i="1"/>
  <c r="I20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O4" i="4"/>
  <c r="O5" i="4"/>
  <c r="C7" i="1"/>
  <c r="C5" i="1"/>
  <c r="E4" i="4"/>
  <c r="G4" i="4"/>
  <c r="L4" i="4"/>
  <c r="L3" i="4"/>
  <c r="D37" i="1"/>
  <c r="T37" i="1"/>
  <c r="T38" i="1"/>
  <c r="T39" i="1"/>
  <c r="T36" i="1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R38" i="1"/>
  <c r="R34" i="1"/>
  <c r="N34" i="1"/>
  <c r="R37" i="1"/>
  <c r="R33" i="1"/>
  <c r="N33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39" i="1"/>
  <c r="S35" i="1"/>
  <c r="O35" i="1"/>
  <c r="S38" i="1"/>
  <c r="O37" i="1"/>
  <c r="S34" i="1"/>
  <c r="O34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52" i="1"/>
  <c r="H48" i="1"/>
  <c r="H44" i="1"/>
  <c r="H32" i="1"/>
  <c r="H40" i="1"/>
  <c r="D32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L44" i="1"/>
  <c r="N13" i="1"/>
  <c r="L46" i="1"/>
  <c r="L37" i="1"/>
  <c r="L36" i="1"/>
  <c r="C47" i="1"/>
  <c r="C44" i="1"/>
  <c r="C43" i="1"/>
  <c r="C42" i="1"/>
  <c r="C41" i="1"/>
  <c r="C40" i="1"/>
  <c r="B55" i="1"/>
  <c r="B54" i="1"/>
  <c r="B53" i="1"/>
  <c r="B52" i="1"/>
  <c r="B40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F37" i="1"/>
  <c r="F47" i="1"/>
  <c r="J37" i="1"/>
  <c r="J47" i="1"/>
  <c r="F38" i="1"/>
  <c r="F46" i="1"/>
  <c r="K39" i="1"/>
  <c r="G38" i="1"/>
  <c r="K38" i="1"/>
  <c r="G39" i="1"/>
  <c r="D54" i="1"/>
  <c r="B38" i="1"/>
  <c r="B37" i="1"/>
  <c r="C39" i="1"/>
  <c r="C38" i="1"/>
  <c r="D47" i="1"/>
  <c r="D46" i="1"/>
  <c r="D43" i="1"/>
  <c r="D42" i="1"/>
  <c r="N36" i="1"/>
  <c r="N37" i="1"/>
  <c r="E24" i="2"/>
  <c r="F24" i="2"/>
  <c r="G24" i="2"/>
  <c r="E21" i="2"/>
  <c r="F21" i="2"/>
  <c r="G21" i="2"/>
  <c r="G52" i="1"/>
  <c r="G49" i="1"/>
  <c r="G50" i="1"/>
  <c r="G51" i="1"/>
  <c r="K48" i="1"/>
  <c r="G48" i="1"/>
  <c r="K52" i="1"/>
  <c r="K49" i="1"/>
  <c r="K50" i="1"/>
  <c r="K51" i="1"/>
  <c r="F48" i="1"/>
  <c r="F45" i="1"/>
  <c r="J44" i="1"/>
  <c r="F44" i="1"/>
  <c r="J48" i="1"/>
  <c r="J45" i="1"/>
  <c r="K11" i="1"/>
  <c r="K10" i="1"/>
  <c r="J11" i="1"/>
  <c r="J10" i="1"/>
  <c r="B44" i="1"/>
  <c r="B46" i="1"/>
  <c r="C48" i="1"/>
  <c r="B47" i="1"/>
  <c r="D55" i="1"/>
  <c r="C52" i="1"/>
  <c r="C49" i="1"/>
  <c r="B45" i="1"/>
  <c r="B48" i="1"/>
  <c r="F51" i="1"/>
  <c r="J51" i="1"/>
  <c r="G55" i="1"/>
  <c r="K55" i="1"/>
  <c r="B51" i="1"/>
  <c r="C50" i="1"/>
  <c r="C55" i="1"/>
  <c r="C21" i="1"/>
  <c r="C19" i="1"/>
  <c r="C51" i="1"/>
  <c r="M15" i="1"/>
  <c r="M13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C26" i="1"/>
  <c r="C23" i="1"/>
  <c r="C22" i="1"/>
  <c r="C54" i="1"/>
  <c r="M14" i="1"/>
  <c r="B41" i="1"/>
  <c r="C20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3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<sst xmlns="http://schemas.openxmlformats.org/spreadsheetml/2006/main" count="374" uniqueCount="182">
  <si>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</si>
  <si>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</si>
  <si>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</si>
  <si>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</si>
  <si>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</si>
  <si>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</si>
  <si>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</si>
  <si>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</si>
  <si>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</si>
  <si>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</si>
  <si>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</si>
  <si>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</si>
  <si>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</si>
  <si>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</si>
  <si>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</si>
  <si>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</si>
  <si>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</si>
  <si>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</si>
  <si>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</si>
  <si>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</si>
  <si>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</si>
  <si>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</si>
  <si>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</si>
  <si>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</si>
  <si>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</si>
  <si>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</si>
  <si>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</si>
  <si>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</si>
  <si>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</si>
  <si>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</si>
  <si>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</si>
  <si>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</si>
  <si>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</si>
  <si>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</si>
  <si>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</si>
  <si>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</si>
  <si>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</si>
  <si>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</si>
  <si>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</si>
  <si>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</si>
  <si>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</si>
  <si>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</si>
  <si>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</si>
  <si>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</si>
  <si>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</si>
  <si>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</si>
  <si>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</si>
  <si>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</si>
  <si>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</si>
  <si>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</si>
  <si>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</si>
  <si>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</si>
  <si>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</si>
  <si>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</si>
  <si>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</si>
  <si>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</si>
  <si>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</si>
  <si>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</si>
  <si>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</si>
  <si>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</si>
  <si>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</si>
  <si>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</si>
  <si>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</si>
  <si>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</si>
  <si>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</si>
  <si>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</si>
  <si>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</si>
  <si>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</si>
  <si>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</si>
  <si>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</si>
  <si>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</si>
  <si>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</si>
  <si>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</si>
  <si>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</si>
  <si>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</si>
  <si>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</si>
  <si>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</si>
  <si>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</si>
  <si>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</si>
  <si>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</si>
  <si>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</si>
  <si>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</si>
  <si>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</si>
  <si>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</si>
  <si>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</si>
  <si>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</si>
  <si>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</si>
  <si>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</si>
  <si>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</si>
  <si>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</si>
  <si>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</si>
  <si>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</si>
  <si>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</si>
  <si>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</si>
  <si>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</si>
  <si>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</si>
  <si>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</si>
  <si>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</si>
  <si>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</si>
  <si>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</si>
  <si>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</si>
  <si>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</si>
  <si>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</si>
  <si>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</si>
  <si>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</si>
  <si>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</si>
  <si>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</si>
  <si>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</si>
  <si>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</si>
  <si>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</si>
  <si>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</si>
  <si>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</si>
  <si>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</si>
  <si>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</si>
  <si>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</si>
  <si>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</si>
  <si>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</si>
  <si>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</si>
  <si>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</si>
  <si>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</si>
  <si>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</si>
  <si>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</si>
  <si>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</si>
  <si>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</si>
  <si>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</si>
  <si>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</si>
  <si>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</si>
  <si>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</si>
  <si>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</si>
  <si>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</si>
  <si>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</si>
  <si>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</si>
  <si>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</si>
  <si>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</si>
  <si>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</si>
  <si>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</si>
  <si>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</si>
  <si>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</si>
  <si>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</si>
  <si>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</si>
  <si>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</si>
  <si>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</si>
  <si>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</si>
  <si>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</si>
  <si>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</si>
  <si>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</si>
  <si>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</si>
  <si>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</si>
  <si>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</si>
  <si>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</si>
  <si>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</si>
  <si>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</si>
  <si>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</si>
  <si>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</si>
  <si>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</si>
  <si>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</si>
  <si>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</si>
  <si>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</si>
  <si>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</si>
  <si>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</si>
  <si>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</si>
  <si>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</si>
  <si>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</si>
  <si>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</si>
  <si>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</si>
  <si>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</si>
  <si>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</si>
  <si>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</si>
  <si>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</si>
  <si>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</si>
  <si>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</si>
  <si>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</si>
  <si>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</si>
  <si>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</si>
  <si>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</si>
  <si>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</si>
  <si>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</si>
  <si>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</si>
  <si>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</si>
  <si>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</si>
  <si>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Window to Wall Ratio (%)</t>
  </si>
  <si>
    <t>Number of storeys (above 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</si>
</sst>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7"/>
  <sheetViews>
    <sheetView tabSelected="1" workbookViewId="0">
      <selection activeCell="A8" sqref="A8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7.8554687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85.140625" customWidth="1"/>
    <col min="20" max="20" width="11.140625" bestFit="1" customWidth="1"/>
  </cols>
  <sheetData>
    <row r="1" spans="2:19" x14ac:dyDescent="0.25">
      <c r="H1" s="92" t="s">
        <v>180</v>
      </c>
      <c r="I1" s="92"/>
      <c r="J1" s="92"/>
      <c r="K1" s="92"/>
    </row>
    <row r="2" spans="2:19" ht="45" x14ac:dyDescent="0.25">
      <c r="B2" t="s">
        <v>146</v>
      </c>
      <c r="C2" s="71" t="s">
        <v>70</v>
      </c>
      <c r="D2" s="71" t="s">
        <v>181</v>
      </c>
      <c r="E2" s="72" t="s">
        <v>85</v>
      </c>
      <c r="F2" s="71" t="s">
        <v>150</v>
      </c>
      <c r="G2" s="71" t="s">
        <v>151</v>
      </c>
      <c r="H2" s="73" t="s">
        <v>156</v>
      </c>
      <c r="I2" s="73" t="s">
        <v>158</v>
      </c>
      <c r="J2" s="73" t="s">
        <v>157</v>
      </c>
      <c r="K2" s="73" t="s">
        <v>159</v>
      </c>
      <c r="L2" s="70" t="s">
        <v>148</v>
      </c>
      <c r="M2" s="70" t="s">
        <v>168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0" t="s">
        <v>147</v>
      </c>
    </row>
    <row r="3" spans="2:19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8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t="s">
        <v>178</v>
      </c>
    </row>
    <row r="4" spans="2:19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</row>
    <row r="5" spans="2:19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</row>
    <row r="6" spans="2:19" x14ac:dyDescent="0.25">
      <c r="B6" t="s">
        <v>176</v>
      </c>
      <c r="C6" s="86">
        <f>2396.99/10.76</f>
        <v>222.76858736059478</v>
      </c>
      <c r="D6" s="82">
        <v>2</v>
      </c>
      <c r="E6" s="86">
        <f>+C6/D6</f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t="s">
        <v>177</v>
      </c>
    </row>
    <row r="7" spans="2:19" x14ac:dyDescent="0.25">
      <c r="B7" t="s">
        <v>179</v>
      </c>
      <c r="C7" s="47">
        <v>176.5</v>
      </c>
      <c r="D7" s="47">
        <v>3</v>
      </c>
      <c r="E7" s="86">
        <f>+C7/D7</f>
        <v>58.833333333333336</v>
      </c>
      <c r="F7" s="47">
        <v>7</v>
      </c>
      <c r="G7" s="47">
        <f t="shared" si="0"/>
        <v>8.4047619047619051</v>
      </c>
      <c r="H7" s="87">
        <f>100*10.32/56.9</f>
        <v>18.13708260105448</v>
      </c>
      <c r="I7" s="87">
        <v>1.05</v>
      </c>
      <c r="J7" s="87">
        <f>100*17/66.99</f>
        <v>25.37692192864607</v>
      </c>
      <c r="K7" s="87">
        <f>100*2.68/63.28</f>
        <v>4.2351453855878631</v>
      </c>
      <c r="L7" s="90">
        <v>0.66700000000000004</v>
      </c>
      <c r="M7" s="47">
        <v>2.2999999999999998</v>
      </c>
    </row>
  </sheetData>
  <mergeCells count="1">
    <mergeCell ref="H1:K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zoomScaleNormal="100" workbookViewId="0">
      <selection activeCell="B2" sqref="B2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149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4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options'!B3:S38,2,FALSE)</f>
        <v>264.3</v>
      </c>
      <c r="D5" s="1" t="s">
        <v>0</v>
      </c>
      <c r="F5" s="60" t="s">
        <v>75</v>
      </c>
      <c r="G5" s="60" t="s">
        <v>76</v>
      </c>
      <c r="H5" s="95"/>
      <c r="I5" s="93" t="s">
        <v>45</v>
      </c>
      <c r="J5" s="93"/>
      <c r="K5" s="93"/>
    </row>
    <row r="6" spans="1:15" x14ac:dyDescent="0.25">
      <c r="A6" s="1" t="s">
        <v>69</v>
      </c>
      <c r="B6" s="1"/>
      <c r="C6" s="64">
        <f>VLOOKUP($B$2,'Geometry options'!B3:S38,3,FALSE)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35.051999999999992</v>
      </c>
      <c r="J6" s="33">
        <f>+(INDEX(x2nd,2)-INDEX(x2nd,1))*(INDEX(z2nd,7)-INDEX(z2nd,2))</f>
        <v>28.059999999999995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options'!B3:S38,4,FALSE)</f>
        <v>132.15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35.025495652173909</v>
      </c>
      <c r="J7" s="33">
        <f>+(INDEX(y2nd,3)-INDEX(y2nd,2))*(INDEX(z2nd,7)-(INDEX(z2nd,3)))</f>
        <v>28.038782608695648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options'!B3:S38,5,FALSE)</f>
        <v>11.5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35.051999999999992</v>
      </c>
      <c r="J8" s="33">
        <f>(INDEX(x2nd,3)-INDEX(x2nd,4))*(INDEX(z2nd,7)-INDEX(z2nd,4))</f>
        <v>28.059999999999995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options'!B3:S38,6,FALSE)</f>
        <v>11.491304347826087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35.025495652173909</v>
      </c>
      <c r="J9" s="33">
        <f>(INDEX(y2nd,4)-INDEX(y2nd,1))*(INDEX(z2nd,8)-INDEX(z2nd,4))</f>
        <v>28.038782608695648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options'!$B$3:$S$38,13,FALSE)</f>
        <v>3.048</v>
      </c>
      <c r="D10" s="1" t="s">
        <v>1</v>
      </c>
      <c r="F10" t="s">
        <v>43</v>
      </c>
      <c r="G10" t="s">
        <v>37</v>
      </c>
      <c r="I10" s="33">
        <f>INDEX(x1st,6)*INDEX(y1st,7)</f>
        <v>132.15</v>
      </c>
      <c r="J10" s="33">
        <f>INDEX(x2nd,6)*INDEX(y2nd,7)</f>
        <v>132.15</v>
      </c>
      <c r="K10" s="33">
        <f>INDEX(x2nd,6)*INDEX(y2nd,7)</f>
        <v>132.15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options'!$B$3:$S$38,14,FALSE)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132.15</v>
      </c>
      <c r="J11" s="33">
        <f>INDEX(x2nd,3)*INDEX(y2nd,4)</f>
        <v>132.15</v>
      </c>
      <c r="K11" s="33">
        <f>INDEX(x2nd,3)*INDEX(y2nd,4)</f>
        <v>132.15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options'!$B$3:$S$38,15,FALSE)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15</v>
      </c>
      <c r="I12" s="15">
        <f>AreaWall1*AreaWinWall1Ratio/100</f>
        <v>5.2577999999999987</v>
      </c>
      <c r="J12" s="15">
        <f>AreaWall1_2nd*AreaWinWall1Ratio/100</f>
        <v>4.2089999999999996</v>
      </c>
      <c r="K12" s="15">
        <f>+IF(NumStoreys=3,AreaWall1_2nd*AreaWinWall1Ratio/100,0)</f>
        <v>0</v>
      </c>
      <c r="L12" s="3" t="s">
        <v>0</v>
      </c>
      <c r="M12" s="27">
        <f>AreaWinWall1/Hght_WinWall1</f>
        <v>3.4499999999999997</v>
      </c>
      <c r="N12" s="26">
        <f>(Opt_Main_Height-Opt_Bsm_Height)/2</f>
        <v>1.5239999999999998</v>
      </c>
      <c r="O12">
        <f>+Len_WinWall1*Hght_WinWall1</f>
        <v>5.2577999999999987</v>
      </c>
    </row>
    <row r="13" spans="1:15" x14ac:dyDescent="0.25">
      <c r="A13" s="1" t="s">
        <v>31</v>
      </c>
      <c r="B13" s="7"/>
      <c r="C13" s="76">
        <f>VLOOKUP($B$2,'Geometry options'!$B$3:$S$38,16,FALSE)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15</v>
      </c>
      <c r="I13" s="17">
        <f>AreaWall2*AreaWinWall2Ratio/100</f>
        <v>5.253824347826086</v>
      </c>
      <c r="J13" s="17">
        <f>AreaWall2_2nd*AreaWinWall2Ratio/100</f>
        <v>4.2058173913043468</v>
      </c>
      <c r="K13" s="17">
        <f>+IF(NumStoreys=3,AreaWall2_2nd*AreaWinWall2Ratio/100,0)</f>
        <v>0</v>
      </c>
      <c r="L13" s="4" t="s">
        <v>0</v>
      </c>
      <c r="M13" s="28">
        <f>AreaWinWall2/Hght_WinWall2</f>
        <v>3.4473913043478257</v>
      </c>
      <c r="N13" s="29">
        <f>(Opt_Main_Height-Opt_Bsm_Height)/2</f>
        <v>1.5239999999999998</v>
      </c>
      <c r="O13">
        <f>+Len_WinWall2*Hght_WinWall2</f>
        <v>5.253824347826086</v>
      </c>
    </row>
    <row r="14" spans="1:15" x14ac:dyDescent="0.25">
      <c r="A14" s="1" t="s">
        <v>74</v>
      </c>
      <c r="B14" s="7"/>
      <c r="C14" s="76">
        <f>VLOOKUP($B$2,'Geometry options'!$B$3:$S$38,17,FALSE)</f>
        <v>2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15</v>
      </c>
      <c r="I14" s="18">
        <f>AreaWall3*AreaWinWall3Ratio/100</f>
        <v>5.2577999999999987</v>
      </c>
      <c r="J14" s="18">
        <f>AreaWall3_2nd*AreaWinWall3Ratio/100</f>
        <v>4.2089999999999996</v>
      </c>
      <c r="K14" s="18">
        <f>+IF(NumStoreys=3,AreaWall3_2nd*AreaWinWall3Ratio/100,0)</f>
        <v>0</v>
      </c>
      <c r="L14" s="2" t="s">
        <v>0</v>
      </c>
      <c r="M14" s="30">
        <f>AreaWinWall3/Hght_WinWall3</f>
        <v>3.4499999999999997</v>
      </c>
      <c r="N14" s="31">
        <f>(Opt_Main_Height-Opt_Bsm_Height)/2</f>
        <v>1.5239999999999998</v>
      </c>
      <c r="O14">
        <f>+Len_WinWall3*Hght_WinWall3</f>
        <v>5.2577999999999987</v>
      </c>
    </row>
    <row r="15" spans="1:15" x14ac:dyDescent="0.25">
      <c r="A15" s="1" t="s">
        <v>71</v>
      </c>
      <c r="B15" s="7"/>
      <c r="C15" s="39">
        <f>Hght_Flr1+Opt_Bsm_Height</f>
        <v>5.4863999999999997</v>
      </c>
      <c r="F15" s="6" t="s">
        <v>49</v>
      </c>
      <c r="G15" s="6" t="s">
        <v>53</v>
      </c>
      <c r="H15" s="46">
        <f>VLOOKUP($B$2,'Geometry options'!B3:O38,10,FALSE)</f>
        <v>15</v>
      </c>
      <c r="I15" s="20">
        <f>AreaWall4*AreaWinWall4Ratio/100</f>
        <v>5.253824347826086</v>
      </c>
      <c r="J15" s="20">
        <f>AreaWall4_2nd*AreaWinWall4Ratio/100</f>
        <v>4.2058173913043468</v>
      </c>
      <c r="K15" s="20">
        <f>+IF(NumStoreys=3,AreaWall4_2nd*AreaWinWall4Ratio/100,0)</f>
        <v>0</v>
      </c>
      <c r="L15" s="6" t="s">
        <v>0</v>
      </c>
      <c r="M15" s="36">
        <f>AreaWinWall4/Hght_WinWall4</f>
        <v>3.4473913043478257</v>
      </c>
      <c r="N15" s="32">
        <f>(Opt_Main_Height-Opt_Bsm_Height)/2</f>
        <v>1.5239999999999998</v>
      </c>
      <c r="O15">
        <f>+Len_WinWall4*Hght_WinWall4</f>
        <v>5.253824347826086</v>
      </c>
    </row>
    <row r="16" spans="1:15" x14ac:dyDescent="0.25">
      <c r="A16" t="s">
        <v>148</v>
      </c>
      <c r="B16" s="7"/>
      <c r="C16" s="74">
        <f>VLOOKUP($B$2,'Geometry options'!B3:O38,11,FALSE)</f>
        <v>0.25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20" x14ac:dyDescent="0.25">
      <c r="A17" s="1"/>
      <c r="B17" s="7" t="s">
        <v>161</v>
      </c>
      <c r="C17" s="35">
        <f>Opt_Main_Height+Hght_Flr2+Hght_Flr3+(Opt_Roof_Peak_W*Roof_Slope1)</f>
        <v>9.3638999999999992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20" x14ac:dyDescent="0.25">
      <c r="A18" s="1"/>
      <c r="B18" s="7" t="s">
        <v>79</v>
      </c>
      <c r="C18" s="11">
        <f>Opt_Width/2</f>
        <v>5.75</v>
      </c>
      <c r="D18" s="1"/>
    </row>
    <row r="19" spans="1:20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SUM(I6:I9)-SUM(I12:I15)</f>
        <v>119.13174260869562</v>
      </c>
      <c r="J19" t="s">
        <v>0</v>
      </c>
    </row>
    <row r="20" spans="1:20" x14ac:dyDescent="0.25">
      <c r="B20" s="3" t="s">
        <v>56</v>
      </c>
      <c r="C20" s="15">
        <f>INDEX(x1st,10)</f>
        <v>3.9499999999999997</v>
      </c>
      <c r="D20" s="1"/>
      <c r="F20" t="s">
        <v>137</v>
      </c>
      <c r="I20" s="91">
        <f>+SUM(J6:J9)-SUM(J12:J15)</f>
        <v>95.367930434782593</v>
      </c>
      <c r="J20" t="s">
        <v>0</v>
      </c>
      <c r="K20" s="9"/>
      <c r="L20" s="5"/>
    </row>
    <row r="21" spans="1:20" x14ac:dyDescent="0.25">
      <c r="A21" s="1"/>
      <c r="B21" s="4" t="s">
        <v>57</v>
      </c>
      <c r="C21" s="16">
        <f>INDEX(y1st,13)</f>
        <v>0.5</v>
      </c>
      <c r="F21" t="s">
        <v>135</v>
      </c>
      <c r="I21" s="91">
        <f>+SUM(K6:K9)-SUM(K12:K15)</f>
        <v>0</v>
      </c>
      <c r="J21" t="s">
        <v>0</v>
      </c>
    </row>
    <row r="22" spans="1:20" x14ac:dyDescent="0.25">
      <c r="A22" s="1"/>
      <c r="B22" s="4" t="s">
        <v>58</v>
      </c>
      <c r="C22" s="17">
        <f>INDEX(y1st,14)</f>
        <v>3.9473913043478257</v>
      </c>
      <c r="F22" t="s">
        <v>136</v>
      </c>
      <c r="I22">
        <f>2*(Opt_Width*Opt_Bsm_Height)+2*(Opt_Length*Opt_Bsm_Height)</f>
        <v>112.12399304347827</v>
      </c>
      <c r="J22" t="s">
        <v>0</v>
      </c>
    </row>
    <row r="23" spans="1:20" x14ac:dyDescent="0.25">
      <c r="A23" s="1"/>
      <c r="B23" s="2" t="s">
        <v>61</v>
      </c>
      <c r="C23" s="18">
        <f>INDEX(x1st,17)</f>
        <v>11</v>
      </c>
      <c r="F23" t="s">
        <v>160</v>
      </c>
      <c r="I23">
        <f>+AreaWinWall1Ratio/100*SUM(I6:K6)+AreaWinWall2Ratio/100*SUM(I7:K7)+AreaWinWall3Ratio/100*SUM(I8:K8)+AreaWinWall4Ratio/100*SUM(I9:K9)</f>
        <v>37.852883478260864</v>
      </c>
      <c r="J23" t="s">
        <v>0</v>
      </c>
      <c r="K23" s="91">
        <f>+SUM(I12:K15)</f>
        <v>37.852883478260864</v>
      </c>
    </row>
    <row r="24" spans="1:20" x14ac:dyDescent="0.25">
      <c r="A24" s="1"/>
      <c r="B24" s="2" t="s">
        <v>62</v>
      </c>
      <c r="C24" s="18">
        <f>INDEX(x1st,18)</f>
        <v>7.5500000000000007</v>
      </c>
    </row>
    <row r="25" spans="1:20" x14ac:dyDescent="0.25">
      <c r="B25" s="6" t="s">
        <v>63</v>
      </c>
      <c r="C25" s="19">
        <f>INDEX(y1st,21)</f>
        <v>10.991304347826087</v>
      </c>
    </row>
    <row r="26" spans="1:20" x14ac:dyDescent="0.25">
      <c r="B26" s="6" t="s">
        <v>64</v>
      </c>
      <c r="C26" s="20">
        <f>INDEX(y1st,22)</f>
        <v>7.5439130434782617</v>
      </c>
    </row>
    <row r="29" spans="1:20" x14ac:dyDescent="0.25">
      <c r="B29" s="6"/>
      <c r="C29" s="61"/>
    </row>
    <row r="30" spans="1:20" x14ac:dyDescent="0.25">
      <c r="B30" s="96" t="s">
        <v>84</v>
      </c>
      <c r="C30" s="96"/>
      <c r="D30" s="96"/>
      <c r="F30" s="96" t="s">
        <v>90</v>
      </c>
      <c r="G30" s="96"/>
      <c r="H30" s="96"/>
      <c r="J30" s="96" t="s">
        <v>91</v>
      </c>
      <c r="K30" s="96"/>
      <c r="L30" s="96"/>
      <c r="N30" s="96" t="s">
        <v>174</v>
      </c>
      <c r="O30" s="96"/>
      <c r="P30" s="96"/>
      <c r="R30" s="96" t="s">
        <v>175</v>
      </c>
      <c r="S30" s="96"/>
      <c r="T30" s="96"/>
    </row>
    <row r="31" spans="1:20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  <c r="N31" s="65" t="s">
        <v>2</v>
      </c>
      <c r="O31" s="65" t="s">
        <v>3</v>
      </c>
      <c r="P31" s="65" t="s">
        <v>4</v>
      </c>
      <c r="R31" s="65" t="s">
        <v>2</v>
      </c>
      <c r="S31" s="65" t="s">
        <v>3</v>
      </c>
      <c r="T31" s="65" t="s">
        <v>4</v>
      </c>
    </row>
    <row r="32" spans="1:20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5.4863999999999997</v>
      </c>
      <c r="J32" s="24">
        <v>0</v>
      </c>
      <c r="K32" s="24">
        <v>0</v>
      </c>
      <c r="L32" s="24">
        <f>+IF(NumStoreys=3,Opt_Bsm_Height+Hght_Flr1+Hght_Flr2,0)</f>
        <v>0</v>
      </c>
      <c r="N32" s="24">
        <v>0</v>
      </c>
      <c r="O32" s="24">
        <v>0</v>
      </c>
      <c r="P32" s="24">
        <f>+Opt_Bsm_Height+Hght_Flr1+Hght_Flr2+Hght_Flr3</f>
        <v>7.9263999999999992</v>
      </c>
      <c r="R32" s="24">
        <v>0</v>
      </c>
      <c r="S32" s="24">
        <v>0</v>
      </c>
      <c r="T32" s="24">
        <v>0</v>
      </c>
    </row>
    <row r="33" spans="1:20" x14ac:dyDescent="0.25">
      <c r="A33" t="s">
        <v>8</v>
      </c>
      <c r="B33" s="25">
        <f>Opt_Width</f>
        <v>11.5</v>
      </c>
      <c r="C33" s="24">
        <v>0</v>
      </c>
      <c r="D33" s="24">
        <f>Opt_Bsm_Height</f>
        <v>2.4384000000000001</v>
      </c>
      <c r="F33" s="25">
        <f>Opt_Width</f>
        <v>11.5</v>
      </c>
      <c r="G33" s="24">
        <v>0</v>
      </c>
      <c r="H33" s="24">
        <f>+Opt_Bsm_Height+Hght_Flr1</f>
        <v>5.4863999999999997</v>
      </c>
      <c r="J33" s="25">
        <f>Opt_Width</f>
        <v>11.5</v>
      </c>
      <c r="K33" s="24">
        <v>0</v>
      </c>
      <c r="L33" s="24">
        <f>+IF(NumStoreys=3,Opt_Bsm_Height+Hght_Flr1+Hght_Flr2,0)</f>
        <v>0</v>
      </c>
      <c r="N33" s="25">
        <f>Opt_Width</f>
        <v>11.5</v>
      </c>
      <c r="O33" s="24">
        <v>0</v>
      </c>
      <c r="P33" s="24">
        <f>+Opt_Bsm_Height+Hght_Flr1+Hght_Flr2+Hght_Flr3</f>
        <v>7.9263999999999992</v>
      </c>
      <c r="R33" s="25">
        <f>Opt_Width</f>
        <v>11.5</v>
      </c>
      <c r="S33" s="24">
        <v>0</v>
      </c>
      <c r="T33" s="24">
        <v>0</v>
      </c>
    </row>
    <row r="34" spans="1:20" x14ac:dyDescent="0.25">
      <c r="A34" t="s">
        <v>9</v>
      </c>
      <c r="B34" s="25">
        <f>Opt_Width</f>
        <v>11.5</v>
      </c>
      <c r="C34" s="24">
        <f>Opt_Length</f>
        <v>11.491304347826087</v>
      </c>
      <c r="D34" s="24">
        <f>Opt_Bsm_Height</f>
        <v>2.4384000000000001</v>
      </c>
      <c r="F34" s="25">
        <f>Opt_Width</f>
        <v>11.5</v>
      </c>
      <c r="G34" s="24">
        <f>Opt_Length</f>
        <v>11.491304347826087</v>
      </c>
      <c r="H34" s="24">
        <f>+Opt_Bsm_Height+Hght_Flr1</f>
        <v>5.4863999999999997</v>
      </c>
      <c r="J34" s="25">
        <f>Opt_Width</f>
        <v>11.5</v>
      </c>
      <c r="K34" s="24">
        <f>Opt_Length</f>
        <v>11.491304347826087</v>
      </c>
      <c r="L34" s="24">
        <f>+IF(NumStoreys=3,Opt_Bsm_Height+Hght_Flr1+Hght_Flr2,0)</f>
        <v>0</v>
      </c>
      <c r="N34" s="25">
        <f>Opt_Width</f>
        <v>11.5</v>
      </c>
      <c r="O34" s="24">
        <f>Opt_Length</f>
        <v>11.491304347826087</v>
      </c>
      <c r="P34" s="24">
        <f>+Opt_Bsm_Height+Hght_Flr1+Hght_Flr2+Hght_Flr3</f>
        <v>7.9263999999999992</v>
      </c>
      <c r="R34" s="25">
        <f>Opt_Width</f>
        <v>11.5</v>
      </c>
      <c r="S34" s="24">
        <f>Opt_Length</f>
        <v>11.491304347826087</v>
      </c>
      <c r="T34" s="24">
        <v>0</v>
      </c>
    </row>
    <row r="35" spans="1:20" x14ac:dyDescent="0.25">
      <c r="A35" t="s">
        <v>10</v>
      </c>
      <c r="B35" s="24">
        <v>0</v>
      </c>
      <c r="C35" s="24">
        <f>Opt_Length</f>
        <v>11.491304347826087</v>
      </c>
      <c r="D35" s="24">
        <f>Opt_Bsm_Height</f>
        <v>2.4384000000000001</v>
      </c>
      <c r="F35" s="24">
        <v>0</v>
      </c>
      <c r="G35" s="24">
        <f>Opt_Length</f>
        <v>11.491304347826087</v>
      </c>
      <c r="H35" s="24">
        <f>+Opt_Bsm_Height+Hght_Flr1</f>
        <v>5.4863999999999997</v>
      </c>
      <c r="J35" s="24">
        <v>0</v>
      </c>
      <c r="K35" s="24">
        <f>Opt_Length</f>
        <v>11.491304347826087</v>
      </c>
      <c r="L35" s="24">
        <f>+IF(NumStoreys=3,Opt_Bsm_Height+Hght_Flr1+Hght_Flr2,0)</f>
        <v>0</v>
      </c>
      <c r="N35" s="24">
        <v>0</v>
      </c>
      <c r="O35" s="24">
        <f>Opt_Length</f>
        <v>11.491304347826087</v>
      </c>
      <c r="P35" s="24">
        <f>+Opt_Bsm_Height+Hght_Flr1+Hght_Flr2+Hght_Flr3</f>
        <v>7.9263999999999992</v>
      </c>
      <c r="R35" s="24">
        <v>0</v>
      </c>
      <c r="S35" s="24">
        <f>Opt_Length</f>
        <v>11.491304347826087</v>
      </c>
      <c r="T35" s="24">
        <v>0</v>
      </c>
    </row>
    <row r="36" spans="1:20" x14ac:dyDescent="0.25">
      <c r="A36" t="s">
        <v>11</v>
      </c>
      <c r="B36" s="24">
        <v>0</v>
      </c>
      <c r="C36" s="24">
        <v>0</v>
      </c>
      <c r="D36" s="24">
        <f>Opt_Main_Height</f>
        <v>5.4863999999999997</v>
      </c>
      <c r="F36" s="24">
        <v>0</v>
      </c>
      <c r="G36" s="24">
        <v>0</v>
      </c>
      <c r="H36" s="24">
        <f>+Opt_Bsm_Height+Hght_Flr1+Hght_Flr2</f>
        <v>7.9263999999999992</v>
      </c>
      <c r="J36" s="24">
        <v>0</v>
      </c>
      <c r="K36" s="24">
        <v>0</v>
      </c>
      <c r="L36" s="24">
        <f>+IF(NumStoreys=3,Opt_Bsm_Height+Hght_Flr1+Hght_Flr2+Hght_Flr3,0)</f>
        <v>0</v>
      </c>
      <c r="N36" s="25">
        <f>+Opt_Roof_Peak_W</f>
        <v>5.75</v>
      </c>
      <c r="O36" s="24">
        <v>0</v>
      </c>
      <c r="P36" s="24">
        <f>+C17</f>
        <v>9.3638999999999992</v>
      </c>
      <c r="R36" s="24">
        <v>0</v>
      </c>
      <c r="S36" s="24">
        <v>0</v>
      </c>
      <c r="T36" s="57">
        <f>Opt_Bsm_Height</f>
        <v>2.4384000000000001</v>
      </c>
    </row>
    <row r="37" spans="1:20" x14ac:dyDescent="0.25">
      <c r="A37" t="s">
        <v>12</v>
      </c>
      <c r="B37" s="25">
        <f>Opt_Width</f>
        <v>11.5</v>
      </c>
      <c r="C37" s="24">
        <v>0</v>
      </c>
      <c r="D37" s="24">
        <f>Opt_Main_Height</f>
        <v>5.4863999999999997</v>
      </c>
      <c r="F37" s="25">
        <f>Opt_Width</f>
        <v>11.5</v>
      </c>
      <c r="G37" s="24">
        <v>0</v>
      </c>
      <c r="H37" s="24">
        <f>+Opt_Bsm_Height+Hght_Flr1+Hght_Flr2</f>
        <v>7.9263999999999992</v>
      </c>
      <c r="J37" s="25">
        <f>Opt_Width</f>
        <v>11.5</v>
      </c>
      <c r="K37" s="24">
        <v>0</v>
      </c>
      <c r="L37" s="24">
        <f>+IF(NumStoreys=3,Opt_Bsm_Height+Hght_Flr1+Hght_Flr2+Hght_Flr3,0)</f>
        <v>0</v>
      </c>
      <c r="N37" s="25">
        <f>+Opt_Roof_Peak_W</f>
        <v>5.75</v>
      </c>
      <c r="O37" s="24">
        <f>Opt_Length</f>
        <v>11.491304347826087</v>
      </c>
      <c r="P37" s="24">
        <f>+C17</f>
        <v>9.3638999999999992</v>
      </c>
      <c r="R37" s="25">
        <f>Opt_Width</f>
        <v>11.5</v>
      </c>
      <c r="S37" s="24">
        <v>0</v>
      </c>
      <c r="T37" s="57">
        <f>Opt_Bsm_Height</f>
        <v>2.4384000000000001</v>
      </c>
    </row>
    <row r="38" spans="1:20" x14ac:dyDescent="0.25">
      <c r="A38" t="s">
        <v>13</v>
      </c>
      <c r="B38" s="25">
        <f>Opt_Width</f>
        <v>11.5</v>
      </c>
      <c r="C38" s="24">
        <f>Opt_Length</f>
        <v>11.491304347826087</v>
      </c>
      <c r="D38" s="24">
        <f>Opt_Main_Height</f>
        <v>5.4863999999999997</v>
      </c>
      <c r="F38" s="25">
        <f>Opt_Width</f>
        <v>11.5</v>
      </c>
      <c r="G38" s="24">
        <f>Opt_Length</f>
        <v>11.491304347826087</v>
      </c>
      <c r="H38" s="24">
        <f>+Opt_Bsm_Height+Hght_Flr1+Hght_Flr2</f>
        <v>7.9263999999999992</v>
      </c>
      <c r="J38" s="25">
        <f>Opt_Width</f>
        <v>11.5</v>
      </c>
      <c r="K38" s="24">
        <f>Opt_Length</f>
        <v>11.491304347826087</v>
      </c>
      <c r="L38" s="24">
        <f>+IF(NumStoreys=3,Opt_Bsm_Height+Hght_Flr1+Hght_Flr2+Hght_Flr3,0)</f>
        <v>0</v>
      </c>
      <c r="N38" s="83"/>
      <c r="O38" s="84"/>
      <c r="R38" s="25">
        <f>Opt_Width</f>
        <v>11.5</v>
      </c>
      <c r="S38" s="24">
        <f>Opt_Length</f>
        <v>11.491304347826087</v>
      </c>
      <c r="T38" s="57">
        <f>Opt_Bsm_Height</f>
        <v>2.4384000000000001</v>
      </c>
    </row>
    <row r="39" spans="1:20" x14ac:dyDescent="0.25">
      <c r="A39" t="s">
        <v>14</v>
      </c>
      <c r="B39" s="24">
        <v>0</v>
      </c>
      <c r="C39" s="24">
        <f>Opt_Length</f>
        <v>11.491304347826087</v>
      </c>
      <c r="D39" s="24">
        <f>Opt_Main_Height</f>
        <v>5.4863999999999997</v>
      </c>
      <c r="F39" s="24">
        <v>0</v>
      </c>
      <c r="G39" s="24">
        <f>Opt_Length</f>
        <v>11.491304347826087</v>
      </c>
      <c r="H39" s="24">
        <f>+Opt_Bsm_Height+Hght_Flr1+Hght_Flr2</f>
        <v>7.9263999999999992</v>
      </c>
      <c r="J39" s="24">
        <v>0</v>
      </c>
      <c r="K39" s="24">
        <f>Opt_Length</f>
        <v>11.491304347826087</v>
      </c>
      <c r="L39" s="24">
        <f>+IF(NumStoreys=3,Opt_Bsm_Height+Hght_Flr1+Hght_Flr2+Hght_Flr3,0)</f>
        <v>0</v>
      </c>
      <c r="N39" s="84"/>
      <c r="O39" s="84"/>
      <c r="R39" s="24">
        <v>0</v>
      </c>
      <c r="S39" s="24">
        <f>Opt_Length</f>
        <v>11.491304347826087</v>
      </c>
      <c r="T39" s="57">
        <f>Opt_Bsm_Height</f>
        <v>2.4384000000000001</v>
      </c>
    </row>
    <row r="40" spans="1:20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5.9863999999999997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20" x14ac:dyDescent="0.25">
      <c r="A41" s="3" t="s">
        <v>16</v>
      </c>
      <c r="B41" s="27">
        <f>INDEX(x1st,9)+Len_WinWall1</f>
        <v>3.9499999999999997</v>
      </c>
      <c r="C41" s="26">
        <f>INDEX(y1st,2)</f>
        <v>0</v>
      </c>
      <c r="D41" s="26">
        <f>INDEX(z1st,1)+0.5</f>
        <v>2.9384000000000001</v>
      </c>
      <c r="F41" s="27">
        <f>INDEX(x2nd,9)+Len_WinWall1</f>
        <v>3.9499999999999997</v>
      </c>
      <c r="G41" s="26">
        <f>INDEX(y2nd,2)</f>
        <v>0</v>
      </c>
      <c r="H41" s="26">
        <f>INDEX(z2nd,1)+0.5</f>
        <v>5.9863999999999997</v>
      </c>
      <c r="J41" s="27">
        <f>INDEX(x3rd,9)+Len_WinWall1</f>
        <v>3.9499999999999997</v>
      </c>
      <c r="K41" s="26">
        <f>INDEX(y3rd,2)</f>
        <v>0</v>
      </c>
      <c r="L41" s="26">
        <f>INDEX(z3rd,1)+0.5</f>
        <v>0.5</v>
      </c>
    </row>
    <row r="42" spans="1:20" x14ac:dyDescent="0.25">
      <c r="A42" s="3" t="s">
        <v>17</v>
      </c>
      <c r="B42" s="27">
        <f>INDEX(x1st,9)+Len_WinWall1</f>
        <v>3.9499999999999997</v>
      </c>
      <c r="C42" s="26">
        <f>INDEX(y1st,5)</f>
        <v>0</v>
      </c>
      <c r="D42" s="26">
        <f>INDEX(z1st,9)+Hght_WinWall1</f>
        <v>4.4623999999999997</v>
      </c>
      <c r="F42" s="27">
        <f>INDEX(x2nd,9)+Len_WinWall1</f>
        <v>3.9499999999999997</v>
      </c>
      <c r="G42" s="26">
        <f>INDEX(y2nd,5)</f>
        <v>0</v>
      </c>
      <c r="H42" s="26">
        <f>INDEX(z2nd,9)+Hght_WinWall1</f>
        <v>7.5103999999999997</v>
      </c>
      <c r="J42" s="27">
        <f>INDEX(x3rd,9)+Len_WinWall1</f>
        <v>3.9499999999999997</v>
      </c>
      <c r="K42" s="26">
        <f>INDEX(y3rd,5)</f>
        <v>0</v>
      </c>
      <c r="L42" s="26">
        <f>INDEX(z3rd,9)+Hght_WinWall1</f>
        <v>2.024</v>
      </c>
    </row>
    <row r="43" spans="1:20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4.4623999999999997</v>
      </c>
      <c r="F43" s="26">
        <f>INDEX(x2nd,9)</f>
        <v>0.5</v>
      </c>
      <c r="G43" s="26">
        <f>INDEX(y2nd,6)</f>
        <v>0</v>
      </c>
      <c r="H43" s="26">
        <f>INDEX(z2nd,10)+Hght_WinWall1</f>
        <v>7.5103999999999997</v>
      </c>
      <c r="J43" s="26">
        <f>INDEX(x3rd,9)</f>
        <v>0.5</v>
      </c>
      <c r="K43" s="26">
        <f>INDEX(y3rd,6)</f>
        <v>0</v>
      </c>
      <c r="L43" s="26">
        <f>INDEX(z3rd,10)+Hght_WinWall1</f>
        <v>2.024</v>
      </c>
    </row>
    <row r="44" spans="1:20" x14ac:dyDescent="0.25">
      <c r="A44" s="4" t="s">
        <v>19</v>
      </c>
      <c r="B44" s="28">
        <f>INDEX(x1st,2)</f>
        <v>11.5</v>
      </c>
      <c r="C44" s="29">
        <f>INDEX(y1st,2)+0.5</f>
        <v>0.5</v>
      </c>
      <c r="D44" s="29">
        <f>INDEX(z1st,2)+0.5</f>
        <v>2.9384000000000001</v>
      </c>
      <c r="F44" s="28">
        <f>INDEX(x2nd,2)</f>
        <v>11.5</v>
      </c>
      <c r="G44" s="29">
        <f>INDEX(y2nd,2)+0.5</f>
        <v>0.5</v>
      </c>
      <c r="H44" s="29">
        <f>INDEX(z2nd,2)+0.5</f>
        <v>5.9863999999999997</v>
      </c>
      <c r="J44" s="28">
        <f>INDEX(x3rd,2)</f>
        <v>11.5</v>
      </c>
      <c r="K44" s="29">
        <f>INDEX(y3rd,2)+0.5</f>
        <v>0.5</v>
      </c>
      <c r="L44" s="29">
        <f>INDEX(z3rd,2)+0.5</f>
        <v>0.5</v>
      </c>
    </row>
    <row r="45" spans="1:20" x14ac:dyDescent="0.25">
      <c r="A45" s="4" t="s">
        <v>20</v>
      </c>
      <c r="B45" s="28">
        <f>INDEX(x1st,3)</f>
        <v>11.5</v>
      </c>
      <c r="C45" s="29">
        <f>INDEX(y1st,13)+Len_WinWall2</f>
        <v>3.9473913043478257</v>
      </c>
      <c r="D45" s="29">
        <f>INDEX(z1st,3)+0.5</f>
        <v>2.9384000000000001</v>
      </c>
      <c r="F45" s="28">
        <f>INDEX(x2nd,3)</f>
        <v>11.5</v>
      </c>
      <c r="G45" s="29">
        <f>INDEX(y2nd,13)+Len_WinWall2</f>
        <v>3.9473913043478257</v>
      </c>
      <c r="H45" s="29">
        <f>INDEX(z2nd,3)+0.5</f>
        <v>5.9863999999999997</v>
      </c>
      <c r="J45" s="28">
        <f>INDEX(x3rd,3)</f>
        <v>11.5</v>
      </c>
      <c r="K45" s="29">
        <f>INDEX(y3rd,13)+Len_WinWall2</f>
        <v>3.9473913043478257</v>
      </c>
      <c r="L45" s="29">
        <f>INDEX(z3rd,3)+0.5</f>
        <v>0.5</v>
      </c>
    </row>
    <row r="46" spans="1:20" x14ac:dyDescent="0.25">
      <c r="A46" s="4" t="s">
        <v>21</v>
      </c>
      <c r="B46" s="28">
        <f>INDEX(x1st,7)</f>
        <v>11.5</v>
      </c>
      <c r="C46" s="29">
        <f>INDEX(y1st,13)+Len_WinWall2</f>
        <v>3.9473913043478257</v>
      </c>
      <c r="D46" s="29">
        <f>INDEX(z1st,13)+Hght_WinWall2</f>
        <v>4.4623999999999997</v>
      </c>
      <c r="F46" s="28">
        <f>INDEX(x2nd,7)</f>
        <v>11.5</v>
      </c>
      <c r="G46" s="29">
        <f>INDEX(y2nd,13)+Len_WinWall2</f>
        <v>3.9473913043478257</v>
      </c>
      <c r="H46" s="29">
        <f>INDEX(z2nd,13)+Hght_WinWall2</f>
        <v>7.5103999999999997</v>
      </c>
      <c r="J46" s="28">
        <f>INDEX(x3rd,7)</f>
        <v>11.5</v>
      </c>
      <c r="K46" s="29">
        <f>INDEX(y3rd,13)+Len_WinWall2</f>
        <v>3.9473913043478257</v>
      </c>
      <c r="L46" s="29">
        <f>INDEX(z3rd,13)+Hght_WinWall2</f>
        <v>2.024</v>
      </c>
    </row>
    <row r="47" spans="1:20" x14ac:dyDescent="0.25">
      <c r="A47" s="4" t="s">
        <v>22</v>
      </c>
      <c r="B47" s="28">
        <f>INDEX(x1st,6)</f>
        <v>11.5</v>
      </c>
      <c r="C47" s="29">
        <f>INDEX(y1st,6)+0.5</f>
        <v>0.5</v>
      </c>
      <c r="D47" s="29">
        <f>INDEX(z1st,14)+Hght_WinWall2</f>
        <v>4.4623999999999997</v>
      </c>
      <c r="F47" s="28">
        <f>INDEX(x2nd,6)</f>
        <v>11.5</v>
      </c>
      <c r="G47" s="29">
        <f>INDEX(y2nd,6)+0.5</f>
        <v>0.5</v>
      </c>
      <c r="H47" s="29">
        <f>INDEX(z2nd,14)+Hght_WinWall2</f>
        <v>7.5103999999999997</v>
      </c>
      <c r="J47" s="28">
        <f>INDEX(x3rd,6)</f>
        <v>11.5</v>
      </c>
      <c r="K47" s="29">
        <f>INDEX(y3rd,6)+0.5</f>
        <v>0.5</v>
      </c>
      <c r="L47" s="29">
        <f>INDEX(z3rd,14)+Hght_WinWall2</f>
        <v>2.024</v>
      </c>
    </row>
    <row r="48" spans="1:20" x14ac:dyDescent="0.25">
      <c r="A48" s="2" t="s">
        <v>23</v>
      </c>
      <c r="B48" s="30">
        <f>INDEX(x1st,3)-0.5</f>
        <v>11</v>
      </c>
      <c r="C48" s="31">
        <f>INDEX(y1st,3)</f>
        <v>11.491304347826087</v>
      </c>
      <c r="D48" s="31">
        <f>INDEX(z1st,3)+0.5</f>
        <v>2.9384000000000001</v>
      </c>
      <c r="F48" s="30">
        <f>INDEX(x2nd,3)-0.5</f>
        <v>11</v>
      </c>
      <c r="G48" s="31">
        <f>INDEX(y2nd,3)</f>
        <v>11.491304347826087</v>
      </c>
      <c r="H48" s="31">
        <f>INDEX(z2nd,3)+0.5</f>
        <v>5.9863999999999997</v>
      </c>
      <c r="J48" s="30">
        <f>INDEX(x3rd,3)-0.5</f>
        <v>11</v>
      </c>
      <c r="K48" s="31">
        <f>INDEX(y3rd,3)</f>
        <v>11.491304347826087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7.5500000000000007</v>
      </c>
      <c r="C49" s="31">
        <f>INDEX(y1st,4)</f>
        <v>11.491304347826087</v>
      </c>
      <c r="D49" s="31">
        <f>INDEX(z1st,4)+0.5</f>
        <v>2.9384000000000001</v>
      </c>
      <c r="F49" s="30">
        <f>INDEX(x2nd,17)-Len_WinWall3</f>
        <v>7.5500000000000007</v>
      </c>
      <c r="G49" s="31">
        <f>INDEX(y2nd,4)</f>
        <v>11.491304347826087</v>
      </c>
      <c r="H49" s="31">
        <f>INDEX(z2nd,4)+0.5</f>
        <v>5.9863999999999997</v>
      </c>
      <c r="J49" s="30">
        <f>INDEX(x3rd,17)-Len_WinWall3</f>
        <v>7.5500000000000007</v>
      </c>
      <c r="K49" s="31">
        <f>INDEX(y3rd,4)</f>
        <v>11.491304347826087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7.5500000000000007</v>
      </c>
      <c r="C50" s="31">
        <f>INDEX(y1st,18)</f>
        <v>11.491304347826087</v>
      </c>
      <c r="D50" s="31">
        <f>INDEX(z1st,18)+Hght_WinWall3</f>
        <v>4.4623999999999997</v>
      </c>
      <c r="F50" s="30">
        <f>INDEX(x2nd,18)</f>
        <v>7.5500000000000007</v>
      </c>
      <c r="G50" s="31">
        <f>INDEX(y2nd,18)</f>
        <v>11.491304347826087</v>
      </c>
      <c r="H50" s="31">
        <f>INDEX(z2nd,18)+Hght_WinWall3</f>
        <v>7.5103999999999997</v>
      </c>
      <c r="J50" s="30">
        <f>INDEX(x3rd,18)</f>
        <v>7.5500000000000007</v>
      </c>
      <c r="K50" s="31">
        <f>INDEX(y3rd,18)</f>
        <v>11.491304347826087</v>
      </c>
      <c r="L50" s="31">
        <f>INDEX(z3rd,18)+Hght_WinWall3</f>
        <v>2.024</v>
      </c>
    </row>
    <row r="51" spans="1:12" x14ac:dyDescent="0.25">
      <c r="A51" s="2" t="s">
        <v>26</v>
      </c>
      <c r="B51" s="30">
        <f>INDEX(x1st,17)</f>
        <v>11</v>
      </c>
      <c r="C51" s="31">
        <f>INDEX(y1st,19)</f>
        <v>11.491304347826087</v>
      </c>
      <c r="D51" s="31">
        <f>INDEX(z1st,19)</f>
        <v>4.4623999999999997</v>
      </c>
      <c r="F51" s="30">
        <f>INDEX(x2nd,17)</f>
        <v>11</v>
      </c>
      <c r="G51" s="31">
        <f>INDEX(y2nd,19)</f>
        <v>11.491304347826087</v>
      </c>
      <c r="H51" s="31">
        <f>INDEX(z2nd,19)</f>
        <v>7.5103999999999997</v>
      </c>
      <c r="J51" s="30">
        <f>INDEX(x3rd,17)</f>
        <v>11</v>
      </c>
      <c r="K51" s="31">
        <f>INDEX(y3rd,19)</f>
        <v>11.491304347826087</v>
      </c>
      <c r="L51" s="31">
        <f>INDEX(z3rd,19)</f>
        <v>2.024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10.991304347826087</v>
      </c>
      <c r="D52" s="32">
        <f>INDEX(z1st,4)+0.5</f>
        <v>2.9384000000000001</v>
      </c>
      <c r="F52" s="32">
        <f>INDEX(x2nd,4)</f>
        <v>0</v>
      </c>
      <c r="G52" s="32">
        <f>INDEX(y2nd,4)-0.5</f>
        <v>10.991304347826087</v>
      </c>
      <c r="H52" s="32">
        <f>INDEX(z2nd,4)+0.5</f>
        <v>5.9863999999999997</v>
      </c>
      <c r="J52" s="32">
        <f>INDEX(x3rd,4)</f>
        <v>0</v>
      </c>
      <c r="K52" s="32">
        <f>INDEX(y3rd,4)-0.5</f>
        <v>10.991304347826087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7.5439130434782617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7.5439130434782617</v>
      </c>
      <c r="H53" s="32">
        <f>INDEX(z2nd,1)+0.5</f>
        <v>5.9863999999999997</v>
      </c>
      <c r="J53" s="32">
        <f>INDEX(x3rd,1)</f>
        <v>0</v>
      </c>
      <c r="K53" s="32">
        <f>INDEX(y3rd,21)-Len_WinWall4</f>
        <v>7.5439130434782617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7.5439130434782617</v>
      </c>
      <c r="D54" s="32">
        <f>INDEX(z1st,22)+Hght_WinWall4</f>
        <v>4.4623999999999997</v>
      </c>
      <c r="F54" s="32">
        <f>INDEX(x2nd,5)</f>
        <v>0</v>
      </c>
      <c r="G54" s="32">
        <f>INDEX(y2nd,22)</f>
        <v>7.5439130434782617</v>
      </c>
      <c r="H54" s="32">
        <f>INDEX(z2nd,22)+Hght_WinWall4</f>
        <v>7.5103999999999997</v>
      </c>
      <c r="J54" s="32">
        <f>INDEX(x3rd,5)</f>
        <v>0</v>
      </c>
      <c r="K54" s="32">
        <f>INDEX(y3rd,22)</f>
        <v>7.5439130434782617</v>
      </c>
      <c r="L54" s="32">
        <f>INDEX(z3rd,22)+Hght_WinWall4</f>
        <v>2.024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10.991304347826087</v>
      </c>
      <c r="D55" s="32">
        <f>INDEX(z1st,23)</f>
        <v>4.4623999999999997</v>
      </c>
      <c r="F55" s="32">
        <f>INDEX(x2nd,8)</f>
        <v>0</v>
      </c>
      <c r="G55" s="32">
        <f>INDEX(y2nd,21)</f>
        <v>10.991304347826087</v>
      </c>
      <c r="H55" s="32">
        <f>INDEX(z2nd,23)</f>
        <v>7.5103999999999997</v>
      </c>
      <c r="J55" s="32">
        <f>INDEX(x3rd,8)</f>
        <v>0</v>
      </c>
      <c r="K55" s="32">
        <f>INDEX(y3rd,21)</f>
        <v>10.991304347826087</v>
      </c>
      <c r="L55" s="32">
        <f>INDEX(z3rd,23)</f>
        <v>2.024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162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214.4996730434782</v>
      </c>
      <c r="F7" s="55">
        <f>+E7*10.7639</f>
        <v>2308.8530306726948</v>
      </c>
      <c r="G7" s="81">
        <f>+D7*F7</f>
        <v>22031.588697130112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214.4996730434782</v>
      </c>
      <c r="F10" s="55">
        <f>+E10*10.7639</f>
        <v>2308.8530306726948</v>
      </c>
      <c r="G10" s="81">
        <f>+D10*F10</f>
        <v>24145.471916323782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214.4996730434782</v>
      </c>
      <c r="F13" s="55">
        <f>+E13*10.7639</f>
        <v>2308.8530306726948</v>
      </c>
      <c r="G13" s="81">
        <f>+D13*F13</f>
        <v>21957.192321697326</v>
      </c>
      <c r="H13" t="s">
        <v>171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214.4996730434782</v>
      </c>
      <c r="F16" s="55">
        <f>+E16*10.7639</f>
        <v>2308.8530306726948</v>
      </c>
      <c r="G16" s="81">
        <f t="shared" ref="G16:G17" si="0">+D16*F16</f>
        <v>34632.79546009042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214.4996730434782</v>
      </c>
      <c r="F17" s="55">
        <f>+E17*10.7639</f>
        <v>2308.8530306726948</v>
      </c>
      <c r="G17" s="81">
        <f t="shared" si="0"/>
        <v>37068.635407450114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112.12399304347827</v>
      </c>
      <c r="F21" s="55">
        <f>+E21*10.7639</f>
        <v>1206.8914487206957</v>
      </c>
      <c r="G21" s="68">
        <f>+F21*D21</f>
        <v>5262.0467164222327</v>
      </c>
      <c r="H21" t="s">
        <v>172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112.12399304347827</v>
      </c>
      <c r="F24" s="55">
        <f>+E24*10.7639</f>
        <v>1206.8914487206957</v>
      </c>
      <c r="G24" s="68">
        <f>+F24*D24</f>
        <v>10741.333893614195</v>
      </c>
      <c r="H24" t="s">
        <v>173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132.15</v>
      </c>
      <c r="F26" s="55">
        <f>+E26*10.7639</f>
        <v>1422.4493849999999</v>
      </c>
      <c r="G26" s="68">
        <f>+F26*D26</f>
        <v>1308.6534342</v>
      </c>
      <c r="H26" t="s">
        <v>169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132.15</v>
      </c>
      <c r="F27" s="55">
        <f>+E27*10.7639</f>
        <v>1422.4493849999999</v>
      </c>
      <c r="G27" s="68">
        <f>+F27*D27</f>
        <v>1422.4493849999999</v>
      </c>
      <c r="H27" t="s">
        <v>170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163</v>
      </c>
      <c r="C37" s="47" t="s">
        <v>164</v>
      </c>
      <c r="D37" s="81">
        <f>+'[1]UNIT COSTS'!$H$63</f>
        <v>70.596743144418141</v>
      </c>
      <c r="E37" s="47">
        <f>total_window_area</f>
        <v>37.852883478260864</v>
      </c>
      <c r="F37" s="55">
        <f t="shared" ref="F37:F40" si="1">+E37*10.7639</f>
        <v>407.44465247165209</v>
      </c>
      <c r="G37" s="68">
        <f>+D37*F37</f>
        <v>28764.265476107936</v>
      </c>
    </row>
    <row r="38" spans="2:7" x14ac:dyDescent="0.25">
      <c r="B38" t="s">
        <v>165</v>
      </c>
      <c r="C38" s="47" t="s">
        <v>164</v>
      </c>
      <c r="D38" s="81">
        <f>+'[1]UNIT COSTS'!$H$64</f>
        <v>70.596743144418141</v>
      </c>
      <c r="E38" s="89">
        <f>total_window_area</f>
        <v>37.852883478260864</v>
      </c>
      <c r="F38" s="55">
        <f t="shared" si="1"/>
        <v>407.44465247165209</v>
      </c>
      <c r="G38" s="68">
        <f t="shared" ref="G38:G40" si="2">+D38*F38</f>
        <v>28764.265476107936</v>
      </c>
    </row>
    <row r="39" spans="2:7" x14ac:dyDescent="0.25">
      <c r="B39" t="s">
        <v>166</v>
      </c>
      <c r="C39" s="47" t="s">
        <v>164</v>
      </c>
      <c r="D39" s="81">
        <f>+'[1]UNIT COSTS'!$H$65</f>
        <v>78.848804332674945</v>
      </c>
      <c r="E39" s="89">
        <f>total_window_area</f>
        <v>37.852883478260864</v>
      </c>
      <c r="F39" s="55">
        <f t="shared" si="1"/>
        <v>407.44465247165209</v>
      </c>
      <c r="G39" s="68">
        <f t="shared" si="2"/>
        <v>32126.523679132039</v>
      </c>
    </row>
    <row r="40" spans="2:7" x14ac:dyDescent="0.25">
      <c r="B40" t="s">
        <v>167</v>
      </c>
      <c r="C40" s="47" t="s">
        <v>164</v>
      </c>
      <c r="D40" s="81">
        <f>+'[1]UNIT COSTS'!$H$66</f>
        <v>78.848804332674945</v>
      </c>
      <c r="E40" s="89">
        <f>total_window_area</f>
        <v>37.852883478260864</v>
      </c>
      <c r="F40" s="55">
        <f t="shared" si="1"/>
        <v>407.44465247165209</v>
      </c>
      <c r="G40" s="68">
        <f t="shared" si="2"/>
        <v>32126.523679132039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3" t="s">
        <v>45</v>
      </c>
      <c r="J3" s="93"/>
      <c r="K3" s="93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6" t="s">
        <v>84</v>
      </c>
      <c r="C26" s="96"/>
      <c r="D26" s="96"/>
      <c r="F26" s="96" t="s">
        <v>90</v>
      </c>
      <c r="G26" s="96"/>
      <c r="H26" s="96"/>
      <c r="J26" s="96" t="s">
        <v>91</v>
      </c>
      <c r="K26" s="96"/>
      <c r="L26" s="96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2014-11-28T13:05:48Z</dcterms:modified>
</cp:coreProperties>
</file>