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980" yWindow="-15" windowWidth="14835" windowHeight="14325"/>
  </bookViews>
  <sheets>
    <sheet name="geometry calculation" sheetId="1" r:id="rId1"/>
  </sheets>
  <definedNames>
    <definedName name="AG_FloorArea" comment="Above grade floor area">'geometry calculation'!$C$2</definedName>
    <definedName name="AreaBase6">'geometry calculation'!$H$8</definedName>
    <definedName name="AreaTop5">'geometry calculation'!$H$7</definedName>
    <definedName name="AreaWall1" comment="Wall 1 area">'geometry calculation'!$H$3</definedName>
    <definedName name="AreaWall2" comment="Area of wall 2">'geometry calculation'!$H$4</definedName>
    <definedName name="AreaWall3" comment="Area of wall 3">'geometry calculation'!$H$5</definedName>
    <definedName name="AreaWall4" comment="Area of wall 4">'geometry calculation'!$H$6</definedName>
    <definedName name="AreaWinWall1">'geometry calculation'!$H$9</definedName>
    <definedName name="AreaWinWall2">'geometry calculation'!$H$10</definedName>
    <definedName name="AreaWinWall3">'geometry calculation'!$H$11</definedName>
    <definedName name="AreaWinWall4">'geometry calculation'!$H$12</definedName>
    <definedName name="Hght_Flr1" comment="Height of floor 1 (ground floor)">'geometry calculation'!$C$8</definedName>
    <definedName name="Hght_Flr2" comment="Height of floor 2">'geometry calculation'!$C$9</definedName>
    <definedName name="Hght_Flr3" comment="Height of floor 3">'geometry calculation'!#REF!</definedName>
    <definedName name="Hght_WinWall1">'geometry calculation'!$K$9</definedName>
    <definedName name="Hght_WinWall2">'geometry calculation'!$K$10</definedName>
    <definedName name="Hght_WinWall3">'geometry calculation'!$K$11</definedName>
    <definedName name="Hght_WinWall4">'geometry calculation'!$K$12</definedName>
    <definedName name="Len_WinWall1">'geometry calculation'!$J$9</definedName>
    <definedName name="Len_WinWall2">'geometry calculation'!$J$10</definedName>
    <definedName name="Len_WinWall3">'geometry calculation'!$J$11</definedName>
    <definedName name="Len_WinWall4">'geometry calculation'!$J$12</definedName>
    <definedName name="NumStoreys" comment="Number of storeys above grade">'geometry calculation'!$C$3</definedName>
    <definedName name="Opt_Area" comment="Flor area per storey">'geometry calculation'!$C$4</definedName>
    <definedName name="Opt_Bsm_Depth" comment="Basement depth below grade">'geometry calculation'!$C$11</definedName>
    <definedName name="Opt_Bsm_Height" comment="Basement wall height">'geometry calculation'!$C$10</definedName>
    <definedName name="Opt_Length" comment="Length of first floor (footprint length)">'geometry calculation'!$C$6</definedName>
    <definedName name="Opt_Main_Height">'geometry calculation'!$C$12</definedName>
    <definedName name="Opt_Roof_Peak_W">'geometry calculation'!$C$13</definedName>
    <definedName name="Opt_Width" comment="Width of first floor plan (footprint width)">'geometry calculation'!$C$5</definedName>
    <definedName name="Roof_Slope1">'geometry calculation'!$H$15</definedName>
    <definedName name="Roof_Slope2">'geometry calculation'!#REF!</definedName>
    <definedName name="win_bottom">'geometry calculation'!$C$14</definedName>
    <definedName name="win_top">'geometry calculation'!$C$15</definedName>
    <definedName name="win_wall_1_left">'geometry calculation'!$C$17</definedName>
    <definedName name="win_wall_1_right">'geometry calculation'!$C$16</definedName>
    <definedName name="win_wall_2_left">'geometry calculation'!$C$19</definedName>
    <definedName name="win_wall_2_right">'geometry calculation'!$C$18</definedName>
    <definedName name="win_wall_3_left">'geometry calculation'!$C$21</definedName>
    <definedName name="win_wall_3_right">'geometry calculation'!$C$20</definedName>
    <definedName name="win_wall_4_left">'geometry calculation'!$C$23</definedName>
    <definedName name="win_wall_4_right">'geometry calculation'!$C$22</definedName>
    <definedName name="WinAreaRatio" comment="Window area ratio">'geometry calculation'!$C$7</definedName>
    <definedName name="x" comment="x-coordinates for all vertices">'geometry calculation'!$B$27:$B$50</definedName>
    <definedName name="y" comment="y-coordinates of all vertices">'geometry calculation'!$C$27:$C$50</definedName>
    <definedName name="z" comment="z-coordinates of all vertices">'geometry calculation'!$D$27:$D$50</definedName>
  </definedNames>
  <calcPr calcId="145621"/>
</workbook>
</file>

<file path=xl/calcChain.xml><?xml version="1.0" encoding="utf-8"?>
<calcChain xmlns="http://schemas.openxmlformats.org/spreadsheetml/2006/main">
  <c r="D43" i="1" l="1"/>
  <c r="D40" i="1"/>
  <c r="D39" i="1"/>
  <c r="C47" i="1"/>
  <c r="C50" i="1" s="1"/>
  <c r="C44" i="1"/>
  <c r="C45" i="1" s="1"/>
  <c r="C46" i="1" s="1"/>
  <c r="C43" i="1"/>
  <c r="C42" i="1"/>
  <c r="C39" i="1"/>
  <c r="C38" i="1"/>
  <c r="C37" i="1"/>
  <c r="C36" i="1"/>
  <c r="C35" i="1"/>
  <c r="C34" i="1"/>
  <c r="C33" i="1"/>
  <c r="C30" i="1"/>
  <c r="C29" i="1"/>
  <c r="B50" i="1"/>
  <c r="B49" i="1"/>
  <c r="B48" i="1"/>
  <c r="B47" i="1"/>
  <c r="B43" i="1"/>
  <c r="B46" i="1" s="1"/>
  <c r="B42" i="1"/>
  <c r="B41" i="1"/>
  <c r="B40" i="1"/>
  <c r="B39" i="1"/>
  <c r="B35" i="1"/>
  <c r="B38" i="1" s="1"/>
  <c r="B33" i="1"/>
  <c r="B32" i="1"/>
  <c r="B29" i="1"/>
  <c r="B28" i="1"/>
  <c r="D30" i="1"/>
  <c r="D47" i="1" s="1"/>
  <c r="D29" i="1"/>
  <c r="D28" i="1"/>
  <c r="D27" i="1"/>
  <c r="D48" i="1" s="1"/>
  <c r="D44" i="1" l="1"/>
  <c r="D35" i="1"/>
  <c r="D36" i="1"/>
  <c r="C12" i="1"/>
  <c r="C4" i="1"/>
  <c r="C6" i="1" s="1"/>
  <c r="D33" i="1" l="1"/>
  <c r="D32" i="1"/>
  <c r="D31" i="1"/>
  <c r="D34" i="1"/>
  <c r="K10" i="1"/>
  <c r="K11" i="1"/>
  <c r="D45" i="1" s="1"/>
  <c r="D46" i="1" s="1"/>
  <c r="K12" i="1"/>
  <c r="D49" i="1" s="1"/>
  <c r="D50" i="1" s="1"/>
  <c r="K9" i="1"/>
  <c r="C5" i="1"/>
  <c r="D42" i="1" l="1"/>
  <c r="D41" i="1"/>
  <c r="D38" i="1"/>
  <c r="D37" i="1"/>
  <c r="C13" i="1"/>
  <c r="H15" i="1" l="1"/>
  <c r="H16" i="1" s="1"/>
  <c r="C18" i="1" l="1"/>
  <c r="C16" i="1"/>
  <c r="C14" i="1" l="1"/>
  <c r="C15" i="1" l="1"/>
  <c r="H6" i="1" l="1"/>
  <c r="H12" i="1" s="1"/>
  <c r="J12" i="1" s="1"/>
  <c r="C48" i="1" s="1"/>
  <c r="C49" i="1" s="1"/>
  <c r="H4" i="1"/>
  <c r="H10" i="1" s="1"/>
  <c r="J10" i="1" s="1"/>
  <c r="C41" i="1" s="1"/>
  <c r="C40" i="1" l="1"/>
  <c r="H3" i="1"/>
  <c r="H9" i="1" s="1"/>
  <c r="J9" i="1" s="1"/>
  <c r="B37" i="1" s="1"/>
  <c r="H7" i="1"/>
  <c r="C22" i="1"/>
  <c r="B36" i="1" l="1"/>
  <c r="H8" i="1"/>
  <c r="H5" i="1"/>
  <c r="H11" i="1" s="1"/>
  <c r="J11" i="1" s="1"/>
  <c r="B44" i="1" s="1"/>
  <c r="B45" i="1" s="1"/>
  <c r="C23" i="1"/>
  <c r="C20" i="1"/>
  <c r="C19" i="1"/>
  <c r="C17" i="1" l="1"/>
  <c r="C21" i="1"/>
</calcChain>
</file>

<file path=xl/comments1.xml><?xml version="1.0" encoding="utf-8"?>
<comments xmlns="http://schemas.openxmlformats.org/spreadsheetml/2006/main">
  <authors>
    <author>Purdy, Julia</author>
  </authors>
  <commentList>
    <comment ref="C5" authorId="0">
      <text>
        <r>
          <rPr>
            <b/>
            <sz val="8"/>
            <color indexed="81"/>
            <rFont val="Tahoma"/>
            <family val="2"/>
          </rPr>
          <t>Purdy, Julia:</t>
        </r>
        <r>
          <rPr>
            <sz val="8"/>
            <color indexed="81"/>
            <rFont val="Tahoma"/>
            <family val="2"/>
          </rPr>
          <t xml:space="preserve">
Must be the larger of the two dimensions
</t>
        </r>
      </text>
    </comment>
  </commentList>
</comments>
</file>

<file path=xl/sharedStrings.xml><?xml version="1.0" encoding="utf-8"?>
<sst xmlns="http://schemas.openxmlformats.org/spreadsheetml/2006/main" count="109" uniqueCount="91">
  <si>
    <t>%</t>
  </si>
  <si>
    <t>m²</t>
  </si>
  <si>
    <t>Length</t>
  </si>
  <si>
    <t>Width</t>
  </si>
  <si>
    <t>m</t>
  </si>
  <si>
    <t>x</t>
  </si>
  <si>
    <t>y</t>
  </si>
  <si>
    <t>z</t>
  </si>
  <si>
    <t>&lt;Opt-Bsm-Height&gt;</t>
  </si>
  <si>
    <t>&lt;Opt-Area&gt;</t>
  </si>
  <si>
    <t>vertex 1</t>
  </si>
  <si>
    <t>vertex 2</t>
  </si>
  <si>
    <t>vertex 3</t>
  </si>
  <si>
    <t>vertex 4</t>
  </si>
  <si>
    <t>vertex 5</t>
  </si>
  <si>
    <t>vertex 6</t>
  </si>
  <si>
    <t>vertex 7</t>
  </si>
  <si>
    <t>vertex 8</t>
  </si>
  <si>
    <t>vertex 9</t>
  </si>
  <si>
    <t>vertex 10</t>
  </si>
  <si>
    <t>vertex 11</t>
  </si>
  <si>
    <t>vertex 12</t>
  </si>
  <si>
    <t>vertex 13</t>
  </si>
  <si>
    <t>vertex 14</t>
  </si>
  <si>
    <t>vertex 15</t>
  </si>
  <si>
    <t>vertex 16</t>
  </si>
  <si>
    <t>vertex 17</t>
  </si>
  <si>
    <t>vertex 18</t>
  </si>
  <si>
    <t>vertex 19</t>
  </si>
  <si>
    <t>vertex 20</t>
  </si>
  <si>
    <t>vertex 21</t>
  </si>
  <si>
    <t>vertex 22</t>
  </si>
  <si>
    <t>vertex 23</t>
  </si>
  <si>
    <t>vertex 24</t>
  </si>
  <si>
    <t>Basement wall height</t>
  </si>
  <si>
    <t>&lt;Opt-Main-Height&gt;</t>
  </si>
  <si>
    <t>1,2,6,5</t>
  </si>
  <si>
    <t>2,3,7,6</t>
  </si>
  <si>
    <t>3,4,8,7</t>
  </si>
  <si>
    <t>4,1,5,8</t>
  </si>
  <si>
    <t xml:space="preserve">5,6,7,8 </t>
  </si>
  <si>
    <t xml:space="preserve">1,4,3,2 </t>
  </si>
  <si>
    <t>wall-1</t>
  </si>
  <si>
    <t>wall-2</t>
  </si>
  <si>
    <t>wall-3</t>
  </si>
  <si>
    <t>wall-4</t>
  </si>
  <si>
    <t>top-5</t>
  </si>
  <si>
    <t>base-6</t>
  </si>
  <si>
    <t>Area</t>
  </si>
  <si>
    <t>win-wall-1</t>
  </si>
  <si>
    <t>win-wall-2</t>
  </si>
  <si>
    <t>win-wall-3</t>
  </si>
  <si>
    <t>win-wall-4</t>
  </si>
  <si>
    <t>9,10,11,12</t>
  </si>
  <si>
    <t>13,14,15,16</t>
  </si>
  <si>
    <t>17,18,19,20</t>
  </si>
  <si>
    <t>21,22,23,24</t>
  </si>
  <si>
    <t>vertex points</t>
  </si>
  <si>
    <t>&lt;win-wall-1-right&gt;</t>
  </si>
  <si>
    <t>&lt;win-wall-1-left&gt;</t>
  </si>
  <si>
    <t>&lt;win-wall-2-right&gt;</t>
  </si>
  <si>
    <t>&lt;win-wall-2-left&gt;</t>
  </si>
  <si>
    <t>&lt;win-bottom&gt;</t>
  </si>
  <si>
    <t>&lt;win-top&gt;</t>
  </si>
  <si>
    <t>&lt;win-wall-3-right&gt;</t>
  </si>
  <si>
    <t>&lt;win-wall-3-left&gt;</t>
  </si>
  <si>
    <t>&lt;win-wall-4-right&gt;</t>
  </si>
  <si>
    <t>&lt;win-wall-4-left&gt;</t>
  </si>
  <si>
    <t>&lt;Opt-Bsm-Depth&gt;</t>
  </si>
  <si>
    <t xml:space="preserve"> &lt;Opt-Roof-Height&gt;</t>
  </si>
  <si>
    <t>roof-slope</t>
  </si>
  <si>
    <t>8/12</t>
  </si>
  <si>
    <t>Window Geometry Calculations</t>
  </si>
  <si>
    <t>Number of storeys</t>
  </si>
  <si>
    <t>Total floor area (above grade)</t>
  </si>
  <si>
    <t>Floor area per storey</t>
  </si>
  <si>
    <t>Window area ratio</t>
  </si>
  <si>
    <t>Height of basement + main wall</t>
  </si>
  <si>
    <t>First floor height</t>
  </si>
  <si>
    <t>Second floor height</t>
  </si>
  <si>
    <t>Basement depth below grade</t>
  </si>
  <si>
    <t>Surface name</t>
  </si>
  <si>
    <t>Surface #</t>
  </si>
  <si>
    <t>Window length</t>
  </si>
  <si>
    <t>Window height</t>
  </si>
  <si>
    <t>&lt;Opt-Roof-Peak-W&gt;</t>
  </si>
  <si>
    <t>&lt;Opt-Width&gt;</t>
  </si>
  <si>
    <t>&lt;Opt-Length&gt;</t>
  </si>
  <si>
    <t>Floor 1</t>
  </si>
  <si>
    <t>(Ground)</t>
  </si>
  <si>
    <t>Floor 1 (Ground)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</si>
</sst>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1" fillId="0" borderId="0" xfId="0" applyFont="1"/>
    <xf numFmtId="164" fontId="4" fillId="0" borderId="0" xfId="0" applyNumberFormat="1" applyFont="1"/>
    <xf numFmtId="164" fontId="4" fillId="0" borderId="0" xfId="0" applyNumberFormat="1" applyFont="1" applyAlignment="1">
      <alignment horizontal="center"/>
    </xf>
    <xf numFmtId="0" fontId="0" fillId="0" borderId="0" xfId="0" quotePrefix="1"/>
    <xf numFmtId="0" fontId="1" fillId="2" borderId="0" xfId="0" applyFont="1" applyFill="1"/>
    <xf numFmtId="2" fontId="0" fillId="2" borderId="0" xfId="0" applyNumberFormat="1" applyFont="1" applyFill="1"/>
    <xf numFmtId="0" fontId="1" fillId="0" borderId="1" xfId="0" applyFont="1" applyBorder="1"/>
    <xf numFmtId="0" fontId="0" fillId="0" borderId="1" xfId="0" applyBorder="1"/>
    <xf numFmtId="0" fontId="3" fillId="2" borderId="0" xfId="0" applyFont="1" applyFill="1"/>
    <xf numFmtId="164" fontId="3" fillId="2" borderId="0" xfId="0" applyNumberFormat="1" applyFont="1" applyFill="1"/>
    <xf numFmtId="0" fontId="4" fillId="2" borderId="0" xfId="0" applyFont="1" applyFill="1"/>
    <xf numFmtId="164" fontId="4" fillId="2" borderId="0" xfId="0" applyNumberFormat="1" applyFont="1" applyFill="1"/>
    <xf numFmtId="164" fontId="2" fillId="2" borderId="0" xfId="0" applyNumberFormat="1" applyFont="1" applyFill="1"/>
    <xf numFmtId="0" fontId="5" fillId="2" borderId="0" xfId="0" applyFont="1" applyFill="1"/>
    <xf numFmtId="164" fontId="5" fillId="2" borderId="0" xfId="0" applyNumberFormat="1" applyFont="1" applyFill="1"/>
    <xf numFmtId="0" fontId="0" fillId="0" borderId="3" xfId="0" applyFont="1" applyFill="1" applyBorder="1"/>
    <xf numFmtId="0" fontId="0" fillId="0" borderId="2" xfId="0" applyFont="1" applyFill="1" applyBorder="1"/>
    <xf numFmtId="0" fontId="0" fillId="0" borderId="2" xfId="0" applyFont="1" applyBorder="1"/>
    <xf numFmtId="0" fontId="1" fillId="0" borderId="2" xfId="0" applyFont="1" applyBorder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/>
    <xf numFmtId="165" fontId="0" fillId="0" borderId="2" xfId="0" applyNumberFormat="1" applyBorder="1"/>
    <xf numFmtId="0" fontId="6" fillId="2" borderId="0" xfId="0" applyFont="1" applyFill="1"/>
    <xf numFmtId="164" fontId="5" fillId="2" borderId="0" xfId="0" applyNumberFormat="1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0"/>
  <sheetViews>
    <sheetView tabSelected="1" zoomScale="80" zoomScaleNormal="80" workbookViewId="0">
      <selection activeCell="C13" sqref="C13"/>
    </sheetView>
  </sheetViews>
  <sheetFormatPr defaultRowHeight="15" x14ac:dyDescent="0.25"/>
  <cols>
    <col min="1" max="1" width="29.28515625" bestFit="1" customWidth="1"/>
    <col min="2" max="2" width="19.42578125" bestFit="1" customWidth="1"/>
    <col min="3" max="3" width="7.42578125" customWidth="1"/>
    <col min="4" max="4" width="10.42578125" customWidth="1"/>
    <col min="6" max="6" width="18.42578125" bestFit="1" customWidth="1"/>
    <col min="7" max="7" width="12" customWidth="1"/>
    <col min="9" max="9" width="6.5703125" customWidth="1"/>
    <col min="10" max="11" width="14.7109375" bestFit="1" customWidth="1"/>
  </cols>
  <sheetData>
    <row r="1" spans="1:11" ht="18.75" x14ac:dyDescent="0.3">
      <c r="A1" s="40" t="s">
        <v>72</v>
      </c>
      <c r="B1" s="1"/>
      <c r="C1" s="1"/>
      <c r="D1" s="1"/>
    </row>
    <row r="2" spans="1:11" ht="15.75" thickBot="1" x14ac:dyDescent="0.3">
      <c r="A2" s="1" t="s">
        <v>74</v>
      </c>
      <c r="B2" s="1"/>
      <c r="C2" s="23">
        <v>222.8</v>
      </c>
      <c r="D2" s="1" t="s">
        <v>1</v>
      </c>
      <c r="E2" s="7" t="s">
        <v>88</v>
      </c>
      <c r="F2" s="13" t="s">
        <v>81</v>
      </c>
      <c r="G2" s="13" t="s">
        <v>82</v>
      </c>
      <c r="H2" s="13" t="s">
        <v>48</v>
      </c>
    </row>
    <row r="3" spans="1:11" x14ac:dyDescent="0.25">
      <c r="A3" s="1" t="s">
        <v>73</v>
      </c>
      <c r="B3" s="1"/>
      <c r="C3" s="22">
        <v>2</v>
      </c>
      <c r="D3" s="1"/>
      <c r="E3" s="41" t="s">
        <v>89</v>
      </c>
      <c r="F3" t="s">
        <v>42</v>
      </c>
      <c r="G3" t="s">
        <v>36</v>
      </c>
      <c r="H3" s="35">
        <f>+(INDEX(x,2)-INDEX(x,1))*(INDEX(z,7)-INDEX(z,2))</f>
        <v>29.447389357971954</v>
      </c>
      <c r="I3" t="s">
        <v>1</v>
      </c>
    </row>
    <row r="4" spans="1:11" x14ac:dyDescent="0.25">
      <c r="A4" s="1" t="s">
        <v>75</v>
      </c>
      <c r="B4" s="1" t="s">
        <v>9</v>
      </c>
      <c r="C4" s="11">
        <f>+AG_FloorArea/NumStoreys</f>
        <v>111.4</v>
      </c>
      <c r="D4" s="7" t="s">
        <v>1</v>
      </c>
      <c r="F4" t="s">
        <v>43</v>
      </c>
      <c r="G4" t="s">
        <v>37</v>
      </c>
      <c r="H4" s="35">
        <f>+(INDEX(y,3)-INDEX(y,2))*(INDEX(z,7)-(INDEX(z,3)))</f>
        <v>29.447389357971954</v>
      </c>
      <c r="I4" t="s">
        <v>1</v>
      </c>
    </row>
    <row r="5" spans="1:11" x14ac:dyDescent="0.25">
      <c r="A5" s="1" t="s">
        <v>3</v>
      </c>
      <c r="B5" t="s">
        <v>86</v>
      </c>
      <c r="C5" s="12">
        <f>+SQRT(Opt_Area)</f>
        <v>10.554619841567009</v>
      </c>
      <c r="D5" s="1" t="s">
        <v>4</v>
      </c>
      <c r="F5" t="s">
        <v>44</v>
      </c>
      <c r="G5" t="s">
        <v>38</v>
      </c>
      <c r="H5" s="35">
        <f>(INDEX(x,3)-INDEX(x,4))*(INDEX(z,7)-INDEX(z,4))</f>
        <v>29.447389357971954</v>
      </c>
      <c r="I5" t="s">
        <v>1</v>
      </c>
    </row>
    <row r="6" spans="1:11" x14ac:dyDescent="0.25">
      <c r="A6" s="1" t="s">
        <v>2</v>
      </c>
      <c r="B6" t="s">
        <v>87</v>
      </c>
      <c r="C6" s="12">
        <f>+SQRT(Opt_Area)</f>
        <v>10.554619841567009</v>
      </c>
      <c r="D6" s="1" t="s">
        <v>4</v>
      </c>
      <c r="E6" s="1"/>
      <c r="F6" t="s">
        <v>45</v>
      </c>
      <c r="G6" t="s">
        <v>39</v>
      </c>
      <c r="H6" s="35">
        <f>(INDEX(y,4)-INDEX(y,1))*(INDEX(z,8)-INDEX(z,4))</f>
        <v>29.447389357971954</v>
      </c>
      <c r="I6" t="s">
        <v>1</v>
      </c>
    </row>
    <row r="7" spans="1:11" x14ac:dyDescent="0.25">
      <c r="A7" s="1" t="s">
        <v>76</v>
      </c>
      <c r="B7" s="1"/>
      <c r="C7" s="24">
        <v>14</v>
      </c>
      <c r="D7" s="1" t="s">
        <v>0</v>
      </c>
      <c r="F7" t="s">
        <v>46</v>
      </c>
      <c r="G7" t="s">
        <v>40</v>
      </c>
      <c r="H7" s="35">
        <f>INDEX(x,6)*INDEX(y,7)</f>
        <v>111.39999999999999</v>
      </c>
      <c r="I7" t="s">
        <v>1</v>
      </c>
    </row>
    <row r="8" spans="1:11" ht="15.75" thickBot="1" x14ac:dyDescent="0.3">
      <c r="A8" s="1" t="s">
        <v>78</v>
      </c>
      <c r="B8" s="1"/>
      <c r="C8" s="24">
        <v>2.79</v>
      </c>
      <c r="D8" s="7" t="s">
        <v>4</v>
      </c>
      <c r="F8" t="s">
        <v>47</v>
      </c>
      <c r="G8" t="s">
        <v>41</v>
      </c>
      <c r="H8" s="35">
        <f>INDEX(x,3)*INDEX(y,4)</f>
        <v>111.39999999999999</v>
      </c>
      <c r="I8" t="s">
        <v>1</v>
      </c>
      <c r="J8" s="14" t="s">
        <v>83</v>
      </c>
      <c r="K8" s="14" t="s">
        <v>84</v>
      </c>
    </row>
    <row r="9" spans="1:11" x14ac:dyDescent="0.25">
      <c r="A9" s="1" t="s">
        <v>79</v>
      </c>
      <c r="B9" s="1"/>
      <c r="C9" s="24">
        <v>2.44</v>
      </c>
      <c r="D9" s="7" t="s">
        <v>4</v>
      </c>
      <c r="F9" s="3" t="s">
        <v>49</v>
      </c>
      <c r="G9" s="3" t="s">
        <v>53</v>
      </c>
      <c r="H9" s="16">
        <f>AreaWall1*WinAreaRatio/100</f>
        <v>4.1226345101160735</v>
      </c>
      <c r="I9" s="3" t="s">
        <v>1</v>
      </c>
      <c r="J9" s="29">
        <f>AreaWinWall1/Hght_WinWall1</f>
        <v>2.9552935556387623</v>
      </c>
      <c r="K9" s="28">
        <f>(Opt_Main_Height-Opt_Bsm_Height)/2</f>
        <v>1.395</v>
      </c>
    </row>
    <row r="10" spans="1:11" x14ac:dyDescent="0.25">
      <c r="A10" s="1" t="s">
        <v>34</v>
      </c>
      <c r="B10" s="1" t="s">
        <v>8</v>
      </c>
      <c r="C10" s="25">
        <v>2.5099999999999998</v>
      </c>
      <c r="D10" s="7" t="s">
        <v>4</v>
      </c>
      <c r="F10" s="4" t="s">
        <v>50</v>
      </c>
      <c r="G10" s="4" t="s">
        <v>54</v>
      </c>
      <c r="H10" s="18">
        <f>AreaWall2*WinAreaRatio/100</f>
        <v>4.1226345101160735</v>
      </c>
      <c r="I10" s="4" t="s">
        <v>1</v>
      </c>
      <c r="J10" s="30">
        <f>AreaWinWall2/Hght_WinWall2</f>
        <v>2.9552935556387623</v>
      </c>
      <c r="K10" s="31">
        <f>(Opt_Main_Height-Opt_Bsm_Height)/2</f>
        <v>1.395</v>
      </c>
    </row>
    <row r="11" spans="1:11" x14ac:dyDescent="0.25">
      <c r="A11" s="1" t="s">
        <v>80</v>
      </c>
      <c r="B11" s="1" t="s">
        <v>68</v>
      </c>
      <c r="C11" s="25">
        <v>1.98</v>
      </c>
      <c r="D11" s="7" t="s">
        <v>4</v>
      </c>
      <c r="F11" s="2" t="s">
        <v>51</v>
      </c>
      <c r="G11" s="2" t="s">
        <v>55</v>
      </c>
      <c r="H11" s="19">
        <f>AreaWall3*WinAreaRatio/100</f>
        <v>4.1226345101160735</v>
      </c>
      <c r="I11" s="2" t="s">
        <v>1</v>
      </c>
      <c r="J11" s="32">
        <f>AreaWinWall3/Hght_WinWall3</f>
        <v>2.9552935556387623</v>
      </c>
      <c r="K11" s="33">
        <f>(Opt_Main_Height-Opt_Bsm_Height)/2</f>
        <v>1.395</v>
      </c>
    </row>
    <row r="12" spans="1:11" x14ac:dyDescent="0.25">
      <c r="A12" s="1" t="s">
        <v>77</v>
      </c>
      <c r="B12" s="1" t="s">
        <v>35</v>
      </c>
      <c r="C12" s="11">
        <f>Hght_Flr1+Opt_Bsm_Height</f>
        <v>5.3</v>
      </c>
      <c r="F12" s="6" t="s">
        <v>52</v>
      </c>
      <c r="G12" s="6" t="s">
        <v>56</v>
      </c>
      <c r="H12" s="21">
        <f>AreaWall4*WinAreaRatio/100</f>
        <v>4.1226345101160735</v>
      </c>
      <c r="I12" s="6" t="s">
        <v>1</v>
      </c>
      <c r="J12" s="38">
        <f>AreaWinWall4/Hght_WinWall4</f>
        <v>2.9552935556387623</v>
      </c>
      <c r="K12" s="34">
        <f>(Opt_Main_Height-Opt_Bsm_Height)/2</f>
        <v>1.395</v>
      </c>
    </row>
    <row r="13" spans="1:11" x14ac:dyDescent="0.25">
      <c r="A13" s="1"/>
      <c r="B13" s="7" t="s">
        <v>85</v>
      </c>
      <c r="C13" s="11">
        <f>Opt_Width/2</f>
        <v>5.2773099207835044</v>
      </c>
      <c r="D13" s="1"/>
    </row>
    <row r="14" spans="1:11" x14ac:dyDescent="0.25">
      <c r="B14" s="3" t="s">
        <v>62</v>
      </c>
      <c r="C14" s="15">
        <f>INDEX(z,10)</f>
        <v>3.01</v>
      </c>
      <c r="D14" s="1"/>
      <c r="F14" s="4"/>
      <c r="G14" s="4"/>
      <c r="H14" s="8"/>
      <c r="I14" s="4"/>
      <c r="J14" s="9"/>
      <c r="K14" s="5"/>
    </row>
    <row r="15" spans="1:11" x14ac:dyDescent="0.25">
      <c r="A15" s="1"/>
      <c r="B15" s="3" t="s">
        <v>63</v>
      </c>
      <c r="C15" s="15">
        <f>INDEX(z,12)</f>
        <v>4.4049999999999994</v>
      </c>
      <c r="F15" t="s">
        <v>70</v>
      </c>
      <c r="G15" s="10" t="s">
        <v>71</v>
      </c>
      <c r="H15" s="36">
        <f>8/12</f>
        <v>0.66666666666666663</v>
      </c>
    </row>
    <row r="16" spans="1:11" x14ac:dyDescent="0.25">
      <c r="A16" s="1"/>
      <c r="B16" s="3" t="s">
        <v>58</v>
      </c>
      <c r="C16" s="15">
        <f>INDEX(x,9)</f>
        <v>0.5</v>
      </c>
      <c r="F16" t="s">
        <v>69</v>
      </c>
      <c r="G16" s="10" t="s">
        <v>71</v>
      </c>
      <c r="H16" s="37">
        <f>Opt_Main_Height+Hght_Flr2+(Opt_Width*Roof_Slope1)</f>
        <v>14.776413227711339</v>
      </c>
      <c r="I16" s="7" t="s">
        <v>4</v>
      </c>
    </row>
    <row r="17" spans="1:4" x14ac:dyDescent="0.25">
      <c r="A17" s="1"/>
      <c r="B17" s="3" t="s">
        <v>59</v>
      </c>
      <c r="C17" s="16">
        <f>INDEX(x,10)</f>
        <v>3.4552935556387623</v>
      </c>
    </row>
    <row r="18" spans="1:4" x14ac:dyDescent="0.25">
      <c r="A18" s="1"/>
      <c r="B18" s="4" t="s">
        <v>60</v>
      </c>
      <c r="C18" s="17">
        <f>INDEX(y,13)</f>
        <v>0.5</v>
      </c>
    </row>
    <row r="19" spans="1:4" x14ac:dyDescent="0.25">
      <c r="B19" s="4" t="s">
        <v>61</v>
      </c>
      <c r="C19" s="18">
        <f>INDEX(y,14)</f>
        <v>3.4552935556387623</v>
      </c>
    </row>
    <row r="20" spans="1:4" x14ac:dyDescent="0.25">
      <c r="B20" s="2" t="s">
        <v>64</v>
      </c>
      <c r="C20" s="19">
        <f>INDEX(x,17)</f>
        <v>10.054619841567009</v>
      </c>
    </row>
    <row r="21" spans="1:4" x14ac:dyDescent="0.25">
      <c r="B21" s="2" t="s">
        <v>65</v>
      </c>
      <c r="C21" s="19">
        <f>INDEX(x,18)</f>
        <v>7.099326285928246</v>
      </c>
    </row>
    <row r="22" spans="1:4" x14ac:dyDescent="0.25">
      <c r="B22" s="6" t="s">
        <v>66</v>
      </c>
      <c r="C22" s="20">
        <f>INDEX(y,21)</f>
        <v>10.054619841567009</v>
      </c>
    </row>
    <row r="23" spans="1:4" x14ac:dyDescent="0.25">
      <c r="B23" s="6" t="s">
        <v>67</v>
      </c>
      <c r="C23" s="21">
        <f>INDEX(y,22)</f>
        <v>7.099326285928246</v>
      </c>
    </row>
    <row r="24" spans="1:4" x14ac:dyDescent="0.25">
      <c r="B24" s="6"/>
      <c r="C24" s="21"/>
    </row>
    <row r="25" spans="1:4" x14ac:dyDescent="0.25">
      <c r="A25" s="7" t="s">
        <v>90</v>
      </c>
    </row>
    <row r="26" spans="1:4" ht="15.75" thickBot="1" x14ac:dyDescent="0.3">
      <c r="A26" s="13" t="s">
        <v>57</v>
      </c>
      <c r="B26" s="39" t="s">
        <v>5</v>
      </c>
      <c r="C26" s="39" t="s">
        <v>6</v>
      </c>
      <c r="D26" s="39" t="s">
        <v>7</v>
      </c>
    </row>
    <row r="27" spans="1:4" x14ac:dyDescent="0.25">
      <c r="A27" t="s">
        <v>10</v>
      </c>
      <c r="B27" s="26">
        <v>0</v>
      </c>
      <c r="C27" s="26">
        <v>0</v>
      </c>
      <c r="D27" s="26">
        <f>Opt_Bsm_Height</f>
        <v>2.5099999999999998</v>
      </c>
    </row>
    <row r="28" spans="1:4" x14ac:dyDescent="0.25">
      <c r="A28" t="s">
        <v>11</v>
      </c>
      <c r="B28" s="27">
        <f>Opt_Width</f>
        <v>10.554619841567009</v>
      </c>
      <c r="C28" s="26">
        <v>0</v>
      </c>
      <c r="D28" s="26">
        <f>Opt_Bsm_Height</f>
        <v>2.5099999999999998</v>
      </c>
    </row>
    <row r="29" spans="1:4" x14ac:dyDescent="0.25">
      <c r="A29" t="s">
        <v>12</v>
      </c>
      <c r="B29" s="27">
        <f>Opt_Width</f>
        <v>10.554619841567009</v>
      </c>
      <c r="C29" s="26">
        <f>Opt_Length</f>
        <v>10.554619841567009</v>
      </c>
      <c r="D29" s="26">
        <f>Opt_Bsm_Height</f>
        <v>2.5099999999999998</v>
      </c>
    </row>
    <row r="30" spans="1:4" x14ac:dyDescent="0.25">
      <c r="A30" t="s">
        <v>13</v>
      </c>
      <c r="B30" s="26">
        <v>0</v>
      </c>
      <c r="C30" s="26">
        <f>Opt_Length</f>
        <v>10.554619841567009</v>
      </c>
      <c r="D30" s="26">
        <f>Opt_Bsm_Height</f>
        <v>2.5099999999999998</v>
      </c>
    </row>
    <row r="31" spans="1:4" x14ac:dyDescent="0.25">
      <c r="A31" t="s">
        <v>14</v>
      </c>
      <c r="B31" s="26">
        <v>0</v>
      </c>
      <c r="C31" s="26">
        <v>0</v>
      </c>
      <c r="D31" s="26">
        <f>Opt_Main_Height</f>
        <v>5.3</v>
      </c>
    </row>
    <row r="32" spans="1:4" x14ac:dyDescent="0.25">
      <c r="A32" t="s">
        <v>15</v>
      </c>
      <c r="B32" s="27">
        <f>Opt_Width</f>
        <v>10.554619841567009</v>
      </c>
      <c r="C32" s="26">
        <v>0</v>
      </c>
      <c r="D32" s="26">
        <f>Opt_Main_Height</f>
        <v>5.3</v>
      </c>
    </row>
    <row r="33" spans="1:4" x14ac:dyDescent="0.25">
      <c r="A33" t="s">
        <v>16</v>
      </c>
      <c r="B33" s="27">
        <f>Opt_Width</f>
        <v>10.554619841567009</v>
      </c>
      <c r="C33" s="26">
        <f>Opt_Length</f>
        <v>10.554619841567009</v>
      </c>
      <c r="D33" s="26">
        <f>Opt_Main_Height</f>
        <v>5.3</v>
      </c>
    </row>
    <row r="34" spans="1:4" x14ac:dyDescent="0.25">
      <c r="A34" t="s">
        <v>17</v>
      </c>
      <c r="B34" s="26">
        <v>0</v>
      </c>
      <c r="C34" s="26">
        <f>Opt_Length</f>
        <v>10.554619841567009</v>
      </c>
      <c r="D34" s="26">
        <f>Opt_Main_Height</f>
        <v>5.3</v>
      </c>
    </row>
    <row r="35" spans="1:4" x14ac:dyDescent="0.25">
      <c r="A35" s="3" t="s">
        <v>18</v>
      </c>
      <c r="B35" s="28">
        <f>INDEX(x,1)+0.5</f>
        <v>0.5</v>
      </c>
      <c r="C35" s="28">
        <f>INDEX(y,1)</f>
        <v>0</v>
      </c>
      <c r="D35" s="28">
        <f>INDEX(z,1)+0.5</f>
        <v>3.01</v>
      </c>
    </row>
    <row r="36" spans="1:4" x14ac:dyDescent="0.25">
      <c r="A36" s="3" t="s">
        <v>19</v>
      </c>
      <c r="B36" s="29">
        <f>INDEX(x,9)+Len_WinWall1</f>
        <v>3.4552935556387623</v>
      </c>
      <c r="C36" s="28">
        <f>INDEX(y,2)</f>
        <v>0</v>
      </c>
      <c r="D36" s="28">
        <f>INDEX(z,1)+0.5</f>
        <v>3.01</v>
      </c>
    </row>
    <row r="37" spans="1:4" x14ac:dyDescent="0.25">
      <c r="A37" s="3" t="s">
        <v>20</v>
      </c>
      <c r="B37" s="29">
        <f>INDEX(x,9)+Len_WinWall1</f>
        <v>3.4552935556387623</v>
      </c>
      <c r="C37" s="28">
        <f>INDEX(y,5)</f>
        <v>0</v>
      </c>
      <c r="D37" s="28">
        <f>INDEX(z,9)+Hght_WinWall1</f>
        <v>4.4049999999999994</v>
      </c>
    </row>
    <row r="38" spans="1:4" x14ac:dyDescent="0.25">
      <c r="A38" s="3" t="s">
        <v>21</v>
      </c>
      <c r="B38" s="28">
        <f>INDEX(x,9)</f>
        <v>0.5</v>
      </c>
      <c r="C38" s="28">
        <f>INDEX(y,6)</f>
        <v>0</v>
      </c>
      <c r="D38" s="28">
        <f>INDEX(z,10)+Hght_WinWall1</f>
        <v>4.4049999999999994</v>
      </c>
    </row>
    <row r="39" spans="1:4" x14ac:dyDescent="0.25">
      <c r="A39" s="4" t="s">
        <v>22</v>
      </c>
      <c r="B39" s="30">
        <f>INDEX(x,2)</f>
        <v>10.554619841567009</v>
      </c>
      <c r="C39" s="31">
        <f>INDEX(y,2)+0.5</f>
        <v>0.5</v>
      </c>
      <c r="D39" s="31">
        <f>INDEX(z,2)+0.5</f>
        <v>3.01</v>
      </c>
    </row>
    <row r="40" spans="1:4" x14ac:dyDescent="0.25">
      <c r="A40" s="4" t="s">
        <v>23</v>
      </c>
      <c r="B40" s="30">
        <f>INDEX(x,3)</f>
        <v>10.554619841567009</v>
      </c>
      <c r="C40" s="31">
        <f>INDEX(y,13)+Len_WinWall2</f>
        <v>3.4552935556387623</v>
      </c>
      <c r="D40" s="31">
        <f>INDEX(z,3)+0.5</f>
        <v>3.01</v>
      </c>
    </row>
    <row r="41" spans="1:4" x14ac:dyDescent="0.25">
      <c r="A41" s="4" t="s">
        <v>24</v>
      </c>
      <c r="B41" s="30">
        <f>INDEX(x,7)</f>
        <v>10.554619841567009</v>
      </c>
      <c r="C41" s="31">
        <f>INDEX(y,13)+Len_WinWall2</f>
        <v>3.4552935556387623</v>
      </c>
      <c r="D41" s="31">
        <f>INDEX(z,13)+Hght_WinWall2</f>
        <v>4.4049999999999994</v>
      </c>
    </row>
    <row r="42" spans="1:4" x14ac:dyDescent="0.25">
      <c r="A42" s="4" t="s">
        <v>25</v>
      </c>
      <c r="B42" s="30">
        <f>INDEX(x,6)</f>
        <v>10.554619841567009</v>
      </c>
      <c r="C42" s="31">
        <f>INDEX(y,6)+0.5</f>
        <v>0.5</v>
      </c>
      <c r="D42" s="31">
        <f>INDEX(z,14)+Hght_WinWall2</f>
        <v>4.4049999999999994</v>
      </c>
    </row>
    <row r="43" spans="1:4" x14ac:dyDescent="0.25">
      <c r="A43" s="2" t="s">
        <v>26</v>
      </c>
      <c r="B43" s="32">
        <f>INDEX(x,3)-0.5</f>
        <v>10.054619841567009</v>
      </c>
      <c r="C43" s="33">
        <f>INDEX(y,3)</f>
        <v>10.554619841567009</v>
      </c>
      <c r="D43" s="33">
        <f>INDEX(z,3)+0.5</f>
        <v>3.01</v>
      </c>
    </row>
    <row r="44" spans="1:4" x14ac:dyDescent="0.25">
      <c r="A44" s="2" t="s">
        <v>27</v>
      </c>
      <c r="B44" s="32">
        <f>INDEX(x,17)-Len_WinWall3</f>
        <v>7.099326285928246</v>
      </c>
      <c r="C44" s="33">
        <f>INDEX(y,4)</f>
        <v>10.554619841567009</v>
      </c>
      <c r="D44" s="33">
        <f>INDEX(z,4)+0.5</f>
        <v>3.01</v>
      </c>
    </row>
    <row r="45" spans="1:4" x14ac:dyDescent="0.25">
      <c r="A45" s="2" t="s">
        <v>28</v>
      </c>
      <c r="B45" s="32">
        <f>INDEX(x,18)</f>
        <v>7.099326285928246</v>
      </c>
      <c r="C45" s="33">
        <f>INDEX(y,18)</f>
        <v>10.554619841567009</v>
      </c>
      <c r="D45" s="33">
        <f>INDEX(z,18)+Hght_WinWall3</f>
        <v>4.4049999999999994</v>
      </c>
    </row>
    <row r="46" spans="1:4" x14ac:dyDescent="0.25">
      <c r="A46" s="2" t="s">
        <v>29</v>
      </c>
      <c r="B46" s="32">
        <f>INDEX(x,17)</f>
        <v>10.054619841567009</v>
      </c>
      <c r="C46" s="33">
        <f>INDEX(y,19)</f>
        <v>10.554619841567009</v>
      </c>
      <c r="D46" s="33">
        <f>INDEX(z,19)</f>
        <v>4.4049999999999994</v>
      </c>
    </row>
    <row r="47" spans="1:4" x14ac:dyDescent="0.25">
      <c r="A47" s="6" t="s">
        <v>30</v>
      </c>
      <c r="B47" s="34">
        <f>INDEX(x,4)</f>
        <v>0</v>
      </c>
      <c r="C47" s="34">
        <f>INDEX(y,4)-0.5</f>
        <v>10.054619841567009</v>
      </c>
      <c r="D47" s="34">
        <f>INDEX(z,4)+0.5</f>
        <v>3.01</v>
      </c>
    </row>
    <row r="48" spans="1:4" x14ac:dyDescent="0.25">
      <c r="A48" s="6" t="s">
        <v>31</v>
      </c>
      <c r="B48" s="34">
        <f>INDEX(x,1)</f>
        <v>0</v>
      </c>
      <c r="C48" s="34">
        <f>INDEX(y,21)-Len_WinWall4</f>
        <v>7.099326285928246</v>
      </c>
      <c r="D48" s="34">
        <f>INDEX(z,1)+0.5</f>
        <v>3.01</v>
      </c>
    </row>
    <row r="49" spans="1:4" x14ac:dyDescent="0.25">
      <c r="A49" s="6" t="s">
        <v>32</v>
      </c>
      <c r="B49" s="34">
        <f>INDEX(x,5)</f>
        <v>0</v>
      </c>
      <c r="C49" s="34">
        <f>INDEX(y,22)</f>
        <v>7.099326285928246</v>
      </c>
      <c r="D49" s="34">
        <f>INDEX(z,22)+Hght_WinWall4</f>
        <v>4.4049999999999994</v>
      </c>
    </row>
    <row r="50" spans="1:4" x14ac:dyDescent="0.25">
      <c r="A50" s="6" t="s">
        <v>33</v>
      </c>
      <c r="B50" s="34">
        <f>INDEX(x,8)</f>
        <v>0</v>
      </c>
      <c r="C50" s="34">
        <f>INDEX(y,21)</f>
        <v>10.054619841567009</v>
      </c>
      <c r="D50" s="34">
        <f>INDEX(z,23)</f>
        <v>4.4049999999999994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44</vt:i4>
      </vt:variant>
    </vt:vector>
  </HeadingPairs>
  <TitlesOfParts>
    <vt:vector size="45" baseType="lpstr">
      <vt:lpstr>geometry calculation</vt:lpstr>
      <vt:lpstr>AG_FloorArea</vt:lpstr>
      <vt:lpstr>AreaBase6</vt:lpstr>
      <vt:lpstr>AreaTop5</vt:lpstr>
      <vt:lpstr>AreaWall1</vt:lpstr>
      <vt:lpstr>AreaWall2</vt:lpstr>
      <vt:lpstr>AreaWall3</vt:lpstr>
      <vt:lpstr>AreaWall4</vt:lpstr>
      <vt:lpstr>AreaWinWall1</vt:lpstr>
      <vt:lpstr>AreaWinWall2</vt:lpstr>
      <vt:lpstr>AreaWinWall3</vt:lpstr>
      <vt:lpstr>AreaWinWall4</vt:lpstr>
      <vt:lpstr>Hght_Flr1</vt:lpstr>
      <vt:lpstr>Hght_Flr2</vt:lpstr>
      <vt:lpstr>Hght_WinWall1</vt:lpstr>
      <vt:lpstr>Hght_WinWall2</vt:lpstr>
      <vt:lpstr>Hght_WinWall3</vt:lpstr>
      <vt:lpstr>Hght_WinWall4</vt:lpstr>
      <vt:lpstr>Len_WinWall1</vt:lpstr>
      <vt:lpstr>Len_WinWall2</vt:lpstr>
      <vt:lpstr>Len_WinWall3</vt:lpstr>
      <vt:lpstr>Len_WinWall4</vt:lpstr>
      <vt:lpstr>NumStoreys</vt:lpstr>
      <vt:lpstr>Opt_Area</vt:lpstr>
      <vt:lpstr>Opt_Bsm_Depth</vt:lpstr>
      <vt:lpstr>Opt_Bsm_Height</vt:lpstr>
      <vt:lpstr>Opt_Length</vt:lpstr>
      <vt:lpstr>Opt_Main_Height</vt:lpstr>
      <vt:lpstr>Opt_Roof_Peak_W</vt:lpstr>
      <vt:lpstr>Opt_Width</vt:lpstr>
      <vt:lpstr>Roof_Slope1</vt:lpstr>
      <vt:lpstr>win_bottom</vt:lpstr>
      <vt:lpstr>win_top</vt:lpstr>
      <vt:lpstr>win_wall_1_left</vt:lpstr>
      <vt:lpstr>win_wall_1_right</vt:lpstr>
      <vt:lpstr>win_wall_2_left</vt:lpstr>
      <vt:lpstr>win_wall_2_right</vt:lpstr>
      <vt:lpstr>win_wall_3_left</vt:lpstr>
      <vt:lpstr>win_wall_3_right</vt:lpstr>
      <vt:lpstr>win_wall_4_left</vt:lpstr>
      <vt:lpstr>win_wall_4_right</vt:lpstr>
      <vt:lpstr>WinAreaRatio</vt:lpstr>
      <vt:lpstr>x</vt:lpstr>
      <vt:lpstr>y</vt:lpstr>
      <vt:lpstr>z</vt:lpstr>
    </vt:vector>
  </TitlesOfParts>
  <Company>NRCan / RNCan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Purdy, Julia</dc:creator>
  <cp:lastModifiedBy>jeffblake</cp:lastModifiedBy>
  <dcterms:created xsi:type="dcterms:W3CDTF">2014-04-11T16:08:23Z</dcterms:created>
  <dcterms:modified xsi:type="dcterms:W3CDTF">2014-07-04T19:28:21Z</dcterms:modified>
</cp:coreProperties>
</file>