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portal\Spreadsheets\PIP\"/>
    </mc:Choice>
  </mc:AlternateContent>
  <bookViews>
    <workbookView xWindow="0" yWindow="0" windowWidth="23040" windowHeight="9780" activeTab="1"/>
  </bookViews>
  <sheets>
    <sheet name="Tombstone Data" sheetId="9" r:id="rId1"/>
    <sheet name="Indicator &amp; Results" sheetId="10" r:id="rId2"/>
    <sheet name="Experimentation" sheetId="12" r:id="rId3"/>
    <sheet name="Supp Information Tables" sheetId="13" r:id="rId4"/>
    <sheet name="GBA" sheetId="15" r:id="rId5"/>
    <sheet name="Mid Year Update &amp;Target Setting" sheetId="11" r:id="rId6"/>
    <sheet name="Datahub Reference" sheetId="7" r:id="rId7"/>
    <sheet name="Indicators &amp; Results" sheetId="3" r:id="rId8"/>
    <sheet name="Supp. Information Tables" sheetId="6" r:id="rId9"/>
    <sheet name="Notes" sheetId="17" r:id="rId10"/>
    <sheet name="Sheet2" sheetId="2" state="hidden" r:id="rId11"/>
    <sheet name="Drop Downs" sheetId="5" state="hidden" r:id="rId12"/>
  </sheets>
  <externalReferences>
    <externalReference r:id="rId13"/>
    <externalReference r:id="rId14"/>
  </externalReferences>
  <definedNames>
    <definedName name="_xlnm._FilterDatabase" localSheetId="2" hidden="1">Experimentation!$C:$S</definedName>
    <definedName name="_xlnm._FilterDatabase" localSheetId="4" hidden="1">GBA!$B:$R</definedName>
    <definedName name="_xlnm._FilterDatabase" localSheetId="1" hidden="1">'Indicator &amp; Results'!$B:$Q</definedName>
    <definedName name="_xlnm._FilterDatabase" localSheetId="5" hidden="1">'Mid Year Update &amp;Target Setting'!$B:$Q</definedName>
    <definedName name="_xlnm._FilterDatabase" localSheetId="3" hidden="1">'Supp Information Tables'!$C:$R</definedName>
    <definedName name="_xlnm._FilterDatabase" localSheetId="0" hidden="1">'Tombstone Data'!$B:$Q</definedName>
    <definedName name="Branch">'Drop Downs'!$H$3:$H$22</definedName>
    <definedName name="Core_Responsibility" localSheetId="8">'[1]Drop Downs'!$B$47:$B$53</definedName>
    <definedName name="Core_Responsibility">'Drop Downs'!$A$48:$A$54</definedName>
    <definedName name="CoreResponsibility1">'Drop Downs'!$A$58:$A$61</definedName>
    <definedName name="CoreResponsibility1x">'Drop Downs'!$A$271:$A$274</definedName>
    <definedName name="CoreResponsibility2">'Drop Downs'!$A$63:$A$66</definedName>
    <definedName name="CoreResponsibility2x">'Drop Downs'!$A$275:$A$279</definedName>
    <definedName name="CoreResponsibility3">'Drop Downs'!$A$68:$A$72</definedName>
    <definedName name="CoreResponsibility3x">'Drop Downs'!$A$280:$A$284</definedName>
    <definedName name="CoreResponsibility4">'Drop Downs'!$A$75:$A$77</definedName>
    <definedName name="CoreResponsibility5">'Drop Downs'!$A$79:$A$81</definedName>
    <definedName name="Data_Competencies" localSheetId="2">'Drop Downs'!#REF!</definedName>
    <definedName name="Data_Competencies" localSheetId="4">'Drop Downs'!#REF!</definedName>
    <definedName name="Data_Competencies" localSheetId="1">'Drop Downs'!#REF!</definedName>
    <definedName name="Data_Competencies" localSheetId="5">'Drop Downs'!#REF!</definedName>
    <definedName name="Data_Competencies" localSheetId="3">'Drop Downs'!#REF!</definedName>
    <definedName name="Data_Competencies" localSheetId="8">'[2]Drop Downs'!#REF!</definedName>
    <definedName name="Data_Competencies" localSheetId="0">'Drop Downs'!#REF!</definedName>
    <definedName name="Data_Competencies">'Drop Downs'!#REF!</definedName>
    <definedName name="Data_Type" localSheetId="8">'[1]Drop Downs'!$B$27:$B$33</definedName>
    <definedName name="Data_Type">'Drop Downs'!$A$28:$A$34</definedName>
    <definedName name="Frequency" localSheetId="8">'[1]Drop Downs'!$B$15:$B$24</definedName>
    <definedName name="Frequency">'Drop Downs'!$A$16:$A$25</definedName>
    <definedName name="GocOutcomeAreas" localSheetId="8">'[1]Drop Downs'!$G$57:$G$62</definedName>
    <definedName name="GocOutcomeAreas">'Drop Downs'!$F$57:$F$62</definedName>
    <definedName name="Horizontal" localSheetId="8">'[1]Drop Downs'!$I$25:$I$56</definedName>
    <definedName name="Horizontal">'Drop Downs'!$H$25:$H$56</definedName>
    <definedName name="Intervention_Type" localSheetId="8">'[1]Drop Downs'!$B$36:$B$44</definedName>
    <definedName name="Intervention_Type">'Drop Downs'!$A$37:$A$45</definedName>
    <definedName name="k" localSheetId="2">'Drop Downs'!#REF!</definedName>
    <definedName name="k" localSheetId="4">'Drop Downs'!#REF!</definedName>
    <definedName name="k" localSheetId="1">'Drop Downs'!#REF!</definedName>
    <definedName name="k" localSheetId="5">'Drop Downs'!#REF!</definedName>
    <definedName name="k" localSheetId="3">'Drop Downs'!#REF!</definedName>
    <definedName name="k" localSheetId="8">'[2]Drop Downs'!#REF!</definedName>
    <definedName name="k" localSheetId="0">'Drop Downs'!#REF!</definedName>
    <definedName name="k">'Drop Downs'!#REF!</definedName>
    <definedName name="Mandate_Letter">'Drop Downs'!$F$3:$F$50</definedName>
    <definedName name="_xlnm.Print_Area" localSheetId="8">'Supp. Information Tables'!$A$1:$D$9</definedName>
    <definedName name="Risk_category" localSheetId="2">'Drop Downs'!#REF!</definedName>
    <definedName name="Risk_category" localSheetId="4">'Drop Downs'!#REF!</definedName>
    <definedName name="Risk_category" localSheetId="1">'Drop Downs'!#REF!</definedName>
    <definedName name="Risk_category" localSheetId="5">'Drop Downs'!#REF!</definedName>
    <definedName name="Risk_category" localSheetId="3">'Drop Downs'!#REF!</definedName>
    <definedName name="Risk_category" localSheetId="8">'[1]Drop Downs'!$B$92:$B$110</definedName>
    <definedName name="Risk_category" localSheetId="0">'Drop Downs'!#REF!</definedName>
    <definedName name="Risk_category">'Drop Downs'!#REF!</definedName>
    <definedName name="Risk_Level" localSheetId="2">'Drop Downs'!#REF!</definedName>
    <definedName name="Risk_Level" localSheetId="4">'Drop Downs'!#REF!</definedName>
    <definedName name="Risk_Level" localSheetId="1">'Drop Downs'!#REF!</definedName>
    <definedName name="Risk_Level" localSheetId="5">'Drop Downs'!#REF!</definedName>
    <definedName name="Risk_Level" localSheetId="3">'Drop Downs'!#REF!</definedName>
    <definedName name="Risk_Level" localSheetId="8">'[1]Drop Downs'!$B$120:$B$124</definedName>
    <definedName name="Risk_Level" localSheetId="0">'Drop Downs'!#REF!</definedName>
    <definedName name="Risk_Level">'Drop Downs'!#REF!</definedName>
    <definedName name="Risk_Likelihood" localSheetId="2">'Drop Downs'!#REF!</definedName>
    <definedName name="Risk_Likelihood" localSheetId="4">'Drop Downs'!#REF!</definedName>
    <definedName name="Risk_Likelihood" localSheetId="1">'Drop Downs'!#REF!</definedName>
    <definedName name="Risk_Likelihood" localSheetId="5">'Drop Downs'!#REF!</definedName>
    <definedName name="Risk_Likelihood" localSheetId="3">'Drop Downs'!#REF!</definedName>
    <definedName name="Risk_Likelihood" localSheetId="8">'[1]Drop Downs'!$B$113:$B$117</definedName>
    <definedName name="Risk_Likelihood" localSheetId="0">'Drop Downs'!#REF!</definedName>
    <definedName name="Risk_Likelihood">'Drop Downs'!#REF!</definedName>
    <definedName name="Risk_Timeline" localSheetId="2">'Drop Downs'!#REF!</definedName>
    <definedName name="Risk_Timeline" localSheetId="4">'Drop Downs'!#REF!</definedName>
    <definedName name="Risk_Timeline" localSheetId="1">'Drop Downs'!#REF!</definedName>
    <definedName name="Risk_Timeline" localSheetId="5">'Drop Downs'!#REF!</definedName>
    <definedName name="Risk_Timeline" localSheetId="3">'Drop Downs'!#REF!</definedName>
    <definedName name="Risk_Timeline" localSheetId="8">'[1]Drop Downs'!$B$145:$B$148</definedName>
    <definedName name="Risk_Timeline" localSheetId="0">'Drop Downs'!#REF!</definedName>
    <definedName name="Risk_Timeline">'Drop Downs'!#REF!</definedName>
    <definedName name="Risk_Tolerance" localSheetId="2">'Drop Downs'!#REF!</definedName>
    <definedName name="Risk_Tolerance" localSheetId="4">'Drop Downs'!#REF!</definedName>
    <definedName name="Risk_Tolerance" localSheetId="1">'Drop Downs'!#REF!</definedName>
    <definedName name="Risk_Tolerance" localSheetId="5">'Drop Downs'!#REF!</definedName>
    <definedName name="Risk_Tolerance" localSheetId="3">'Drop Downs'!#REF!</definedName>
    <definedName name="Risk_Tolerance" localSheetId="8">'[1]Drop Downs'!$B$151:$B$155</definedName>
    <definedName name="Risk_Tolerance" localSheetId="0">'Drop Downs'!#REF!</definedName>
    <definedName name="Risk_Tolerance">'Drop Downs'!#REF!</definedName>
    <definedName name="RiskTimeline2" localSheetId="2">'Drop Downs'!#REF!</definedName>
    <definedName name="RiskTimeline2" localSheetId="4">'Drop Downs'!#REF!</definedName>
    <definedName name="RiskTimeline2" localSheetId="1">'Drop Downs'!#REF!</definedName>
    <definedName name="RiskTimeline2" localSheetId="5">'Drop Downs'!#REF!</definedName>
    <definedName name="RiskTimeline2" localSheetId="3">'Drop Downs'!#REF!</definedName>
    <definedName name="RiskTimeline2" localSheetId="8">'[2]Drop Downs'!#REF!</definedName>
    <definedName name="RiskTimeline2" localSheetId="0">'Drop Downs'!#REF!</definedName>
    <definedName name="RiskTimeline2">'Drop Downs'!#REF!</definedName>
    <definedName name="Target_Groups" localSheetId="8">'[1]Drop Downs'!$E$3:$E$85</definedName>
    <definedName name="Target_Groups">'Drop Downs'!$D$3:$D$85</definedName>
    <definedName name="TB_SKHPI" localSheetId="8">'[1]Drop Downs'!$B$5:$B$10</definedName>
    <definedName name="TB_SKHPI">'Drop Downs'!$A$5:$A$11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0" l="1"/>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 i="9"/>
  <c r="Q2"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E12" i="11" l="1"/>
  <c r="E11" i="11"/>
  <c r="Q3" i="15"/>
  <c r="Q4" i="15"/>
  <c r="Q5" i="15"/>
  <c r="Q6" i="15"/>
  <c r="Q7" i="15"/>
  <c r="Q8" i="15"/>
  <c r="Q9" i="15"/>
  <c r="Q10" i="15"/>
  <c r="Q11" i="15"/>
  <c r="Q12" i="15"/>
  <c r="Q13" i="15"/>
  <c r="Q14" i="15"/>
  <c r="Q15" i="15"/>
  <c r="Q16" i="15"/>
  <c r="P3" i="15"/>
  <c r="P4" i="15"/>
  <c r="P5" i="15"/>
  <c r="P6" i="15"/>
  <c r="P7" i="15"/>
  <c r="P8" i="15"/>
  <c r="P9" i="15"/>
  <c r="P10" i="15"/>
  <c r="P11" i="15"/>
  <c r="P12" i="15"/>
  <c r="P13" i="15"/>
  <c r="P14" i="15"/>
  <c r="R3" i="15"/>
  <c r="R4" i="15"/>
  <c r="R5" i="15"/>
  <c r="R6" i="15"/>
  <c r="R7" i="15"/>
  <c r="R8" i="15"/>
  <c r="E33" i="15"/>
  <c r="E34" i="15"/>
  <c r="E35" i="15"/>
  <c r="E36" i="15"/>
  <c r="E37" i="15"/>
  <c r="G33" i="15"/>
  <c r="G34" i="15"/>
  <c r="G35" i="15"/>
  <c r="G36" i="15"/>
  <c r="J36" i="15" s="1"/>
  <c r="S36" i="15" s="1"/>
  <c r="G37" i="15"/>
  <c r="O33" i="15"/>
  <c r="O34" i="15"/>
  <c r="O35" i="15"/>
  <c r="O36" i="15"/>
  <c r="O37" i="15"/>
  <c r="P33" i="15"/>
  <c r="P34" i="15"/>
  <c r="P35" i="15"/>
  <c r="P36" i="15"/>
  <c r="P37" i="15"/>
  <c r="Q33" i="15"/>
  <c r="Q34" i="15"/>
  <c r="Q35" i="15"/>
  <c r="Q36" i="15"/>
  <c r="Q37" i="15"/>
  <c r="R33" i="15"/>
  <c r="R34" i="15"/>
  <c r="R35" i="15"/>
  <c r="R36" i="15"/>
  <c r="R37" i="15"/>
  <c r="E25" i="15"/>
  <c r="E26" i="15"/>
  <c r="E27" i="15"/>
  <c r="E28" i="15"/>
  <c r="G25" i="15"/>
  <c r="G26" i="15"/>
  <c r="G27" i="15"/>
  <c r="G28" i="15"/>
  <c r="O25" i="15"/>
  <c r="O26" i="15"/>
  <c r="O27" i="15"/>
  <c r="O28" i="15"/>
  <c r="P25" i="15"/>
  <c r="P26" i="15"/>
  <c r="P27" i="15"/>
  <c r="P28" i="15"/>
  <c r="Q25" i="15"/>
  <c r="Q26" i="15"/>
  <c r="Q27" i="15"/>
  <c r="Q28" i="15"/>
  <c r="R25" i="15"/>
  <c r="R26" i="15"/>
  <c r="R27" i="15"/>
  <c r="R28" i="15"/>
  <c r="E19" i="15"/>
  <c r="G19" i="15"/>
  <c r="O19" i="15"/>
  <c r="P19" i="15"/>
  <c r="Q19" i="15"/>
  <c r="R19" i="15"/>
  <c r="E15" i="15"/>
  <c r="G15" i="15"/>
  <c r="O15" i="15"/>
  <c r="P15" i="15"/>
  <c r="R15" i="15"/>
  <c r="O3" i="15"/>
  <c r="O4" i="15"/>
  <c r="O5" i="15"/>
  <c r="O6" i="15"/>
  <c r="O7" i="15"/>
  <c r="O8" i="15"/>
  <c r="G3" i="15"/>
  <c r="G4" i="15"/>
  <c r="G5" i="15"/>
  <c r="G6" i="15"/>
  <c r="G7" i="15"/>
  <c r="G8" i="15"/>
  <c r="E3" i="15"/>
  <c r="E4" i="15"/>
  <c r="E5" i="15"/>
  <c r="E6" i="15"/>
  <c r="E7" i="15"/>
  <c r="E8" i="15"/>
  <c r="T15" i="15" l="1"/>
  <c r="J34" i="15"/>
  <c r="S34" i="15" s="1"/>
  <c r="T36" i="15"/>
  <c r="J35" i="15"/>
  <c r="S35" i="15" s="1"/>
  <c r="J33" i="15"/>
  <c r="S33" i="15" s="1"/>
  <c r="J37" i="15"/>
  <c r="S37" i="15" s="1"/>
  <c r="J28" i="15"/>
  <c r="S28" i="15" s="1"/>
  <c r="J27" i="15"/>
  <c r="S27" i="15" s="1"/>
  <c r="J26" i="15"/>
  <c r="S26" i="15" s="1"/>
  <c r="J25" i="15"/>
  <c r="S25" i="15" s="1"/>
  <c r="J19" i="15"/>
  <c r="S19" i="15" s="1"/>
  <c r="J8" i="15"/>
  <c r="S8" i="15" s="1"/>
  <c r="J15" i="15"/>
  <c r="S15" i="15" s="1"/>
  <c r="J4" i="15"/>
  <c r="S4" i="15" s="1"/>
  <c r="J5" i="15"/>
  <c r="S5" i="15" s="1"/>
  <c r="J3" i="15"/>
  <c r="S3" i="15" s="1"/>
  <c r="J7" i="15"/>
  <c r="S7" i="15" s="1"/>
  <c r="J6" i="15"/>
  <c r="S6" i="15" s="1"/>
  <c r="R40" i="15"/>
  <c r="Q40" i="15"/>
  <c r="P40" i="15"/>
  <c r="O40" i="15"/>
  <c r="G40" i="15"/>
  <c r="E40" i="15"/>
  <c r="R39" i="15"/>
  <c r="Q39" i="15"/>
  <c r="P39" i="15"/>
  <c r="O39" i="15"/>
  <c r="G39" i="15"/>
  <c r="E39" i="15"/>
  <c r="R38" i="15"/>
  <c r="Q38" i="15"/>
  <c r="P38" i="15"/>
  <c r="O38" i="15"/>
  <c r="G38" i="15"/>
  <c r="E38" i="15"/>
  <c r="R32" i="15"/>
  <c r="Q32" i="15"/>
  <c r="P32" i="15"/>
  <c r="O32" i="15"/>
  <c r="G32" i="15"/>
  <c r="E32" i="15"/>
  <c r="R31" i="15"/>
  <c r="Q31" i="15"/>
  <c r="P31" i="15"/>
  <c r="O31" i="15"/>
  <c r="G31" i="15"/>
  <c r="E31" i="15"/>
  <c r="R30" i="15"/>
  <c r="Q30" i="15"/>
  <c r="P30" i="15"/>
  <c r="O30" i="15"/>
  <c r="G30" i="15"/>
  <c r="E30" i="15"/>
  <c r="R29" i="15"/>
  <c r="Q29" i="15"/>
  <c r="P29" i="15"/>
  <c r="O29" i="15"/>
  <c r="G29" i="15"/>
  <c r="E29" i="15"/>
  <c r="R24" i="15"/>
  <c r="Q24" i="15"/>
  <c r="P24" i="15"/>
  <c r="O24" i="15"/>
  <c r="G24" i="15"/>
  <c r="E24" i="15"/>
  <c r="R23" i="15"/>
  <c r="Q23" i="15"/>
  <c r="P23" i="15"/>
  <c r="O23" i="15"/>
  <c r="G23" i="15"/>
  <c r="E23" i="15"/>
  <c r="R22" i="15"/>
  <c r="Q22" i="15"/>
  <c r="P22" i="15"/>
  <c r="O22" i="15"/>
  <c r="G22" i="15"/>
  <c r="E22" i="15"/>
  <c r="R21" i="15"/>
  <c r="Q21" i="15"/>
  <c r="P21" i="15"/>
  <c r="O21" i="15"/>
  <c r="G21" i="15"/>
  <c r="E21" i="15"/>
  <c r="R20" i="15"/>
  <c r="Q20" i="15"/>
  <c r="P20" i="15"/>
  <c r="O20" i="15"/>
  <c r="G20" i="15"/>
  <c r="E20" i="15"/>
  <c r="R18" i="15"/>
  <c r="Q18" i="15"/>
  <c r="P18" i="15"/>
  <c r="O18" i="15"/>
  <c r="G18" i="15"/>
  <c r="E18" i="15"/>
  <c r="R17" i="15"/>
  <c r="Q17" i="15"/>
  <c r="P17" i="15"/>
  <c r="O17" i="15"/>
  <c r="G17" i="15"/>
  <c r="E17" i="15"/>
  <c r="R16" i="15"/>
  <c r="P16" i="15"/>
  <c r="O16" i="15"/>
  <c r="G16" i="15"/>
  <c r="E16" i="15"/>
  <c r="R14" i="15"/>
  <c r="O14" i="15"/>
  <c r="G14" i="15"/>
  <c r="E14" i="15"/>
  <c r="R13" i="15"/>
  <c r="O13" i="15"/>
  <c r="G13" i="15"/>
  <c r="E13" i="15"/>
  <c r="R12" i="15"/>
  <c r="O12" i="15"/>
  <c r="G12" i="15"/>
  <c r="E12" i="15"/>
  <c r="R11" i="15"/>
  <c r="O11" i="15"/>
  <c r="G11" i="15"/>
  <c r="E11" i="15"/>
  <c r="R10" i="15"/>
  <c r="O10" i="15"/>
  <c r="G10" i="15"/>
  <c r="E10" i="15"/>
  <c r="R9" i="15"/>
  <c r="O9" i="15"/>
  <c r="G9" i="15"/>
  <c r="E9" i="15"/>
  <c r="R2" i="15"/>
  <c r="Q2" i="15"/>
  <c r="P2" i="15"/>
  <c r="O2" i="15"/>
  <c r="G2" i="15"/>
  <c r="E2" i="15"/>
  <c r="O5" i="12"/>
  <c r="G5" i="12"/>
  <c r="E5" i="12"/>
  <c r="T6" i="15" l="1"/>
  <c r="T5" i="15"/>
  <c r="T4" i="15"/>
  <c r="T7" i="15"/>
  <c r="T3" i="15"/>
  <c r="T8" i="15"/>
  <c r="T34" i="15"/>
  <c r="T35" i="15"/>
  <c r="T33" i="15"/>
  <c r="T37" i="15"/>
  <c r="T19" i="15"/>
  <c r="T28" i="15"/>
  <c r="T27" i="15"/>
  <c r="T26" i="15"/>
  <c r="T25" i="15"/>
  <c r="J20" i="15"/>
  <c r="T20" i="15" s="1"/>
  <c r="J11" i="15"/>
  <c r="S11" i="15" s="1"/>
  <c r="J13" i="15"/>
  <c r="S13" i="15" s="1"/>
  <c r="J12" i="15"/>
  <c r="S12" i="15" s="1"/>
  <c r="J9" i="15"/>
  <c r="S9" i="15" s="1"/>
  <c r="J10" i="15"/>
  <c r="S10" i="15" s="1"/>
  <c r="J14" i="15"/>
  <c r="S14" i="15" s="1"/>
  <c r="J5" i="12"/>
  <c r="J24" i="15"/>
  <c r="S24" i="15" s="1"/>
  <c r="J22" i="15"/>
  <c r="S22" i="15" s="1"/>
  <c r="J29" i="15"/>
  <c r="S29" i="15" s="1"/>
  <c r="J39" i="15"/>
  <c r="S39" i="15" s="1"/>
  <c r="J31" i="15"/>
  <c r="S31" i="15" s="1"/>
  <c r="J40" i="15"/>
  <c r="T40" i="15" s="1"/>
  <c r="J38" i="15"/>
  <c r="S38" i="15" s="1"/>
  <c r="J32" i="15"/>
  <c r="S32" i="15" s="1"/>
  <c r="J30" i="15"/>
  <c r="S30" i="15" s="1"/>
  <c r="J23" i="15"/>
  <c r="T23" i="15" s="1"/>
  <c r="J21" i="15"/>
  <c r="S21" i="15" s="1"/>
  <c r="J18" i="15"/>
  <c r="S18" i="15" s="1"/>
  <c r="J17" i="15"/>
  <c r="S17" i="15" s="1"/>
  <c r="J16" i="15"/>
  <c r="S16" i="15" s="1"/>
  <c r="J2" i="15"/>
  <c r="S2" i="15" s="1"/>
  <c r="T14" i="15" l="1"/>
  <c r="T9" i="15"/>
  <c r="T10" i="15"/>
  <c r="T13" i="15"/>
  <c r="T12" i="15"/>
  <c r="T11" i="15"/>
  <c r="S20" i="15"/>
  <c r="T24" i="15"/>
  <c r="T22" i="15"/>
  <c r="T29" i="15"/>
  <c r="T39" i="15"/>
  <c r="T31" i="15"/>
  <c r="S40" i="15"/>
  <c r="T38" i="15"/>
  <c r="T32" i="15"/>
  <c r="T30" i="15"/>
  <c r="S23" i="15"/>
  <c r="T21" i="15"/>
  <c r="T18" i="15"/>
  <c r="T17" i="15"/>
  <c r="T16" i="15"/>
  <c r="T2" i="15"/>
  <c r="F13" i="13"/>
  <c r="F12" i="13"/>
  <c r="F11" i="13"/>
  <c r="Q19" i="13"/>
  <c r="P19" i="13"/>
  <c r="O19" i="13"/>
  <c r="N19" i="13"/>
  <c r="F19" i="13"/>
  <c r="D19" i="13"/>
  <c r="Q18" i="13"/>
  <c r="P18" i="13"/>
  <c r="O18" i="13"/>
  <c r="N18" i="13"/>
  <c r="F18" i="13"/>
  <c r="D18" i="13"/>
  <c r="Q17" i="13"/>
  <c r="P17" i="13"/>
  <c r="O17" i="13"/>
  <c r="N17" i="13"/>
  <c r="F17" i="13"/>
  <c r="D17" i="13"/>
  <c r="Q16" i="13"/>
  <c r="P16" i="13"/>
  <c r="O16" i="13"/>
  <c r="N16" i="13"/>
  <c r="F16" i="13"/>
  <c r="D16" i="13"/>
  <c r="Q15" i="13"/>
  <c r="P15" i="13"/>
  <c r="O15" i="13"/>
  <c r="N15" i="13"/>
  <c r="F15" i="13"/>
  <c r="D15" i="13"/>
  <c r="Q14" i="13"/>
  <c r="P14" i="13"/>
  <c r="O14" i="13"/>
  <c r="N14" i="13"/>
  <c r="F14" i="13"/>
  <c r="D14" i="13"/>
  <c r="Q13" i="13"/>
  <c r="P13" i="13"/>
  <c r="O13" i="13"/>
  <c r="N13" i="13"/>
  <c r="D13" i="13"/>
  <c r="Q12" i="13"/>
  <c r="P12" i="13"/>
  <c r="O12" i="13"/>
  <c r="N12" i="13"/>
  <c r="D12" i="13"/>
  <c r="Q11" i="13"/>
  <c r="P11" i="13"/>
  <c r="O11" i="13"/>
  <c r="N11" i="13"/>
  <c r="D11" i="13"/>
  <c r="Q10" i="13"/>
  <c r="P10" i="13"/>
  <c r="O10" i="13"/>
  <c r="N10" i="13"/>
  <c r="F10" i="13"/>
  <c r="D10" i="13"/>
  <c r="Q9" i="13"/>
  <c r="P9" i="13"/>
  <c r="O9" i="13"/>
  <c r="N9" i="13"/>
  <c r="F9" i="13"/>
  <c r="D9" i="13"/>
  <c r="Q8" i="13"/>
  <c r="P8" i="13"/>
  <c r="O8" i="13"/>
  <c r="N8" i="13"/>
  <c r="F8" i="13"/>
  <c r="D8" i="13"/>
  <c r="I8" i="13" s="1"/>
  <c r="Q7" i="13"/>
  <c r="P7" i="13"/>
  <c r="O7" i="13"/>
  <c r="N7" i="13"/>
  <c r="F7" i="13"/>
  <c r="D7" i="13"/>
  <c r="Q6" i="13"/>
  <c r="P6" i="13"/>
  <c r="O6" i="13"/>
  <c r="N6" i="13"/>
  <c r="F6" i="13"/>
  <c r="D6" i="13"/>
  <c r="Q5" i="13"/>
  <c r="P5" i="13"/>
  <c r="O5" i="13"/>
  <c r="N5" i="13"/>
  <c r="F5" i="13"/>
  <c r="D5" i="13"/>
  <c r="Q4" i="13"/>
  <c r="P4" i="13"/>
  <c r="O4" i="13"/>
  <c r="N4" i="13"/>
  <c r="F4" i="13"/>
  <c r="D4" i="13"/>
  <c r="Q3" i="13"/>
  <c r="P3" i="13"/>
  <c r="O3" i="13"/>
  <c r="N3" i="13"/>
  <c r="F3" i="13"/>
  <c r="D3" i="13"/>
  <c r="Q2" i="13"/>
  <c r="P2" i="13"/>
  <c r="O2" i="13"/>
  <c r="N2" i="13"/>
  <c r="F2" i="13"/>
  <c r="D2" i="13"/>
  <c r="E29" i="12"/>
  <c r="E30" i="12"/>
  <c r="E31" i="12"/>
  <c r="E32" i="12"/>
  <c r="E33" i="12"/>
  <c r="E34" i="12"/>
  <c r="E35" i="12"/>
  <c r="E36" i="12"/>
  <c r="E37" i="12"/>
  <c r="E38" i="12"/>
  <c r="E39" i="12"/>
  <c r="E40" i="12"/>
  <c r="E41" i="12"/>
  <c r="E42" i="12"/>
  <c r="E43" i="12"/>
  <c r="E44" i="12"/>
  <c r="E45" i="12"/>
  <c r="E46" i="12"/>
  <c r="G29" i="12"/>
  <c r="G30" i="12"/>
  <c r="G31" i="12"/>
  <c r="G32" i="12"/>
  <c r="G33" i="12"/>
  <c r="G34" i="12"/>
  <c r="G35" i="12"/>
  <c r="G36" i="12"/>
  <c r="G37" i="12"/>
  <c r="G38" i="12"/>
  <c r="G39" i="12"/>
  <c r="G40" i="12"/>
  <c r="G41" i="12"/>
  <c r="G42" i="12"/>
  <c r="G43" i="12"/>
  <c r="G44" i="12"/>
  <c r="G45" i="12"/>
  <c r="G46" i="12"/>
  <c r="O29" i="12"/>
  <c r="O30" i="12"/>
  <c r="O31" i="12"/>
  <c r="O32" i="12"/>
  <c r="O33" i="12"/>
  <c r="O34" i="12"/>
  <c r="O35" i="12"/>
  <c r="O36" i="12"/>
  <c r="O37" i="12"/>
  <c r="O38" i="12"/>
  <c r="O39" i="12"/>
  <c r="O40" i="12"/>
  <c r="O41" i="12"/>
  <c r="O42" i="12"/>
  <c r="O43" i="12"/>
  <c r="O44" i="12"/>
  <c r="O45" i="12"/>
  <c r="O46" i="12"/>
  <c r="P29" i="12"/>
  <c r="P30" i="12"/>
  <c r="P31" i="12"/>
  <c r="P32" i="12"/>
  <c r="P33" i="12"/>
  <c r="P34" i="12"/>
  <c r="P35" i="12"/>
  <c r="P36" i="12"/>
  <c r="P37" i="12"/>
  <c r="P38" i="12"/>
  <c r="P39" i="12"/>
  <c r="P40" i="12"/>
  <c r="P41" i="12"/>
  <c r="P42" i="12"/>
  <c r="P43" i="12"/>
  <c r="P44" i="12"/>
  <c r="P45" i="12"/>
  <c r="P46" i="12"/>
  <c r="Q29" i="12"/>
  <c r="Q30" i="12"/>
  <c r="Q31" i="12"/>
  <c r="Q32" i="12"/>
  <c r="Q33" i="12"/>
  <c r="Q34" i="12"/>
  <c r="Q35" i="12"/>
  <c r="Q36" i="12"/>
  <c r="Q37" i="12"/>
  <c r="Q38" i="12"/>
  <c r="Q39" i="12"/>
  <c r="Q40" i="12"/>
  <c r="Q41" i="12"/>
  <c r="Q42" i="12"/>
  <c r="Q43" i="12"/>
  <c r="Q44" i="12"/>
  <c r="Q45" i="12"/>
  <c r="Q46" i="12"/>
  <c r="R29" i="12"/>
  <c r="R30" i="12"/>
  <c r="R31" i="12"/>
  <c r="R32" i="12"/>
  <c r="R33" i="12"/>
  <c r="R34" i="12"/>
  <c r="R35" i="12"/>
  <c r="R36" i="12"/>
  <c r="R37" i="12"/>
  <c r="R38" i="12"/>
  <c r="R39" i="12"/>
  <c r="R40" i="12"/>
  <c r="R41" i="12"/>
  <c r="R42" i="12"/>
  <c r="R43" i="12"/>
  <c r="R44" i="12"/>
  <c r="R45" i="12"/>
  <c r="R46" i="12"/>
  <c r="E47" i="12"/>
  <c r="E48" i="12"/>
  <c r="E49" i="12"/>
  <c r="E50" i="12"/>
  <c r="E51" i="12"/>
  <c r="E52" i="12"/>
  <c r="E53" i="12"/>
  <c r="E54" i="12"/>
  <c r="E55" i="12"/>
  <c r="E56" i="12"/>
  <c r="G47" i="12"/>
  <c r="J47" i="12" s="1"/>
  <c r="S47" i="12" s="1"/>
  <c r="G48" i="12"/>
  <c r="J48" i="12" s="1"/>
  <c r="S48" i="12" s="1"/>
  <c r="G49" i="12"/>
  <c r="J49" i="12" s="1"/>
  <c r="S49" i="12" s="1"/>
  <c r="G50" i="12"/>
  <c r="J50" i="12" s="1"/>
  <c r="S50" i="12" s="1"/>
  <c r="G51" i="12"/>
  <c r="J51" i="12" s="1"/>
  <c r="S51" i="12" s="1"/>
  <c r="G52" i="12"/>
  <c r="J52" i="12" s="1"/>
  <c r="G53" i="12"/>
  <c r="J53" i="12" s="1"/>
  <c r="S53" i="12" s="1"/>
  <c r="G54" i="12"/>
  <c r="J54" i="12" s="1"/>
  <c r="G55" i="12"/>
  <c r="J55" i="12" s="1"/>
  <c r="S55" i="12" s="1"/>
  <c r="G56" i="12"/>
  <c r="J56" i="12" s="1"/>
  <c r="S56" i="12" s="1"/>
  <c r="O47" i="12"/>
  <c r="O48" i="12"/>
  <c r="O49" i="12"/>
  <c r="O50" i="12"/>
  <c r="O51" i="12"/>
  <c r="O52" i="12"/>
  <c r="O53" i="12"/>
  <c r="O54" i="12"/>
  <c r="O55" i="12"/>
  <c r="O56" i="12"/>
  <c r="P47" i="12"/>
  <c r="P48" i="12"/>
  <c r="P49" i="12"/>
  <c r="P50" i="12"/>
  <c r="P51" i="12"/>
  <c r="P52" i="12"/>
  <c r="P53" i="12"/>
  <c r="P54" i="12"/>
  <c r="P55" i="12"/>
  <c r="P56" i="12"/>
  <c r="Q47" i="12"/>
  <c r="Q48" i="12"/>
  <c r="Q49" i="12"/>
  <c r="Q50" i="12"/>
  <c r="Q51" i="12"/>
  <c r="Q52" i="12"/>
  <c r="Q53" i="12"/>
  <c r="Q54" i="12"/>
  <c r="Q55" i="12"/>
  <c r="Q56" i="12"/>
  <c r="R47" i="12"/>
  <c r="R48" i="12"/>
  <c r="R49" i="12"/>
  <c r="R50" i="12"/>
  <c r="R51" i="12"/>
  <c r="R52" i="12"/>
  <c r="R53" i="12"/>
  <c r="R54" i="12"/>
  <c r="R55" i="12"/>
  <c r="R56" i="12"/>
  <c r="E57" i="12"/>
  <c r="E58" i="12"/>
  <c r="E59" i="12"/>
  <c r="E60" i="12"/>
  <c r="E61" i="12"/>
  <c r="G57" i="12"/>
  <c r="J57" i="12" s="1"/>
  <c r="S57" i="12" s="1"/>
  <c r="G58" i="12"/>
  <c r="J58" i="12" s="1"/>
  <c r="S58" i="12" s="1"/>
  <c r="G59" i="12"/>
  <c r="J59" i="12" s="1"/>
  <c r="S59" i="12" s="1"/>
  <c r="G60" i="12"/>
  <c r="J60" i="12" s="1"/>
  <c r="S60" i="12" s="1"/>
  <c r="G61" i="12"/>
  <c r="J61" i="12" s="1"/>
  <c r="O57" i="12"/>
  <c r="O58" i="12"/>
  <c r="O59" i="12"/>
  <c r="O60" i="12"/>
  <c r="O61" i="12"/>
  <c r="P57" i="12"/>
  <c r="P58" i="12"/>
  <c r="P59" i="12"/>
  <c r="P60" i="12"/>
  <c r="P61" i="12"/>
  <c r="Q57" i="12"/>
  <c r="Q58" i="12"/>
  <c r="Q59" i="12"/>
  <c r="Q60" i="12"/>
  <c r="Q61" i="12"/>
  <c r="R57" i="12"/>
  <c r="R58" i="12"/>
  <c r="R59" i="12"/>
  <c r="R60" i="12"/>
  <c r="R61" i="12"/>
  <c r="E64" i="12"/>
  <c r="G64" i="12"/>
  <c r="J64" i="12" s="1"/>
  <c r="O64" i="12"/>
  <c r="P64" i="12"/>
  <c r="Q64" i="12"/>
  <c r="R64" i="12"/>
  <c r="E65" i="12"/>
  <c r="G65" i="12"/>
  <c r="J65" i="12" s="1"/>
  <c r="S65" i="12" s="1"/>
  <c r="O65" i="12"/>
  <c r="P65" i="12"/>
  <c r="Q65" i="12"/>
  <c r="R65" i="12"/>
  <c r="E66" i="12"/>
  <c r="G66" i="12"/>
  <c r="J66" i="12" s="1"/>
  <c r="S66" i="12" s="1"/>
  <c r="O66" i="12"/>
  <c r="P66" i="12"/>
  <c r="Q66" i="12"/>
  <c r="R66" i="12"/>
  <c r="E63" i="12"/>
  <c r="G63" i="12"/>
  <c r="J63" i="12" s="1"/>
  <c r="S63" i="12" s="1"/>
  <c r="O63" i="12"/>
  <c r="P63" i="12"/>
  <c r="Q63" i="12"/>
  <c r="R63" i="12"/>
  <c r="E69" i="12"/>
  <c r="G69" i="12"/>
  <c r="J69" i="12" s="1"/>
  <c r="S69" i="12" s="1"/>
  <c r="O69" i="12"/>
  <c r="P69" i="12"/>
  <c r="Q69" i="12"/>
  <c r="R69" i="12"/>
  <c r="I19" i="13" l="1"/>
  <c r="S19" i="13" s="1"/>
  <c r="I11" i="13"/>
  <c r="R11" i="13" s="1"/>
  <c r="I2" i="13"/>
  <c r="R2" i="13" s="1"/>
  <c r="I6" i="13"/>
  <c r="R6" i="13" s="1"/>
  <c r="J29" i="12"/>
  <c r="S29" i="12" s="1"/>
  <c r="J43" i="12"/>
  <c r="S43" i="12" s="1"/>
  <c r="T50" i="12"/>
  <c r="T52" i="12"/>
  <c r="S52" i="12"/>
  <c r="T51" i="12"/>
  <c r="I3" i="13"/>
  <c r="S3" i="13" s="1"/>
  <c r="I7" i="13"/>
  <c r="R7" i="13" s="1"/>
  <c r="I4" i="13"/>
  <c r="R4" i="13" s="1"/>
  <c r="I10" i="13"/>
  <c r="S10" i="13" s="1"/>
  <c r="I12" i="13"/>
  <c r="R12" i="13" s="1"/>
  <c r="I9" i="13"/>
  <c r="S9" i="13" s="1"/>
  <c r="I18" i="13"/>
  <c r="R18" i="13" s="1"/>
  <c r="I17" i="13"/>
  <c r="R17" i="13" s="1"/>
  <c r="I15" i="13"/>
  <c r="R15" i="13" s="1"/>
  <c r="I16" i="13"/>
  <c r="R16" i="13" s="1"/>
  <c r="I14" i="13"/>
  <c r="R14" i="13" s="1"/>
  <c r="I13" i="13"/>
  <c r="R13" i="13" s="1"/>
  <c r="R8" i="13"/>
  <c r="I5" i="13"/>
  <c r="R5" i="13" s="1"/>
  <c r="S8" i="13"/>
  <c r="J46" i="12"/>
  <c r="S46" i="12" s="1"/>
  <c r="J45" i="12"/>
  <c r="S45" i="12" s="1"/>
  <c r="J44" i="12"/>
  <c r="S44" i="12" s="1"/>
  <c r="J42" i="12"/>
  <c r="S42" i="12" s="1"/>
  <c r="J41" i="12"/>
  <c r="S41" i="12" s="1"/>
  <c r="J40" i="12"/>
  <c r="S40" i="12" s="1"/>
  <c r="J39" i="12"/>
  <c r="S39" i="12" s="1"/>
  <c r="J38" i="12"/>
  <c r="T38" i="12" s="1"/>
  <c r="J37" i="12"/>
  <c r="S37" i="12" s="1"/>
  <c r="J36" i="12"/>
  <c r="T36" i="12" s="1"/>
  <c r="J35" i="12"/>
  <c r="S35" i="12" s="1"/>
  <c r="J34" i="12"/>
  <c r="S34" i="12" s="1"/>
  <c r="J33" i="12"/>
  <c r="T33" i="12" s="1"/>
  <c r="J32" i="12"/>
  <c r="S32" i="12" s="1"/>
  <c r="J31" i="12"/>
  <c r="S31" i="12" s="1"/>
  <c r="J30" i="12"/>
  <c r="S30" i="12" s="1"/>
  <c r="T58" i="12"/>
  <c r="T49" i="12"/>
  <c r="T53" i="12"/>
  <c r="S54" i="12"/>
  <c r="T54" i="12"/>
  <c r="T57" i="12"/>
  <c r="T59" i="12"/>
  <c r="T56" i="12"/>
  <c r="T47" i="12"/>
  <c r="T55" i="12"/>
  <c r="T48" i="12"/>
  <c r="T61" i="12"/>
  <c r="S61" i="12"/>
  <c r="T60" i="12"/>
  <c r="T64" i="12"/>
  <c r="S64" i="12"/>
  <c r="T65" i="12"/>
  <c r="T66" i="12"/>
  <c r="T63" i="12"/>
  <c r="T69" i="12"/>
  <c r="R19" i="13" l="1"/>
  <c r="S12" i="13"/>
  <c r="S6" i="13"/>
  <c r="R9" i="13"/>
  <c r="S11" i="13"/>
  <c r="R10" i="13"/>
  <c r="S7" i="13"/>
  <c r="R3" i="13"/>
  <c r="S2" i="13"/>
  <c r="T43" i="12"/>
  <c r="T29" i="12"/>
  <c r="T41" i="12"/>
  <c r="T39" i="12"/>
  <c r="S4" i="13"/>
  <c r="S18" i="13"/>
  <c r="S17" i="13"/>
  <c r="S15" i="13"/>
  <c r="S16" i="13"/>
  <c r="S14" i="13"/>
  <c r="S13" i="13"/>
  <c r="S5" i="13"/>
  <c r="T46" i="12"/>
  <c r="T44" i="12"/>
  <c r="T45" i="12"/>
  <c r="T42" i="12"/>
  <c r="T40" i="12"/>
  <c r="S38" i="12"/>
  <c r="T37" i="12"/>
  <c r="S36" i="12"/>
  <c r="T35" i="12"/>
  <c r="T34" i="12"/>
  <c r="S33" i="12"/>
  <c r="T31" i="12"/>
  <c r="T32" i="12"/>
  <c r="T30" i="12"/>
  <c r="R68" i="12"/>
  <c r="Q68" i="12"/>
  <c r="P68" i="12"/>
  <c r="O68" i="12"/>
  <c r="G68" i="12"/>
  <c r="J68" i="12" s="1"/>
  <c r="S68" i="12" s="1"/>
  <c r="E68" i="12"/>
  <c r="R62" i="12"/>
  <c r="Q62" i="12"/>
  <c r="P62" i="12"/>
  <c r="O62" i="12"/>
  <c r="G62" i="12"/>
  <c r="J62" i="12" s="1"/>
  <c r="S62" i="12" s="1"/>
  <c r="E62" i="12"/>
  <c r="R28" i="12"/>
  <c r="Q28" i="12"/>
  <c r="P28" i="12"/>
  <c r="O28" i="12"/>
  <c r="G28" i="12"/>
  <c r="E28" i="12"/>
  <c r="R27" i="12"/>
  <c r="Q27" i="12"/>
  <c r="P27" i="12"/>
  <c r="O27" i="12"/>
  <c r="G27" i="12"/>
  <c r="E27" i="12"/>
  <c r="R26" i="12"/>
  <c r="Q26" i="12"/>
  <c r="P26" i="12"/>
  <c r="O26" i="12"/>
  <c r="G26" i="12"/>
  <c r="E26" i="12"/>
  <c r="R25" i="12"/>
  <c r="Q25" i="12"/>
  <c r="P25" i="12"/>
  <c r="O25" i="12"/>
  <c r="G25" i="12"/>
  <c r="E25" i="12"/>
  <c r="R24" i="12"/>
  <c r="Q24" i="12"/>
  <c r="P24" i="12"/>
  <c r="O24" i="12"/>
  <c r="G24" i="12"/>
  <c r="E24" i="12"/>
  <c r="R23" i="12"/>
  <c r="Q23" i="12"/>
  <c r="P23" i="12"/>
  <c r="O23" i="12"/>
  <c r="G23" i="12"/>
  <c r="E23" i="12"/>
  <c r="R22" i="12"/>
  <c r="Q22" i="12"/>
  <c r="P22" i="12"/>
  <c r="O22" i="12"/>
  <c r="G22" i="12"/>
  <c r="E22" i="12"/>
  <c r="R21" i="12"/>
  <c r="Q21" i="12"/>
  <c r="P21" i="12"/>
  <c r="O21" i="12"/>
  <c r="G21" i="12"/>
  <c r="E21" i="12"/>
  <c r="R20" i="12"/>
  <c r="Q20" i="12"/>
  <c r="P20" i="12"/>
  <c r="O20" i="12"/>
  <c r="G20" i="12"/>
  <c r="E20" i="12"/>
  <c r="R19" i="12"/>
  <c r="Q19" i="12"/>
  <c r="P19" i="12"/>
  <c r="O19" i="12"/>
  <c r="G19" i="12"/>
  <c r="E19" i="12"/>
  <c r="R18" i="12"/>
  <c r="Q18" i="12"/>
  <c r="P18" i="12"/>
  <c r="O18" i="12"/>
  <c r="G18" i="12"/>
  <c r="E18" i="12"/>
  <c r="R17" i="12"/>
  <c r="Q17" i="12"/>
  <c r="P17" i="12"/>
  <c r="O17" i="12"/>
  <c r="G17" i="12"/>
  <c r="E17" i="12"/>
  <c r="R16" i="12"/>
  <c r="Q16" i="12"/>
  <c r="P16" i="12"/>
  <c r="O16" i="12"/>
  <c r="G16" i="12"/>
  <c r="E16" i="12"/>
  <c r="R15" i="12"/>
  <c r="Q15" i="12"/>
  <c r="P15" i="12"/>
  <c r="O15" i="12"/>
  <c r="G15" i="12"/>
  <c r="E15" i="12"/>
  <c r="R14" i="12"/>
  <c r="Q14" i="12"/>
  <c r="P14" i="12"/>
  <c r="O14" i="12"/>
  <c r="G14" i="12"/>
  <c r="E14" i="12"/>
  <c r="R13" i="12"/>
  <c r="Q13" i="12"/>
  <c r="P13" i="12"/>
  <c r="O13" i="12"/>
  <c r="G13" i="12"/>
  <c r="E13" i="12"/>
  <c r="R12" i="12"/>
  <c r="Q12" i="12"/>
  <c r="P12" i="12"/>
  <c r="O12" i="12"/>
  <c r="G12" i="12"/>
  <c r="E12" i="12"/>
  <c r="R11" i="12"/>
  <c r="Q11" i="12"/>
  <c r="P11" i="12"/>
  <c r="O11" i="12"/>
  <c r="G11" i="12"/>
  <c r="E11" i="12"/>
  <c r="R10" i="12"/>
  <c r="Q10" i="12"/>
  <c r="P10" i="12"/>
  <c r="O10" i="12"/>
  <c r="G10" i="12"/>
  <c r="E10" i="12"/>
  <c r="R9" i="12"/>
  <c r="Q9" i="12"/>
  <c r="P9" i="12"/>
  <c r="O9" i="12"/>
  <c r="G9" i="12"/>
  <c r="E9" i="12"/>
  <c r="R8" i="12"/>
  <c r="Q8" i="12"/>
  <c r="P8" i="12"/>
  <c r="O8" i="12"/>
  <c r="G8" i="12"/>
  <c r="E8" i="12"/>
  <c r="R7" i="12"/>
  <c r="Q7" i="12"/>
  <c r="P7" i="12"/>
  <c r="O7" i="12"/>
  <c r="G7" i="12"/>
  <c r="E7" i="12"/>
  <c r="R6" i="12"/>
  <c r="Q6" i="12"/>
  <c r="P6" i="12"/>
  <c r="O6" i="12"/>
  <c r="G6" i="12"/>
  <c r="E6" i="12"/>
  <c r="S5" i="12"/>
  <c r="R5" i="12"/>
  <c r="Q5" i="12"/>
  <c r="R4" i="12"/>
  <c r="Q4" i="12"/>
  <c r="P4" i="12"/>
  <c r="O4" i="12"/>
  <c r="G4" i="12"/>
  <c r="E4" i="12"/>
  <c r="R3" i="12"/>
  <c r="Q3" i="12"/>
  <c r="P3" i="12"/>
  <c r="O3" i="12"/>
  <c r="G3" i="12"/>
  <c r="E3" i="12"/>
  <c r="R2" i="12"/>
  <c r="Q2" i="12"/>
  <c r="P2" i="12"/>
  <c r="O2" i="12"/>
  <c r="G2" i="12"/>
  <c r="E2" i="12"/>
  <c r="J28" i="12" l="1"/>
  <c r="S28" i="12" s="1"/>
  <c r="J27" i="12"/>
  <c r="S27" i="12" s="1"/>
  <c r="J26" i="12"/>
  <c r="S26" i="12" s="1"/>
  <c r="J25" i="12"/>
  <c r="S25" i="12" s="1"/>
  <c r="J13" i="12"/>
  <c r="S13" i="12" s="1"/>
  <c r="J17" i="12"/>
  <c r="S17" i="12" s="1"/>
  <c r="J21" i="12"/>
  <c r="S21" i="12" s="1"/>
  <c r="J22" i="12"/>
  <c r="S22" i="12" s="1"/>
  <c r="J16" i="12"/>
  <c r="S16" i="12" s="1"/>
  <c r="J20" i="12"/>
  <c r="T20" i="12" s="1"/>
  <c r="J24" i="12"/>
  <c r="S24" i="12" s="1"/>
  <c r="J18" i="12"/>
  <c r="S18" i="12" s="1"/>
  <c r="J14" i="12"/>
  <c r="S14" i="12" s="1"/>
  <c r="J15" i="12"/>
  <c r="S15" i="12" s="1"/>
  <c r="J19" i="12"/>
  <c r="S19" i="12" s="1"/>
  <c r="J23" i="12"/>
  <c r="S23" i="12" s="1"/>
  <c r="J11" i="12"/>
  <c r="S11" i="12" s="1"/>
  <c r="J12" i="12"/>
  <c r="S12" i="12" s="1"/>
  <c r="J8" i="12"/>
  <c r="S8" i="12" s="1"/>
  <c r="J3" i="12"/>
  <c r="S3" i="12" s="1"/>
  <c r="J2" i="12"/>
  <c r="S2" i="12" s="1"/>
  <c r="T62" i="12"/>
  <c r="J10" i="12"/>
  <c r="S10" i="12" s="1"/>
  <c r="J4" i="12"/>
  <c r="S4" i="12" s="1"/>
  <c r="T68" i="12"/>
  <c r="J9" i="12"/>
  <c r="S9" i="12" s="1"/>
  <c r="J7" i="12"/>
  <c r="S7" i="12" s="1"/>
  <c r="J6" i="12"/>
  <c r="S6" i="12" s="1"/>
  <c r="T5" i="12"/>
  <c r="P16" i="11"/>
  <c r="O16" i="11"/>
  <c r="N16" i="11"/>
  <c r="M16" i="11"/>
  <c r="E16" i="11"/>
  <c r="H16" i="11" s="1"/>
  <c r="Q16" i="11" s="1"/>
  <c r="C16" i="11"/>
  <c r="P15" i="11"/>
  <c r="O15" i="11"/>
  <c r="N15" i="11"/>
  <c r="M15" i="11"/>
  <c r="H15" i="11"/>
  <c r="Q15" i="11" s="1"/>
  <c r="P14" i="11"/>
  <c r="O14" i="11"/>
  <c r="N14" i="11"/>
  <c r="M14" i="11"/>
  <c r="E14" i="11"/>
  <c r="H14" i="11" s="1"/>
  <c r="Q14" i="11" s="1"/>
  <c r="P13" i="11"/>
  <c r="O13" i="11"/>
  <c r="N13" i="11"/>
  <c r="M13" i="11"/>
  <c r="E13" i="11"/>
  <c r="H13" i="11" s="1"/>
  <c r="Q13" i="11" s="1"/>
  <c r="P12" i="11"/>
  <c r="O12" i="11"/>
  <c r="N12" i="11"/>
  <c r="M12" i="11"/>
  <c r="H12" i="11"/>
  <c r="Q12" i="11" s="1"/>
  <c r="P11" i="11"/>
  <c r="O11" i="11"/>
  <c r="N11" i="11"/>
  <c r="M11" i="11"/>
  <c r="H11" i="11"/>
  <c r="Q11" i="11" s="1"/>
  <c r="P10" i="11"/>
  <c r="O10" i="11"/>
  <c r="N10" i="11"/>
  <c r="M10" i="11"/>
  <c r="E10" i="11"/>
  <c r="C10" i="11"/>
  <c r="P9" i="11"/>
  <c r="O9" i="11"/>
  <c r="N9" i="11"/>
  <c r="M9" i="11"/>
  <c r="E9" i="11"/>
  <c r="C9" i="11"/>
  <c r="P8" i="11"/>
  <c r="O8" i="11"/>
  <c r="N8" i="11"/>
  <c r="M8" i="11"/>
  <c r="E8" i="11"/>
  <c r="C8" i="11"/>
  <c r="P7" i="11"/>
  <c r="O7" i="11"/>
  <c r="N7" i="11"/>
  <c r="M7" i="11"/>
  <c r="E7" i="11"/>
  <c r="H7" i="11" s="1"/>
  <c r="Q7" i="11" s="1"/>
  <c r="P6" i="11"/>
  <c r="O6" i="11"/>
  <c r="N6" i="11"/>
  <c r="M6" i="11"/>
  <c r="E6" i="11"/>
  <c r="H6" i="11" s="1"/>
  <c r="Q6" i="11" s="1"/>
  <c r="P5" i="11"/>
  <c r="O5" i="11"/>
  <c r="N5" i="11"/>
  <c r="M5" i="11"/>
  <c r="E5" i="11"/>
  <c r="H5" i="11" s="1"/>
  <c r="Q5" i="11" s="1"/>
  <c r="P4" i="11"/>
  <c r="O4" i="11"/>
  <c r="N4" i="11"/>
  <c r="M4" i="11"/>
  <c r="E4" i="11"/>
  <c r="H4" i="11" s="1"/>
  <c r="Q4" i="11" s="1"/>
  <c r="P3" i="11"/>
  <c r="O3" i="11"/>
  <c r="N3" i="11"/>
  <c r="M3" i="11"/>
  <c r="E3" i="11"/>
  <c r="H3" i="11" s="1"/>
  <c r="Q3" i="11" s="1"/>
  <c r="P2" i="11"/>
  <c r="O2" i="11"/>
  <c r="N2" i="11"/>
  <c r="M2" i="11"/>
  <c r="H2" i="11"/>
  <c r="Q2" i="11" s="1"/>
  <c r="C2" i="10"/>
  <c r="T28" i="12" l="1"/>
  <c r="T27" i="12"/>
  <c r="T26" i="12"/>
  <c r="S20" i="12"/>
  <c r="T14" i="12"/>
  <c r="T3" i="12"/>
  <c r="T13" i="12"/>
  <c r="H10" i="11"/>
  <c r="Q10" i="11" s="1"/>
  <c r="H8" i="11"/>
  <c r="Q8" i="11" s="1"/>
  <c r="R13" i="11"/>
  <c r="H9" i="11"/>
  <c r="Q9" i="11" s="1"/>
  <c r="R2" i="11"/>
  <c r="T17" i="12"/>
  <c r="T15" i="12"/>
  <c r="T22" i="12"/>
  <c r="T23" i="12"/>
  <c r="T19" i="12"/>
  <c r="T2" i="12"/>
  <c r="T25" i="12"/>
  <c r="T16" i="12"/>
  <c r="T21" i="12"/>
  <c r="T18" i="12"/>
  <c r="T8" i="12"/>
  <c r="T24" i="12"/>
  <c r="T12" i="12"/>
  <c r="T10" i="12"/>
  <c r="T11" i="12"/>
  <c r="T4" i="12"/>
  <c r="T9" i="12"/>
  <c r="T7" i="12"/>
  <c r="T6" i="12"/>
  <c r="R7" i="11"/>
  <c r="R5" i="11"/>
  <c r="R12" i="11"/>
  <c r="R16" i="11"/>
  <c r="R6" i="11"/>
  <c r="R8" i="11"/>
  <c r="R15" i="11"/>
  <c r="R11" i="11"/>
  <c r="R4" i="11"/>
  <c r="R3" i="11"/>
  <c r="R14" i="11"/>
  <c r="P31" i="10"/>
  <c r="O31" i="10"/>
  <c r="N31" i="10"/>
  <c r="M31" i="10"/>
  <c r="E31" i="10"/>
  <c r="C31" i="10"/>
  <c r="P30" i="10"/>
  <c r="O30" i="10"/>
  <c r="N30" i="10"/>
  <c r="M30" i="10"/>
  <c r="E30" i="10"/>
  <c r="C30" i="10"/>
  <c r="P29" i="10"/>
  <c r="O29" i="10"/>
  <c r="N29" i="10"/>
  <c r="M29" i="10"/>
  <c r="E29" i="10"/>
  <c r="C29" i="10"/>
  <c r="P28" i="10"/>
  <c r="O28" i="10"/>
  <c r="N28" i="10"/>
  <c r="M28" i="10"/>
  <c r="E28" i="10"/>
  <c r="C28" i="10"/>
  <c r="P27" i="10"/>
  <c r="O27" i="10"/>
  <c r="N27" i="10"/>
  <c r="M27" i="10"/>
  <c r="E27" i="10"/>
  <c r="C27" i="10"/>
  <c r="P26" i="10"/>
  <c r="O26" i="10"/>
  <c r="N26" i="10"/>
  <c r="M26" i="10"/>
  <c r="E26" i="10"/>
  <c r="C26" i="10"/>
  <c r="P25" i="10"/>
  <c r="O25" i="10"/>
  <c r="N25" i="10"/>
  <c r="M25" i="10"/>
  <c r="E25" i="10"/>
  <c r="C25" i="10"/>
  <c r="P24" i="10"/>
  <c r="O24" i="10"/>
  <c r="N24" i="10"/>
  <c r="M24" i="10"/>
  <c r="E24" i="10"/>
  <c r="C24" i="10"/>
  <c r="P23" i="10"/>
  <c r="O23" i="10"/>
  <c r="N23" i="10"/>
  <c r="M23" i="10"/>
  <c r="E23" i="10"/>
  <c r="C23" i="10"/>
  <c r="P22" i="10"/>
  <c r="O22" i="10"/>
  <c r="N22" i="10"/>
  <c r="M22" i="10"/>
  <c r="E22" i="10"/>
  <c r="C22" i="10"/>
  <c r="P21" i="10"/>
  <c r="O21" i="10"/>
  <c r="N21" i="10"/>
  <c r="M21" i="10"/>
  <c r="E21" i="10"/>
  <c r="C21" i="10"/>
  <c r="P20" i="10"/>
  <c r="O20" i="10"/>
  <c r="N20" i="10"/>
  <c r="M20" i="10"/>
  <c r="E20" i="10"/>
  <c r="C20" i="10"/>
  <c r="P19" i="10"/>
  <c r="O19" i="10"/>
  <c r="N19" i="10"/>
  <c r="M19" i="10"/>
  <c r="E19" i="10"/>
  <c r="C19" i="10"/>
  <c r="P18" i="10"/>
  <c r="O18" i="10"/>
  <c r="N18" i="10"/>
  <c r="M18" i="10"/>
  <c r="E18" i="10"/>
  <c r="C18" i="10"/>
  <c r="P17" i="10"/>
  <c r="O17" i="10"/>
  <c r="N17" i="10"/>
  <c r="M17" i="10"/>
  <c r="E17" i="10"/>
  <c r="C17" i="10"/>
  <c r="P16" i="10"/>
  <c r="O16" i="10"/>
  <c r="N16" i="10"/>
  <c r="M16" i="10"/>
  <c r="E16" i="10"/>
  <c r="C16" i="10"/>
  <c r="P15" i="10"/>
  <c r="O15" i="10"/>
  <c r="N15" i="10"/>
  <c r="M15" i="10"/>
  <c r="E15" i="10"/>
  <c r="C15" i="10"/>
  <c r="P14" i="10"/>
  <c r="O14" i="10"/>
  <c r="N14" i="10"/>
  <c r="M14" i="10"/>
  <c r="E14" i="10"/>
  <c r="C14" i="10"/>
  <c r="P13" i="10"/>
  <c r="O13" i="10"/>
  <c r="N13" i="10"/>
  <c r="M13" i="10"/>
  <c r="E13" i="10"/>
  <c r="C13" i="10"/>
  <c r="P12" i="10"/>
  <c r="O12" i="10"/>
  <c r="N12" i="10"/>
  <c r="M12" i="10"/>
  <c r="E12" i="10"/>
  <c r="C12" i="10"/>
  <c r="P11" i="10"/>
  <c r="O11" i="10"/>
  <c r="N11" i="10"/>
  <c r="M11" i="10"/>
  <c r="E11" i="10"/>
  <c r="C11" i="10"/>
  <c r="P10" i="10"/>
  <c r="O10" i="10"/>
  <c r="N10" i="10"/>
  <c r="M10" i="10"/>
  <c r="E10" i="10"/>
  <c r="C10" i="10"/>
  <c r="P9" i="10"/>
  <c r="O9" i="10"/>
  <c r="N9" i="10"/>
  <c r="M9" i="10"/>
  <c r="E9" i="10"/>
  <c r="C9" i="10"/>
  <c r="P8" i="10"/>
  <c r="O8" i="10"/>
  <c r="N8" i="10"/>
  <c r="M8" i="10"/>
  <c r="E8" i="10"/>
  <c r="C8" i="10"/>
  <c r="P7" i="10"/>
  <c r="O7" i="10"/>
  <c r="N7" i="10"/>
  <c r="M7" i="10"/>
  <c r="E7" i="10"/>
  <c r="C7" i="10"/>
  <c r="P6" i="10"/>
  <c r="O6" i="10"/>
  <c r="N6" i="10"/>
  <c r="M6" i="10"/>
  <c r="E6" i="10"/>
  <c r="C6" i="10"/>
  <c r="P5" i="10"/>
  <c r="O5" i="10"/>
  <c r="N5" i="10"/>
  <c r="M5" i="10"/>
  <c r="E5" i="10"/>
  <c r="C5" i="10"/>
  <c r="P4" i="10"/>
  <c r="O4" i="10"/>
  <c r="N4" i="10"/>
  <c r="M4" i="10"/>
  <c r="E4" i="10"/>
  <c r="C4" i="10"/>
  <c r="P3" i="10"/>
  <c r="O3" i="10"/>
  <c r="N3" i="10"/>
  <c r="M3" i="10"/>
  <c r="E3" i="10"/>
  <c r="C3" i="10"/>
  <c r="P2" i="10"/>
  <c r="O2" i="10"/>
  <c r="N2" i="10"/>
  <c r="M2" i="10"/>
  <c r="E2" i="10"/>
  <c r="H2" i="10" s="1"/>
  <c r="R10" i="11" l="1"/>
  <c r="R9" i="11"/>
  <c r="H4" i="10"/>
  <c r="H12" i="10"/>
  <c r="H20" i="10"/>
  <c r="R20" i="10" s="1"/>
  <c r="H28" i="10"/>
  <c r="R28" i="10" s="1"/>
  <c r="H7" i="10"/>
  <c r="H15" i="10"/>
  <c r="H23" i="10"/>
  <c r="H10" i="10"/>
  <c r="H18" i="10"/>
  <c r="H26" i="10"/>
  <c r="H25" i="10"/>
  <c r="H8" i="10"/>
  <c r="H16" i="10"/>
  <c r="H9" i="10"/>
  <c r="H17" i="10"/>
  <c r="H24" i="10"/>
  <c r="H14" i="10"/>
  <c r="H19" i="10"/>
  <c r="H13" i="10"/>
  <c r="H22" i="10"/>
  <c r="H27" i="10"/>
  <c r="H11" i="10"/>
  <c r="H3" i="10"/>
  <c r="H21" i="10"/>
  <c r="R2" i="10"/>
  <c r="M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H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R39" i="9" s="1"/>
  <c r="H40" i="9"/>
  <c r="R40" i="9" s="1"/>
  <c r="H41" i="9"/>
  <c r="R2" i="9"/>
  <c r="R3" i="9"/>
  <c r="R38" i="9"/>
  <c r="R41" i="9"/>
  <c r="P2" i="9"/>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N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R24" i="10" l="1"/>
  <c r="R18" i="10"/>
  <c r="R15" i="10"/>
  <c r="R12" i="10"/>
  <c r="R9" i="10"/>
  <c r="R26" i="10"/>
  <c r="R23" i="10"/>
  <c r="R16" i="10"/>
  <c r="R4" i="10"/>
  <c r="R6" i="10"/>
  <c r="R7" i="10"/>
  <c r="R31" i="10"/>
  <c r="R10" i="10"/>
  <c r="R8" i="10"/>
  <c r="R14" i="10"/>
  <c r="R17" i="10"/>
  <c r="R25" i="10"/>
  <c r="R5" i="10"/>
  <c r="R19" i="10"/>
  <c r="R22" i="10"/>
  <c r="R13" i="10"/>
  <c r="R29" i="10"/>
  <c r="R30" i="10"/>
  <c r="R27" i="10"/>
  <c r="R3" i="10"/>
  <c r="R11" i="10"/>
  <c r="R21" i="10"/>
  <c r="O41" i="9"/>
  <c r="C41" i="9"/>
  <c r="O40" i="9"/>
  <c r="C40" i="9"/>
  <c r="O39" i="9"/>
  <c r="C39" i="9"/>
  <c r="O38" i="9"/>
  <c r="C38" i="9"/>
  <c r="O37" i="9"/>
  <c r="C37" i="9"/>
  <c r="O36" i="9"/>
  <c r="C36" i="9"/>
  <c r="O35" i="9"/>
  <c r="C35" i="9"/>
  <c r="O34" i="9"/>
  <c r="C34" i="9"/>
  <c r="O33" i="9"/>
  <c r="C33" i="9"/>
  <c r="O32" i="9"/>
  <c r="C32" i="9"/>
  <c r="O31" i="9"/>
  <c r="C31" i="9"/>
  <c r="O30" i="9"/>
  <c r="C30" i="9"/>
  <c r="O29" i="9"/>
  <c r="C29" i="9"/>
  <c r="O28" i="9"/>
  <c r="C28" i="9"/>
  <c r="O27" i="9"/>
  <c r="C27" i="9"/>
  <c r="O26" i="9"/>
  <c r="C26" i="9"/>
  <c r="O25" i="9"/>
  <c r="C25" i="9"/>
  <c r="O24" i="9"/>
  <c r="C24" i="9"/>
  <c r="O23" i="9"/>
  <c r="C23" i="9"/>
  <c r="O22" i="9"/>
  <c r="C22" i="9"/>
  <c r="O21" i="9"/>
  <c r="C21" i="9"/>
  <c r="O20" i="9"/>
  <c r="C20" i="9"/>
  <c r="O19" i="9"/>
  <c r="C19" i="9"/>
  <c r="O18" i="9"/>
  <c r="C18" i="9"/>
  <c r="O17" i="9"/>
  <c r="C17" i="9"/>
  <c r="O16" i="9"/>
  <c r="C16" i="9"/>
  <c r="O15" i="9"/>
  <c r="C15" i="9"/>
  <c r="O14" i="9"/>
  <c r="C14" i="9"/>
  <c r="O13" i="9"/>
  <c r="C13" i="9"/>
  <c r="O12" i="9"/>
  <c r="C12" i="9"/>
  <c r="O11" i="9"/>
  <c r="C11" i="9"/>
  <c r="O10" i="9"/>
  <c r="C10" i="9"/>
  <c r="O9" i="9"/>
  <c r="C9" i="9"/>
  <c r="O8" i="9"/>
  <c r="C8" i="9"/>
  <c r="O7" i="9"/>
  <c r="C7" i="9"/>
  <c r="O6" i="9"/>
  <c r="C6" i="9"/>
  <c r="O5" i="9"/>
  <c r="C5" i="9"/>
  <c r="O4" i="9"/>
  <c r="C4" i="9"/>
  <c r="O3" i="9"/>
  <c r="C3" i="9"/>
  <c r="O2" i="9"/>
  <c r="C2" i="9"/>
  <c r="R18" i="9" l="1"/>
  <c r="R33" i="9"/>
  <c r="R13" i="9"/>
  <c r="R24" i="9"/>
  <c r="R7" i="9"/>
  <c r="R14" i="9"/>
  <c r="R5" i="9"/>
  <c r="R20" i="9"/>
  <c r="R8" i="9"/>
  <c r="R23" i="9"/>
  <c r="R30" i="9"/>
  <c r="R25" i="9"/>
  <c r="R21" i="9"/>
  <c r="R36" i="9"/>
  <c r="R4" i="9"/>
  <c r="R19" i="9"/>
  <c r="R22" i="9"/>
  <c r="R35" i="9"/>
  <c r="R32" i="9"/>
  <c r="R15" i="9"/>
  <c r="R17" i="9"/>
  <c r="R28" i="9"/>
  <c r="R11" i="9"/>
  <c r="R9" i="9"/>
  <c r="R37" i="9"/>
  <c r="R16" i="9"/>
  <c r="R31" i="9"/>
  <c r="R10" i="9"/>
  <c r="R6" i="9"/>
  <c r="R29" i="9"/>
  <c r="R26" i="9"/>
  <c r="R12" i="9"/>
  <c r="R27" i="9"/>
  <c r="R34" i="9"/>
  <c r="C39" i="7"/>
  <c r="C38" i="7"/>
  <c r="C37" i="7"/>
  <c r="C36" i="7"/>
  <c r="C35" i="7"/>
  <c r="C34" i="7"/>
  <c r="C33" i="7"/>
</calcChain>
</file>

<file path=xl/sharedStrings.xml><?xml version="1.0" encoding="utf-8"?>
<sst xmlns="http://schemas.openxmlformats.org/spreadsheetml/2006/main" count="1886" uniqueCount="735">
  <si>
    <t>Field</t>
  </si>
  <si>
    <t xml:space="preserve">Field Type </t>
  </si>
  <si>
    <t>Notes</t>
  </si>
  <si>
    <t>Web Form Type</t>
  </si>
  <si>
    <t xml:space="preserve">Performance Information Profile </t>
  </si>
  <si>
    <t>Title</t>
  </si>
  <si>
    <t>Program Title</t>
  </si>
  <si>
    <t>Text - unlimited length</t>
  </si>
  <si>
    <t xml:space="preserve">Program Official Title </t>
  </si>
  <si>
    <t>Drop-down list</t>
  </si>
  <si>
    <t>Date Updated</t>
  </si>
  <si>
    <t>Header</t>
  </si>
  <si>
    <t xml:space="preserve">Approval by Program Offical </t>
  </si>
  <si>
    <t>Table value</t>
  </si>
  <si>
    <t>Consultation with the Head of Evaluation</t>
  </si>
  <si>
    <t>Date</t>
  </si>
  <si>
    <t>Strategic Priorities</t>
  </si>
  <si>
    <t>Transfer Payment Programs</t>
  </si>
  <si>
    <t>Government of Canada Activity Tags</t>
  </si>
  <si>
    <t>Canadian Classification of Functions of Government</t>
  </si>
  <si>
    <t>Note from Alex: 
This is for the Classification of Functions of Government. We will give you the list for this. 
We are open to your recommendations on how to enter/present the logic model.</t>
  </si>
  <si>
    <t>2 columns, 1 row</t>
  </si>
  <si>
    <t>Intermediate Outcome</t>
  </si>
  <si>
    <t>1 column, 1 row</t>
  </si>
  <si>
    <t>Immediate Outcome</t>
  </si>
  <si>
    <t>4 columns, 1 row</t>
  </si>
  <si>
    <t>Outputs</t>
  </si>
  <si>
    <t>7 columns, 1 row</t>
  </si>
  <si>
    <t>Activities</t>
  </si>
  <si>
    <t>Outcome Level</t>
  </si>
  <si>
    <t>Choice of 4 values</t>
  </si>
  <si>
    <t>Program Output or Outcome</t>
  </si>
  <si>
    <t xml:space="preserve">Indicator </t>
  </si>
  <si>
    <t>Indicator Calculation/Formula</t>
  </si>
  <si>
    <t>Indicator Rationale (how it relates to the output or outcome; why is it relevant?)</t>
  </si>
  <si>
    <t>Source of Indicator</t>
  </si>
  <si>
    <t>Choice of 8 values</t>
  </si>
  <si>
    <t>TB Sub Indicator Identification Number</t>
  </si>
  <si>
    <t>Indicator Category</t>
  </si>
  <si>
    <t xml:space="preserve">Note from Alex:
Need drop down for Indicator Category for: quantitative and qualitative </t>
  </si>
  <si>
    <t xml:space="preserve">Indicator Direction </t>
  </si>
  <si>
    <t>Note from Alex:
Need drop down for: 
Increase
Maintain
Decrease</t>
  </si>
  <si>
    <t>Indicator - progressive or aggregate</t>
  </si>
  <si>
    <t>Note from Alex:
Need drop down for progressive
aggregate</t>
  </si>
  <si>
    <r>
      <t xml:space="preserve">Branch </t>
    </r>
    <r>
      <rPr>
        <b/>
        <i/>
        <sz val="11"/>
        <color rgb="FFFF0000"/>
        <rFont val="Calibri"/>
        <family val="2"/>
        <scheme val="minor"/>
      </rPr>
      <t>OPTIONAL</t>
    </r>
  </si>
  <si>
    <t>Data Owner</t>
  </si>
  <si>
    <t>Data Source</t>
  </si>
  <si>
    <t xml:space="preserve">Frequency </t>
  </si>
  <si>
    <t>Data Type</t>
  </si>
  <si>
    <t>Note from Alex:
Edit drop downs to be number
percent
dollar (CDN)</t>
  </si>
  <si>
    <t xml:space="preserve">Baseline </t>
  </si>
  <si>
    <t>Date of Baseline (month/year)</t>
  </si>
  <si>
    <t>Format?  mmm/yyyy or MM/YY</t>
  </si>
  <si>
    <t>Target value -minimum</t>
  </si>
  <si>
    <t>Numeric</t>
  </si>
  <si>
    <t>decimal, dollar, integer or percentage?</t>
  </si>
  <si>
    <t>Target value - maximum</t>
  </si>
  <si>
    <t xml:space="preserve">Target value - exact </t>
  </si>
  <si>
    <t>Target Type</t>
  </si>
  <si>
    <t>Note from Alex:
Need drop down:
- Minimum value (at least)
- maximum value (at most)
- closed range
- exact (single) value</t>
  </si>
  <si>
    <t>Target 2020-21</t>
  </si>
  <si>
    <t>Date to achieve Target (month/year)</t>
  </si>
  <si>
    <t>Date   2019-20 result collected (Month/Year)</t>
  </si>
  <si>
    <t>2019-20 Result</t>
  </si>
  <si>
    <t>2018-19 Result</t>
  </si>
  <si>
    <t>2017-18 Result</t>
  </si>
  <si>
    <t>Does this indicator support GBA+ ?</t>
  </si>
  <si>
    <t>Choice of 2 values</t>
  </si>
  <si>
    <t>If yes, please provide an explanation of how/ in what ways the indicator supports GBA+.</t>
  </si>
  <si>
    <r>
      <t xml:space="preserve">Methodology 
How will the indicator be measured? 
Include:
 Calculation/formula: …
 Definition(s): ... (where specific terminology is used) 
Note(s): ... (i.e. additional information on the indicator)
</t>
    </r>
    <r>
      <rPr>
        <b/>
        <sz val="11"/>
        <color rgb="FFFF0000"/>
        <rFont val="Calibri"/>
        <family val="2"/>
        <scheme val="minor"/>
      </rPr>
      <t>Sectors may also insert a link to a methodology sheet in this column.</t>
    </r>
  </si>
  <si>
    <t>Sectors may also insert a link to a methodology sheet in this column.</t>
  </si>
  <si>
    <t>Supplementary Information Tables (SITs)</t>
  </si>
  <si>
    <t>To be prepopulated by SPI-PDR with the link to tables required to be completed (DRR at end of year and DP at Mid-Year)</t>
  </si>
  <si>
    <t>SUPPLEMENTARY INFORMATION TABLES</t>
  </si>
  <si>
    <t>TPP Program</t>
  </si>
  <si>
    <t>Year</t>
  </si>
  <si>
    <t>GCDocs link</t>
  </si>
  <si>
    <t>Transfer Payment Program SIT - DP</t>
  </si>
  <si>
    <t>Text</t>
  </si>
  <si>
    <t>Link</t>
  </si>
  <si>
    <t>Transfer Payment Program SIT - DRR</t>
  </si>
  <si>
    <t>Departmental Sustainable Development Strategy SIT - DP</t>
  </si>
  <si>
    <t>Departmental Sustainable Development Strategy SIT - DRR</t>
  </si>
  <si>
    <t>Horizontal Intiative SIT - DP</t>
  </si>
  <si>
    <t>Horizontal Intiative SIT - DRR</t>
  </si>
  <si>
    <t>Field Type</t>
  </si>
  <si>
    <t>Checkbox</t>
  </si>
  <si>
    <t>Notes - unlimited length</t>
  </si>
  <si>
    <t>Number - Decimal</t>
  </si>
  <si>
    <t>Number - Dollar (CDN)</t>
  </si>
  <si>
    <t>Number - Interger</t>
  </si>
  <si>
    <t>Number - Percentage</t>
  </si>
  <si>
    <t>Text - limited length</t>
  </si>
  <si>
    <t>Target Group Tags</t>
  </si>
  <si>
    <t>Branch</t>
  </si>
  <si>
    <t>- Menu Select -</t>
  </si>
  <si>
    <t>Reporting Type</t>
  </si>
  <si>
    <t>1 - Children</t>
  </si>
  <si>
    <t xml:space="preserve">Horizontal Intiative </t>
  </si>
  <si>
    <t>2 - Youth</t>
  </si>
  <si>
    <t xml:space="preserve">DRF indicator </t>
  </si>
  <si>
    <t>3 - Seniors</t>
  </si>
  <si>
    <t>GC InfoBase Indicator</t>
  </si>
  <si>
    <t>4 - Families</t>
  </si>
  <si>
    <t xml:space="preserve">TB Sub indicator </t>
  </si>
  <si>
    <t>5 - Women</t>
  </si>
  <si>
    <t xml:space="preserve">DSDS indicator </t>
  </si>
  <si>
    <t>6 - Indigenous people</t>
  </si>
  <si>
    <t xml:space="preserve">SDG indicator </t>
  </si>
  <si>
    <t>7 - Disabled persons</t>
  </si>
  <si>
    <t>TPP indicator</t>
  </si>
  <si>
    <t>8 - Students</t>
  </si>
  <si>
    <t>Internal program indicator only</t>
  </si>
  <si>
    <t>9 - Detained and/or formerly incarcerated individuals</t>
  </si>
  <si>
    <t>10 - Violators of regulations and/or laws</t>
  </si>
  <si>
    <t>11 - Victims</t>
  </si>
  <si>
    <t>Frequency</t>
  </si>
  <si>
    <t>12 - Military personnel</t>
  </si>
  <si>
    <t>13 - Veterans</t>
  </si>
  <si>
    <t>Monthly</t>
  </si>
  <si>
    <t>14 - Workers</t>
  </si>
  <si>
    <t>Bi-Monthly</t>
  </si>
  <si>
    <t>15 - Voters</t>
  </si>
  <si>
    <t>Quarterly</t>
  </si>
  <si>
    <t>16 - Consumers</t>
  </si>
  <si>
    <t>Semi-Annually</t>
  </si>
  <si>
    <t>17 - Unemployed</t>
  </si>
  <si>
    <t>Annually</t>
  </si>
  <si>
    <t>18 - Low-income individuals and/or families</t>
  </si>
  <si>
    <t>Immediate</t>
  </si>
  <si>
    <t>2 years</t>
  </si>
  <si>
    <t>19 - Scientific researchers</t>
  </si>
  <si>
    <t>Intermediate</t>
  </si>
  <si>
    <t>3 years</t>
  </si>
  <si>
    <t>20 - Socio-economic researchers</t>
  </si>
  <si>
    <t xml:space="preserve">Ultimate </t>
  </si>
  <si>
    <t>5 years</t>
  </si>
  <si>
    <t>21 - Health care professionals</t>
  </si>
  <si>
    <t>Output</t>
  </si>
  <si>
    <t>Horizontal Initiatives</t>
  </si>
  <si>
    <t>Other</t>
  </si>
  <si>
    <t>22 - Law enforcement officials</t>
  </si>
  <si>
    <t>23 - Legal professionals</t>
  </si>
  <si>
    <t>Efficiency</t>
  </si>
  <si>
    <t>CGCC – Clean Growth and Climate Change (ECCC)</t>
  </si>
  <si>
    <t>DATA TYPE</t>
  </si>
  <si>
    <t>24 - Artists and/or performers</t>
  </si>
  <si>
    <t>Effectiveness</t>
  </si>
  <si>
    <t>Emergency Management Strategy (PSC)</t>
  </si>
  <si>
    <t>25 - Athletes and/or coaches</t>
  </si>
  <si>
    <t>FCSAP –  Federal Contaminated Sites Action Plan (ECCC)</t>
  </si>
  <si>
    <t>Number</t>
  </si>
  <si>
    <t>26 - Farmers</t>
  </si>
  <si>
    <t>IICP – Investing in Infrastructure Canada Plan (INFC)</t>
  </si>
  <si>
    <t>Range</t>
  </si>
  <si>
    <t>27 - Members of Parliament</t>
  </si>
  <si>
    <t>IARP – Impact Assessment and Regulatory Processes (CEAA)</t>
  </si>
  <si>
    <t>Percentage</t>
  </si>
  <si>
    <t>28 - Language minorities</t>
  </si>
  <si>
    <t>MPMOI –  Major projects Management Office (NRCan)</t>
  </si>
  <si>
    <t>Percentage Change</t>
  </si>
  <si>
    <t>29 - Canadians travelling, working, studying, and/or living abroad</t>
  </si>
  <si>
    <t>National Cyber Security Strategy (PSC)</t>
  </si>
  <si>
    <t>Qualitative</t>
  </si>
  <si>
    <t>30 - Immigrants and/or refugees</t>
  </si>
  <si>
    <t>Nature Legacy – Species at Risk (ECCC)</t>
  </si>
  <si>
    <t>31 - International students</t>
  </si>
  <si>
    <t>OPP –  Oceans Protection Plan (TC)</t>
  </si>
  <si>
    <t>32 - Tourists and/or foreign visitors</t>
  </si>
  <si>
    <t>Intervention Type Tags</t>
  </si>
  <si>
    <t>33 - Foreign and/or migrant workers</t>
  </si>
  <si>
    <t>34 - Foreign investors and/or foreign entrepreneurs</t>
  </si>
  <si>
    <t>Programs / Services for Canadians</t>
  </si>
  <si>
    <t>35 - General public</t>
  </si>
  <si>
    <t>Regulation / Legislation</t>
  </si>
  <si>
    <t>36 - Dependants of Military and Law Enforcement Veterans</t>
  </si>
  <si>
    <t>Management / Oversight of Federal Activities</t>
  </si>
  <si>
    <t>37 - Non-governmental organizations (NGO)</t>
  </si>
  <si>
    <t>Grant</t>
  </si>
  <si>
    <t>38 - Health care and/or social assistance sectors</t>
  </si>
  <si>
    <t xml:space="preserve">Contribution </t>
  </si>
  <si>
    <t>39 - Heritage institutions</t>
  </si>
  <si>
    <t>Other Transfer Payments</t>
  </si>
  <si>
    <t>40 - Colleges and/or universities</t>
  </si>
  <si>
    <t>Enterprise-Wide Program / Service</t>
  </si>
  <si>
    <t>41 - Agriculture industry</t>
  </si>
  <si>
    <t>Safety or Security Program / Service</t>
  </si>
  <si>
    <t>42 - Forestry industry</t>
  </si>
  <si>
    <t>43 - Mining, and/or oil &amp; gas exploration industries</t>
  </si>
  <si>
    <t>Core Responsibilities</t>
  </si>
  <si>
    <t>44 - Energy and/or utilities sector</t>
  </si>
  <si>
    <t>45 - Manufacturing industry</t>
  </si>
  <si>
    <t>Core Responsibility 1</t>
  </si>
  <si>
    <t xml:space="preserve">Natural Resource Science and Risk Mitigation </t>
  </si>
  <si>
    <t>46 - Import / export sectors</t>
  </si>
  <si>
    <t>Core Responsibility 2</t>
  </si>
  <si>
    <t xml:space="preserve">Innovative and Sustainable Natural Resource Development </t>
  </si>
  <si>
    <t>47 - Retail industry</t>
  </si>
  <si>
    <t>Core Responsibility 3</t>
  </si>
  <si>
    <t>Globally Competitive Natural Resource Sectors</t>
  </si>
  <si>
    <t>48 - Transportation industry</t>
  </si>
  <si>
    <t xml:space="preserve">Internal Services </t>
  </si>
  <si>
    <t>49 - Movie, television, and/or publishing sectors</t>
  </si>
  <si>
    <t>50 - Telecommunications sector</t>
  </si>
  <si>
    <t>51 - Science and technology industry</t>
  </si>
  <si>
    <t>52 - Finance and/or insurance sectors</t>
  </si>
  <si>
    <t>Departmental Results</t>
  </si>
  <si>
    <t>53 - Housing sector</t>
  </si>
  <si>
    <t>Goc Outcome Areas</t>
  </si>
  <si>
    <t>CoreResponsibility1</t>
  </si>
  <si>
    <t>54 - Sports and/or recreation industry</t>
  </si>
  <si>
    <t>55 - Hospitality and/or food services industry</t>
  </si>
  <si>
    <t xml:space="preserve">Economic Affairs - income security and employment for Canadians </t>
  </si>
  <si>
    <t>R1 Canadians have access to cutting-edge research to inform decisions on the management  of natural resources</t>
  </si>
  <si>
    <t>56 - Training and/or educational sectors</t>
  </si>
  <si>
    <t xml:space="preserve">Economic Affairs - Strong economic growth </t>
  </si>
  <si>
    <t>R2 Communities and officials have the tools to safeguard Canadians from natural hazards and explosives</t>
  </si>
  <si>
    <t>57 - Performing arts sector</t>
  </si>
  <si>
    <t xml:space="preserve">Economic Affairs - an innovative and knowledge based economy </t>
  </si>
  <si>
    <t>R3 Communities and industries are adapting to climate change</t>
  </si>
  <si>
    <t>58 - Infrastructure</t>
  </si>
  <si>
    <t xml:space="preserve">Economic Affairs - a clean and healthy environment </t>
  </si>
  <si>
    <t>CoreResponsibility2</t>
  </si>
  <si>
    <t>59 - Indigenous/northern businesses</t>
  </si>
  <si>
    <t>Economic Affairs - a fair and secure market place</t>
  </si>
  <si>
    <t>60 - Small and Medium Enterprises</t>
  </si>
  <si>
    <t xml:space="preserve">Social Affairs - healthy Canadians </t>
  </si>
  <si>
    <t xml:space="preserve">R4 Natural resource sectors are innovative </t>
  </si>
  <si>
    <t>61 - Large sized businesses</t>
  </si>
  <si>
    <t>Social Affairs - a safe and secure Canada</t>
  </si>
  <si>
    <t>R5 Clean technologies and energy efficiencies enhance economic performance</t>
  </si>
  <si>
    <t>62 - Families in developing countries / regions</t>
  </si>
  <si>
    <t xml:space="preserve">Social Affairs - a diverse society that promotes linguistic duality and social inclusion </t>
  </si>
  <si>
    <t xml:space="preserve">R6 Canada’s natural resources are sustainable  </t>
  </si>
  <si>
    <t>63 - Private sector / businesses in developing countries / regions</t>
  </si>
  <si>
    <t xml:space="preserve">Social Affairs - a vibrant Canadian culture and heritage </t>
  </si>
  <si>
    <t>CoreResponsibility3</t>
  </si>
  <si>
    <t>64 - Civil society in developing countries / regions</t>
  </si>
  <si>
    <t xml:space="preserve">International Affairs - a safe and secure world through international engagement </t>
  </si>
  <si>
    <t>65 - International organizations and/or alliances</t>
  </si>
  <si>
    <t xml:space="preserve">International Affairs - global poverty reduction through international sustainable development </t>
  </si>
  <si>
    <t>R7 Access to new and priority markets for Canada’s natural resources is enhanced</t>
  </si>
  <si>
    <t>66 - Foreign governments</t>
  </si>
  <si>
    <t xml:space="preserve">International Affairs - a strong and mutually beneficial North American partnership </t>
  </si>
  <si>
    <t>R8 Canadians are engaged in the future of the new and inclusive resource economy</t>
  </si>
  <si>
    <t>67 - Provincial &amp; territorial governments</t>
  </si>
  <si>
    <t>International Affairs - a prosperous Canada through global commerce</t>
  </si>
  <si>
    <t>R9 Enhanced competitiveness of Canada’s natural resource sectors</t>
  </si>
  <si>
    <t>68 - Urban communities</t>
  </si>
  <si>
    <t xml:space="preserve">Government Affairs - strong and independent democratic institutions </t>
  </si>
  <si>
    <t>69 - Rural communities</t>
  </si>
  <si>
    <t xml:space="preserve">Government Affairs - a transparent accountable and responsive federal government </t>
  </si>
  <si>
    <t>70 - Northern communities</t>
  </si>
  <si>
    <t xml:space="preserve">Government Affairs - well-managed and efficient government operations </t>
  </si>
  <si>
    <t>71 - Local and/or regional communities</t>
  </si>
  <si>
    <t>72 - Municipal governments</t>
  </si>
  <si>
    <t>73 - Indigenous Band, Tribal Council, Nation and/or Alliance</t>
  </si>
  <si>
    <t>74 - Federal departments and/or agencies</t>
  </si>
  <si>
    <t>75 - Program(s) within the same department or agency</t>
  </si>
  <si>
    <t>76 - Public Servants</t>
  </si>
  <si>
    <t>77 - Canadian Forces</t>
  </si>
  <si>
    <t>78 - Contaminated sites</t>
  </si>
  <si>
    <t>79 - Greenhouse gas emitters</t>
  </si>
  <si>
    <t>80 - Water treatment / distribution facilities</t>
  </si>
  <si>
    <t xml:space="preserve"> Menu Select </t>
  </si>
  <si>
    <t>Name</t>
  </si>
  <si>
    <t>81 - Ecological systems and/or natural habitats</t>
  </si>
  <si>
    <t>82 - Species at risk and/or invasive species</t>
  </si>
  <si>
    <t>N/A</t>
  </si>
  <si>
    <t>R1 Les Canadiens ont accès à une recherche de pointe pour prendre des décisions sur la gestion des ressources naturelles</t>
  </si>
  <si>
    <t>R2 Les collectivités et les agents ont les outils pour protéger les Canadiens contre les dangers naturels et les explosifs</t>
  </si>
  <si>
    <t>R3 Les collectivités et les industries s’adaptent aux changements climatiques</t>
  </si>
  <si>
    <t>R4 Les secteurs des ressources naturelles sont novateurs</t>
  </si>
  <si>
    <t>R5 Les technologies propres et l’efficacité énergétique améliorent le rendement économique</t>
  </si>
  <si>
    <t>R6 Les ressources naturelles du Canada sont durables</t>
  </si>
  <si>
    <t>R7 L’accès à des marchés nouveaux et prioritaires pour les ressources naturelles du Canada est amélioré</t>
  </si>
  <si>
    <t>R8 Les Canadiens participent à l’économie nouvelle et inclusive des ressources de l’avenir</t>
  </si>
  <si>
    <t>R9 La compétitivité des secteurs des ressources naturelles  du Canada est accrue</t>
  </si>
  <si>
    <t xml:space="preserve">For-profit organizations </t>
  </si>
  <si>
    <t xml:space="preserve">Organisme à but lucratif </t>
  </si>
  <si>
    <t>Not-for-profit organizations and charities</t>
  </si>
  <si>
    <t xml:space="preserve">Organisme à but non lucratif et organisme de bienfaisance </t>
  </si>
  <si>
    <t>Academia and public institutions</t>
  </si>
  <si>
    <t xml:space="preserve">Établissement universitaire et institution publique </t>
  </si>
  <si>
    <t>Aboriginal recipients</t>
  </si>
  <si>
    <t xml:space="preserve">Bénéficiaire autochtone </t>
  </si>
  <si>
    <t xml:space="preserve">Government </t>
  </si>
  <si>
    <t xml:space="preserve">Gouvernement </t>
  </si>
  <si>
    <t>International (non-government)</t>
  </si>
  <si>
    <t xml:space="preserve">Organisation internationale </t>
  </si>
  <si>
    <t>Individual or sole proprietorships</t>
  </si>
  <si>
    <t xml:space="preserve">Particulier ou entreprise à propriétaire unique </t>
  </si>
  <si>
    <t>Autre</t>
  </si>
  <si>
    <t>Contributions in support of the Green Construction through Wood Program (voted)</t>
  </si>
  <si>
    <t>Grants and Contributions in support of Clean Technology Challenges (voted)</t>
  </si>
  <si>
    <t>Contribution in support of Energy Efficiency Program (voted)</t>
  </si>
  <si>
    <t>Contributions in support of ecoENERGY for Renewable Power (voted)</t>
  </si>
  <si>
    <t xml:space="preserve">Contributions in support of the clean-up of the Gunnar uranium mining facilities (voted) </t>
  </si>
  <si>
    <t>Contributions in support of Clean Growth in Natural Resource Sectors Innovation Program (voted)</t>
  </si>
  <si>
    <t>Contributions in support of the Energy Innovation Program (voted)</t>
  </si>
  <si>
    <t>Contributions in support of Indigenous Advisory and Monitoring Committees for Energy Infrastructure Projects (voted)</t>
  </si>
  <si>
    <t>Contributions in support of Electric Vehicle Infrastructure Demonstration Program (voted)</t>
  </si>
  <si>
    <t>Contributions in support of the Smart Grid Program (voted)</t>
  </si>
  <si>
    <t>Contributions in support of Clean Energy for Rural and Remote Communities (voted)</t>
  </si>
  <si>
    <t>Contributions in support of the Emerging Renewable Power Program (voted)</t>
  </si>
  <si>
    <t>Contributions in support of Climate Change Adaption (voted)</t>
  </si>
  <si>
    <t>Contributions in support of Investments in Forest Industry Transformation Program (voted)</t>
  </si>
  <si>
    <t>Contributions in support of Spruce budworm Early Intervention Strategy – Phase II (voted)</t>
  </si>
  <si>
    <t>Payments to the Newfoundland Offshore Petroleum Resource Revenue Fund (statutory)</t>
  </si>
  <si>
    <t xml:space="preserve">Payments to the Canada-Newfoundland and Labrador Offshore Petroleum Board (statutory) </t>
  </si>
  <si>
    <t>Contributions in support of Zero Emission Vehicle Infrastructure (voted)</t>
  </si>
  <si>
    <t>Contributions in support of Accommodation Measures for the Trans Mountain Expansion project (voted)</t>
  </si>
  <si>
    <t>Grants in support of outreach and Engagement, Energy Efficiency and Energy Innovation (voted)</t>
  </si>
  <si>
    <t>Grants in support of Innovative Solutions Canada (voted)</t>
  </si>
  <si>
    <t>Contributions in support of Small Scale Research (voted)</t>
  </si>
  <si>
    <t>Contributions in support of the GeoConnections Program (voted)</t>
  </si>
  <si>
    <t>Contributions in support of the Forest Research Institute Initiative (voted)</t>
  </si>
  <si>
    <t>Contributions in support of Indigenous Economic Development (voted)</t>
  </si>
  <si>
    <t>Payments to the Canada-Nova Scotia Offshore Petroleum Board (Statutory)</t>
  </si>
  <si>
    <t>Contributions in support of the Youth Employment Strategy (voted)</t>
  </si>
  <si>
    <t>Contributions in support of Indigenous Participation in Dialogues (voted)</t>
  </si>
  <si>
    <t>Grants and Contributions in support of Oil Spill Recovery Technology (voted)</t>
  </si>
  <si>
    <t>Contributions in support of Cyber Security and Critical Energy Infrastructure Protection (voted)</t>
  </si>
  <si>
    <t>Contributions in support of Wildland Fire Resilience (voted)</t>
  </si>
  <si>
    <t>Contributions in support of Earthquake Early Warning (voted)</t>
  </si>
  <si>
    <t xml:space="preserve">Target Group Tags (Who we help) </t>
  </si>
  <si>
    <t xml:space="preserve">Economic Segments - Agriculture industry </t>
  </si>
  <si>
    <t xml:space="preserve">Economic Segments - Energy and/or utilities sector </t>
  </si>
  <si>
    <t xml:space="preserve">Economic Segments - Entrepreneurs </t>
  </si>
  <si>
    <t xml:space="preserve">Economic Segments - Finance and/or insurance sectors </t>
  </si>
  <si>
    <t xml:space="preserve">Economic Segments - Fisheries and Aquaculture </t>
  </si>
  <si>
    <t xml:space="preserve">Economic Segments - Forestry industry </t>
  </si>
  <si>
    <t xml:space="preserve">Economic Segments - Hospitality and/or food services industry </t>
  </si>
  <si>
    <t xml:space="preserve">Economic Segments - Housing sector </t>
  </si>
  <si>
    <t xml:space="preserve">Economic Segments - Import / export sectors </t>
  </si>
  <si>
    <t xml:space="preserve">Economic Segments - Indigenous/northern businesses </t>
  </si>
  <si>
    <t xml:space="preserve">Economic Segments - Infrastructure </t>
  </si>
  <si>
    <t xml:space="preserve">Economic Segments - Large sized businesses </t>
  </si>
  <si>
    <t xml:space="preserve">Economic Segments - Manufacturing industry </t>
  </si>
  <si>
    <t xml:space="preserve">Economic Segments - Medium sized businesses </t>
  </si>
  <si>
    <t xml:space="preserve">Economic Segments - Mining, and/or oil &amp; gas exploration industries </t>
  </si>
  <si>
    <t xml:space="preserve">Economic Segments - Movie, television, and/or publishing sectors </t>
  </si>
  <si>
    <t xml:space="preserve">Economic Segments - Performing arts sector </t>
  </si>
  <si>
    <t xml:space="preserve">Economic Segments - Retail industry </t>
  </si>
  <si>
    <t xml:space="preserve">Economic Segments - Science and technology industry </t>
  </si>
  <si>
    <t xml:space="preserve">Economic Segments - Small and Medium Enterprises </t>
  </si>
  <si>
    <t xml:space="preserve">Economic Segments - Small sized businesses </t>
  </si>
  <si>
    <t xml:space="preserve">Economic Segments - Sports and/or recreation industry </t>
  </si>
  <si>
    <t xml:space="preserve">Economic Segments - Telecommunications sector </t>
  </si>
  <si>
    <t xml:space="preserve">Economic Segments - Training and/or educational sectors </t>
  </si>
  <si>
    <t xml:space="preserve">Economic Segments - Transportation industry </t>
  </si>
  <si>
    <t xml:space="preserve">Environmental - Contaminated sites </t>
  </si>
  <si>
    <t xml:space="preserve">Environmental - Ecological systems and/or natural habitats </t>
  </si>
  <si>
    <t xml:space="preserve">Environmental - Greenhouse gas emitters </t>
  </si>
  <si>
    <t xml:space="preserve">Environmental - Species at risk and/or invasive species </t>
  </si>
  <si>
    <t xml:space="preserve">Environmental - Water treatment / distribution facilities </t>
  </si>
  <si>
    <t xml:space="preserve">Foreign Entities - Civil society in developing countries / regions </t>
  </si>
  <si>
    <t xml:space="preserve">Foreign Entities - Families in developing countries / regions </t>
  </si>
  <si>
    <t xml:space="preserve">Foreign Entities - Foreign governments </t>
  </si>
  <si>
    <t xml:space="preserve">Foreign Entities - Government institutions in developing countries / regions </t>
  </si>
  <si>
    <t xml:space="preserve">Foreign Entities - International organizations and/or alliances </t>
  </si>
  <si>
    <t xml:space="preserve">Foreign Entities - Private sector / businesses in developing countries / regions </t>
  </si>
  <si>
    <t xml:space="preserve">Internal to Government - Canadian Forces </t>
  </si>
  <si>
    <t xml:space="preserve">Internal to Government - Federal departments and/or agencies </t>
  </si>
  <si>
    <t xml:space="preserve">Internal to Government - Federal public service </t>
  </si>
  <si>
    <t xml:space="preserve">Internal to Government - Program(s) within the same department or agency </t>
  </si>
  <si>
    <t xml:space="preserve">Internal to Government - Public servants </t>
  </si>
  <si>
    <t xml:space="preserve">Non-Profit Institutions and Organizations - Colleges and/or universities </t>
  </si>
  <si>
    <t xml:space="preserve">Non-Profit Institutions and Organizations - Health care and/or social assistance sectors </t>
  </si>
  <si>
    <t xml:space="preserve">Non-Profit Institutions and Organizations - Heritage institutions </t>
  </si>
  <si>
    <t xml:space="preserve">Non-Profit Institutions and Organizations - Non-governmental organizations (NGO) </t>
  </si>
  <si>
    <t xml:space="preserve">Persons - Artists and/or performers </t>
  </si>
  <si>
    <t xml:space="preserve">Persons - Athletes and/or coaches </t>
  </si>
  <si>
    <t xml:space="preserve">Persons - Canadians travelling, working, studying, and/or living abroad </t>
  </si>
  <si>
    <t xml:space="preserve">Persons - Children </t>
  </si>
  <si>
    <t xml:space="preserve">Persons - Consumers </t>
  </si>
  <si>
    <t xml:space="preserve">Persons - Dependants of Military and Law Enforcement Veterans </t>
  </si>
  <si>
    <t xml:space="preserve">Persons - Detained and/or formerly incarcerated individuals </t>
  </si>
  <si>
    <t xml:space="preserve">Persons - Families </t>
  </si>
  <si>
    <t xml:space="preserve">Persons - Farmers </t>
  </si>
  <si>
    <t xml:space="preserve">Persons - Foreign and/or migrant workers </t>
  </si>
  <si>
    <t xml:space="preserve">Persons - Foreign investors and/or foreign entrepreneurs </t>
  </si>
  <si>
    <t xml:space="preserve">Persons - General public </t>
  </si>
  <si>
    <t xml:space="preserve">Persons - Health care professionals </t>
  </si>
  <si>
    <t xml:space="preserve">Persons - Immigrants and/or refugees </t>
  </si>
  <si>
    <t xml:space="preserve">Persons - Indigenous people </t>
  </si>
  <si>
    <t xml:space="preserve">Persons - International students </t>
  </si>
  <si>
    <t xml:space="preserve">Persons - Language minority communities </t>
  </si>
  <si>
    <t xml:space="preserve">Persons - Law enforcement officials </t>
  </si>
  <si>
    <t xml:space="preserve">Persons - Legal professionals </t>
  </si>
  <si>
    <t xml:space="preserve">Persons - Low-income individuals and/or families </t>
  </si>
  <si>
    <t xml:space="preserve">Persons - Members of Parliament </t>
  </si>
  <si>
    <t xml:space="preserve">Persons - Military personnel </t>
  </si>
  <si>
    <t xml:space="preserve">Persons - Persons with disabilities </t>
  </si>
  <si>
    <t xml:space="preserve">Persons - Scientific researchers </t>
  </si>
  <si>
    <t xml:space="preserve">Persons - Seniors </t>
  </si>
  <si>
    <t xml:space="preserve">Persons - Socio-economic researchers </t>
  </si>
  <si>
    <t xml:space="preserve">Persons - Students </t>
  </si>
  <si>
    <t xml:space="preserve">Persons - Tourists and/or foreign visitors </t>
  </si>
  <si>
    <t xml:space="preserve">Persons - Unemployed </t>
  </si>
  <si>
    <t xml:space="preserve">Persons - Veterans </t>
  </si>
  <si>
    <t xml:space="preserve">Persons - Victims </t>
  </si>
  <si>
    <t xml:space="preserve">Persons - Violators of regulations and/or laws </t>
  </si>
  <si>
    <t xml:space="preserve">Persons - Voters </t>
  </si>
  <si>
    <t xml:space="preserve">Persons - Women </t>
  </si>
  <si>
    <t xml:space="preserve">Persons - Workers </t>
  </si>
  <si>
    <t xml:space="preserve">Persons - Youth </t>
  </si>
  <si>
    <t xml:space="preserve">Provinces, Territories and Communities - Indigenous Band, Tribal Council, Nation and/or Alliance </t>
  </si>
  <si>
    <t xml:space="preserve">Provinces, Territories and Communities - Local and/or regional communities </t>
  </si>
  <si>
    <t xml:space="preserve">Provinces, Territories and Communities - Municipal governments </t>
  </si>
  <si>
    <t xml:space="preserve">Provinces, Territories and Communities - Northern communities </t>
  </si>
  <si>
    <t xml:space="preserve">Provinces, Territories and Communities - Provincial &amp; territorial governments </t>
  </si>
  <si>
    <t xml:space="preserve">Provinces, Territories and Communities - Rural communities </t>
  </si>
  <si>
    <t xml:space="preserve">Provinces, Territories and Communities - Urban communities </t>
  </si>
  <si>
    <t xml:space="preserve">Employment and Income Security </t>
  </si>
  <si>
    <t>Economic Development</t>
  </si>
  <si>
    <t xml:space="preserve">Research and Development </t>
  </si>
  <si>
    <t xml:space="preserve">Environment </t>
  </si>
  <si>
    <t>Market integrity, regulation, and competition</t>
  </si>
  <si>
    <t xml:space="preserve">Health </t>
  </si>
  <si>
    <t xml:space="preserve">Safety and Security </t>
  </si>
  <si>
    <t>Social Inclusion</t>
  </si>
  <si>
    <t>Heritage and Culture</t>
  </si>
  <si>
    <t xml:space="preserve">International Engagement </t>
  </si>
  <si>
    <t>International Development</t>
  </si>
  <si>
    <t>North American Partnership</t>
  </si>
  <si>
    <t>International Trade and Investment</t>
  </si>
  <si>
    <t>Democratic Institutions</t>
  </si>
  <si>
    <t>Transparency and Accountability</t>
  </si>
  <si>
    <t>Government Operations</t>
  </si>
  <si>
    <t>Crown Corporations</t>
  </si>
  <si>
    <t>CR 1</t>
  </si>
  <si>
    <t xml:space="preserve">Protecting Canadians from the impacts of natural and human-induced hazards </t>
  </si>
  <si>
    <t>Accelerating the adoption of clean technology and supporting the transition to a low-carbon future</t>
  </si>
  <si>
    <t xml:space="preserve">Advancing reconciliation, building relationships, and sharing economic benefits with Indigenous peoples </t>
  </si>
  <si>
    <t>CR 2</t>
  </si>
  <si>
    <t>Accelerating the adoption of clean technology and supporting the transition of a low-carbon future</t>
  </si>
  <si>
    <t>Improving market access and competitiveness in Canada’s resource sectors</t>
  </si>
  <si>
    <t>Supporting resource communities and workers in a low carbon economy</t>
  </si>
  <si>
    <t xml:space="preserve"> Advancing reconciliation, building relationships, and sharing economic benefits with Indigenous peoples </t>
  </si>
  <si>
    <t>CR 3</t>
  </si>
  <si>
    <t>Supporting resource communities and workers in a low-carbon economy</t>
  </si>
  <si>
    <t>Mandate Letter Commitments</t>
  </si>
  <si>
    <t xml:space="preserve">Identify opportunities to support workers and businesses in the natural resource sectors that are seeking to export their goods to global markets </t>
  </si>
  <si>
    <t>Building on the work completed in the Government’s first term, work with partners to implement, as appropriate, the recommendations of the Generation Energy Council Report</t>
  </si>
  <si>
    <t>Position Canada as a global leader in clean technology, including in critical minerals</t>
  </si>
  <si>
    <t xml:space="preserve">Operationalize the plan to plant two billion incremental trees over the next 10 years </t>
  </si>
  <si>
    <t>Help cities expand and diversify their urban forests. You will both also invest in protecting trees from infestations and, when ecologically appropriate, help rebuild our forests after a wildfire</t>
  </si>
  <si>
    <t>Support research and provide funding so that municipalities have access to domestic sources of climate-resilient and genetically diverse trees that will increase the resilience of our urban forests</t>
  </si>
  <si>
    <t xml:space="preserve">Advance legislation to support the future and livelihood of workers and their communities </t>
  </si>
  <si>
    <t xml:space="preserve">Operationalize a plan to help Canadians make their homes more energy efficient and climate resilient </t>
  </si>
  <si>
    <t>Make Energy Star certification mandatory for all new home appliances starting in 2022</t>
  </si>
  <si>
    <t>Launch a national competition to create four long-term funds to help attract private capital that can be used for deep retrofits of large buildings such as office towers</t>
  </si>
  <si>
    <t>Install up to 5,000 additional charging stations along the Trans-Canada Highway and other major road networks and in Canada’s urban and rural areas</t>
  </si>
  <si>
    <t>Advance the electrification of Canadian industries through new, zero-carbon clean electricity generation and transmission systems and grid modernization</t>
  </si>
  <si>
    <t>support the transition of Indigenous communities from reliance on diesel-fueled power to clean, renewable and reliable energy by 2030</t>
  </si>
  <si>
    <t>Ensure the efficient and effective implementation of the Canadian Energy Regulator Act</t>
  </si>
  <si>
    <t>Develop a new national benefits-sharing framework for major resource projects on Indigenous territory</t>
  </si>
  <si>
    <t>Complete all flood maps in Canada</t>
  </si>
  <si>
    <t>Monitor and identify any additional assistance the Polar Continental Shelf Program may require to respond to growing demand</t>
  </si>
  <si>
    <t>Might change once a year</t>
  </si>
  <si>
    <t>Number of Drop-down options</t>
  </si>
  <si>
    <t>Actual Spending</t>
  </si>
  <si>
    <t>Planned Spending</t>
  </si>
  <si>
    <t>Program Inventory Program Description</t>
  </si>
  <si>
    <t>Program Design Tool</t>
  </si>
  <si>
    <t>IND</t>
  </si>
  <si>
    <t>DT</t>
  </si>
  <si>
    <t>URL</t>
  </si>
  <si>
    <t>Extension</t>
  </si>
  <si>
    <t>SQL Name</t>
  </si>
  <si>
    <t>Functional Sign-off</t>
  </si>
  <si>
    <t>Class word</t>
  </si>
  <si>
    <t>Abbreviation</t>
  </si>
  <si>
    <t>Definition</t>
  </si>
  <si>
    <t>Amount</t>
  </si>
  <si>
    <t>AMT</t>
  </si>
  <si>
    <t>A numeric measurement of monetary value. An amount attribute can be specified as an integer, may include decimal positions and may have a positive or negative value. For example, $23,943.00, $99, -$14.00.</t>
  </si>
  <si>
    <t>AMTL</t>
  </si>
  <si>
    <t>A numeric measurement of monetary value expressed in local currency.</t>
  </si>
  <si>
    <t>AMTR</t>
  </si>
  <si>
    <t>A numeric measurement of monetary value expressed in a reporting currency.</t>
  </si>
  <si>
    <t>Code</t>
  </si>
  <si>
    <t>CD</t>
  </si>
  <si>
    <t>A set of one or more user-defined values that represent a more meaningful and descriptive piece of business information. A code usually represents a static set of values. For example, "C01" may be the coded value for the description"Calendar Year 2000 - Period 1".</t>
  </si>
  <si>
    <t>Count</t>
  </si>
  <si>
    <t>CNT</t>
  </si>
  <si>
    <t>An integer number that represents the counted value for some business event, programmatically calculated by a counter.</t>
  </si>
  <si>
    <t>A point in time in terms of day, month, or year in any combination This includes calendar days (MMDDYYYY, YYYYMMDD) and fiscal dates.</t>
  </si>
  <si>
    <t>Description</t>
  </si>
  <si>
    <t>DESC</t>
  </si>
  <si>
    <t>A word or phrase that interprets a, code. For example, "Calendar Year 2000 - Period 1" is the description for the coded value "C01".</t>
  </si>
  <si>
    <t>Duration</t>
  </si>
  <si>
    <t>DUR</t>
  </si>
  <si>
    <t>A numeric field that represents the time (greater than hours and minutes) during which something exists or lasts.</t>
  </si>
  <si>
    <t>Standard URL</t>
  </si>
  <si>
    <t>Email</t>
  </si>
  <si>
    <t>EMAIL</t>
  </si>
  <si>
    <t>Single email Address</t>
  </si>
  <si>
    <t>NT</t>
  </si>
  <si>
    <t>Long text for notes</t>
  </si>
  <si>
    <t>Factor</t>
  </si>
  <si>
    <t>FCTR</t>
  </si>
  <si>
    <t>Numeric field expressing a real number other than a percentage value. For example, PRODUCT COST GROSSUP FACTOR might hold the numeric value that is used to calculated a grossed up product cost.</t>
  </si>
  <si>
    <t>Identification / Identifier</t>
  </si>
  <si>
    <t>ID</t>
  </si>
  <si>
    <t>A unique label. Identifiers can often be classed as business or surrogate. A business identifier is a commonly used by a business unit. For example, a serial number used to identify a piece of EQUIPMENT. Business identifiers may have some intelligence. Surrogate identifiers usually do not have any meaning or intelligence; they merely provide a unique key.</t>
  </si>
  <si>
    <t>Indicator</t>
  </si>
  <si>
    <t>FLAG</t>
  </si>
  <si>
    <t>A code that has only 2 domain values: Y or N.</t>
  </si>
  <si>
    <t>Multiplier</t>
  </si>
  <si>
    <t>MULT</t>
  </si>
  <si>
    <t>An integer value that can hold 1 of 3 values: -1, 0, 1. Multipliers are used to derive other values.</t>
  </si>
  <si>
    <t>NAME</t>
  </si>
  <si>
    <t>Character value used to identify or describe a business object or concept. This is usually a commonly used, descriptive name or title. It is often a proper name for example, SERVICE NAME, CUSTOMER NAME. The classword NAME can be paired with a code if it's deemed to be more meaningful.</t>
  </si>
  <si>
    <t>NUM</t>
  </si>
  <si>
    <t>A value which is not for the purpose of measuring a quantity or expressing a percentage or factor, but which is usually a numeric value. Non-numeric characters could be contained in the value, such as in ACTIVITY NUMBER. For this reason, attributes with this class word are not normally subject to arithmetic.</t>
  </si>
  <si>
    <t>PCT</t>
  </si>
  <si>
    <t>Numeric field expressing a percentage. For example an attribute DISCOUNTED SALES PERCENTAGE might hold the percentage that is used to discount price of a product.</t>
  </si>
  <si>
    <t>Quantity</t>
  </si>
  <si>
    <t>QTY</t>
  </si>
  <si>
    <t>An integer number that represents the counted value for some business event or other object. For example, TOTAL INVENTORY QUANTITY.</t>
  </si>
  <si>
    <t>Rate</t>
  </si>
  <si>
    <t>RT</t>
  </si>
  <si>
    <t>A quantity, amount, or degree of something measured per unit of something else. An amount of payment or charge based on another amount; for example the amount of premium per unit of insurance.</t>
  </si>
  <si>
    <t>Ratio</t>
  </si>
  <si>
    <t>RTO</t>
  </si>
  <si>
    <t>The indicated quotient of two mathematical expressions. The relationship in quantity, amount, or size between two or more things.</t>
  </si>
  <si>
    <t>Surrogate Key</t>
  </si>
  <si>
    <t>SID</t>
  </si>
  <si>
    <t>A unique identifier that does not have any meaning or intelligence. The SID is used for the unique identifiers of mart dimensions.</t>
  </si>
  <si>
    <t>TXT</t>
  </si>
  <si>
    <t>Free form or unstructured text description. Text, unlike name and description, does not have any specific pre-defined purpose.</t>
  </si>
  <si>
    <t>Binary value of 0 or 1 to be used as indicator</t>
  </si>
  <si>
    <t>Time</t>
  </si>
  <si>
    <t>TIME</t>
  </si>
  <si>
    <t>A point in time or measurement stated in terms of hour, minute, second or fraction thereof in any combination. (HH:MM:SS, HHMM, HH, etc.) This does not include hours measured as a quantity, such as the number of hours it takes to fulfill a purchase order.</t>
  </si>
  <si>
    <t>Timestamp</t>
  </si>
  <si>
    <t>TS</t>
  </si>
  <si>
    <t>A system generated date and time value that is used to record a system event. Often the timestamp is used for audit purposes.</t>
  </si>
  <si>
    <t>Value</t>
  </si>
  <si>
    <t>VAL</t>
  </si>
  <si>
    <t>A numeric value that can be used in an arithmetic computation.</t>
  </si>
  <si>
    <t>Code - A code may be paired with a description, name or nothing at all (in cases where the code is meaningful)</t>
  </si>
  <si>
    <t>Mandatory</t>
  </si>
  <si>
    <t>None</t>
  </si>
  <si>
    <t>-</t>
  </si>
  <si>
    <t>Amount (local currency)</t>
  </si>
  <si>
    <t>Amount (reporting currency)</t>
  </si>
  <si>
    <t>Max Length</t>
  </si>
  <si>
    <t>Section</t>
  </si>
  <si>
    <t>Formatted</t>
  </si>
  <si>
    <t>Internal Services</t>
  </si>
  <si>
    <t>Integer</t>
  </si>
  <si>
    <t>Decimal</t>
  </si>
  <si>
    <t>Boolean</t>
  </si>
  <si>
    <t>Dropdown</t>
  </si>
  <si>
    <t>Money</t>
  </si>
  <si>
    <t>Actual Spending (as per GC InfoBase)</t>
  </si>
  <si>
    <t>EF Type</t>
  </si>
  <si>
    <t>string</t>
  </si>
  <si>
    <t>int</t>
  </si>
  <si>
    <t>double</t>
  </si>
  <si>
    <t>bool</t>
  </si>
  <si>
    <t>DateTime</t>
  </si>
  <si>
    <t>Annotation</t>
  </si>
  <si>
    <t>[Column(TypeName="Money")]</t>
  </si>
  <si>
    <t>Sign-off Approval</t>
  </si>
  <si>
    <t>Yes</t>
  </si>
  <si>
    <t>Departmental Result 1</t>
  </si>
  <si>
    <t>Departmental Result 2</t>
  </si>
  <si>
    <t>Strategic Priorities 1</t>
  </si>
  <si>
    <t>Strategic Priorities 2</t>
  </si>
  <si>
    <t>Mandate Letter Commitment 1</t>
  </si>
  <si>
    <t>Mandate Letter Commitment 2</t>
  </si>
  <si>
    <t>Transfer Payment Programs 1</t>
  </si>
  <si>
    <t>Transfer Payment Programs 2</t>
  </si>
  <si>
    <t>Horizontal Initiative 1</t>
  </si>
  <si>
    <t>Horizontal Initiative 2</t>
  </si>
  <si>
    <t>Government of Canada Outcome Areas 1</t>
  </si>
  <si>
    <t>Government of Canada Outcome Areas 2</t>
  </si>
  <si>
    <t>Method of Intervention 1</t>
  </si>
  <si>
    <t>Method of Intervention 2</t>
  </si>
  <si>
    <t>Target Group 1</t>
  </si>
  <si>
    <t>Target Group 2</t>
  </si>
  <si>
    <t>Target Group 3</t>
  </si>
  <si>
    <t>Target Group 4</t>
  </si>
  <si>
    <t>Target Group 5</t>
  </si>
  <si>
    <t>Ultimate Outcome 1</t>
  </si>
  <si>
    <t>Ultimate Outcome 2</t>
  </si>
  <si>
    <t>EF Core Annotation1</t>
  </si>
  <si>
    <t>EF Core Annotation2</t>
  </si>
  <si>
    <t>EF Core Annotation3</t>
  </si>
  <si>
    <t>C#</t>
  </si>
  <si>
    <t>JSON</t>
  </si>
  <si>
    <t>Program Tag</t>
  </si>
  <si>
    <t>Core Responsbility 1</t>
  </si>
  <si>
    <t>Core Responsbility 2</t>
  </si>
  <si>
    <t>Core Responsbility 3</t>
  </si>
  <si>
    <t>Branch OPTIONAL</t>
  </si>
  <si>
    <t>Methodology 
How will the indicator be measured? 
Include:
 Calculation/formula: …
 Definition(s): ... (where specific terminology is used) 
Note(s): ... (i.e. additional information on the indicator)
Sectors may also insert a link to a methodology sheet in this column.</t>
  </si>
  <si>
    <t>No</t>
  </si>
  <si>
    <t>Experimentation Considerations</t>
  </si>
  <si>
    <t xml:space="preserve"> MAF 2019-20 (Sectors to complete 
during Mid-Year update)
Results Management AoM: Experimentation Question 5</t>
  </si>
  <si>
    <t xml:space="preserve">Program title and description
In the text box below, please clearly identify the program title and include a brief description. </t>
  </si>
  <si>
    <t>Gender Based Analysis (GBA) +</t>
  </si>
  <si>
    <t xml:space="preserve">Current 2020-21 Indicator Information </t>
  </si>
  <si>
    <t>Core responsibility</t>
  </si>
  <si>
    <t>Indicator title</t>
  </si>
  <si>
    <t>Lead Sector</t>
  </si>
  <si>
    <t>Contributing Sectors</t>
  </si>
  <si>
    <t>Target (2020-21)</t>
  </si>
  <si>
    <t>Date to achieve target</t>
  </si>
  <si>
    <t>Mid-year Actual Results 2020-21</t>
  </si>
  <si>
    <t>Mid-year Actual results (Apr 1 - Sept 30, 2020)</t>
  </si>
  <si>
    <t>If mid-year actuals are not available, please provide a rationale</t>
  </si>
  <si>
    <t xml:space="preserve">Please provide a rationale for this assessment </t>
  </si>
  <si>
    <t>Establishing 2021-22 target</t>
  </si>
  <si>
    <t xml:space="preserve">PDR comments for consideration when establishing target: </t>
  </si>
  <si>
    <t>Target for 2021-22 Departmental Plan</t>
  </si>
  <si>
    <t>Current 2020-21 Indicator Methodology (as per GCInfoBase)</t>
  </si>
  <si>
    <t>Methodology (Insert Image)</t>
  </si>
  <si>
    <r>
      <rPr>
        <b/>
        <u/>
        <sz val="12"/>
        <color theme="8" tint="-0.249977111117893"/>
        <rFont val="Calibri"/>
        <family val="2"/>
        <scheme val="minor"/>
      </rPr>
      <t>Question</t>
    </r>
    <r>
      <rPr>
        <b/>
        <sz val="12"/>
        <color theme="8" tint="-0.249977111117893"/>
        <rFont val="Calibri"/>
        <family val="2"/>
        <scheme val="minor"/>
      </rPr>
      <t>:</t>
    </r>
    <r>
      <rPr>
        <sz val="12"/>
        <color theme="8" tint="-0.249977111117893"/>
        <rFont val="Calibri"/>
        <family val="2"/>
        <scheme val="minor"/>
      </rPr>
      <t xml:space="preserve"> 
For row 16, it seems like the input into the webform would be an image (perhaps jpeg files)
For images as input into the webform, what woud be the </t>
    </r>
    <r>
      <rPr>
        <b/>
        <sz val="12"/>
        <color theme="8" tint="-0.249977111117893"/>
        <rFont val="Calibri"/>
        <family val="2"/>
        <scheme val="minor"/>
      </rPr>
      <t>Extension</t>
    </r>
    <r>
      <rPr>
        <sz val="12"/>
        <color theme="8" tint="-0.249977111117893"/>
        <rFont val="Calibri"/>
        <family val="2"/>
        <scheme val="minor"/>
      </rPr>
      <t xml:space="preserve"> and</t>
    </r>
    <r>
      <rPr>
        <b/>
        <sz val="12"/>
        <color theme="8" tint="-0.249977111117893"/>
        <rFont val="Calibri"/>
        <family val="2"/>
        <scheme val="minor"/>
      </rPr>
      <t xml:space="preserve"> Field Type</t>
    </r>
    <r>
      <rPr>
        <sz val="12"/>
        <color theme="8" tint="-0.249977111117893"/>
        <rFont val="Calibri"/>
        <family val="2"/>
        <scheme val="minor"/>
      </rPr>
      <t xml:space="preserve"> ?</t>
    </r>
  </si>
  <si>
    <t xml:space="preserve">
Answer: for row 16, put non-editable text box fields</t>
  </si>
  <si>
    <t xml:space="preserve">In the text box below, please clearly identify the program title and include a brief description. </t>
  </si>
  <si>
    <r>
      <rPr>
        <b/>
        <sz val="11"/>
        <color theme="1"/>
        <rFont val="Calibri"/>
        <family val="2"/>
        <scheme val="minor"/>
      </rPr>
      <t>Supplementary Information Tables (SITs)</t>
    </r>
    <r>
      <rPr>
        <sz val="11"/>
        <color theme="1"/>
        <rFont val="Calibri"/>
        <family val="2"/>
        <scheme val="minor"/>
      </rPr>
      <t xml:space="preserve">
Please review and fill out the applicable fields below
This is to be prepopulated by SPI-PDR with the link to tables required to be completed (DRR at end of year and DP at Mid-Year)</t>
    </r>
  </si>
  <si>
    <r>
      <rPr>
        <b/>
        <sz val="11"/>
        <color theme="1"/>
        <rFont val="Calibri"/>
        <family val="2"/>
        <scheme val="minor"/>
      </rPr>
      <t>Experimentation</t>
    </r>
    <r>
      <rPr>
        <sz val="11"/>
        <color theme="1"/>
        <rFont val="Calibri"/>
        <family val="2"/>
        <scheme val="minor"/>
      </rPr>
      <t xml:space="preserve">
Please review and fill out the applicable fields below</t>
    </r>
  </si>
  <si>
    <r>
      <rPr>
        <b/>
        <sz val="11"/>
        <color theme="1"/>
        <rFont val="Calibri"/>
        <family val="2"/>
        <scheme val="minor"/>
      </rPr>
      <t>Indicator &amp; Results</t>
    </r>
    <r>
      <rPr>
        <sz val="11"/>
        <color theme="1"/>
        <rFont val="Calibri"/>
        <family val="2"/>
        <scheme val="minor"/>
      </rPr>
      <t xml:space="preserve">
Please review and fill out the applicable fields below</t>
    </r>
  </si>
  <si>
    <r>
      <rPr>
        <b/>
        <sz val="11"/>
        <color theme="1"/>
        <rFont val="Calibri"/>
        <family val="2"/>
        <scheme val="minor"/>
      </rPr>
      <t>GBA+</t>
    </r>
    <r>
      <rPr>
        <sz val="11"/>
        <color theme="1"/>
        <rFont val="Calibri"/>
        <family val="2"/>
        <scheme val="minor"/>
      </rPr>
      <t xml:space="preserve">
Please review and fill out the applicable fields below.Central agencies have made it clear that GBA+ impacts need to be reported on for all programs as identified in the program inventory, as per section five of the Canadian Gender Budgeting Act. This includes transfer payment programs. Therefore, sectors are asked to complete the GBA+ tab for all of their respective inventory programs. Additional tables have been provided within the GBA+ tab to enable sectors to report on each of their respective programs. If sectors require additional tables, they are encouraged to copy and paste the table as many times as required within the GBA+ tab. 
Sectors should populate the GBA+ tab based on the entire program outlined by the PIP/program identified by the program inventory. Where a program has transfer payment programs and/or initiatives under its umbrella, sectors are asked to treat the PIP program as a chapeau populating the template with relevant input for each transfer payment program or initiative as applicable, clearly identifying input (including indicators) specific to certain transfer payment programs or initiatives as appropriate.
Sectors are also encouraged to populate additional tables within the GBA+ tab for initiatives that do not fall under the umbrella of one of the programs as identified by the program inventory.
</t>
    </r>
  </si>
  <si>
    <r>
      <rPr>
        <b/>
        <sz val="11"/>
        <color theme="1"/>
        <rFont val="Calibri"/>
        <family val="2"/>
        <scheme val="minor"/>
      </rPr>
      <t>Tombstone Data</t>
    </r>
    <r>
      <rPr>
        <sz val="11"/>
        <color theme="1"/>
        <rFont val="Calibri"/>
        <family val="2"/>
        <scheme val="minor"/>
      </rPr>
      <t xml:space="preserve">
Please review and fill out the applicable fields below 
For context please refer to </t>
    </r>
    <r>
      <rPr>
        <b/>
        <u/>
        <sz val="11"/>
        <color theme="1"/>
        <rFont val="Calibri"/>
        <family val="2"/>
        <scheme val="minor"/>
      </rPr>
      <t>NRCan's PIP Guidelines and Procedures</t>
    </r>
    <r>
      <rPr>
        <sz val="11"/>
        <color theme="1"/>
        <rFont val="Calibri"/>
        <family val="2"/>
        <scheme val="minor"/>
      </rPr>
      <t xml:space="preserve"> (hyperlink: https://gcdocs.gc.ca/nrcan-rncan/llisapi.dll/link/48119610)
</t>
    </r>
  </si>
  <si>
    <t>Section Description</t>
  </si>
  <si>
    <t>Description of example/experiment</t>
  </si>
  <si>
    <t>Sector</t>
  </si>
  <si>
    <t>Date Approved</t>
  </si>
  <si>
    <t>Field Description</t>
  </si>
  <si>
    <t>Date 2019-20 result collected (Month/Year)</t>
  </si>
  <si>
    <t>Question #5: Has your program been experimenting, in the 2019 calendar year, to find ways for addressing persistent problems and improving outcomes for Canadians? (See definition of experimentation email hyperlink.) Description or examples to support your answer is to be provided (see details below) (Select all that apply).</t>
  </si>
  <si>
    <t xml:space="preserve">Does it apply (Yes/No) via by committing resources (financial, HR) to experimentation? </t>
  </si>
  <si>
    <t>Ex. We committed x resources….</t>
  </si>
  <si>
    <t>Does it apply (Yes/No) via by developing a coordinated department-wide framework or approach to experimentation (e.g. a strategy, plan, statement etc.) ?</t>
  </si>
  <si>
    <t>Does it apply (Yes/No) via by running experiments (i.e. randomized, quasi-experimental, or structured pre-post methodology)?</t>
  </si>
  <si>
    <t>Does it apply (Yes/No)  by building departmental capacity or awareness to do experimentation in ways different from the approaches noted above (please explain)?</t>
  </si>
  <si>
    <t>No; it doesn't apply (please explain)</t>
  </si>
  <si>
    <t>Question #6: If your program has run experiments, are the results of these experiments being used to inform decision making in 2019?</t>
  </si>
  <si>
    <t>Does it apply (Yes/No) via by integrating experimentation into departmental governance bodies?</t>
  </si>
  <si>
    <t>Does it apply (Yes/No) via the results were disseminated (at least department-wide) for decision-making or used to improve the design of another initiative?</t>
  </si>
  <si>
    <t>Does it apply (Yes/No) via the results allowed for course-correction (i.e. changes to the existing initiative)?</t>
  </si>
  <si>
    <t>Does it apply (Yes/No) via the initiative was scaled-up/expanded because it was working?</t>
  </si>
  <si>
    <t>Does it apply (Yes/No) via the initiative was shut down/ scaled back because it wasn't working?</t>
  </si>
  <si>
    <t>Does it apply (Yes/No) via other reasons 
(please specify)?</t>
  </si>
  <si>
    <t>Section 1. (A) Monitoring and Evaluating GBA+ Implementation</t>
  </si>
  <si>
    <t>Section 1. (B) Monitoring and Evaluating GBA+ Implementation - Planned Initiatives</t>
  </si>
  <si>
    <t>Section 2. Expected Outcomes and Results as identified by the GBA+ Analysis of the Program</t>
  </si>
  <si>
    <t xml:space="preserve">Information provided in this section will inform the development of relevant GBA+ performance metrics that will enable the Department to track, monitor and evaluate the performance of its programs with regard to impacts and outcomes for diverse groups. Information provided in this section will also support the population of the GBA+ Supplementary Information Table(s)  for the Departmental Plan and Departmental Results Report, as well as various sections of the GBA+ Implementation Survey. 
</t>
  </si>
  <si>
    <t xml:space="preserve">Section 3. GBA+ Performance Measurement: Tracking, monitoring, and evaluation of GBA+ Impacts 
</t>
  </si>
  <si>
    <t>Section 4. Government of Canada Gender Results Framework (GRF)</t>
  </si>
  <si>
    <t>Section 5. Results achieved over the Previous Fiscal Period</t>
  </si>
  <si>
    <t>(Used in Oct 2021) (to be discussed later on)</t>
  </si>
  <si>
    <r>
      <t xml:space="preserve"> MAF 2019-20 (Sectors to complete 
during Mid-Year update)
Results Management AoM: Experimentation </t>
    </r>
    <r>
      <rPr>
        <b/>
        <strike/>
        <sz val="11"/>
        <color theme="5"/>
        <rFont val="Calibri"/>
        <family val="2"/>
        <scheme val="minor"/>
      </rPr>
      <t>Question 6</t>
    </r>
  </si>
  <si>
    <t xml:space="preserve">Considerations </t>
  </si>
  <si>
    <t xml:space="preserve">Recommendation date </t>
  </si>
  <si>
    <t xml:space="preserve">Sector Feedback on Feasibility (Sectors to complete at Mid-Year Update) </t>
  </si>
  <si>
    <t>dropdown options are: quantitative or qualitative</t>
  </si>
  <si>
    <t>dropdown options are: increase, decrease, or maintain</t>
  </si>
  <si>
    <t>dropdown options are: progressive or aggregrate</t>
  </si>
  <si>
    <t>needs to have the option to be cloned 
if clients have &gt;1 Experimental Considerations</t>
  </si>
  <si>
    <t>Non editable text box field</t>
  </si>
  <si>
    <r>
      <t xml:space="preserve">Information provided in this section will inform reporting requirements under the Annual GBA+ Implementation Survey (led by TBS, PCO and WAGE) and the Departmental Results Report, GBA+ Supplementary Information Table (TBS led) and will enable the Department to track, monitor and evaluate progress with regard to GBA+ implementation, including:
• Where and how GBA+ is being implemented into our programs through the different stages of the policy and program life-cycle.
• To what extent it is applied to Memoranda to Cabinet, Treasury Board submissions and policy development.
• Repercussions that GBA+ has had on decisions, actions and results.
</t>
    </r>
    <r>
      <rPr>
        <b/>
        <u/>
        <sz val="11"/>
        <color theme="1"/>
        <rFont val="Calibri"/>
        <family val="2"/>
        <scheme val="minor"/>
      </rPr>
      <t xml:space="preserve">
GBA+ informed which of the following ?</t>
    </r>
    <r>
      <rPr>
        <b/>
        <sz val="11"/>
        <color theme="1"/>
        <rFont val="Calibri"/>
        <family val="2"/>
        <scheme val="minor"/>
      </rPr>
      <t xml:space="preserve">
Please answer all that apply, by answering either Y or N beside the appropriate item(s). In the text box below, please list and provide a brief explanation for each item selected from the list above, and identify links to relevant budget proposals, TB Subs, MCs or Regs etc. as applicable.
a) Problem definition or issue statement [Y/N]
b) Analysis and research [Y/N]
c) Development of options  [Y/N]
d) Rationale [Y/N]
e) Key considerations [Y/N]
f) Risks, risks response and mitigation [Y/N]
g) Development of communication strategy [Y/N]
h) Expected results [Y/N]
i) Development of results and delivery strategy [Y/N]
J) Program parameters or design  [Y/N]
k) Implementation plan [Y/N]
l) Consultation or engagement plan and activities, including design  [Y/N]
</t>
    </r>
  </si>
  <si>
    <t>Does a) apply [Y/N]?</t>
  </si>
  <si>
    <t>Does b) apply [Y/N]?</t>
  </si>
  <si>
    <t>Does c) apply [Y/N]?</t>
  </si>
  <si>
    <t>Does d) apply [Y/N]?</t>
  </si>
  <si>
    <t>Does e) apply [Y/N]?</t>
  </si>
  <si>
    <t>Does f) apply [Y/N]?</t>
  </si>
  <si>
    <t>Does g) apply [Y/N]?</t>
  </si>
  <si>
    <t>Does h) apply [Y/N]?</t>
  </si>
  <si>
    <t>Does i) apply [Y/N]?</t>
  </si>
  <si>
    <t>Does j) apply [Y/N]?</t>
  </si>
  <si>
    <t>Does k) apply [Y/N]?</t>
  </si>
  <si>
    <t>Does l) apply [Y/N]?</t>
  </si>
  <si>
    <t>dropdown options are: Yes or No</t>
  </si>
  <si>
    <t>For the explaination, please also identify links to relevant budget proposals, TB Subs, MCs or Regs etc. as applicable.</t>
  </si>
  <si>
    <r>
      <t xml:space="preserve">Information provided in this section will inform reporting requirements under the Annual GBA+ Implementation Survey (led by TBS, PCO and WAGE) and the Departmental Results Report, GBA+ Supplementary Information Table (TBS led) and will enable the Department to track, monitor and evaluate progress with regard to GBA+ implementation, including:
• Where and how GBA+ is being implemented into our programs through the different stages of the policy and program life-cycle.
• To what extent it is applied to Memoranda to Cabinet, Treasury Board submissions and policy development.
• Repercussions that GBA+ has had on decisions, actions and results.
</t>
    </r>
    <r>
      <rPr>
        <b/>
        <u/>
        <sz val="11"/>
        <color theme="1"/>
        <rFont val="Calibri"/>
        <family val="2"/>
        <scheme val="minor"/>
      </rPr>
      <t xml:space="preserve">
GBA+ informed which of the following ?</t>
    </r>
    <r>
      <rPr>
        <b/>
        <sz val="11"/>
        <color theme="1"/>
        <rFont val="Calibri"/>
        <family val="2"/>
        <scheme val="minor"/>
      </rPr>
      <t xml:space="preserve">
Please answer all that apply, by answering either Y or N beside the appropriate item(s). In the text box below, please list and provide a brief explanation for each item selected from the list above, and identify links to relevant budget proposals, TB Subs, MCs or Regs etc. as applicable.
a) Problem definition or issue statement [Y/N]
b) Analysis and research [Y/N]
c) Development of options  [Y/N]
d) Rationale [Y/N]
e) Key considerations [Y/N]
f) Risks, risks response and mitigation [Y/N]
g) Development of communication strategy [Y/N]
h) Expected results [Y/N]
i) Development of results and delivery strategy [Y/N]
J) Program parameters or design  [Y/N]
k) Implementation plan [Y/N]
l) Consultation or engagement plan and activities, including design  [Y/N]</t>
    </r>
  </si>
  <si>
    <t>Information provided in this section will inform reporting requirements under and be used to pre-populate (end of year updates) the Departmental Plan, including the Planning Highlights section and the GBA+ Supplementary Information Table (TBS led)  for each upcoming fiscal period. This information ill enable the Department to track, monitor and evaluate the repercussions of GBA+ on its decision-making processes, and in particular how GBA+ including past results or lessons learned is being used to facilitate equitable and inclusive outcomes for diverse Canadians through our programs.
Please answer all that apply, by answering either Y or N beside the appropriate item(s). In the text box below, please list and provide a brief explanation for each item selected from the list above, and identify links to relevant budget proposals, TB Subs, MCs or Regs etc. as applicable.
a) GBA+ will be used to ensure equitable and inclusive outcomes for Canadians (Where applicable, identify specific program design or implementation elements that seek to address existing inequalities, include proactive steps to reduce potential barriers and promote access or mitigate potential negative impacts of the program itself). [Y/N] 
b) Past results, lessons learned and corrective actions in relation to gender equality, diversity and inclusiveness will be used to adjust key initiatives and achieve more equitable and inclusive outcomes for Canadians. [Y/N]
c) The GBA+ analysis prompted changes to the fundamental parameters of the program to serve more diverse groups of Canadians. [Y/N]</t>
  </si>
  <si>
    <t>When identifying the key finding of the GBA+ for the program, please include: direct and indirect benefits; income distributional or generational impacts; barriers: to participation, access, benefits; risks of uneven distribution of benefits; differential impacts; or, direct or indirect negative impacts.</t>
  </si>
  <si>
    <t>Information provided in this section will inform the reporting requirements under the Departmental Results Report and Departmental Plan, including the GBA+ Supplementary Information Table(s)  (specifically requirements to identify ""reporting capacity and data) and will enable the Department to track, monitor and evaluate the GBA+ impacts of its programs throughout the course of implementation. 
*Currently the ability to track, monitor and evaluate GBA+ impacts of programs after implementation is a government-wide challenge/ gap.* 
As applicable, please: (1) Develop relevant GBA+ performance metrics ; (2) consider modifying relevant PIP indicators that will enable to the Department to do any of the following: 
a) track, monitor and evaluate expected benefits (direct and indirect) as identified by the GBA+ analysis of the program, throughout the course of implementation. 
b) track, monitor and evaluate expected income distributional or generational impacts as identified by the GBA+ analysis of the program, throughout the course of implementation.
c) track, monitor and evaluate access, participation or use by different groups throughout the course of implementation.
d)track, monitor and evaluate unintended impacts or outcomes for different groups throughout the course of implementation.  
All indicators must be housed in the indicators section, please make sure to include GBA+ indicators in the indicators section of the PIP template.</t>
  </si>
  <si>
    <t xml:space="preserve">Develop relevant GBA+ performance metrics for a) if applicable </t>
  </si>
  <si>
    <t xml:space="preserve">Consider modifying relevant PIP indicators that will enable to the Department to do a) if applicable </t>
  </si>
  <si>
    <t xml:space="preserve">Develop relevant GBA+ performance metrics for b) if applicable </t>
  </si>
  <si>
    <t xml:space="preserve">Consider modifying relevant PIP indicators that will enable to the Department to do b) if applicable </t>
  </si>
  <si>
    <t xml:space="preserve">Develop relevant GBA+ performance metrics for c) if applicable </t>
  </si>
  <si>
    <t xml:space="preserve">Consider modifying relevant PIP indicators that will enable to the Department to do c) if applicable </t>
  </si>
  <si>
    <t xml:space="preserve">Develop relevant GBA+ performance metrics for d) if applicable </t>
  </si>
  <si>
    <t xml:space="preserve">Consider modifying relevant PIP indicators that will enable to the Department to do d) if applicable </t>
  </si>
  <si>
    <t>For the explaination, please also identify links to relevant budget
proposals, TB Subs, MCs or Regs etc. as applicable.</t>
  </si>
  <si>
    <t xml:space="preserve">The Gender Results Framework represents the Government of Canada's vision for gender equality and is a whole-of government tool designed to:
•Track how Canada is currently performing
•Define what is needed to achieve greater equality
•Determine how progress will be measured going forward
Information provided in this section will inform reporting requirements under the GBA+ Implementation Survey, Departmental Plan and Departmental Results Report including the GBA+ Supplementary Information Table(s) and will enable the Department to monitor, evaluate and report on its contributions to the Government wide priority to advance gender equality as outlined by the GRF. 
Information provided in this section will also serve to inform the work done by the Department of Women and Gender Equality, in collaboration with Statistics Canada and Global Affairs Canada, to track the Government of Canada's progress in advancing gender equality goals outlined by the Gender Results Framework."
Please answer the following questions to enable the Department to monitor, evaluate and report on the performance of its programs with regard to the Government of Canada Gender Results Framework. Please answer all that apply, by answering either Y or N beside the appropriate item(s). In the text box below, please list and provide a brief explanation for each item selected from the list above, and identify links to relevant budget proposals, TB Subs, MCs or Regs etc. as applicable.
a) This program includes specific measures to advance gender equality as outlined by the six pillars of the Gender Results Framework. Please specify which pillar. [Y/N]
b) This program is expected to advance the gender equality goals for Canada as outlined by the six pillars in Canada’s Gender Results Framework. Please specify which pillar. [Y/N]
c) This program includes indicators from the GRF to monitor and evaluate expected outcomes as outcomes as identified by questions (a) and (b). Please specify which pillar. [Y/N]
d) This program includes Departmental Results Indicators that contribute to or advance the gender equality goals outlined by the GRF. Please specify which pillar. [Y/N]
For more information, please see the GBA+ procedures/ guidance document.
</t>
  </si>
  <si>
    <t>Please specify which pillar for a)</t>
  </si>
  <si>
    <t>Please specify which pillar for b)</t>
  </si>
  <si>
    <t>Please specify which pillar for c)</t>
  </si>
  <si>
    <t>Please specify which pillar for d)</t>
  </si>
  <si>
    <t>Please provide a brief explaination for all of the items that apply.</t>
  </si>
  <si>
    <t>dropdown options are: 1) Education and skills development, 2) Economic participation and prosperity, 3) Leadership and democratic participation, 4) Gender-based violence and access to justice, 5) Poverty reduction, health, and well-being or  6) Gender equality around the world</t>
  </si>
  <si>
    <t>dropdown options are: 1) Education and skills development, 2) Economic participation and prosperity, 3) Leadership and democratic participation, 4) Gender-based violence and access to justice, 5) Poverty reduction, health, and well-being or 6) Gender equality around the world</t>
  </si>
  <si>
    <t xml:space="preserve">Information provided in this section will inform reporting requirements under the Departmental Results Report including the GBA+ Supplementary Information Table and the GBA+ Implementation Survey, and will enable the Department to track, monitor and evaluate the performance of its programs with regard to outcomes and impacts for different groups.
Please indicate results achieved over the previous fiscal period against:
a) Performance indicators and targets that reflect GBA+ . Please indicate if there were groups that were negatively impacted or unable to benefit from the initiative (section 3)
b) Relevant performance indicators and targets as outlined by the Gender Results Framework (section 4)
c)The net impact of the initiative on gender equality, diversity and inclusivity.
</t>
  </si>
  <si>
    <t>Information provided in this section will inform reporting requirements under the Departmental Results Report including the GBA+ Supplementary Information Table and the GBA+ Implementation Survey, and will enable the Department to track, monitor and evaluate the performance of its programs with regard to outcomes and impacts for different groups.
Please indicate results achieved over the previous fiscal period against:
a) Performance indicators and targets that reflect GBA+ . Please indicate if there were groups that were negatively impacted or unable to benefit from the initiative (section 3)
b) Relevant performance indicators and targets as outlined by the Gender Results Framework (section 4)
c)The net impact of the initiative on gender equality, diversity and inclusivity.</t>
  </si>
  <si>
    <t>Please indicate results achieved over the previous fiscal period against a)</t>
  </si>
  <si>
    <t>Please indicate results achieved over the previous fiscal period against b)</t>
  </si>
  <si>
    <t>Please indicate results achieved over the previous fiscal period against c)</t>
  </si>
  <si>
    <t>Please identify the key findings of the GBA+ for the 
program.</t>
  </si>
  <si>
    <t xml:space="preserve">a. Transfer Payment Program SIT – DP
b. Transfer Payment Program SIT – DRR
c. Departmental Sustainable Development Strategy SIT – DP
d. Departmental Sustainable Development Strategy SIT – DRR
e. Horizontal Intiative SIT – DP
f. Horizontal Intiative SIT - DRR
</t>
  </si>
  <si>
    <t>TPP Program for a)</t>
  </si>
  <si>
    <t>Year for a)</t>
  </si>
  <si>
    <t>GCDocs link for a)</t>
  </si>
  <si>
    <t>TPP Program for b)</t>
  </si>
  <si>
    <t>Year for b)</t>
  </si>
  <si>
    <t>GCDocs link for b)</t>
  </si>
  <si>
    <t>TPP Program for c)</t>
  </si>
  <si>
    <t>Year for c)</t>
  </si>
  <si>
    <t>GCDocs link for c)</t>
  </si>
  <si>
    <t>TPP Program for d)</t>
  </si>
  <si>
    <t>Year for d)</t>
  </si>
  <si>
    <t>GCDocs link for d)</t>
  </si>
  <si>
    <t>TPP Program for e)</t>
  </si>
  <si>
    <t>Year for e)</t>
  </si>
  <si>
    <t>GCDocs link for e)</t>
  </si>
  <si>
    <t>TPP Program for f)</t>
  </si>
  <si>
    <t>Year for f)</t>
  </si>
  <si>
    <t>GCDocs link for f)</t>
  </si>
  <si>
    <t>Please provide justification for the proposed target if it is 
less ambitious than the previous years` actuals</t>
  </si>
  <si>
    <t xml:space="preserve">Based on the MRU, is the program "on track" to meet the
 2020-21 target? </t>
  </si>
  <si>
    <t>Indicator_Rationale_DESC</t>
  </si>
  <si>
    <t>Does_This_Indicator_Support_Gba</t>
  </si>
  <si>
    <t>If_Yes_Please_Provide_An_Explanation_Of_How</t>
  </si>
  <si>
    <t>Methodology_How_Will_The_Indicator_Be_Measured</t>
  </si>
  <si>
    <t>Indicator_Calculation_Formula_NUM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</si>
</sst>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2"/>
      <color theme="0"/>
      <name val="Calibri"/>
      <family val="2"/>
      <scheme val="minor"/>
    </font>
    <font>
      <b/>
      <sz val="11"/>
      <color theme="1"/>
      <name val="Calibri"/>
      <family val="2"/>
      <scheme val="minor"/>
    </font>
    <font>
      <sz val="8"/>
      <color rgb="FF212529"/>
      <name val="Century Gothic"/>
      <family val="2"/>
    </font>
    <font>
      <sz val="11"/>
      <color rgb="FFCC3300"/>
      <name val="Calibri"/>
      <family val="2"/>
      <scheme val="minor"/>
    </font>
    <font>
      <sz val="8"/>
      <color theme="1"/>
      <name val="Century Gothic"/>
      <family val="2"/>
    </font>
    <font>
      <b/>
      <sz val="8"/>
      <color theme="1"/>
      <name val="Century Gothic"/>
      <family val="2"/>
    </font>
    <font>
      <sz val="10"/>
      <color theme="1"/>
      <name val="Calibri"/>
      <family val="2"/>
      <scheme val="minor"/>
    </font>
    <font>
      <b/>
      <sz val="10"/>
      <color theme="1"/>
      <name val="Calibri"/>
      <family val="2"/>
      <scheme val="minor"/>
    </font>
    <font>
      <sz val="11"/>
      <name val="Calibri"/>
      <family val="2"/>
      <scheme val="minor"/>
    </font>
    <font>
      <b/>
      <i/>
      <sz val="11"/>
      <color rgb="FFFF0000"/>
      <name val="Calibri"/>
      <family val="2"/>
      <scheme val="minor"/>
    </font>
    <font>
      <b/>
      <sz val="11"/>
      <color rgb="FFFF0000"/>
      <name val="Calibri"/>
      <family val="2"/>
      <scheme val="minor"/>
    </font>
    <font>
      <b/>
      <sz val="11"/>
      <color theme="0"/>
      <name val="Calibri"/>
      <family val="2"/>
      <scheme val="minor"/>
    </font>
    <font>
      <sz val="11"/>
      <color theme="5" tint="0.39997558519241921"/>
      <name val="Calibri"/>
      <family val="2"/>
      <scheme val="minor"/>
    </font>
    <font>
      <b/>
      <sz val="12"/>
      <color theme="8" tint="-0.249977111117893"/>
      <name val="Calibri"/>
      <family val="2"/>
      <scheme val="minor"/>
    </font>
    <font>
      <b/>
      <u/>
      <sz val="12"/>
      <color theme="8" tint="-0.249977111117893"/>
      <name val="Calibri"/>
      <family val="2"/>
      <scheme val="minor"/>
    </font>
    <font>
      <sz val="12"/>
      <color theme="8" tint="-0.249977111117893"/>
      <name val="Calibri"/>
      <family val="2"/>
      <scheme val="minor"/>
    </font>
    <font>
      <b/>
      <sz val="16"/>
      <color theme="1"/>
      <name val="Calibri"/>
      <family val="2"/>
      <scheme val="minor"/>
    </font>
    <font>
      <b/>
      <u/>
      <sz val="11"/>
      <color theme="1"/>
      <name val="Calibri"/>
      <family val="2"/>
      <scheme val="minor"/>
    </font>
    <font>
      <b/>
      <strike/>
      <sz val="11"/>
      <color theme="1"/>
      <name val="Calibri"/>
      <family val="2"/>
      <scheme val="minor"/>
    </font>
    <font>
      <strike/>
      <sz val="11"/>
      <color theme="1"/>
      <name val="Calibri"/>
      <family val="2"/>
      <scheme val="minor"/>
    </font>
    <font>
      <b/>
      <strike/>
      <sz val="11"/>
      <color theme="5"/>
      <name val="Calibri"/>
      <family val="2"/>
      <scheme val="minor"/>
    </font>
    <font>
      <b/>
      <strike/>
      <sz val="11"/>
      <name val="Calibri"/>
      <family val="2"/>
      <scheme val="minor"/>
    </font>
    <font>
      <b/>
      <sz val="11"/>
      <color theme="1"/>
      <name val="Calibri"/>
      <scheme val="minor"/>
    </font>
    <font>
      <sz val="11"/>
      <color rgb="FF000000"/>
      <name val="Calibri"/>
      <family val="2"/>
      <scheme val="minor"/>
    </font>
  </fonts>
  <fills count="11">
    <fill>
      <patternFill patternType="none"/>
    </fill>
    <fill>
      <patternFill patternType="gray125"/>
    </fill>
    <fill>
      <patternFill patternType="solid">
        <fgColor theme="3" tint="0.39994506668294322"/>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tint="-0.499984740745262"/>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s>
  <borders count="16">
    <border>
      <left/>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top/>
      <bottom style="thin">
        <color theme="1"/>
      </bottom>
      <diagonal/>
    </border>
    <border>
      <left style="thin">
        <color indexed="64"/>
      </left>
      <right style="thin">
        <color indexed="64"/>
      </right>
      <top/>
      <bottom style="thin">
        <color indexed="64"/>
      </bottom>
      <diagonal/>
    </border>
    <border>
      <left/>
      <right/>
      <top style="thin">
        <color theme="1"/>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0" xfId="0"/>
    <xf numFmtId="0" fontId="3" fillId="0" borderId="0" xfId="0" applyFont="1" applyAlignment="1">
      <alignment horizontal="left" vertical="center"/>
    </xf>
    <xf numFmtId="0" fontId="3" fillId="0" borderId="0" xfId="0" quotePrefix="1" applyFont="1" applyAlignment="1">
      <alignment horizontal="left" vertical="center"/>
    </xf>
    <xf numFmtId="0" fontId="4" fillId="0" borderId="0" xfId="0" applyFont="1"/>
    <xf numFmtId="0" fontId="5" fillId="0" borderId="0" xfId="0" quotePrefix="1" applyFont="1"/>
    <xf numFmtId="0" fontId="6" fillId="0" borderId="0" xfId="0" applyFont="1"/>
    <xf numFmtId="0" fontId="5" fillId="0" borderId="0" xfId="0" applyFont="1"/>
    <xf numFmtId="0" fontId="7" fillId="0" borderId="0" xfId="0" applyFont="1" applyAlignment="1" applyProtection="1">
      <alignment vertical="center"/>
    </xf>
    <xf numFmtId="0" fontId="7" fillId="0" borderId="0" xfId="0" applyFont="1" applyFill="1" applyBorder="1" applyAlignment="1" applyProtection="1">
      <alignment vertical="center"/>
    </xf>
    <xf numFmtId="0" fontId="7" fillId="0" borderId="0" xfId="0" applyFont="1" applyBorder="1" applyAlignment="1" applyProtection="1">
      <alignment vertical="center"/>
    </xf>
    <xf numFmtId="0" fontId="7" fillId="0" borderId="0" xfId="0" applyFont="1" applyAlignment="1"/>
    <xf numFmtId="0" fontId="7" fillId="0" borderId="0" xfId="0" applyFont="1" applyProtection="1"/>
    <xf numFmtId="0" fontId="0" fillId="0" borderId="0" xfId="0" applyFont="1" applyProtection="1"/>
    <xf numFmtId="0" fontId="7" fillId="0" borderId="0" xfId="0" applyFont="1" applyAlignment="1" applyProtection="1"/>
    <xf numFmtId="0" fontId="0" fillId="0" borderId="0" xfId="0" applyFill="1" applyBorder="1"/>
    <xf numFmtId="0" fontId="7" fillId="0" borderId="2" xfId="0" applyFont="1" applyBorder="1" applyAlignment="1" applyProtection="1">
      <alignment vertical="center"/>
    </xf>
    <xf numFmtId="0" fontId="0" fillId="0" borderId="3" xfId="0" applyFont="1" applyBorder="1"/>
    <xf numFmtId="0" fontId="0" fillId="3" borderId="0" xfId="0" applyFont="1" applyFill="1"/>
    <xf numFmtId="0" fontId="0" fillId="0" borderId="0" xfId="0" applyFont="1"/>
    <xf numFmtId="0" fontId="7" fillId="0" borderId="4" xfId="0" applyFont="1" applyBorder="1" applyAlignment="1"/>
    <xf numFmtId="0" fontId="0" fillId="3" borderId="5" xfId="0" applyFont="1" applyFill="1" applyBorder="1"/>
    <xf numFmtId="0" fontId="7" fillId="0" borderId="2" xfId="0" applyFont="1" applyBorder="1" applyAlignment="1"/>
    <xf numFmtId="0" fontId="2" fillId="0" borderId="5" xfId="0" applyFont="1" applyBorder="1"/>
    <xf numFmtId="0" fontId="7" fillId="0" borderId="4" xfId="0" applyFont="1" applyBorder="1" applyAlignment="1" applyProtection="1">
      <alignment vertical="center"/>
    </xf>
    <xf numFmtId="0" fontId="7" fillId="0" borderId="2" xfId="0" applyFont="1" applyBorder="1" applyProtection="1"/>
    <xf numFmtId="0" fontId="7" fillId="0" borderId="0" xfId="0" applyFont="1" applyFill="1" applyBorder="1" applyProtection="1"/>
    <xf numFmtId="0" fontId="7" fillId="4" borderId="2" xfId="0" quotePrefix="1" applyFont="1" applyFill="1" applyBorder="1" applyAlignment="1"/>
    <xf numFmtId="0" fontId="7" fillId="0" borderId="0" xfId="0" quotePrefix="1" applyFont="1" applyFill="1" applyBorder="1" applyAlignment="1"/>
    <xf numFmtId="0" fontId="8" fillId="0" borderId="2" xfId="0" applyFont="1" applyBorder="1" applyAlignment="1" applyProtection="1">
      <alignment vertical="center"/>
    </xf>
    <xf numFmtId="0" fontId="8" fillId="0" borderId="0" xfId="0" applyFont="1" applyFill="1" applyBorder="1" applyAlignment="1" applyProtection="1">
      <alignment vertical="center"/>
    </xf>
    <xf numFmtId="0" fontId="8" fillId="0" borderId="2" xfId="0" applyFont="1" applyBorder="1" applyProtection="1"/>
    <xf numFmtId="0" fontId="8" fillId="0" borderId="0" xfId="0" applyFont="1" applyFill="1" applyBorder="1" applyProtection="1"/>
    <xf numFmtId="0" fontId="7" fillId="0" borderId="6" xfId="0" quotePrefix="1" applyFont="1" applyBorder="1" applyAlignment="1"/>
    <xf numFmtId="0" fontId="8" fillId="0" borderId="6" xfId="0" applyFont="1" applyFill="1" applyBorder="1" applyAlignment="1"/>
    <xf numFmtId="0" fontId="7" fillId="0" borderId="4" xfId="0" applyFont="1" applyBorder="1" applyProtection="1"/>
    <xf numFmtId="0" fontId="7" fillId="0" borderId="6" xfId="0" applyFont="1" applyBorder="1" applyAlignment="1" applyProtection="1">
      <alignment vertical="center"/>
    </xf>
    <xf numFmtId="0" fontId="8" fillId="0" borderId="0" xfId="0" applyFont="1" applyFill="1" applyBorder="1" applyAlignment="1"/>
    <xf numFmtId="0" fontId="7" fillId="0" borderId="7" xfId="0" applyFont="1" applyBorder="1" applyAlignment="1" applyProtection="1">
      <alignment vertical="center"/>
    </xf>
    <xf numFmtId="0" fontId="7" fillId="0" borderId="8" xfId="0" applyFont="1" applyBorder="1" applyAlignment="1" applyProtection="1">
      <alignment vertical="center"/>
    </xf>
    <xf numFmtId="0" fontId="7" fillId="0" borderId="9" xfId="0" applyFont="1" applyBorder="1" applyAlignment="1"/>
    <xf numFmtId="0" fontId="7" fillId="0" borderId="10" xfId="0" applyFont="1" applyBorder="1" applyAlignment="1"/>
    <xf numFmtId="0" fontId="7" fillId="0" borderId="10" xfId="0" quotePrefix="1" applyFont="1" applyBorder="1" applyAlignment="1"/>
    <xf numFmtId="0" fontId="7" fillId="4" borderId="11" xfId="0" quotePrefix="1" applyFont="1" applyFill="1" applyBorder="1" applyAlignment="1"/>
    <xf numFmtId="0" fontId="7" fillId="4" borderId="12" xfId="0" quotePrefix="1" applyFont="1" applyFill="1" applyBorder="1" applyAlignment="1"/>
    <xf numFmtId="0" fontId="8" fillId="4" borderId="0" xfId="0" applyFont="1" applyFill="1" applyBorder="1" applyAlignment="1"/>
    <xf numFmtId="0" fontId="7" fillId="0" borderId="0" xfId="0" applyFont="1" applyBorder="1" applyAlignment="1"/>
    <xf numFmtId="0" fontId="7" fillId="0" borderId="0" xfId="0" quotePrefix="1" applyFont="1" applyBorder="1" applyAlignment="1"/>
    <xf numFmtId="0" fontId="8" fillId="4" borderId="13" xfId="0" applyFont="1" applyFill="1" applyBorder="1" applyAlignment="1"/>
    <xf numFmtId="0" fontId="0" fillId="0" borderId="2" xfId="0" applyFont="1" applyBorder="1" applyProtection="1"/>
    <xf numFmtId="0" fontId="9" fillId="0" borderId="0" xfId="0" applyFont="1" applyAlignment="1">
      <alignment vertical="center"/>
    </xf>
    <xf numFmtId="0" fontId="9" fillId="0" borderId="0" xfId="0" applyFont="1"/>
    <xf numFmtId="0" fontId="7" fillId="5" borderId="2" xfId="0" quotePrefix="1" applyFont="1" applyFill="1" applyBorder="1" applyAlignment="1"/>
    <xf numFmtId="0" fontId="7" fillId="5" borderId="0" xfId="0" quotePrefix="1" applyFont="1" applyFill="1" applyBorder="1" applyAlignment="1"/>
    <xf numFmtId="0" fontId="8" fillId="0" borderId="13" xfId="0" applyFont="1" applyBorder="1" applyAlignment="1"/>
    <xf numFmtId="0" fontId="8" fillId="0" borderId="0" xfId="0" applyFont="1" applyBorder="1" applyAlignment="1"/>
    <xf numFmtId="0" fontId="7" fillId="0" borderId="2" xfId="0" quotePrefix="1" applyFont="1" applyBorder="1" applyAlignment="1"/>
    <xf numFmtId="0" fontId="7" fillId="0" borderId="4" xfId="0" applyFont="1" applyFill="1" applyBorder="1" applyAlignment="1"/>
    <xf numFmtId="0" fontId="8" fillId="0" borderId="13" xfId="0" applyFont="1" applyBorder="1" applyProtection="1"/>
    <xf numFmtId="0" fontId="7" fillId="0" borderId="0" xfId="0" applyFont="1" applyFill="1" applyBorder="1" applyAlignment="1"/>
    <xf numFmtId="0" fontId="7" fillId="0" borderId="2" xfId="0" applyFont="1" applyFill="1" applyBorder="1" applyAlignment="1"/>
    <xf numFmtId="0" fontId="2" fillId="0" borderId="0" xfId="0" applyFont="1"/>
    <xf numFmtId="0" fontId="7" fillId="0" borderId="0" xfId="0" applyFont="1" applyBorder="1" applyProtection="1"/>
    <xf numFmtId="0" fontId="7" fillId="0" borderId="6" xfId="0" applyFont="1" applyBorder="1" applyAlignment="1"/>
    <xf numFmtId="0" fontId="8" fillId="0" borderId="0" xfId="0" applyFont="1" applyBorder="1" applyAlignment="1" applyProtection="1">
      <alignment vertical="center"/>
    </xf>
    <xf numFmtId="0" fontId="8" fillId="0" borderId="6" xfId="0" applyFont="1" applyBorder="1" applyAlignment="1" applyProtection="1">
      <alignment vertical="center"/>
    </xf>
    <xf numFmtId="0" fontId="8" fillId="4" borderId="4" xfId="0" applyFont="1" applyFill="1" applyBorder="1" applyAlignment="1"/>
    <xf numFmtId="0" fontId="8" fillId="5" borderId="2" xfId="0" applyFont="1" applyFill="1" applyBorder="1" applyAlignment="1"/>
    <xf numFmtId="0" fontId="8" fillId="0" borderId="0" xfId="0" applyFont="1" applyProtection="1"/>
    <xf numFmtId="0" fontId="0" fillId="0" borderId="0" xfId="0" applyAlignment="1">
      <alignment horizontal="left" vertical="top"/>
    </xf>
    <xf numFmtId="0" fontId="0" fillId="0" borderId="0" xfId="0" applyAlignment="1">
      <alignment horizontal="left" vertical="top" wrapText="1"/>
    </xf>
    <xf numFmtId="0" fontId="1" fillId="2" borderId="1" xfId="0" applyFont="1" applyFill="1" applyBorder="1" applyAlignment="1">
      <alignment horizontal="center" vertical="center" wrapText="1"/>
    </xf>
    <xf numFmtId="0" fontId="0" fillId="6" borderId="0" xfId="0" applyFill="1" applyAlignment="1">
      <alignment horizontal="left" vertical="top" wrapText="1"/>
    </xf>
    <xf numFmtId="0" fontId="0" fillId="8" borderId="0" xfId="0" applyFill="1"/>
    <xf numFmtId="0" fontId="0" fillId="0" borderId="0" xfId="0" applyAlignment="1">
      <alignment horizontal="center"/>
    </xf>
    <xf numFmtId="0" fontId="0" fillId="0" borderId="13" xfId="0" applyBorder="1"/>
    <xf numFmtId="0" fontId="0" fillId="0" borderId="4" xfId="0" applyBorder="1"/>
    <xf numFmtId="0" fontId="0" fillId="9" borderId="13" xfId="0" applyFill="1" applyBorder="1"/>
    <xf numFmtId="0" fontId="0" fillId="0" borderId="6" xfId="0" applyBorder="1"/>
    <xf numFmtId="0" fontId="0" fillId="0" borderId="0" xfId="0" applyAlignment="1">
      <alignment wrapText="1"/>
    </xf>
    <xf numFmtId="0" fontId="2" fillId="0" borderId="0" xfId="0" applyFont="1" applyAlignment="1">
      <alignment wrapText="1"/>
    </xf>
    <xf numFmtId="0" fontId="0" fillId="0" borderId="0" xfId="0" applyFill="1" applyAlignment="1">
      <alignment horizontal="left" vertical="top"/>
    </xf>
    <xf numFmtId="49" fontId="0" fillId="0" borderId="0" xfId="0" applyNumberFormat="1" applyAlignment="1">
      <alignment horizontal="left" vertical="top"/>
    </xf>
    <xf numFmtId="0" fontId="2" fillId="0" borderId="0" xfId="0" applyFont="1" applyAlignment="1">
      <alignment horizontal="left" vertical="top"/>
    </xf>
    <xf numFmtId="0" fontId="2" fillId="0" borderId="0" xfId="0" applyFont="1" applyFill="1" applyBorder="1" applyAlignment="1">
      <alignment horizontal="left" vertical="top"/>
    </xf>
    <xf numFmtId="0" fontId="13" fillId="0" borderId="0" xfId="0" applyFont="1"/>
    <xf numFmtId="0" fontId="0" fillId="8" borderId="0" xfId="0" applyFill="1" applyAlignment="1">
      <alignment horizontal="left" vertical="top"/>
    </xf>
    <xf numFmtId="0" fontId="0" fillId="0" borderId="0" xfId="0" applyNumberFormat="1"/>
    <xf numFmtId="0" fontId="0" fillId="0" borderId="0" xfId="0" applyFill="1" applyBorder="1" applyAlignment="1">
      <alignment horizontal="right"/>
    </xf>
    <xf numFmtId="0" fontId="2" fillId="0" borderId="0" xfId="0" applyFont="1" applyFill="1" applyBorder="1" applyAlignment="1">
      <alignment horizontal="left" vertical="top" wrapText="1"/>
    </xf>
    <xf numFmtId="0" fontId="2" fillId="0" borderId="0" xfId="0" applyFont="1" applyAlignment="1">
      <alignment horizontal="left" vertical="top" wrapText="1"/>
    </xf>
    <xf numFmtId="0" fontId="0" fillId="0" borderId="0" xfId="0" applyNumberFormat="1" applyAlignment="1">
      <alignment horizontal="left" vertical="top"/>
    </xf>
    <xf numFmtId="0" fontId="14" fillId="0" borderId="0" xfId="0" applyFont="1" applyAlignment="1">
      <alignment horizontal="left" vertical="top" wrapText="1"/>
    </xf>
    <xf numFmtId="0" fontId="2" fillId="0" borderId="0" xfId="0" applyFont="1" applyFill="1" applyAlignment="1">
      <alignment horizontal="left" vertical="top" wrapText="1"/>
    </xf>
    <xf numFmtId="0" fontId="17" fillId="10" borderId="0" xfId="0" applyFont="1" applyFill="1"/>
    <xf numFmtId="0" fontId="19" fillId="0" borderId="0" xfId="0" applyFont="1" applyAlignment="1">
      <alignment horizontal="left" vertical="top" wrapText="1"/>
    </xf>
    <xf numFmtId="0" fontId="19" fillId="0" borderId="0" xfId="0" applyFont="1" applyFill="1" applyAlignment="1">
      <alignment horizontal="left" vertical="top"/>
    </xf>
    <xf numFmtId="0" fontId="19" fillId="0" borderId="0" xfId="0" applyFont="1" applyAlignment="1">
      <alignment horizontal="left" vertical="top"/>
    </xf>
    <xf numFmtId="0" fontId="20" fillId="0" borderId="0" xfId="0" applyNumberFormat="1" applyFont="1" applyAlignment="1">
      <alignment horizontal="left" vertical="top"/>
    </xf>
    <xf numFmtId="0" fontId="20" fillId="0" borderId="0" xfId="0" applyFont="1" applyAlignment="1">
      <alignment horizontal="left" vertical="top"/>
    </xf>
    <xf numFmtId="0" fontId="20" fillId="0" borderId="0" xfId="0" applyFont="1"/>
    <xf numFmtId="0" fontId="20" fillId="0" borderId="0" xfId="0" applyNumberFormat="1" applyFont="1"/>
    <xf numFmtId="0" fontId="19" fillId="0" borderId="0" xfId="0" applyFont="1" applyFill="1" applyAlignment="1">
      <alignment horizontal="left" vertical="top" wrapText="1"/>
    </xf>
    <xf numFmtId="0" fontId="20" fillId="0" borderId="0" xfId="0" applyFont="1" applyFill="1" applyBorder="1"/>
    <xf numFmtId="0" fontId="2" fillId="0" borderId="0" xfId="0" applyFont="1" applyFill="1" applyAlignment="1">
      <alignment horizontal="left" vertical="top"/>
    </xf>
    <xf numFmtId="0" fontId="0" fillId="0" borderId="0" xfId="0" applyFont="1" applyFill="1" applyAlignment="1">
      <alignment horizontal="left" vertical="top"/>
    </xf>
    <xf numFmtId="0" fontId="0" fillId="0" borderId="0" xfId="0" applyFont="1" applyFill="1"/>
    <xf numFmtId="0" fontId="0" fillId="0" borderId="0" xfId="0" applyFont="1" applyFill="1" applyAlignment="1">
      <alignment horizontal="left" vertical="top" wrapText="1"/>
    </xf>
    <xf numFmtId="0" fontId="0" fillId="0" borderId="0" xfId="0" applyNumberFormat="1" applyFont="1" applyFill="1"/>
    <xf numFmtId="0" fontId="0" fillId="0" borderId="0" xfId="0" applyFont="1" applyFill="1" applyBorder="1"/>
    <xf numFmtId="0" fontId="22" fillId="0" borderId="0" xfId="0" applyFont="1" applyFill="1" applyAlignment="1">
      <alignment horizontal="left" vertical="top" wrapText="1"/>
    </xf>
    <xf numFmtId="0" fontId="20" fillId="0" borderId="0" xfId="0" applyFont="1" applyFill="1" applyAlignment="1">
      <alignment horizontal="left" vertical="top"/>
    </xf>
    <xf numFmtId="0" fontId="20" fillId="0" borderId="0" xfId="0" applyFont="1" applyFill="1"/>
    <xf numFmtId="0" fontId="20" fillId="0" borderId="0" xfId="0" applyNumberFormat="1" applyFont="1" applyFill="1"/>
    <xf numFmtId="0" fontId="23" fillId="0" borderId="0" xfId="0" applyFont="1" applyFill="1" applyAlignment="1">
      <alignment horizontal="left" vertical="top"/>
    </xf>
    <xf numFmtId="0" fontId="0" fillId="0" borderId="0" xfId="0" applyNumberFormat="1" applyFill="1" applyAlignment="1">
      <alignment horizontal="left" vertical="top"/>
    </xf>
    <xf numFmtId="0" fontId="0" fillId="0" borderId="0" xfId="0" applyFill="1" applyAlignment="1">
      <alignment horizontal="left" vertical="top" wrapText="1"/>
    </xf>
    <xf numFmtId="0" fontId="0" fillId="0" borderId="0" xfId="0" applyNumberFormat="1" applyFill="1"/>
    <xf numFmtId="0" fontId="0" fillId="0" borderId="0" xfId="0" applyFill="1"/>
    <xf numFmtId="0" fontId="24" fillId="0" borderId="0" xfId="0" applyFont="1"/>
    <xf numFmtId="0" fontId="12" fillId="7" borderId="0" xfId="0" applyFont="1" applyFill="1" applyAlignment="1">
      <alignment horizontal="center"/>
    </xf>
    <xf numFmtId="0" fontId="8" fillId="6" borderId="15" xfId="0" applyFont="1" applyFill="1" applyBorder="1" applyAlignment="1" applyProtection="1">
      <alignment horizontal="center"/>
    </xf>
    <xf numFmtId="0" fontId="8" fillId="6" borderId="14" xfId="0" applyFont="1" applyFill="1" applyBorder="1" applyAlignment="1" applyProtection="1">
      <alignment horizontal="center"/>
    </xf>
  </cellXfs>
  <cellStyles count="1">
    <cellStyle name="Normal" xfId="0" builtinId="0"/>
  </cellStyles>
  <dxfs count="122">
    <dxf>
      <numFmt numFmtId="0" formatCode="General"/>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font>
      <alignment horizontal="left" vertical="top" textRotation="0" wrapText="0" indent="0" justifyLastLine="0" shrinkToFit="0" readingOrder="0"/>
    </dxf>
    <dxf>
      <font>
        <b/>
      </font>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font>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font>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font>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font>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font>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font>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font>
      <alignment horizontal="left" vertical="top" textRotation="0" wrapText="0" indent="0" justifyLastLine="0" shrinkToFit="0" readingOrder="0"/>
    </dxf>
    <dxf>
      <font>
        <b/>
      </font>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font>
      <alignment horizontal="left" vertical="top" textRotation="0" wrapText="0" indent="0" justifyLastLine="0" shrinkToFit="0" readingOrder="0"/>
    </dxf>
    <dxf>
      <font>
        <b/>
      </font>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gaysek/AppData/Roaming/OpenText/OTEdit/EC_gcdocs_nrcan/c41331758/C__Users_kmatiull_AppData_Roaming_OpenText_OTEdit_EC_gcdocs_nrcan_c41331758_Copy%20of%20New%20PIP%20template%20(blank)_AEB%20revis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iliu/AppData/Roaming/Microsoft/Excel/Copy%20of%20NRCan%20Excel%20PIP%20Template%20-%202020-21%20updated%20for%20webform_v1%20(002)%20(version%20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mbstone &amp; Results Data"/>
      <sheetName val="Evaluation"/>
      <sheetName val="GBA+"/>
      <sheetName val="Risk"/>
      <sheetName val="DRF &amp; PI Amendments"/>
      <sheetName val="MRU"/>
      <sheetName val="Mandate Letter Tracker - TBC"/>
      <sheetName val="Drop Downs"/>
    </sheetNames>
    <sheetDataSet>
      <sheetData sheetId="0"/>
      <sheetData sheetId="1"/>
      <sheetData sheetId="2"/>
      <sheetData sheetId="3"/>
      <sheetData sheetId="4"/>
      <sheetData sheetId="5"/>
      <sheetData sheetId="6"/>
      <sheetData sheetId="7">
        <row r="3">
          <cell r="E3" t="str">
            <v>- Menu Select -</v>
          </cell>
        </row>
        <row r="4">
          <cell r="E4" t="str">
            <v>1 - Children</v>
          </cell>
        </row>
        <row r="5">
          <cell r="B5" t="str">
            <v>- Menu Select -</v>
          </cell>
          <cell r="E5" t="str">
            <v>2 - Youth</v>
          </cell>
        </row>
        <row r="6">
          <cell r="B6" t="str">
            <v>TB Submission</v>
          </cell>
          <cell r="E6" t="str">
            <v>3 - Seniors</v>
          </cell>
        </row>
        <row r="7">
          <cell r="B7" t="str">
            <v>External (DRF Indicator)</v>
          </cell>
          <cell r="E7" t="str">
            <v>4 - Families</v>
          </cell>
        </row>
        <row r="8">
          <cell r="B8" t="str">
            <v>External Reporting (Other)</v>
          </cell>
          <cell r="E8" t="str">
            <v>5 - Women</v>
          </cell>
        </row>
        <row r="9">
          <cell r="B9" t="str">
            <v>Internal Reporting</v>
          </cell>
          <cell r="E9" t="str">
            <v>6 - Indigenous people</v>
          </cell>
        </row>
        <row r="10">
          <cell r="B10" t="str">
            <v>Pilot Indicator (Not reported)</v>
          </cell>
          <cell r="E10" t="str">
            <v>7 - Disabled persons</v>
          </cell>
        </row>
        <row r="11">
          <cell r="E11" t="str">
            <v>8 - Students</v>
          </cell>
        </row>
        <row r="12">
          <cell r="E12" t="str">
            <v>9 - Detained and/or formerly incarcerated individuals</v>
          </cell>
        </row>
        <row r="13">
          <cell r="E13" t="str">
            <v>10 - Violators of regulations and/or laws</v>
          </cell>
        </row>
        <row r="14">
          <cell r="E14" t="str">
            <v>11 - Victims</v>
          </cell>
        </row>
        <row r="15">
          <cell r="B15" t="str">
            <v>- Menu Select -</v>
          </cell>
          <cell r="E15" t="str">
            <v>12 - Military personnel</v>
          </cell>
        </row>
        <row r="16">
          <cell r="B16" t="str">
            <v>Monthly</v>
          </cell>
          <cell r="E16" t="str">
            <v>13 - Veterans</v>
          </cell>
        </row>
        <row r="17">
          <cell r="B17" t="str">
            <v>Bi-Monthly</v>
          </cell>
          <cell r="E17" t="str">
            <v>14 - Workers</v>
          </cell>
        </row>
        <row r="18">
          <cell r="B18" t="str">
            <v>Quarterly</v>
          </cell>
          <cell r="E18" t="str">
            <v>15 - Voters</v>
          </cell>
        </row>
        <row r="19">
          <cell r="B19" t="str">
            <v>Semi-Annually</v>
          </cell>
          <cell r="E19" t="str">
            <v>16 - Consumers</v>
          </cell>
        </row>
        <row r="20">
          <cell r="B20" t="str">
            <v>Annually</v>
          </cell>
          <cell r="E20" t="str">
            <v>17 - Unemployed</v>
          </cell>
        </row>
        <row r="21">
          <cell r="B21" t="str">
            <v>2 years</v>
          </cell>
          <cell r="E21" t="str">
            <v>18 - Low-income individuals and/or families</v>
          </cell>
        </row>
        <row r="22">
          <cell r="B22" t="str">
            <v>3 years</v>
          </cell>
          <cell r="E22" t="str">
            <v>19 - Scientific researchers</v>
          </cell>
        </row>
        <row r="23">
          <cell r="B23" t="str">
            <v>5 years</v>
          </cell>
          <cell r="E23" t="str">
            <v>20 - Socio-economic researchers</v>
          </cell>
        </row>
        <row r="24">
          <cell r="B24" t="str">
            <v>Other</v>
          </cell>
          <cell r="E24" t="str">
            <v>21 - Health care professionals</v>
          </cell>
        </row>
        <row r="25">
          <cell r="E25" t="str">
            <v>22 - Law enforcement officials</v>
          </cell>
          <cell r="I25" t="str">
            <v>- Menu Select -</v>
          </cell>
        </row>
        <row r="26">
          <cell r="E26" t="str">
            <v>23 - Legal professionals</v>
          </cell>
          <cell r="I26" t="str">
            <v>Aboriginal Economic Development Strategic Partnerships</v>
          </cell>
        </row>
        <row r="27">
          <cell r="B27" t="str">
            <v>- Menu Select -</v>
          </cell>
          <cell r="E27" t="str">
            <v>24 - Artists and/or performers</v>
          </cell>
          <cell r="I27" t="str">
            <v>Beyond the Border Action Plan</v>
          </cell>
        </row>
        <row r="28">
          <cell r="B28" t="str">
            <v>Number</v>
          </cell>
          <cell r="E28" t="str">
            <v>25 - Athletes and/or coaches</v>
          </cell>
          <cell r="I28" t="str">
            <v>Bovine Spongiform Encephalopathy (BSE) Program</v>
          </cell>
        </row>
        <row r="29">
          <cell r="B29" t="str">
            <v>Range</v>
          </cell>
          <cell r="E29" t="str">
            <v>26 - Farmers</v>
          </cell>
          <cell r="I29" t="str">
            <v>Canada 150</v>
          </cell>
        </row>
        <row r="30">
          <cell r="B30" t="str">
            <v>Percentage</v>
          </cell>
          <cell r="E30" t="str">
            <v>27 - Members of Parliament</v>
          </cell>
          <cell r="I30" t="str">
            <v>Canada's Anti-Money Laundering and Anti-Terrorist Financing Regime—formerly the NICML</v>
          </cell>
        </row>
        <row r="31">
          <cell r="B31" t="str">
            <v>Percentage Change</v>
          </cell>
          <cell r="E31" t="str">
            <v>28 - Language minorities</v>
          </cell>
          <cell r="I31" t="str">
            <v>Canadian HIV Vaccine Initiative</v>
          </cell>
        </row>
        <row r="32">
          <cell r="B32" t="str">
            <v>Qualitative</v>
          </cell>
          <cell r="E32" t="str">
            <v>29 - Canadians travelling, working, studying, and/or living abroad</v>
          </cell>
          <cell r="I32" t="str">
            <v>Chemicals Management Plan</v>
          </cell>
        </row>
        <row r="33">
          <cell r="B33" t="str">
            <v>Other</v>
          </cell>
          <cell r="E33" t="str">
            <v>30 - Immigrants and/or refugees</v>
          </cell>
          <cell r="I33" t="str">
            <v>Early Learning and Child Care</v>
          </cell>
        </row>
        <row r="34">
          <cell r="E34" t="str">
            <v>31 - International students</v>
          </cell>
          <cell r="I34" t="str">
            <v>Federal Tobacco Control Strategy</v>
          </cell>
        </row>
        <row r="35">
          <cell r="E35" t="str">
            <v>32 - Tourists and/or foreign visitors</v>
          </cell>
          <cell r="I35" t="str">
            <v xml:space="preserve">First Nations Water and Wastewater Action Plan [successor to the joint First Nations Water Management Strategy (2003-2008) and the AANDC Plan of Action for Drinking Water (2006-2008)] </v>
          </cell>
        </row>
        <row r="36">
          <cell r="B36" t="str">
            <v>- Menu Select -</v>
          </cell>
          <cell r="E36" t="str">
            <v>33 - Foreign and/or migrant workers</v>
          </cell>
          <cell r="I36" t="str">
            <v>Food Safety Information Network (FSIN)</v>
          </cell>
        </row>
        <row r="37">
          <cell r="B37" t="str">
            <v>1.1 Contribution</v>
          </cell>
          <cell r="E37" t="str">
            <v>34 - Foreign investors and/or foreign entrepreneurs</v>
          </cell>
          <cell r="I37" t="str">
            <v>Food Safety Oversight (FSO)</v>
          </cell>
        </row>
        <row r="38">
          <cell r="B38" t="str">
            <v>1.2 Grant</v>
          </cell>
          <cell r="E38" t="str">
            <v>35 - General public</v>
          </cell>
          <cell r="I38" t="str">
            <v>Genomics R-D Initiative</v>
          </cell>
        </row>
        <row r="39">
          <cell r="B39" t="str">
            <v>1.3 Other Transfer Payment</v>
          </cell>
          <cell r="E39" t="str">
            <v>36 - Dependants of Military and Law Enforcement Veterans</v>
          </cell>
          <cell r="I39" t="str">
            <v>Growing Forward 2 - Minor Use Pesticides, Stream C: Facilitating and Supporting a Modern Regulatory Environment and Agricompetitiveness Program</v>
          </cell>
        </row>
        <row r="40">
          <cell r="B40" t="str">
            <v>2 Regulation / Legislation</v>
          </cell>
          <cell r="E40" t="str">
            <v>37 - Non-governmental organizations (NGO)</v>
          </cell>
          <cell r="I40" t="str">
            <v>Income Assistance Reform: Enhanced Service Delivery (ESD)</v>
          </cell>
        </row>
        <row r="41">
          <cell r="B41" t="str">
            <v>3 Management / Oversight of Federal Activities</v>
          </cell>
          <cell r="E41" t="str">
            <v>38 - Health care and/or social assistance sectors</v>
          </cell>
          <cell r="I41" t="str">
            <v>Investments to Combat the Criminal Use of Firearms (ICCUF)</v>
          </cell>
        </row>
        <row r="42">
          <cell r="B42" t="str">
            <v>4 Programs / Services for Canadians</v>
          </cell>
          <cell r="E42" t="str">
            <v>39 - Heritage institutions</v>
          </cell>
          <cell r="I42" t="str">
            <v>Listeriosis (Formally called Renewal of Government Response and Action Plan to the 2008 Listeriosis Outbreak )</v>
          </cell>
        </row>
        <row r="43">
          <cell r="B43" t="str">
            <v>5 Enterprise-Wide Program / Service</v>
          </cell>
          <cell r="E43" t="str">
            <v>40 - Colleges and/or universities</v>
          </cell>
          <cell r="I43" t="str">
            <v>Major Projects Management Office Initiative</v>
          </cell>
        </row>
        <row r="44">
          <cell r="B44" t="str">
            <v>6 Safety or Security Program / Service</v>
          </cell>
          <cell r="E44" t="str">
            <v>41 - Agriculture industry</v>
          </cell>
          <cell r="I44" t="str">
            <v>National Anti-drug Strategy</v>
          </cell>
        </row>
        <row r="45">
          <cell r="E45" t="str">
            <v>42 - Forestry industry</v>
          </cell>
          <cell r="I45" t="str">
            <v>National Child Benefit Program Initiative</v>
          </cell>
        </row>
        <row r="46">
          <cell r="E46" t="str">
            <v>43 - Mining, and/or oil &amp; gas exploration industries</v>
          </cell>
          <cell r="I46" t="str">
            <v>Nutrition North Canada</v>
          </cell>
        </row>
        <row r="47">
          <cell r="B47" t="str">
            <v>- Menu Select -</v>
          </cell>
          <cell r="E47" t="str">
            <v>44 - Energy and/or utilities sector</v>
          </cell>
          <cell r="I47" t="str">
            <v>Plum Pox Management and Monitoring Program (PPMMP)</v>
          </cell>
        </row>
        <row r="48">
          <cell r="B48" t="str">
            <v>Core Responsibility 1</v>
          </cell>
          <cell r="E48" t="str">
            <v>45 - Manufacturing industry</v>
          </cell>
          <cell r="I48" t="str">
            <v>Roadmap for Canada’s Official Languages 2013-18</v>
          </cell>
        </row>
        <row r="49">
          <cell r="B49" t="str">
            <v>Core Responsibility 2</v>
          </cell>
          <cell r="E49" t="str">
            <v>46 - Import / export sectors</v>
          </cell>
          <cell r="I49" t="str">
            <v>Syrian Refugee Crisis: Resettlement of 25,000 Syrians by February 29, 2016 and an additional 10,000 Government-assisted refugees by December 31, 2016</v>
          </cell>
        </row>
        <row r="50">
          <cell r="B50" t="str">
            <v>Core Responsibility 3</v>
          </cell>
          <cell r="E50" t="str">
            <v>47 - Retail industry</v>
          </cell>
          <cell r="I50" t="str">
            <v>Temporary Foreign Worker Program</v>
          </cell>
        </row>
        <row r="51">
          <cell r="B51" t="str">
            <v xml:space="preserve">Internal Services </v>
          </cell>
          <cell r="E51" t="str">
            <v>48 - Transportation industry</v>
          </cell>
          <cell r="I51" t="str">
            <v>The Federal Contaminated Sites Action Plan (FCSAP), approved March 2005 (which succeeded the two-year Federal Contaminated Sites Accelerated Action Plan [FCSAAP])</v>
          </cell>
        </row>
        <row r="52">
          <cell r="E52" t="str">
            <v>49 - Movie, television, and/or publishing sectors</v>
          </cell>
          <cell r="I52" t="str">
            <v>The Federal Initiative to Address HIV/AIDS in Canada</v>
          </cell>
        </row>
        <row r="53">
          <cell r="E53" t="str">
            <v>50 - Telecommunications sector</v>
          </cell>
          <cell r="I53" t="str">
            <v>Workplace Wellness and Productivity Strategy (WPS)</v>
          </cell>
        </row>
        <row r="54">
          <cell r="E54" t="str">
            <v>51 - Science and technology industry</v>
          </cell>
          <cell r="I54" t="str">
            <v>Youth Employment Strategy</v>
          </cell>
        </row>
        <row r="55">
          <cell r="E55" t="str">
            <v>52 - Finance and/or insurance sectors</v>
          </cell>
        </row>
        <row r="56">
          <cell r="E56" t="str">
            <v>53 - Housing sector</v>
          </cell>
        </row>
        <row r="57">
          <cell r="E57" t="str">
            <v>54 - Sports and/or recreation industry</v>
          </cell>
          <cell r="G57" t="str">
            <v>- Menu Select -</v>
          </cell>
        </row>
        <row r="58">
          <cell r="E58" t="str">
            <v>55 - Hospitality and/or food services industry</v>
          </cell>
          <cell r="G58" t="str">
            <v>International - A safe and secure world through international engagement</v>
          </cell>
        </row>
        <row r="59">
          <cell r="E59" t="str">
            <v>56 - Training and/or educational sectors</v>
          </cell>
          <cell r="G59" t="str">
            <v>International - Global poverty reduction through international sustainable development</v>
          </cell>
        </row>
        <row r="60">
          <cell r="E60" t="str">
            <v>57 - Performing arts sector</v>
          </cell>
          <cell r="G60" t="str">
            <v>International - A strong and mutually beneficial North American partnership</v>
          </cell>
        </row>
        <row r="61">
          <cell r="E61" t="str">
            <v>58 - Infrastructure</v>
          </cell>
          <cell r="G61" t="str">
            <v>International - A properous Canada through global commerce</v>
          </cell>
        </row>
        <row r="62">
          <cell r="E62" t="str">
            <v>59 - Indigenous/northern businesses</v>
          </cell>
          <cell r="G62" t="str">
            <v>Internal Services</v>
          </cell>
        </row>
        <row r="63">
          <cell r="E63" t="str">
            <v>60 - Small and Medium Enterprises</v>
          </cell>
        </row>
        <row r="64">
          <cell r="E64" t="str">
            <v>61 - Large sized businesses</v>
          </cell>
        </row>
        <row r="65">
          <cell r="E65" t="str">
            <v>62 - Families in developing countries / regions</v>
          </cell>
        </row>
        <row r="66">
          <cell r="E66" t="str">
            <v>63 - Private sector / businesses in developing countries / regions</v>
          </cell>
        </row>
        <row r="67">
          <cell r="E67" t="str">
            <v>64 - Civil society in developing countries / regions</v>
          </cell>
        </row>
        <row r="68">
          <cell r="E68" t="str">
            <v>65 - International organizations and/or alliances</v>
          </cell>
        </row>
        <row r="69">
          <cell r="E69" t="str">
            <v>66 - Foreign governments</v>
          </cell>
        </row>
        <row r="70">
          <cell r="E70" t="str">
            <v>67 - Provincial &amp; territorial governments</v>
          </cell>
        </row>
        <row r="71">
          <cell r="E71" t="str">
            <v>68 - Urban communities</v>
          </cell>
        </row>
        <row r="72">
          <cell r="E72" t="str">
            <v>69 - Rural communities</v>
          </cell>
        </row>
        <row r="73">
          <cell r="E73" t="str">
            <v>70 - Northern communities</v>
          </cell>
        </row>
        <row r="74">
          <cell r="E74" t="str">
            <v>71 - Local and/or regional communities</v>
          </cell>
        </row>
        <row r="75">
          <cell r="E75" t="str">
            <v>72 - Municipal governments</v>
          </cell>
        </row>
        <row r="76">
          <cell r="E76" t="str">
            <v>73 - Indigenous Band, Tribal Council, Nation and/or Alliance</v>
          </cell>
        </row>
        <row r="77">
          <cell r="E77" t="str">
            <v>74 - Federal departments and/or agencies</v>
          </cell>
        </row>
        <row r="78">
          <cell r="E78" t="str">
            <v>75 - Program(s) within the same department or agency</v>
          </cell>
        </row>
        <row r="79">
          <cell r="E79" t="str">
            <v>76 - Public Servants</v>
          </cell>
        </row>
        <row r="80">
          <cell r="E80" t="str">
            <v>77 - Canadian Forces</v>
          </cell>
        </row>
        <row r="81">
          <cell r="E81" t="str">
            <v>78 - Contaminated sites</v>
          </cell>
        </row>
        <row r="82">
          <cell r="E82" t="str">
            <v>79 - Greenhouse gas emitters</v>
          </cell>
        </row>
        <row r="83">
          <cell r="E83" t="str">
            <v>80 - Water treatment / distribution facilities</v>
          </cell>
        </row>
        <row r="84">
          <cell r="E84" t="str">
            <v>81 - Ecological systems and/or natural habitats</v>
          </cell>
        </row>
        <row r="85">
          <cell r="E85" t="str">
            <v>82 - Species at risk and/or invasive species</v>
          </cell>
        </row>
        <row r="92">
          <cell r="B92" t="str">
            <v>- Risk category -</v>
          </cell>
        </row>
        <row r="93">
          <cell r="B93" t="str">
            <v>Health and safety</v>
          </cell>
        </row>
        <row r="94">
          <cell r="B94" t="str">
            <v>Public confidence</v>
          </cell>
        </row>
        <row r="95">
          <cell r="B95" t="str">
            <v>Population size</v>
          </cell>
        </row>
        <row r="96">
          <cell r="B96" t="str">
            <v>Political sensitivity</v>
          </cell>
        </row>
        <row r="97">
          <cell r="B97" t="str">
            <v>Known program issues</v>
          </cell>
        </row>
        <row r="98">
          <cell r="B98" t="str">
            <v>Client expectations</v>
          </cell>
        </row>
        <row r="99">
          <cell r="B99" t="str">
            <v>Materiality</v>
          </cell>
        </row>
        <row r="100">
          <cell r="B100" t="str">
            <v>Complexity</v>
          </cell>
        </row>
        <row r="101">
          <cell r="B101" t="str">
            <v>Changing policy and/or programming priorities</v>
          </cell>
        </row>
        <row r="102">
          <cell r="B102" t="str">
            <v>IM/IT/Information security</v>
          </cell>
        </row>
        <row r="103">
          <cell r="B103" t="str">
            <v>Funding pressures or decisions</v>
          </cell>
        </row>
        <row r="104">
          <cell r="B104" t="str">
            <v>Capacity</v>
          </cell>
        </row>
        <row r="105">
          <cell r="B105" t="str">
            <v>Organizational change or change management</v>
          </cell>
        </row>
        <row r="106">
          <cell r="B106" t="str">
            <v>Partner country/stakeholder engagement</v>
          </cell>
        </row>
        <row r="107">
          <cell r="B107" t="str">
            <v>Evaluation readiness</v>
          </cell>
        </row>
        <row r="108">
          <cell r="B108" t="str">
            <v>Time pressures</v>
          </cell>
        </row>
        <row r="109">
          <cell r="B109" t="str">
            <v>Values and ethics</v>
          </cell>
        </row>
        <row r="110">
          <cell r="B110" t="str">
            <v>Other factors</v>
          </cell>
        </row>
        <row r="113">
          <cell r="B113" t="str">
            <v>- Menu Select -</v>
          </cell>
        </row>
        <row r="114">
          <cell r="B114" t="str">
            <v>Very Likely</v>
          </cell>
        </row>
        <row r="115">
          <cell r="B115" t="str">
            <v>Likely</v>
          </cell>
        </row>
        <row r="116">
          <cell r="B116" t="str">
            <v>Unlikely</v>
          </cell>
        </row>
        <row r="117">
          <cell r="B117" t="str">
            <v>Very Unlikely</v>
          </cell>
        </row>
        <row r="120">
          <cell r="B120" t="str">
            <v>- Menu Select -</v>
          </cell>
        </row>
        <row r="121">
          <cell r="B121" t="str">
            <v>High</v>
          </cell>
        </row>
        <row r="122">
          <cell r="B122" t="str">
            <v>Moderate</v>
          </cell>
        </row>
        <row r="123">
          <cell r="B123" t="str">
            <v>Limited</v>
          </cell>
        </row>
        <row r="124">
          <cell r="B124" t="str">
            <v>Very Limited</v>
          </cell>
        </row>
        <row r="145">
          <cell r="B145" t="str">
            <v>- Menu Select -</v>
          </cell>
        </row>
        <row r="146">
          <cell r="B146" t="str">
            <v>new for 2018-19</v>
          </cell>
        </row>
        <row r="147">
          <cell r="B147" t="str">
            <v>revised for 2018-19</v>
          </cell>
        </row>
        <row r="148">
          <cell r="B148" t="str">
            <v>carried over from 2017-18</v>
          </cell>
        </row>
        <row r="151">
          <cell r="B151" t="str">
            <v>- Menu Select -</v>
          </cell>
        </row>
        <row r="152">
          <cell r="B152" t="str">
            <v>High - Fully tolerable by the Program - No need to develop further measures to reduce the risk</v>
          </cell>
        </row>
        <row r="153">
          <cell r="B153" t="str">
            <v>Moderate - More or less tolerable by the program - May not be any need to consider further measures to reduce risk</v>
          </cell>
        </row>
        <row r="154">
          <cell r="B154" t="str">
            <v>Limited - May be considered beyond program's tolerance - There is a need to consider measures to reduce risk</v>
          </cell>
        </row>
        <row r="155">
          <cell r="B155" t="str">
            <v>Very Limited - Current risk level is clearly beyond the program's tolerance - There is an urgency to develop measures to reduce risk</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Results Dashboard"/>
      <sheetName val="2. Tombstone Data"/>
      <sheetName val="3. Indicators &amp; Results"/>
      <sheetName val="4. Experimentation"/>
      <sheetName val="Evaluation"/>
      <sheetName val="6. GBA+"/>
      <sheetName val="Mid-Year Update &amp;Target Setting"/>
      <sheetName val="Placeholder - Risk"/>
      <sheetName val="Change log"/>
      <sheetName val="Drop Down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id="6" name="Table57" displayName="Table57" ref="A1:R41" totalsRowShown="0" dataDxfId="121" headerRowCellStyle="Normal">
  <autoFilter ref="A1:R41"/>
  <tableColumns count="18">
    <tableColumn id="1" name="Section" dataDxfId="120"/>
    <tableColumn id="2" name="Field" dataDxfId="119"/>
    <tableColumn id="3" name="Formatted" dataDxfId="118">
      <calculatedColumnFormula>SUBSTITUTE(SUBSTITUTE(PROPER(TRIM(CLEAN(Table57[[#This Row],[Field]])))," ","_"),"-","")</calculatedColumnFormula>
    </tableColumn>
    <tableColumn id="4" name="Extension" dataDxfId="117"/>
    <tableColumn id="5" name="Code" dataDxfId="116">
      <calculatedColumnFormula>VLOOKUP(Table57[[#This Row],[Extension]],DescRef1[],2,FALSE)</calculatedColumnFormula>
    </tableColumn>
    <tableColumn id="6" name="Max Length" dataDxfId="115"/>
    <tableColumn id="7" name="Mandatory" dataDxfId="114"/>
    <tableColumn id="8" name="SQL Name" dataDxfId="113">
      <calculatedColumnFormula>IF(Table57[[#This Row],[Code]]="-", Table57[[#This Row],[Formatted]], CONCATENATE(Table57[[#This Row],[Formatted]],"_",Table57[[#This Row],[Code]]))</calculatedColumnFormula>
    </tableColumn>
    <tableColumn id="9" name="Field Type" dataDxfId="112"/>
    <tableColumn id="11" name="Number of Drop-down options"/>
    <tableColumn id="12" name="Notes" dataDxfId="111"/>
    <tableColumn id="13" name="Web Form Type" dataDxfId="110"/>
    <tableColumn id="15" name="EF Type" dataDxfId="109">
      <calculatedColumnFormula>CONCATENATE(VLOOKUP(Table57[[#This Row],[Field Type]],FieldTypesRef1[],2,FALSE),IF(Table57[[#This Row],[Mandatory]]="Yes","","?"))</calculatedColumnFormula>
    </tableColumn>
    <tableColumn id="16" name="EF Core Annotation1" dataDxfId="108">
      <calculatedColumnFormula>VLOOKUP(Table57[[#This Row],[Field Type]],FieldTypesRef1[],3,FALSE)</calculatedColumnFormula>
    </tableColumn>
    <tableColumn id="17" name="EF Core Annotation2" dataDxfId="107">
      <calculatedColumnFormula>IF(Table57[[#This Row],[Mandatory]]="Yes","[Required]","")</calculatedColumnFormula>
    </tableColumn>
    <tableColumn id="18" name="EF Core Annotation3" dataDxfId="106">
      <calculatedColumnFormula>IF(Table57[[#This Row],[Max Length]]&gt;0,CONCATENATE("[MaxLength(",Table57[[#This Row],[Max Length]],")]"),"")</calculatedColumnFormula>
    </tableColumn>
    <tableColumn id="19" name="JSON" dataDxfId="1">
      <calculatedColumnFormula>CONCATENATE("""",Table57[[#This Row],[SQL Name]],""" : """,Table57[[#This Row],[Field]],""",")</calculatedColumnFormula>
    </tableColumn>
    <tableColumn id="14" name="C#" dataDxfId="105">
      <calculatedColumnFormula>CONCATENATE("/** Section: ",Table57[[#This Row],[Section]], " **/ ",Table57[[#This Row],[EF Core Annotation1]],Table57[[#This Row],[EF Core Annotation2]],Table57[[#This Row],[EF Core Annotation3]],"public ",Table57[[#This Row],[EF Type]]," ",Table57[[#This Row],[SQL Name]]," {get;set;}")</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3" name="Table574" displayName="Table574" ref="A1:R31" totalsRowShown="0" dataDxfId="104" headerRowCellStyle="Normal">
  <autoFilter ref="A1:R31"/>
  <tableColumns count="18">
    <tableColumn id="1" name="Section" dataDxfId="103"/>
    <tableColumn id="2" name="Field" dataDxfId="102"/>
    <tableColumn id="3" name="Formatted" dataDxfId="101">
      <calculatedColumnFormula>SUBSTITUTE(SUBSTITUTE(PROPER(TRIM(CLEAN(Table574[[#This Row],[Field]])))," ","_"),"-","")</calculatedColumnFormula>
    </tableColumn>
    <tableColumn id="4" name="Extension" dataDxfId="100"/>
    <tableColumn id="5" name="Code" dataDxfId="99">
      <calculatedColumnFormula>VLOOKUP(Table574[[#This Row],[Extension]],DescRef1[],2,FALSE)</calculatedColumnFormula>
    </tableColumn>
    <tableColumn id="6" name="Max Length" dataDxfId="98"/>
    <tableColumn id="7" name="Mandatory" dataDxfId="97"/>
    <tableColumn id="8" name="SQL Name" dataDxfId="96">
      <calculatedColumnFormula>IF(Table574[[#This Row],[Code]]="-", Table574[[#This Row],[Formatted]], CONCATENATE(Table574[[#This Row],[Formatted]],"_",Table574[[#This Row],[Code]]))</calculatedColumnFormula>
    </tableColumn>
    <tableColumn id="9" name="Field Type" dataDxfId="95"/>
    <tableColumn id="11" name="Number of Drop-down options"/>
    <tableColumn id="12" name="Notes" dataDxfId="94"/>
    <tableColumn id="13" name="Web Form Type" dataDxfId="93"/>
    <tableColumn id="15" name="EF Type" dataDxfId="92">
      <calculatedColumnFormula>CONCATENATE(VLOOKUP(Table574[[#This Row],[Field Type]],FieldTypesRef1[],2,FALSE),IF(Table574[[#This Row],[Mandatory]]="Yes","","?"))</calculatedColumnFormula>
    </tableColumn>
    <tableColumn id="16" name="EF Core Annotation1" dataDxfId="91">
      <calculatedColumnFormula>VLOOKUP(Table574[[#This Row],[Field Type]],FieldTypesRef1[],3,FALSE)</calculatedColumnFormula>
    </tableColumn>
    <tableColumn id="17" name="EF Core Annotation2" dataDxfId="90">
      <calculatedColumnFormula>IF(Table574[[#This Row],[Mandatory]]="Yes","[Required]","")</calculatedColumnFormula>
    </tableColumn>
    <tableColumn id="18" name="EF Core Annotation3" dataDxfId="89">
      <calculatedColumnFormula>IF(Table574[[#This Row],[Max Length]]&gt;0,CONCATENATE("[MaxLength(",Table574[[#This Row],[Max Length]],")]"),"")</calculatedColumnFormula>
    </tableColumn>
    <tableColumn id="19" name="JSON" dataDxfId="0">
      <calculatedColumnFormula>CONCATENATE("""",Table574[[#This Row],[SQL Name]],""" : """,Table574[[#This Row],[Field]],""",")</calculatedColumnFormula>
    </tableColumn>
    <tableColumn id="14" name="C#" dataDxfId="88">
      <calculatedColumnFormula>CONCATENATE("/** Section: ",Table574[[#This Row],[Section]], " **/ ",Table574[[#This Row],[EF Core Annotation1]],Table574[[#This Row],[EF Core Annotation2]],Table574[[#This Row],[EF Core Annotation3]],"public ",Table574[[#This Row],[EF Type]]," ",Table574[[#This Row],[SQL Name]]," {get;set;}")</calculatedColumnFormula>
    </tableColumn>
  </tableColumns>
  <tableStyleInfo name="TableStyleMedium6" showFirstColumn="0" showLastColumn="0" showRowStripes="1" showColumnStripes="0"/>
</table>
</file>

<file path=xl/tables/table3.xml><?xml version="1.0" encoding="utf-8"?>
<table xmlns="http://schemas.openxmlformats.org/spreadsheetml/2006/main" id="7" name="Table57458" displayName="Table57458" ref="A1:T69" totalsRowShown="0" dataDxfId="87" headerRowCellStyle="Normal">
  <autoFilter ref="A1:T69"/>
  <tableColumns count="20">
    <tableColumn id="1" name="Section" dataDxfId="86"/>
    <tableColumn id="10" name="Section Description" dataDxfId="85"/>
    <tableColumn id="2" name="Field" dataDxfId="84"/>
    <tableColumn id="20" name="Field Description" dataDxfId="83"/>
    <tableColumn id="3" name="Formatted" dataDxfId="82">
      <calculatedColumnFormula>SUBSTITUTE(SUBSTITUTE(PROPER(TRIM(CLEAN(Table57458[[#This Row],[Field]])))," ","_"),"-","")</calculatedColumnFormula>
    </tableColumn>
    <tableColumn id="4" name="Extension" dataDxfId="81"/>
    <tableColumn id="5" name="Code" dataDxfId="80">
      <calculatedColumnFormula>VLOOKUP(Table57458[[#This Row],[Extension]],DescRef1[],2,FALSE)</calculatedColumnFormula>
    </tableColumn>
    <tableColumn id="6" name="Max Length" dataDxfId="79"/>
    <tableColumn id="7" name="Mandatory" dataDxfId="78"/>
    <tableColumn id="8" name="SQL Name" dataDxfId="77">
      <calculatedColumnFormula>IF(Table57458[[#This Row],[Code]]="-", Table57458[[#This Row],[Formatted]], CONCATENATE(Table57458[[#This Row],[Formatted]],"_",Table57458[[#This Row],[Code]]))</calculatedColumnFormula>
    </tableColumn>
    <tableColumn id="9" name="Field Type" dataDxfId="76"/>
    <tableColumn id="11" name="Number of Drop-down options"/>
    <tableColumn id="12" name="Notes" dataDxfId="75"/>
    <tableColumn id="13" name="Web Form Type" dataDxfId="74"/>
    <tableColumn id="15" name="EF Type" dataDxfId="73">
      <calculatedColumnFormula>CONCATENATE(VLOOKUP(Table57458[[#This Row],[Field Type]],FieldTypesRef1[],2,FALSE),IF(Table57458[[#This Row],[Mandatory]]="Yes","","?"))</calculatedColumnFormula>
    </tableColumn>
    <tableColumn id="16" name="EF Core Annotation1" dataDxfId="72">
      <calculatedColumnFormula>VLOOKUP(Table57458[[#This Row],[Field Type]],FieldTypesRef1[],3,FALSE)</calculatedColumnFormula>
    </tableColumn>
    <tableColumn id="17" name="EF Core Annotation2" dataDxfId="71">
      <calculatedColumnFormula>IF(Table57458[[#This Row],[Mandatory]]="Yes","[Required]","")</calculatedColumnFormula>
    </tableColumn>
    <tableColumn id="18" name="EF Core Annotation3" dataDxfId="70">
      <calculatedColumnFormula>IF(Table57458[[#This Row],[Max Length]]&gt;0,CONCATENATE("[MaxLength(",Table57458[[#This Row],[Max Length]],")]"),"")</calculatedColumnFormula>
    </tableColumn>
    <tableColumn id="19" name="JSON" dataDxfId="69">
      <calculatedColumnFormula>CONCATENATE("""",Table57458[[#This Row],[SQL Name]],""" = """,Table57458[[#This Row],[Field]],",")</calculatedColumnFormula>
    </tableColumn>
    <tableColumn id="14" name="C#" dataDxfId="68">
      <calculatedColumnFormula>CONCATENATE("/** Section: ",Table57458[[#This Row],[Section]], " **/ ",Table57458[[#This Row],[EF Core Annotation1]],Table57458[[#This Row],[EF Core Annotation2]],Table57458[[#This Row],[EF Core Annotation3]],"public ",Table57458[[#This Row],[EF Type]]," ",Table57458[[#This Row],[SQL Name]]," {get;set;}")</calculatedColumnFormula>
    </tableColumn>
  </tableColumns>
  <tableStyleInfo name="TableStyleMedium6" showFirstColumn="0" showLastColumn="0" showRowStripes="1" showColumnStripes="0"/>
</table>
</file>

<file path=xl/tables/table4.xml><?xml version="1.0" encoding="utf-8"?>
<table xmlns="http://schemas.openxmlformats.org/spreadsheetml/2006/main" id="8" name="Table57459" displayName="Table57459" ref="A1:S19" totalsRowShown="0" dataDxfId="67" headerRowCellStyle="Normal">
  <autoFilter ref="A1:S19"/>
  <tableColumns count="19">
    <tableColumn id="1" name="Section" dataDxfId="66"/>
    <tableColumn id="10" name="Section Description" dataDxfId="65"/>
    <tableColumn id="2" name="Field" dataDxfId="64"/>
    <tableColumn id="3" name="Formatted" dataDxfId="63">
      <calculatedColumnFormula>SUBSTITUTE(SUBSTITUTE(PROPER(TRIM(CLEAN(Table57459[[#This Row],[Field]])))," ","_"),"-","")</calculatedColumnFormula>
    </tableColumn>
    <tableColumn id="4" name="Extension" dataDxfId="62"/>
    <tableColumn id="5" name="Code" dataDxfId="61">
      <calculatedColumnFormula>VLOOKUP(Table57459[[#This Row],[Extension]],DescRef1[],2,FALSE)</calculatedColumnFormula>
    </tableColumn>
    <tableColumn id="6" name="Max Length" dataDxfId="60"/>
    <tableColumn id="7" name="Mandatory" dataDxfId="59"/>
    <tableColumn id="8" name="SQL Name" dataDxfId="58">
      <calculatedColumnFormula>IF(Table57459[[#This Row],[Code]]="-", Table57459[[#This Row],[Formatted]], CONCATENATE(Table57459[[#This Row],[Formatted]],"_",Table57459[[#This Row],[Code]]))</calculatedColumnFormula>
    </tableColumn>
    <tableColumn id="9" name="Field Type" dataDxfId="57"/>
    <tableColumn id="11" name="Number of Drop-down options"/>
    <tableColumn id="12" name="Notes" dataDxfId="56"/>
    <tableColumn id="13" name="Web Form Type" dataDxfId="55"/>
    <tableColumn id="15" name="EF Type" dataDxfId="54">
      <calculatedColumnFormula>CONCATENATE(VLOOKUP(Table57459[[#This Row],[Field Type]],FieldTypesRef1[],2,FALSE),IF(Table57459[[#This Row],[Mandatory]]="Yes","","?"))</calculatedColumnFormula>
    </tableColumn>
    <tableColumn id="16" name="EF Core Annotation1" dataDxfId="53">
      <calculatedColumnFormula>VLOOKUP(Table57459[[#This Row],[Field Type]],FieldTypesRef1[],3,FALSE)</calculatedColumnFormula>
    </tableColumn>
    <tableColumn id="17" name="EF Core Annotation2" dataDxfId="52">
      <calculatedColumnFormula>IF(Table57459[[#This Row],[Mandatory]]="Yes","[Required]","")</calculatedColumnFormula>
    </tableColumn>
    <tableColumn id="18" name="EF Core Annotation3" dataDxfId="51">
      <calculatedColumnFormula>IF(Table57459[[#This Row],[Max Length]]&gt;0,CONCATENATE("[MaxLength(",Table57459[[#This Row],[Max Length]],")]"),"")</calculatedColumnFormula>
    </tableColumn>
    <tableColumn id="19" name="JSON" dataDxfId="50">
      <calculatedColumnFormula>CONCATENATE("""",Table57459[[#This Row],[SQL Name]],""" = """,Table57459[[#This Row],[Field]],",")</calculatedColumnFormula>
    </tableColumn>
    <tableColumn id="14" name="C#" dataDxfId="49">
      <calculatedColumnFormula>CONCATENATE("/** Section: ",Table57459[[#This Row],[Section]], " **/ ",Table57459[[#This Row],[EF Core Annotation1]],Table57459[[#This Row],[EF Core Annotation2]],Table57459[[#This Row],[EF Core Annotation3]],"public ",Table57459[[#This Row],[EF Type]]," ",Table57459[[#This Row],[SQL Name]]," {get;set;}")</calculatedColumnFormula>
    </tableColumn>
  </tableColumns>
  <tableStyleInfo name="TableStyleMedium6" showFirstColumn="0" showLastColumn="0" showRowStripes="1" showColumnStripes="0"/>
</table>
</file>

<file path=xl/tables/table5.xml><?xml version="1.0" encoding="utf-8"?>
<table xmlns="http://schemas.openxmlformats.org/spreadsheetml/2006/main" id="10" name="Table57451011" displayName="Table57451011" ref="A1:T40" totalsRowShown="0" dataDxfId="48" headerRowCellStyle="Normal">
  <autoFilter ref="A1:T40"/>
  <tableColumns count="20">
    <tableColumn id="1" name="Section" dataDxfId="47"/>
    <tableColumn id="20" name="Section Description" dataDxfId="46"/>
    <tableColumn id="2" name="Field" dataDxfId="45"/>
    <tableColumn id="10" name="Field Description" dataDxfId="44"/>
    <tableColumn id="3" name="Formatted" dataDxfId="43">
      <calculatedColumnFormula>SUBSTITUTE(SUBSTITUTE(PROPER(TRIM(CLEAN(Table57451011[[#This Row],[Field]])))," ","_"),"-","")</calculatedColumnFormula>
    </tableColumn>
    <tableColumn id="4" name="Extension" dataDxfId="42"/>
    <tableColumn id="5" name="Code" dataDxfId="41">
      <calculatedColumnFormula>VLOOKUP(Table57451011[[#This Row],[Extension]],DescRef1[],2,FALSE)</calculatedColumnFormula>
    </tableColumn>
    <tableColumn id="6" name="Max Length" dataDxfId="40"/>
    <tableColumn id="7" name="Mandatory" dataDxfId="39"/>
    <tableColumn id="8" name="SQL Name" dataDxfId="38">
      <calculatedColumnFormula>IF(Table57451011[[#This Row],[Code]]="-", Table57451011[[#This Row],[Formatted]], CONCATENATE(Table57451011[[#This Row],[Formatted]],"_",Table57451011[[#This Row],[Code]]))</calculatedColumnFormula>
    </tableColumn>
    <tableColumn id="9" name="Field Type" dataDxfId="37"/>
    <tableColumn id="11" name="Number of Drop-down options"/>
    <tableColumn id="12" name="Notes" dataDxfId="36"/>
    <tableColumn id="13" name="Web Form Type" dataDxfId="35"/>
    <tableColumn id="15" name="EF Type" dataDxfId="34">
      <calculatedColumnFormula>CONCATENATE(VLOOKUP(Table57451011[[#This Row],[Field Type]],FieldTypesRef1[],2,FALSE),IF(Table57451011[[#This Row],[Mandatory]]="Yes","","?"))</calculatedColumnFormula>
    </tableColumn>
    <tableColumn id="16" name="EF Core Annotation1" dataDxfId="33">
      <calculatedColumnFormula>VLOOKUP(Table57451011[[#This Row],[Field Type]],FieldTypesRef1[],3,FALSE)</calculatedColumnFormula>
    </tableColumn>
    <tableColumn id="17" name="EF Core Annotation2" dataDxfId="32">
      <calculatedColumnFormula>IF(Table57451011[[#This Row],[Mandatory]]="Yes","[Required]","")</calculatedColumnFormula>
    </tableColumn>
    <tableColumn id="18" name="EF Core Annotation3" dataDxfId="31">
      <calculatedColumnFormula>IF(Table57451011[[#This Row],[Max Length]]&gt;0,CONCATENATE("[MaxLength(",Table57451011[[#This Row],[Max Length]],")]"),"")</calculatedColumnFormula>
    </tableColumn>
    <tableColumn id="19" name="JSON" dataDxfId="30">
      <calculatedColumnFormula>CONCATENATE("""",Table57451011[[#This Row],[SQL Name]],""" = """,Table57451011[[#This Row],[Field]],",")</calculatedColumnFormula>
    </tableColumn>
    <tableColumn id="14" name="C#" dataDxfId="29">
      <calculatedColumnFormula>CONCATENATE("/** Section: ",Table57451011[[#This Row],[Section]], " **/ ",Table57451011[[#This Row],[EF Core Annotation1]],Table57451011[[#This Row],[EF Core Annotation2]],Table57451011[[#This Row],[EF Core Annotation3]],"public ",Table57451011[[#This Row],[EF Type]]," ",Table57451011[[#This Row],[SQL Name]]," {get;set;}")</calculatedColumnFormula>
    </tableColumn>
  </tableColumns>
  <tableStyleInfo name="TableStyleMedium6" showFirstColumn="0" showLastColumn="0" showRowStripes="1" showColumnStripes="0"/>
</table>
</file>

<file path=xl/tables/table6.xml><?xml version="1.0" encoding="utf-8"?>
<table xmlns="http://schemas.openxmlformats.org/spreadsheetml/2006/main" id="4" name="Table5745" displayName="Table5745" ref="A1:R16" totalsRowShown="0" dataDxfId="28" headerRowCellStyle="Normal">
  <autoFilter ref="A1:R16"/>
  <tableColumns count="18">
    <tableColumn id="1" name="Section" dataDxfId="27"/>
    <tableColumn id="2" name="Field" dataDxfId="26"/>
    <tableColumn id="3" name="Formatted" dataDxfId="25">
      <calculatedColumnFormula>SUBSTITUTE(SUBSTITUTE(PROPER(TRIM(CLEAN(Table5745[[#This Row],[Field]])))," ","_"),"-","")</calculatedColumnFormula>
    </tableColumn>
    <tableColumn id="4" name="Extension" dataDxfId="24"/>
    <tableColumn id="5" name="Code" dataDxfId="23">
      <calculatedColumnFormula>VLOOKUP(Table5745[[#This Row],[Extension]],DescRef1[],2,FALSE)</calculatedColumnFormula>
    </tableColumn>
    <tableColumn id="6" name="Max Length" dataDxfId="22"/>
    <tableColumn id="7" name="Mandatory" dataDxfId="21"/>
    <tableColumn id="8" name="SQL Name" dataDxfId="20">
      <calculatedColumnFormula>IF(Table5745[[#This Row],[Code]]="-", Table5745[[#This Row],[Formatted]], CONCATENATE(Table5745[[#This Row],[Formatted]],"_",Table5745[[#This Row],[Code]]))</calculatedColumnFormula>
    </tableColumn>
    <tableColumn id="9" name="Field Type" dataDxfId="19"/>
    <tableColumn id="11" name="Number of Drop-down options"/>
    <tableColumn id="12" name="Notes" dataDxfId="18"/>
    <tableColumn id="13" name="Web Form Type" dataDxfId="17"/>
    <tableColumn id="15" name="EF Type" dataDxfId="16">
      <calculatedColumnFormula>CONCATENATE(VLOOKUP(Table5745[[#This Row],[Field Type]],FieldTypesRef1[],2,FALSE),IF(Table5745[[#This Row],[Mandatory]]="Yes","","?"))</calculatedColumnFormula>
    </tableColumn>
    <tableColumn id="16" name="EF Core Annotation1" dataDxfId="15">
      <calculatedColumnFormula>VLOOKUP(Table5745[[#This Row],[Field Type]],FieldTypesRef1[],3,FALSE)</calculatedColumnFormula>
    </tableColumn>
    <tableColumn id="17" name="EF Core Annotation2" dataDxfId="14">
      <calculatedColumnFormula>IF(Table5745[[#This Row],[Mandatory]]="Yes","[Required]","")</calculatedColumnFormula>
    </tableColumn>
    <tableColumn id="18" name="EF Core Annotation3" dataDxfId="13">
      <calculatedColumnFormula>IF(Table5745[[#This Row],[Max Length]]&gt;0,CONCATENATE("[MaxLength(",Table5745[[#This Row],[Max Length]],")]"),"")</calculatedColumnFormula>
    </tableColumn>
    <tableColumn id="19" name="JSON" dataDxfId="12">
      <calculatedColumnFormula>CONCATENATE("""",Table5745[[#This Row],[SQL Name]],""" = """,Table5745[[#This Row],[Field]],",")</calculatedColumnFormula>
    </tableColumn>
    <tableColumn id="14" name="C#" dataDxfId="11">
      <calculatedColumnFormula>CONCATENATE("/** Section: ",Table5745[[#This Row],[Section]], " **/ ",Table5745[[#This Row],[EF Core Annotation1]],Table5745[[#This Row],[EF Core Annotation2]],Table5745[[#This Row],[EF Core Annotation3]],"public ",Table5745[[#This Row],[EF Type]]," ",Table5745[[#This Row],[SQL Name]]," {get;set;}")</calculatedColumnFormula>
    </tableColumn>
  </tableColumns>
  <tableStyleInfo name="TableStyleMedium6" showFirstColumn="0" showLastColumn="0" showRowStripes="1" showColumnStripes="0"/>
</table>
</file>

<file path=xl/tables/table7.xml><?xml version="1.0" encoding="utf-8"?>
<table xmlns="http://schemas.openxmlformats.org/spreadsheetml/2006/main" id="1" name="DescRef1" displayName="DescRef1" ref="A2:C30" totalsRowShown="0" headerRowCellStyle="Normal">
  <autoFilter ref="A2:C30"/>
  <tableColumns count="3">
    <tableColumn id="1" name="Class word" dataDxfId="10"/>
    <tableColumn id="2" name="Abbreviation" dataDxfId="9"/>
    <tableColumn id="3" name="Definition" dataDxfId="8"/>
  </tableColumns>
  <tableStyleInfo name="TableStyleMedium14" showFirstColumn="0" showLastColumn="0" showRowStripes="1" showColumnStripes="0"/>
</table>
</file>

<file path=xl/tables/table8.xml><?xml version="1.0" encoding="utf-8"?>
<table xmlns="http://schemas.openxmlformats.org/spreadsheetml/2006/main" id="5" name="FieldTypesRef1" displayName="FieldTypesRef1" ref="A32:C40" totalsRowShown="0">
  <autoFilter ref="A32:C40"/>
  <tableColumns count="3">
    <tableColumn id="1" name="Field Type"/>
    <tableColumn id="2" name="EF Type" dataDxfId="7"/>
    <tableColumn id="3" name="Annotation"/>
  </tableColumns>
  <tableStyleInfo name="TableStyleMedium7" showFirstColumn="0" showLastColumn="0" showRowStripes="1" showColumnStripes="0"/>
</table>
</file>

<file path=xl/tables/table9.xml><?xml version="1.0" encoding="utf-8"?>
<table xmlns="http://schemas.openxmlformats.org/spreadsheetml/2006/main" id="2" name="Table4" displayName="Table4" ref="A3:D9" totalsRowShown="0" headerRowDxfId="6">
  <autoFilter ref="A3:D9"/>
  <tableColumns count="4">
    <tableColumn id="1" name="SUPPLEMENTARY INFORMATION TABLES" dataDxfId="5"/>
    <tableColumn id="3" name="TPP Program" dataDxfId="4"/>
    <tableColumn id="2" name="Year" dataDxfId="3"/>
    <tableColumn id="4" name="GCDocs link" dataDxfId="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J3" zoomScaleNormal="100" workbookViewId="0">
      <selection activeCell="Q3" sqref="Q3"/>
    </sheetView>
  </sheetViews>
  <sheetFormatPr defaultColWidth="9.21875" defaultRowHeight="14.4" x14ac:dyDescent="0.3"/>
  <cols>
    <col min="1" max="1" width="32.21875" style="85" customWidth="1"/>
    <col min="2" max="2" width="45.21875" style="85" customWidth="1"/>
    <col min="3" max="3" width="56.5546875" style="71" customWidth="1"/>
    <col min="4" max="4" width="28" style="71" customWidth="1"/>
    <col min="5" max="7" width="16.21875" style="71" customWidth="1"/>
    <col min="8" max="8" width="65.21875" style="71" customWidth="1"/>
    <col min="9" max="9" width="21.77734375" style="71" bestFit="1" customWidth="1"/>
    <col min="10" max="10" width="33.44140625" style="3" customWidth="1"/>
    <col min="11" max="11" width="36.21875" style="71" customWidth="1"/>
    <col min="12" max="13" width="21" style="71" customWidth="1"/>
    <col min="14" max="14" width="21" style="84" customWidth="1"/>
    <col min="15" max="16" width="21" style="71" customWidth="1"/>
    <col min="17" max="17" width="15.21875" style="71" customWidth="1"/>
    <col min="18" max="18" width="14.5546875" style="71" customWidth="1"/>
    <col min="19" max="16384" width="9.21875" style="71"/>
  </cols>
  <sheetData>
    <row r="1" spans="1:18" s="3" customFormat="1" ht="35.25" customHeight="1" x14ac:dyDescent="0.3">
      <c r="A1" s="87" t="s">
        <v>550</v>
      </c>
      <c r="B1" s="87" t="s">
        <v>0</v>
      </c>
      <c r="C1" s="3" t="s">
        <v>551</v>
      </c>
      <c r="D1" s="87" t="s">
        <v>469</v>
      </c>
      <c r="E1" s="3" t="s">
        <v>482</v>
      </c>
      <c r="F1" s="87" t="s">
        <v>549</v>
      </c>
      <c r="G1" s="87" t="s">
        <v>544</v>
      </c>
      <c r="H1" s="3" t="s">
        <v>470</v>
      </c>
      <c r="I1" s="3" t="s">
        <v>85</v>
      </c>
      <c r="J1" s="3" t="s">
        <v>461</v>
      </c>
      <c r="K1" s="3" t="s">
        <v>2</v>
      </c>
      <c r="L1" s="3" t="s">
        <v>3</v>
      </c>
      <c r="M1" s="3" t="s">
        <v>559</v>
      </c>
      <c r="N1" s="3" t="s">
        <v>590</v>
      </c>
      <c r="O1" s="3" t="s">
        <v>591</v>
      </c>
      <c r="P1" s="3" t="s">
        <v>592</v>
      </c>
      <c r="Q1" s="3" t="s">
        <v>594</v>
      </c>
      <c r="R1" s="3" t="s">
        <v>593</v>
      </c>
    </row>
    <row r="2" spans="1:18" x14ac:dyDescent="0.3">
      <c r="A2" s="85" t="s">
        <v>4</v>
      </c>
      <c r="B2" s="85" t="s">
        <v>6</v>
      </c>
      <c r="C2" s="71" t="str">
        <f>SUBSTITUTE(SUBSTITUTE(PROPER(TRIM(CLEAN(Table57[[#This Row],[Field]])))," ","_"),"-","")</f>
        <v>Program_Title</v>
      </c>
      <c r="D2" s="71" t="s">
        <v>545</v>
      </c>
      <c r="E2" s="71" t="str">
        <f>VLOOKUP(Table57[[#This Row],[Extension]],DescRef1[],2,FALSE)</f>
        <v>-</v>
      </c>
      <c r="F2" s="71">
        <v>100</v>
      </c>
      <c r="G2" s="71" t="s">
        <v>568</v>
      </c>
      <c r="H2" s="71" t="str">
        <f>IF(Table57[[#This Row],[Code]]="-", Table57[[#This Row],[Formatted]], CONCATENATE(Table57[[#This Row],[Formatted]],"_",Table57[[#This Row],[Code]]))</f>
        <v>Program_Title</v>
      </c>
      <c r="I2" s="71" t="s">
        <v>78</v>
      </c>
      <c r="M2" s="3" t="str">
        <f>CONCATENATE(VLOOKUP(Table57[[#This Row],[Field Type]],FieldTypesRef1[],2,FALSE),IF(Table57[[#This Row],[Mandatory]]="Yes","","?"))</f>
        <v>string</v>
      </c>
      <c r="N2" s="3" t="str">
        <f>VLOOKUP(Table57[[#This Row],[Field Type]],FieldTypesRef1[],3,FALSE)</f>
        <v/>
      </c>
      <c r="O2" s="3" t="str">
        <f>IF(Table57[[#This Row],[Mandatory]]="Yes","[Required]","")</f>
        <v>[Required]</v>
      </c>
      <c r="P2" s="3" t="str">
        <f>IF(Table57[[#This Row],[Max Length]]&gt;0,CONCATENATE("[MaxLength(",Table57[[#This Row],[Max Length]],")]"),"")</f>
        <v>[MaxLength(100)]</v>
      </c>
      <c r="Q2" s="3" t="str">
        <f>CONCATENATE("""",Table57[[#This Row],[SQL Name]],""" : """,Table57[[#This Row],[Field]],""",")</f>
        <v>"Program_Title" : "Program Title",</v>
      </c>
      <c r="R2" s="71" t="str">
        <f>CONCATENATE("/** Section: ",Table57[[#This Row],[Section]], " **/ ",Table57[[#This Row],[EF Core Annotation1]],Table57[[#This Row],[EF Core Annotation2]],Table57[[#This Row],[EF Core Annotation3]],"public ",Table57[[#This Row],[EF Type]]," ",Table57[[#This Row],[SQL Name]]," {get;set;}")</f>
        <v>/** Section: Performance Information Profile  **/ [Required][MaxLength(100)]public string Program_Title {get;set;}</v>
      </c>
    </row>
    <row r="3" spans="1:18" x14ac:dyDescent="0.3">
      <c r="A3" s="85" t="s">
        <v>4</v>
      </c>
      <c r="B3" s="85" t="s">
        <v>8</v>
      </c>
      <c r="C3" s="71" t="str">
        <f>SUBSTITUTE(SUBSTITUTE(PROPER(TRIM(CLEAN(Table57[[#This Row],[Field]])))," ","_"),"-","")</f>
        <v>Program_Official_Title</v>
      </c>
      <c r="D3" s="71" t="s">
        <v>545</v>
      </c>
      <c r="E3" s="71" t="str">
        <f>VLOOKUP(Table57[[#This Row],[Extension]],DescRef1[],2,FALSE)</f>
        <v>-</v>
      </c>
      <c r="F3" s="71">
        <v>100</v>
      </c>
      <c r="G3" s="71" t="s">
        <v>568</v>
      </c>
      <c r="H3" s="71" t="str">
        <f>IF(Table57[[#This Row],[Code]]="-", Table57[[#This Row],[Formatted]], CONCATENATE(Table57[[#This Row],[Formatted]],"_",Table57[[#This Row],[Code]]))</f>
        <v>Program_Official_Title</v>
      </c>
      <c r="I3" s="71" t="s">
        <v>78</v>
      </c>
      <c r="M3" s="3" t="str">
        <f>CONCATENATE(VLOOKUP(Table57[[#This Row],[Field Type]],FieldTypesRef1[],2,FALSE),IF(Table57[[#This Row],[Mandatory]]="Yes","","?"))</f>
        <v>string</v>
      </c>
      <c r="N3" s="89" t="str">
        <f>VLOOKUP(Table57[[#This Row],[Field Type]],FieldTypesRef1[],3,FALSE)</f>
        <v/>
      </c>
      <c r="O3" s="3" t="str">
        <f>IF(Table57[[#This Row],[Mandatory]]="Yes","[Required]","")</f>
        <v>[Required]</v>
      </c>
      <c r="P3" s="3" t="str">
        <f>IF(Table57[[#This Row],[Max Length]]&gt;0,CONCATENATE("[MaxLength(",Table57[[#This Row],[Max Length]],")]"),"")</f>
        <v>[MaxLength(100)]</v>
      </c>
      <c r="Q3" s="3" t="str">
        <f>CONCATENATE("""",Table57[[#This Row],[SQL Name]],""" : """,Table57[[#This Row],[Field]],""",")</f>
        <v>"Program_Official_Title" : "Program Official Title ",</v>
      </c>
      <c r="R3" s="71" t="str">
        <f>CONCATENATE("/** Section: ",Table57[[#This Row],[Section]], " **/ ",Table57[[#This Row],[EF Core Annotation1]],Table57[[#This Row],[EF Core Annotation2]],Table57[[#This Row],[EF Core Annotation3]],"public ",Table57[[#This Row],[EF Type]]," ",Table57[[#This Row],[SQL Name]]," {get;set;}")</f>
        <v>/** Section: Performance Information Profile  **/ [Required][MaxLength(100)]public string Program_Official_Title {get;set;}</v>
      </c>
    </row>
    <row r="4" spans="1:18" x14ac:dyDescent="0.3">
      <c r="A4" s="85" t="s">
        <v>4</v>
      </c>
      <c r="B4" s="86" t="s">
        <v>596</v>
      </c>
      <c r="C4" s="71" t="str">
        <f>SUBSTITUTE(SUBSTITUTE(PROPER(TRIM(CLEAN(Table57[[#This Row],[Field]])))," ","_"),"-","")</f>
        <v>Core_Responsbility_1</v>
      </c>
      <c r="D4" s="71" t="s">
        <v>489</v>
      </c>
      <c r="E4" s="71" t="str">
        <f>VLOOKUP(Table57[[#This Row],[Extension]],DescRef1[],2,FALSE)</f>
        <v>DESC</v>
      </c>
      <c r="F4" s="71">
        <v>100</v>
      </c>
      <c r="H4" s="71" t="str">
        <f>IF(Table57[[#This Row],[Code]]="-", Table57[[#This Row],[Formatted]], CONCATENATE(Table57[[#This Row],[Formatted]],"_",Table57[[#This Row],[Code]]))</f>
        <v>Core_Responsbility_1_DESC</v>
      </c>
      <c r="I4" s="71" t="s">
        <v>556</v>
      </c>
      <c r="J4" s="17">
        <v>4</v>
      </c>
      <c r="K4" s="72"/>
      <c r="M4" s="3" t="str">
        <f>CONCATENATE(VLOOKUP(Table57[[#This Row],[Field Type]],FieldTypesRef1[],2,FALSE),IF(Table57[[#This Row],[Mandatory]]="Yes","","?"))</f>
        <v>string?</v>
      </c>
      <c r="N4" s="89" t="str">
        <f>VLOOKUP(Table57[[#This Row],[Field Type]],FieldTypesRef1[],3,FALSE)</f>
        <v/>
      </c>
      <c r="O4" s="3" t="str">
        <f>IF(Table57[[#This Row],[Mandatory]]="Yes","[Required]","")</f>
        <v/>
      </c>
      <c r="P4" s="3" t="str">
        <f>IF(Table57[[#This Row],[Max Length]]&gt;0,CONCATENATE("[MaxLength(",Table57[[#This Row],[Max Length]],")]"),"")</f>
        <v>[MaxLength(100)]</v>
      </c>
      <c r="Q4" s="3" t="str">
        <f>CONCATENATE("""",Table57[[#This Row],[SQL Name]],""" : """,Table57[[#This Row],[Field]],""",")</f>
        <v>"Core_Responsbility_1_DESC" : "Core Responsbility 1",</v>
      </c>
      <c r="R4" s="71" t="str">
        <f>CONCATENATE("/** Section: ",Table57[[#This Row],[Section]], " **/ ",Table57[[#This Row],[EF Core Annotation1]],Table57[[#This Row],[EF Core Annotation2]],Table57[[#This Row],[EF Core Annotation3]],"public ",Table57[[#This Row],[EF Type]]," ",Table57[[#This Row],[SQL Name]]," {get;set;}")</f>
        <v>/** Section: Performance Information Profile  **/ [MaxLength(100)]public string? Core_Responsbility_1_DESC {get;set;}</v>
      </c>
    </row>
    <row r="5" spans="1:18" x14ac:dyDescent="0.3">
      <c r="A5" s="85" t="s">
        <v>4</v>
      </c>
      <c r="B5" s="86" t="s">
        <v>597</v>
      </c>
      <c r="C5" s="71" t="str">
        <f>SUBSTITUTE(SUBSTITUTE(PROPER(TRIM(CLEAN(Table57[[#This Row],[Field]])))," ","_"),"-","")</f>
        <v>Core_Responsbility_2</v>
      </c>
      <c r="D5" s="71" t="s">
        <v>489</v>
      </c>
      <c r="E5" s="71" t="str">
        <f>VLOOKUP(Table57[[#This Row],[Extension]],DescRef1[],2,FALSE)</f>
        <v>DESC</v>
      </c>
      <c r="F5" s="71">
        <v>100</v>
      </c>
      <c r="H5" s="71" t="str">
        <f>IF(Table57[[#This Row],[Code]]="-", Table57[[#This Row],[Formatted]], CONCATENATE(Table57[[#This Row],[Formatted]],"_",Table57[[#This Row],[Code]]))</f>
        <v>Core_Responsbility_2_DESC</v>
      </c>
      <c r="I5" s="71" t="s">
        <v>556</v>
      </c>
      <c r="J5" s="17">
        <v>4</v>
      </c>
      <c r="K5" s="72"/>
      <c r="M5" s="3" t="str">
        <f>CONCATENATE(VLOOKUP(Table57[[#This Row],[Field Type]],FieldTypesRef1[],2,FALSE),IF(Table57[[#This Row],[Mandatory]]="Yes","","?"))</f>
        <v>string?</v>
      </c>
      <c r="N5" s="89" t="str">
        <f>VLOOKUP(Table57[[#This Row],[Field Type]],FieldTypesRef1[],3,FALSE)</f>
        <v/>
      </c>
      <c r="O5" s="3" t="str">
        <f>IF(Table57[[#This Row],[Mandatory]]="Yes","[Required]","")</f>
        <v/>
      </c>
      <c r="P5" s="3" t="str">
        <f>IF(Table57[[#This Row],[Max Length]]&gt;0,CONCATENATE("[MaxLength(",Table57[[#This Row],[Max Length]],")]"),"")</f>
        <v>[MaxLength(100)]</v>
      </c>
      <c r="Q5" s="3" t="str">
        <f>CONCATENATE("""",Table57[[#This Row],[SQL Name]],""" : """,Table57[[#This Row],[Field]],""",")</f>
        <v>"Core_Responsbility_2_DESC" : "Core Responsbility 2",</v>
      </c>
      <c r="R5" s="71" t="str">
        <f>CONCATENATE("/** Section: ",Table57[[#This Row],[Section]], " **/ ",Table57[[#This Row],[EF Core Annotation1]],Table57[[#This Row],[EF Core Annotation2]],Table57[[#This Row],[EF Core Annotation3]],"public ",Table57[[#This Row],[EF Type]]," ",Table57[[#This Row],[SQL Name]]," {get;set;}")</f>
        <v>/** Section: Performance Information Profile  **/ [MaxLength(100)]public string? Core_Responsbility_2_DESC {get;set;}</v>
      </c>
    </row>
    <row r="6" spans="1:18" x14ac:dyDescent="0.3">
      <c r="A6" s="85" t="s">
        <v>4</v>
      </c>
      <c r="B6" s="86" t="s">
        <v>598</v>
      </c>
      <c r="C6" s="71" t="str">
        <f>SUBSTITUTE(SUBSTITUTE(PROPER(TRIM(CLEAN(Table57[[#This Row],[Field]])))," ","_"),"-","")</f>
        <v>Core_Responsbility_3</v>
      </c>
      <c r="D6" s="71" t="s">
        <v>489</v>
      </c>
      <c r="E6" s="71" t="str">
        <f>VLOOKUP(Table57[[#This Row],[Extension]],DescRef1[],2,FALSE)</f>
        <v>DESC</v>
      </c>
      <c r="F6" s="71">
        <v>100</v>
      </c>
      <c r="H6" s="71" t="str">
        <f>IF(Table57[[#This Row],[Code]]="-", Table57[[#This Row],[Formatted]], CONCATENATE(Table57[[#This Row],[Formatted]],"_",Table57[[#This Row],[Code]]))</f>
        <v>Core_Responsbility_3_DESC</v>
      </c>
      <c r="I6" s="71" t="s">
        <v>556</v>
      </c>
      <c r="J6" s="17">
        <v>4</v>
      </c>
      <c r="K6" s="72"/>
      <c r="M6" s="3" t="str">
        <f>CONCATENATE(VLOOKUP(Table57[[#This Row],[Field Type]],FieldTypesRef1[],2,FALSE),IF(Table57[[#This Row],[Mandatory]]="Yes","","?"))</f>
        <v>string?</v>
      </c>
      <c r="N6" s="89" t="str">
        <f>VLOOKUP(Table57[[#This Row],[Field Type]],FieldTypesRef1[],3,FALSE)</f>
        <v/>
      </c>
      <c r="O6" s="3" t="str">
        <f>IF(Table57[[#This Row],[Mandatory]]="Yes","[Required]","")</f>
        <v/>
      </c>
      <c r="P6" s="3" t="str">
        <f>IF(Table57[[#This Row],[Max Length]]&gt;0,CONCATENATE("[MaxLength(",Table57[[#This Row],[Max Length]],")]"),"")</f>
        <v>[MaxLength(100)]</v>
      </c>
      <c r="Q6" s="3" t="str">
        <f>CONCATENATE("""",Table57[[#This Row],[SQL Name]],""" : """,Table57[[#This Row],[Field]],""",")</f>
        <v>"Core_Responsbility_3_DESC" : "Core Responsbility 3",</v>
      </c>
      <c r="R6" s="71" t="str">
        <f>CONCATENATE("/** Section: ",Table57[[#This Row],[Section]], " **/ ",Table57[[#This Row],[EF Core Annotation1]],Table57[[#This Row],[EF Core Annotation2]],Table57[[#This Row],[EF Core Annotation3]],"public ",Table57[[#This Row],[EF Type]]," ",Table57[[#This Row],[SQL Name]]," {get;set;}")</f>
        <v>/** Section: Performance Information Profile  **/ [MaxLength(100)]public string? Core_Responsbility_3_DESC {get;set;}</v>
      </c>
    </row>
    <row r="7" spans="1:18" x14ac:dyDescent="0.3">
      <c r="A7" s="85" t="s">
        <v>4</v>
      </c>
      <c r="B7" s="86" t="s">
        <v>552</v>
      </c>
      <c r="C7" s="71" t="str">
        <f>SUBSTITUTE(SUBSTITUTE(PROPER(TRIM(CLEAN(Table57[[#This Row],[Field]])))," ","_"),"-","")</f>
        <v>Internal_Services</v>
      </c>
      <c r="D7" s="71" t="s">
        <v>489</v>
      </c>
      <c r="E7" s="71" t="str">
        <f>VLOOKUP(Table57[[#This Row],[Extension]],DescRef1[],2,FALSE)</f>
        <v>DESC</v>
      </c>
      <c r="F7" s="71">
        <v>100</v>
      </c>
      <c r="H7" s="71" t="str">
        <f>IF(Table57[[#This Row],[Code]]="-", Table57[[#This Row],[Formatted]], CONCATENATE(Table57[[#This Row],[Formatted]],"_",Table57[[#This Row],[Code]]))</f>
        <v>Internal_Services_DESC</v>
      </c>
      <c r="I7" s="71" t="s">
        <v>556</v>
      </c>
      <c r="J7" s="17">
        <v>4</v>
      </c>
      <c r="K7" s="72"/>
      <c r="M7" s="3" t="str">
        <f>CONCATENATE(VLOOKUP(Table57[[#This Row],[Field Type]],FieldTypesRef1[],2,FALSE),IF(Table57[[#This Row],[Mandatory]]="Yes","","?"))</f>
        <v>string?</v>
      </c>
      <c r="N7" s="89" t="str">
        <f>VLOOKUP(Table57[[#This Row],[Field Type]],FieldTypesRef1[],3,FALSE)</f>
        <v/>
      </c>
      <c r="O7" s="3" t="str">
        <f>IF(Table57[[#This Row],[Mandatory]]="Yes","[Required]","")</f>
        <v/>
      </c>
      <c r="P7" s="3" t="str">
        <f>IF(Table57[[#This Row],[Max Length]]&gt;0,CONCATENATE("[MaxLength(",Table57[[#This Row],[Max Length]],")]"),"")</f>
        <v>[MaxLength(100)]</v>
      </c>
      <c r="Q7" s="3" t="str">
        <f>CONCATENATE("""",Table57[[#This Row],[SQL Name]],""" : """,Table57[[#This Row],[Field]],""",")</f>
        <v>"Internal_Services_DESC" : "Internal Services",</v>
      </c>
      <c r="R7" s="71" t="str">
        <f>CONCATENATE("/** Section: ",Table57[[#This Row],[Section]], " **/ ",Table57[[#This Row],[EF Core Annotation1]],Table57[[#This Row],[EF Core Annotation2]],Table57[[#This Row],[EF Core Annotation3]],"public ",Table57[[#This Row],[EF Type]]," ",Table57[[#This Row],[SQL Name]]," {get;set;}")</f>
        <v>/** Section: Performance Information Profile  **/ [MaxLength(100)]public string? Internal_Services_DESC {get;set;}</v>
      </c>
    </row>
    <row r="8" spans="1:18" x14ac:dyDescent="0.3">
      <c r="A8" s="85" t="s">
        <v>4</v>
      </c>
      <c r="B8" s="85" t="s">
        <v>10</v>
      </c>
      <c r="C8" s="71" t="str">
        <f>SUBSTITUTE(SUBSTITUTE(PROPER(TRIM(CLEAN(Table57[[#This Row],[Field]])))," ","_"),"-","")</f>
        <v>Date_Updated</v>
      </c>
      <c r="D8" s="71" t="s">
        <v>15</v>
      </c>
      <c r="E8" s="71" t="str">
        <f>VLOOKUP(Table57[[#This Row],[Extension]],DescRef1[],2,FALSE)</f>
        <v>DT</v>
      </c>
      <c r="G8" s="71" t="s">
        <v>568</v>
      </c>
      <c r="H8" s="71" t="str">
        <f>IF(Table57[[#This Row],[Code]]="-", Table57[[#This Row],[Formatted]], CONCATENATE(Table57[[#This Row],[Formatted]],"_",Table57[[#This Row],[Code]]))</f>
        <v>Date_Updated_DT</v>
      </c>
      <c r="I8" s="71" t="s">
        <v>15</v>
      </c>
      <c r="J8" s="17"/>
      <c r="M8" s="3" t="str">
        <f>CONCATENATE(VLOOKUP(Table57[[#This Row],[Field Type]],FieldTypesRef1[],2,FALSE),IF(Table57[[#This Row],[Mandatory]]="Yes","","?"))</f>
        <v>DateTime</v>
      </c>
      <c r="N8" s="89" t="str">
        <f>VLOOKUP(Table57[[#This Row],[Field Type]],FieldTypesRef1[],3,FALSE)</f>
        <v/>
      </c>
      <c r="O8" s="3" t="str">
        <f>IF(Table57[[#This Row],[Mandatory]]="Yes","[Required]","")</f>
        <v>[Required]</v>
      </c>
      <c r="P8" s="3" t="str">
        <f>IF(Table57[[#This Row],[Max Length]]&gt;0,CONCATENATE("[MaxLength(",Table57[[#This Row],[Max Length]],")]"),"")</f>
        <v/>
      </c>
      <c r="Q8" s="3" t="str">
        <f>CONCATENATE("""",Table57[[#This Row],[SQL Name]],""" : """,Table57[[#This Row],[Field]],""",")</f>
        <v>"Date_Updated_DT" : "Date Updated",</v>
      </c>
      <c r="R8" s="71" t="str">
        <f>CONCATENATE("/** Section: ",Table57[[#This Row],[Section]], " **/ ",Table57[[#This Row],[EF Core Annotation1]],Table57[[#This Row],[EF Core Annotation2]],Table57[[#This Row],[EF Core Annotation3]],"public ",Table57[[#This Row],[EF Type]]," ",Table57[[#This Row],[SQL Name]]," {get;set;}")</f>
        <v>/** Section: Performance Information Profile  **/ [Required]public DateTime Date_Updated_DT {get;set;}</v>
      </c>
    </row>
    <row r="9" spans="1:18" x14ac:dyDescent="0.3">
      <c r="A9" s="85" t="s">
        <v>558</v>
      </c>
      <c r="B9" s="85" t="s">
        <v>463</v>
      </c>
      <c r="C9" s="71" t="str">
        <f>SUBSTITUTE(SUBSTITUTE(PROPER(TRIM(CLEAN(Table57[[#This Row],[Field]])))," ","_"),"-","")</f>
        <v>Planned_Spending</v>
      </c>
      <c r="D9" s="71" t="s">
        <v>547</v>
      </c>
      <c r="E9" s="71" t="str">
        <f>VLOOKUP(Table57[[#This Row],[Extension]],DescRef1[],2,FALSE)</f>
        <v>AMTL</v>
      </c>
      <c r="H9" s="71" t="str">
        <f>IF(Table57[[#This Row],[Code]]="-", Table57[[#This Row],[Formatted]], CONCATENATE(Table57[[#This Row],[Formatted]],"_",Table57[[#This Row],[Code]]))</f>
        <v>Planned_Spending_AMTL</v>
      </c>
      <c r="I9" s="71" t="s">
        <v>557</v>
      </c>
      <c r="J9" s="17"/>
      <c r="M9" s="3" t="str">
        <f>CONCATENATE(VLOOKUP(Table57[[#This Row],[Field Type]],FieldTypesRef1[],2,FALSE),IF(Table57[[#This Row],[Mandatory]]="Yes","","?"))</f>
        <v>double?</v>
      </c>
      <c r="N9" s="89" t="str">
        <f>VLOOKUP(Table57[[#This Row],[Field Type]],FieldTypesRef1[],3,FALSE)</f>
        <v>[Column(TypeName="Money")]</v>
      </c>
      <c r="O9" s="3" t="str">
        <f>IF(Table57[[#This Row],[Mandatory]]="Yes","[Required]","")</f>
        <v/>
      </c>
      <c r="P9" s="3" t="str">
        <f>IF(Table57[[#This Row],[Max Length]]&gt;0,CONCATENATE("[MaxLength(",Table57[[#This Row],[Max Length]],")]"),"")</f>
        <v/>
      </c>
      <c r="Q9" s="3" t="str">
        <f>CONCATENATE("""",Table57[[#This Row],[SQL Name]],""" : """,Table57[[#This Row],[Field]],""",")</f>
        <v>"Planned_Spending_AMTL" : "Planned Spending",</v>
      </c>
      <c r="R9" s="71" t="str">
        <f>CONCATENATE("/** Section: ",Table57[[#This Row],[Section]], " **/ ",Table57[[#This Row],[EF Core Annotation1]],Table57[[#This Row],[EF Core Annotation2]],Table57[[#This Row],[EF Core Annotation3]],"public ",Table57[[#This Row],[EF Type]]," ",Table57[[#This Row],[SQL Name]]," {get;set;}")</f>
        <v>/** Section: Actual Spending (as per GC InfoBase) **/ [Column(TypeName="Money")]public double? Planned_Spending_AMTL {get;set;}</v>
      </c>
    </row>
    <row r="10" spans="1:18" x14ac:dyDescent="0.3">
      <c r="A10" s="85" t="s">
        <v>558</v>
      </c>
      <c r="B10" s="85" t="s">
        <v>462</v>
      </c>
      <c r="C10" s="71" t="str">
        <f>SUBSTITUTE(SUBSTITUTE(PROPER(TRIM(CLEAN(Table57[[#This Row],[Field]])))," ","_"),"-","")</f>
        <v>Actual_Spending</v>
      </c>
      <c r="D10" s="71" t="s">
        <v>547</v>
      </c>
      <c r="E10" s="71" t="str">
        <f>VLOOKUP(Table57[[#This Row],[Extension]],DescRef1[],2,FALSE)</f>
        <v>AMTL</v>
      </c>
      <c r="H10" s="71" t="str">
        <f>IF(Table57[[#This Row],[Code]]="-", Table57[[#This Row],[Formatted]], CONCATENATE(Table57[[#This Row],[Formatted]],"_",Table57[[#This Row],[Code]]))</f>
        <v>Actual_Spending_AMTL</v>
      </c>
      <c r="I10" s="71" t="s">
        <v>557</v>
      </c>
      <c r="J10" s="17"/>
      <c r="M10" s="3" t="str">
        <f>CONCATENATE(VLOOKUP(Table57[[#This Row],[Field Type]],FieldTypesRef1[],2,FALSE),IF(Table57[[#This Row],[Mandatory]]="Yes","","?"))</f>
        <v>double?</v>
      </c>
      <c r="N10" s="89" t="str">
        <f>VLOOKUP(Table57[[#This Row],[Field Type]],FieldTypesRef1[],3,FALSE)</f>
        <v>[Column(TypeName="Money")]</v>
      </c>
      <c r="O10" s="3" t="str">
        <f>IF(Table57[[#This Row],[Mandatory]]="Yes","[Required]","")</f>
        <v/>
      </c>
      <c r="P10" s="3" t="str">
        <f>IF(Table57[[#This Row],[Max Length]]&gt;0,CONCATENATE("[MaxLength(",Table57[[#This Row],[Max Length]],")]"),"")</f>
        <v/>
      </c>
      <c r="Q10" s="3" t="str">
        <f>CONCATENATE("""",Table57[[#This Row],[SQL Name]],""" : """,Table57[[#This Row],[Field]],""",")</f>
        <v>"Actual_Spending_AMTL" : "Actual Spending",</v>
      </c>
      <c r="R10" s="71" t="str">
        <f>CONCATENATE("/** Section: ",Table57[[#This Row],[Section]], " **/ ",Table57[[#This Row],[EF Core Annotation1]],Table57[[#This Row],[EF Core Annotation2]],Table57[[#This Row],[EF Core Annotation3]],"public ",Table57[[#This Row],[EF Type]]," ",Table57[[#This Row],[SQL Name]]," {get;set;}")</f>
        <v>/** Section: Actual Spending (as per GC InfoBase) **/ [Column(TypeName="Money")]public double? Actual_Spending_AMTL {get;set;}</v>
      </c>
    </row>
    <row r="11" spans="1:18" x14ac:dyDescent="0.3">
      <c r="A11" s="85" t="s">
        <v>567</v>
      </c>
      <c r="B11" s="85" t="s">
        <v>12</v>
      </c>
      <c r="C11" s="71" t="str">
        <f>SUBSTITUTE(SUBSTITUTE(PROPER(TRIM(CLEAN(Table57[[#This Row],[Field]])))," ","_"),"-","")</f>
        <v>Approval_By_Program_Offical</v>
      </c>
      <c r="D11" s="71" t="s">
        <v>15</v>
      </c>
      <c r="E11" s="71" t="str">
        <f>VLOOKUP(Table57[[#This Row],[Extension]],DescRef1[],2,FALSE)</f>
        <v>DT</v>
      </c>
      <c r="H11" s="71" t="str">
        <f>IF(Table57[[#This Row],[Code]]="-", Table57[[#This Row],[Formatted]], CONCATENATE(Table57[[#This Row],[Formatted]],"_",Table57[[#This Row],[Code]]))</f>
        <v>Approval_By_Program_Offical_DT</v>
      </c>
      <c r="I11" s="71" t="s">
        <v>15</v>
      </c>
      <c r="J11" s="17"/>
      <c r="M11" s="3" t="str">
        <f>CONCATENATE(VLOOKUP(Table57[[#This Row],[Field Type]],FieldTypesRef1[],2,FALSE),IF(Table57[[#This Row],[Mandatory]]="Yes","","?"))</f>
        <v>DateTime?</v>
      </c>
      <c r="N11" s="89" t="str">
        <f>VLOOKUP(Table57[[#This Row],[Field Type]],FieldTypesRef1[],3,FALSE)</f>
        <v/>
      </c>
      <c r="O11" s="3" t="str">
        <f>IF(Table57[[#This Row],[Mandatory]]="Yes","[Required]","")</f>
        <v/>
      </c>
      <c r="P11" s="3" t="str">
        <f>IF(Table57[[#This Row],[Max Length]]&gt;0,CONCATENATE("[MaxLength(",Table57[[#This Row],[Max Length]],")]"),"")</f>
        <v/>
      </c>
      <c r="Q11" s="3" t="str">
        <f>CONCATENATE("""",Table57[[#This Row],[SQL Name]],""" : """,Table57[[#This Row],[Field]],""",")</f>
        <v>"Approval_By_Program_Offical_DT" : "Approval by Program Offical ",</v>
      </c>
      <c r="R11" s="71" t="str">
        <f>CONCATENATE("/** Section: ",Table57[[#This Row],[Section]], " **/ ",Table57[[#This Row],[EF Core Annotation1]],Table57[[#This Row],[EF Core Annotation2]],Table57[[#This Row],[EF Core Annotation3]],"public ",Table57[[#This Row],[EF Type]]," ",Table57[[#This Row],[SQL Name]]," {get;set;}")</f>
        <v>/** Section: Sign-off Approval **/ public DateTime? Approval_By_Program_Offical_DT {get;set;}</v>
      </c>
    </row>
    <row r="12" spans="1:18" x14ac:dyDescent="0.3">
      <c r="A12" s="85" t="s">
        <v>567</v>
      </c>
      <c r="B12" s="85" t="s">
        <v>14</v>
      </c>
      <c r="C12" s="71" t="str">
        <f>SUBSTITUTE(SUBSTITUTE(PROPER(TRIM(CLEAN(Table57[[#This Row],[Field]])))," ","_"),"-","")</f>
        <v>Consultation_With_The_Head_Of_Evaluation</v>
      </c>
      <c r="D12" s="71" t="s">
        <v>15</v>
      </c>
      <c r="E12" s="71" t="str">
        <f>VLOOKUP(Table57[[#This Row],[Extension]],DescRef1[],2,FALSE)</f>
        <v>DT</v>
      </c>
      <c r="H12" s="71" t="str">
        <f>IF(Table57[[#This Row],[Code]]="-", Table57[[#This Row],[Formatted]], CONCATENATE(Table57[[#This Row],[Formatted]],"_",Table57[[#This Row],[Code]]))</f>
        <v>Consultation_With_The_Head_Of_Evaluation_DT</v>
      </c>
      <c r="I12" s="71" t="s">
        <v>15</v>
      </c>
      <c r="J12" s="17"/>
      <c r="M12" s="3" t="str">
        <f>CONCATENATE(VLOOKUP(Table57[[#This Row],[Field Type]],FieldTypesRef1[],2,FALSE),IF(Table57[[#This Row],[Mandatory]]="Yes","","?"))</f>
        <v>DateTime?</v>
      </c>
      <c r="N12" s="89" t="str">
        <f>VLOOKUP(Table57[[#This Row],[Field Type]],FieldTypesRef1[],3,FALSE)</f>
        <v/>
      </c>
      <c r="O12" s="3" t="str">
        <f>IF(Table57[[#This Row],[Mandatory]]="Yes","[Required]","")</f>
        <v/>
      </c>
      <c r="P12" s="3" t="str">
        <f>IF(Table57[[#This Row],[Max Length]]&gt;0,CONCATENATE("[MaxLength(",Table57[[#This Row],[Max Length]],")]"),"")</f>
        <v/>
      </c>
      <c r="Q12" s="3" t="str">
        <f>CONCATENATE("""",Table57[[#This Row],[SQL Name]],""" : """,Table57[[#This Row],[Field]],""",")</f>
        <v>"Consultation_With_The_Head_Of_Evaluation_DT" : "Consultation with the Head of Evaluation",</v>
      </c>
      <c r="R12" s="71" t="str">
        <f>CONCATENATE("/** Section: ",Table57[[#This Row],[Section]], " **/ ",Table57[[#This Row],[EF Core Annotation1]],Table57[[#This Row],[EF Core Annotation2]],Table57[[#This Row],[EF Core Annotation3]],"public ",Table57[[#This Row],[EF Type]]," ",Table57[[#This Row],[SQL Name]]," {get;set;}")</f>
        <v>/** Section: Sign-off Approval **/ public DateTime? Consultation_With_The_Head_Of_Evaluation_DT {get;set;}</v>
      </c>
    </row>
    <row r="13" spans="1:18" x14ac:dyDescent="0.3">
      <c r="A13" s="85" t="s">
        <v>567</v>
      </c>
      <c r="B13" s="85" t="s">
        <v>471</v>
      </c>
      <c r="C13" s="71" t="str">
        <f>SUBSTITUTE(SUBSTITUTE(PROPER(TRIM(CLEAN(Table57[[#This Row],[Field]])))," ","_"),"-","")</f>
        <v>Functional_SignOff</v>
      </c>
      <c r="D13" s="71" t="s">
        <v>15</v>
      </c>
      <c r="E13" s="71" t="str">
        <f>VLOOKUP(Table57[[#This Row],[Extension]],DescRef1[],2,FALSE)</f>
        <v>DT</v>
      </c>
      <c r="H13" s="71" t="str">
        <f>IF(Table57[[#This Row],[Code]]="-", Table57[[#This Row],[Formatted]], CONCATENATE(Table57[[#This Row],[Formatted]],"_",Table57[[#This Row],[Code]]))</f>
        <v>Functional_SignOff_DT</v>
      </c>
      <c r="I13" s="71" t="s">
        <v>15</v>
      </c>
      <c r="J13" s="17"/>
      <c r="M13" s="3" t="str">
        <f>CONCATENATE(VLOOKUP(Table57[[#This Row],[Field Type]],FieldTypesRef1[],2,FALSE),IF(Table57[[#This Row],[Mandatory]]="Yes","","?"))</f>
        <v>DateTime?</v>
      </c>
      <c r="N13" s="89" t="str">
        <f>VLOOKUP(Table57[[#This Row],[Field Type]],FieldTypesRef1[],3,FALSE)</f>
        <v/>
      </c>
      <c r="O13" s="3" t="str">
        <f>IF(Table57[[#This Row],[Mandatory]]="Yes","[Required]","")</f>
        <v/>
      </c>
      <c r="P13" s="3" t="str">
        <f>IF(Table57[[#This Row],[Max Length]]&gt;0,CONCATENATE("[MaxLength(",Table57[[#This Row],[Max Length]],")]"),"")</f>
        <v/>
      </c>
      <c r="Q13" s="3" t="str">
        <f>CONCATENATE("""",Table57[[#This Row],[SQL Name]],""" : """,Table57[[#This Row],[Field]],""",")</f>
        <v>"Functional_SignOff_DT" : "Functional Sign-off",</v>
      </c>
      <c r="R13" s="71" t="str">
        <f>CONCATENATE("/** Section: ",Table57[[#This Row],[Section]], " **/ ",Table57[[#This Row],[EF Core Annotation1]],Table57[[#This Row],[EF Core Annotation2]],Table57[[#This Row],[EF Core Annotation3]],"public ",Table57[[#This Row],[EF Type]]," ",Table57[[#This Row],[SQL Name]]," {get;set;}")</f>
        <v>/** Section: Sign-off Approval **/ public DateTime? Functional_SignOff_DT {get;set;}</v>
      </c>
    </row>
    <row r="14" spans="1:18" x14ac:dyDescent="0.3">
      <c r="A14" s="85" t="s">
        <v>464</v>
      </c>
      <c r="B14" s="85" t="s">
        <v>464</v>
      </c>
      <c r="C14" s="71" t="str">
        <f>SUBSTITUTE(SUBSTITUTE(PROPER(TRIM(CLEAN(Table57[[#This Row],[Field]])))," ","_"),"-","")</f>
        <v>Program_Inventory_Program_Description</v>
      </c>
      <c r="D14" s="71" t="s">
        <v>468</v>
      </c>
      <c r="E14" s="71" t="str">
        <f>VLOOKUP(Table57[[#This Row],[Extension]],DescRef1[],2,FALSE)</f>
        <v>URL</v>
      </c>
      <c r="H14" s="71" t="str">
        <f>IF(Table57[[#This Row],[Code]]="-", Table57[[#This Row],[Formatted]], CONCATENATE(Table57[[#This Row],[Formatted]],"_",Table57[[#This Row],[Code]]))</f>
        <v>Program_Inventory_Program_Description_URL</v>
      </c>
      <c r="I14" s="71" t="s">
        <v>78</v>
      </c>
      <c r="K14" s="83"/>
      <c r="M14" s="3" t="str">
        <f>CONCATENATE(VLOOKUP(Table57[[#This Row],[Field Type]],FieldTypesRef1[],2,FALSE),IF(Table57[[#This Row],[Mandatory]]="Yes","","?"))</f>
        <v>string?</v>
      </c>
      <c r="N14" s="89" t="str">
        <f>VLOOKUP(Table57[[#This Row],[Field Type]],FieldTypesRef1[],3,FALSE)</f>
        <v/>
      </c>
      <c r="O14" s="3" t="str">
        <f>IF(Table57[[#This Row],[Mandatory]]="Yes","[Required]","")</f>
        <v/>
      </c>
      <c r="P14" s="3" t="str">
        <f>IF(Table57[[#This Row],[Max Length]]&gt;0,CONCATENATE("[MaxLength(",Table57[[#This Row],[Max Length]],")]"),"")</f>
        <v/>
      </c>
      <c r="Q14" s="3" t="str">
        <f>CONCATENATE("""",Table57[[#This Row],[SQL Name]],""" : """,Table57[[#This Row],[Field]],""",")</f>
        <v>"Program_Inventory_Program_Description_URL" : "Program Inventory Program Description",</v>
      </c>
      <c r="R14" s="71" t="str">
        <f>CONCATENATE("/** Section: ",Table57[[#This Row],[Section]], " **/ ",Table57[[#This Row],[EF Core Annotation1]],Table57[[#This Row],[EF Core Annotation2]],Table57[[#This Row],[EF Core Annotation3]],"public ",Table57[[#This Row],[EF Type]]," ",Table57[[#This Row],[SQL Name]]," {get;set;}")</f>
        <v>/** Section: Program Inventory Program Description **/ public string? Program_Inventory_Program_Description_URL {get;set;}</v>
      </c>
    </row>
    <row r="15" spans="1:18" x14ac:dyDescent="0.3">
      <c r="A15" s="85" t="s">
        <v>595</v>
      </c>
      <c r="B15" s="85" t="s">
        <v>569</v>
      </c>
      <c r="C15" s="71" t="str">
        <f>SUBSTITUTE(SUBSTITUTE(PROPER(TRIM(CLEAN(Table57[[#This Row],[Field]])))," ","_"),"-","")</f>
        <v>Departmental_Result_1</v>
      </c>
      <c r="D15" s="71" t="s">
        <v>543</v>
      </c>
      <c r="E15" s="71" t="str">
        <f>VLOOKUP(Table57[[#This Row],[Extension]],DescRef1[],2,FALSE)</f>
        <v>CD</v>
      </c>
      <c r="F15" s="71">
        <v>400</v>
      </c>
      <c r="G15" s="71" t="s">
        <v>568</v>
      </c>
      <c r="H15" s="71" t="str">
        <f>IF(Table57[[#This Row],[Code]]="-", Table57[[#This Row],[Formatted]], CONCATENATE(Table57[[#This Row],[Formatted]],"_",Table57[[#This Row],[Code]]))</f>
        <v>Departmental_Result_1_CD</v>
      </c>
      <c r="I15" s="71" t="s">
        <v>556</v>
      </c>
      <c r="J15" s="3">
        <v>3</v>
      </c>
      <c r="K15" s="83"/>
      <c r="M15" s="3" t="str">
        <f>CONCATENATE(VLOOKUP(Table57[[#This Row],[Field Type]],FieldTypesRef1[],2,FALSE),IF(Table57[[#This Row],[Mandatory]]="Yes","","?"))</f>
        <v>string</v>
      </c>
      <c r="N15" s="89" t="str">
        <f>VLOOKUP(Table57[[#This Row],[Field Type]],FieldTypesRef1[],3,FALSE)</f>
        <v/>
      </c>
      <c r="O15" s="3" t="str">
        <f>IF(Table57[[#This Row],[Mandatory]]="Yes","[Required]","")</f>
        <v>[Required]</v>
      </c>
      <c r="P15" s="3" t="str">
        <f>IF(Table57[[#This Row],[Max Length]]&gt;0,CONCATENATE("[MaxLength(",Table57[[#This Row],[Max Length]],")]"),"")</f>
        <v>[MaxLength(400)]</v>
      </c>
      <c r="Q15" s="3" t="str">
        <f>CONCATENATE("""",Table57[[#This Row],[SQL Name]],""" : """,Table57[[#This Row],[Field]],""",")</f>
        <v>"Departmental_Result_1_CD" : "Departmental Result 1",</v>
      </c>
      <c r="R15" s="71" t="str">
        <f>CONCATENATE("/** Section: ",Table57[[#This Row],[Section]], " **/ ",Table57[[#This Row],[EF Core Annotation1]],Table57[[#This Row],[EF Core Annotation2]],Table57[[#This Row],[EF Core Annotation3]],"public ",Table57[[#This Row],[EF Type]]," ",Table57[[#This Row],[SQL Name]]," {get;set;}")</f>
        <v>/** Section: Program Tag **/ [Required][MaxLength(400)]public string Departmental_Result_1_CD {get;set;}</v>
      </c>
    </row>
    <row r="16" spans="1:18" x14ac:dyDescent="0.3">
      <c r="A16" s="85" t="s">
        <v>595</v>
      </c>
      <c r="B16" s="85" t="s">
        <v>570</v>
      </c>
      <c r="C16" s="71" t="str">
        <f>SUBSTITUTE(SUBSTITUTE(PROPER(TRIM(CLEAN(Table57[[#This Row],[Field]])))," ","_"),"-","")</f>
        <v>Departmental_Result_2</v>
      </c>
      <c r="D16" s="71" t="s">
        <v>543</v>
      </c>
      <c r="E16" s="71" t="str">
        <f>VLOOKUP(Table57[[#This Row],[Extension]],DescRef1[],2,FALSE)</f>
        <v>CD</v>
      </c>
      <c r="F16" s="71">
        <v>400</v>
      </c>
      <c r="G16" s="88"/>
      <c r="H16" s="71" t="str">
        <f>IF(Table57[[#This Row],[Code]]="-", Table57[[#This Row],[Formatted]], CONCATENATE(Table57[[#This Row],[Formatted]],"_",Table57[[#This Row],[Code]]))</f>
        <v>Departmental_Result_2_CD</v>
      </c>
      <c r="I16" s="71" t="s">
        <v>556</v>
      </c>
      <c r="J16" s="3">
        <v>3</v>
      </c>
      <c r="K16" s="83"/>
      <c r="M16" s="3" t="str">
        <f>CONCATENATE(VLOOKUP(Table57[[#This Row],[Field Type]],FieldTypesRef1[],2,FALSE),IF(Table57[[#This Row],[Mandatory]]="Yes","","?"))</f>
        <v>string?</v>
      </c>
      <c r="N16" s="89" t="str">
        <f>VLOOKUP(Table57[[#This Row],[Field Type]],FieldTypesRef1[],3,FALSE)</f>
        <v/>
      </c>
      <c r="O16" s="3" t="str">
        <f>IF(Table57[[#This Row],[Mandatory]]="Yes","[Required]","")</f>
        <v/>
      </c>
      <c r="P16" s="3" t="str">
        <f>IF(Table57[[#This Row],[Max Length]]&gt;0,CONCATENATE("[MaxLength(",Table57[[#This Row],[Max Length]],")]"),"")</f>
        <v>[MaxLength(400)]</v>
      </c>
      <c r="Q16" s="3" t="str">
        <f>CONCATENATE("""",Table57[[#This Row],[SQL Name]],""" : """,Table57[[#This Row],[Field]],""",")</f>
        <v>"Departmental_Result_2_CD" : "Departmental Result 2",</v>
      </c>
      <c r="R16" s="71" t="str">
        <f>CONCATENATE("/** Section: ",Table57[[#This Row],[Section]], " **/ ",Table57[[#This Row],[EF Core Annotation1]],Table57[[#This Row],[EF Core Annotation2]],Table57[[#This Row],[EF Core Annotation3]],"public ",Table57[[#This Row],[EF Type]]," ",Table57[[#This Row],[SQL Name]]," {get;set;}")</f>
        <v>/** Section: Program Tag **/ [MaxLength(400)]public string? Departmental_Result_2_CD {get;set;}</v>
      </c>
    </row>
    <row r="17" spans="1:18" x14ac:dyDescent="0.3">
      <c r="A17" s="85" t="s">
        <v>595</v>
      </c>
      <c r="B17" s="85" t="s">
        <v>571</v>
      </c>
      <c r="C17" s="71" t="str">
        <f>SUBSTITUTE(SUBSTITUTE(PROPER(TRIM(CLEAN(Table57[[#This Row],[Field]])))," ","_"),"-","")</f>
        <v>Strategic_Priorities_1</v>
      </c>
      <c r="D17" s="71" t="s">
        <v>489</v>
      </c>
      <c r="E17" s="71" t="str">
        <f>VLOOKUP(Table57[[#This Row],[Extension]],DescRef1[],2,FALSE)</f>
        <v>DESC</v>
      </c>
      <c r="F17" s="71">
        <v>400</v>
      </c>
      <c r="G17" s="71" t="s">
        <v>568</v>
      </c>
      <c r="H17" s="71" t="str">
        <f>IF(Table57[[#This Row],[Code]]="-", Table57[[#This Row],[Formatted]], CONCATENATE(Table57[[#This Row],[Formatted]],"_",Table57[[#This Row],[Code]]))</f>
        <v>Strategic_Priorities_1_DESC</v>
      </c>
      <c r="I17" s="71" t="s">
        <v>556</v>
      </c>
      <c r="J17" s="3">
        <v>3</v>
      </c>
      <c r="K17" s="83"/>
      <c r="M17" s="3" t="str">
        <f>CONCATENATE(VLOOKUP(Table57[[#This Row],[Field Type]],FieldTypesRef1[],2,FALSE),IF(Table57[[#This Row],[Mandatory]]="Yes","","?"))</f>
        <v>string</v>
      </c>
      <c r="N17" s="89" t="str">
        <f>VLOOKUP(Table57[[#This Row],[Field Type]],FieldTypesRef1[],3,FALSE)</f>
        <v/>
      </c>
      <c r="O17" s="3" t="str">
        <f>IF(Table57[[#This Row],[Mandatory]]="Yes","[Required]","")</f>
        <v>[Required]</v>
      </c>
      <c r="P17" s="3" t="str">
        <f>IF(Table57[[#This Row],[Max Length]]&gt;0,CONCATENATE("[MaxLength(",Table57[[#This Row],[Max Length]],")]"),"")</f>
        <v>[MaxLength(400)]</v>
      </c>
      <c r="Q17" s="3" t="str">
        <f>CONCATENATE("""",Table57[[#This Row],[SQL Name]],""" : """,Table57[[#This Row],[Field]],""",")</f>
        <v>"Strategic_Priorities_1_DESC" : "Strategic Priorities 1",</v>
      </c>
      <c r="R17" s="71" t="str">
        <f>CONCATENATE("/** Section: ",Table57[[#This Row],[Section]], " **/ ",Table57[[#This Row],[EF Core Annotation1]],Table57[[#This Row],[EF Core Annotation2]],Table57[[#This Row],[EF Core Annotation3]],"public ",Table57[[#This Row],[EF Type]]," ",Table57[[#This Row],[SQL Name]]," {get;set;}")</f>
        <v>/** Section: Program Tag **/ [Required][MaxLength(400)]public string Strategic_Priorities_1_DESC {get;set;}</v>
      </c>
    </row>
    <row r="18" spans="1:18" x14ac:dyDescent="0.3">
      <c r="A18" s="85" t="s">
        <v>595</v>
      </c>
      <c r="B18" s="85" t="s">
        <v>572</v>
      </c>
      <c r="C18" s="71" t="str">
        <f>SUBSTITUTE(SUBSTITUTE(PROPER(TRIM(CLEAN(Table57[[#This Row],[Field]])))," ","_"),"-","")</f>
        <v>Strategic_Priorities_2</v>
      </c>
      <c r="D18" s="71" t="s">
        <v>489</v>
      </c>
      <c r="E18" s="71" t="str">
        <f>VLOOKUP(Table57[[#This Row],[Extension]],DescRef1[],2,FALSE)</f>
        <v>DESC</v>
      </c>
      <c r="F18" s="71">
        <v>400</v>
      </c>
      <c r="G18" s="88"/>
      <c r="H18" s="71" t="str">
        <f>IF(Table57[[#This Row],[Code]]="-", Table57[[#This Row],[Formatted]], CONCATENATE(Table57[[#This Row],[Formatted]],"_",Table57[[#This Row],[Code]]))</f>
        <v>Strategic_Priorities_2_DESC</v>
      </c>
      <c r="I18" s="71" t="s">
        <v>556</v>
      </c>
      <c r="J18" s="3">
        <v>3</v>
      </c>
      <c r="K18" s="83"/>
      <c r="M18" s="3" t="str">
        <f>CONCATENATE(VLOOKUP(Table57[[#This Row],[Field Type]],FieldTypesRef1[],2,FALSE),IF(Table57[[#This Row],[Mandatory]]="Yes","","?"))</f>
        <v>string?</v>
      </c>
      <c r="N18" s="89" t="str">
        <f>VLOOKUP(Table57[[#This Row],[Field Type]],FieldTypesRef1[],3,FALSE)</f>
        <v/>
      </c>
      <c r="O18" s="3" t="str">
        <f>IF(Table57[[#This Row],[Mandatory]]="Yes","[Required]","")</f>
        <v/>
      </c>
      <c r="P18" s="3" t="str">
        <f>IF(Table57[[#This Row],[Max Length]]&gt;0,CONCATENATE("[MaxLength(",Table57[[#This Row],[Max Length]],")]"),"")</f>
        <v>[MaxLength(400)]</v>
      </c>
      <c r="Q18" s="3" t="str">
        <f>CONCATENATE("""",Table57[[#This Row],[SQL Name]],""" : """,Table57[[#This Row],[Field]],""",")</f>
        <v>"Strategic_Priorities_2_DESC" : "Strategic Priorities 2",</v>
      </c>
      <c r="R18" s="71" t="str">
        <f>CONCATENATE("/** Section: ",Table57[[#This Row],[Section]], " **/ ",Table57[[#This Row],[EF Core Annotation1]],Table57[[#This Row],[EF Core Annotation2]],Table57[[#This Row],[EF Core Annotation3]],"public ",Table57[[#This Row],[EF Type]]," ",Table57[[#This Row],[SQL Name]]," {get;set;}")</f>
        <v>/** Section: Program Tag **/ [MaxLength(400)]public string? Strategic_Priorities_2_DESC {get;set;}</v>
      </c>
    </row>
    <row r="19" spans="1:18" x14ac:dyDescent="0.3">
      <c r="A19" s="85" t="s">
        <v>595</v>
      </c>
      <c r="B19" s="85" t="s">
        <v>573</v>
      </c>
      <c r="C19" s="71" t="str">
        <f>SUBSTITUTE(SUBSTITUTE(PROPER(TRIM(CLEAN(Table57[[#This Row],[Field]])))," ","_"),"-","")</f>
        <v>Mandate_Letter_Commitment_1</v>
      </c>
      <c r="D19" s="71" t="s">
        <v>489</v>
      </c>
      <c r="E19" s="71" t="str">
        <f>VLOOKUP(Table57[[#This Row],[Extension]],DescRef1[],2,FALSE)</f>
        <v>DESC</v>
      </c>
      <c r="F19" s="71">
        <v>400</v>
      </c>
      <c r="G19" s="71" t="s">
        <v>568</v>
      </c>
      <c r="H19" s="71" t="str">
        <f>IF(Table57[[#This Row],[Code]]="-", Table57[[#This Row],[Formatted]], CONCATENATE(Table57[[#This Row],[Formatted]],"_",Table57[[#This Row],[Code]]))</f>
        <v>Mandate_Letter_Commitment_1_DESC</v>
      </c>
      <c r="I19" s="71" t="s">
        <v>556</v>
      </c>
      <c r="J19" s="3">
        <v>18</v>
      </c>
      <c r="K19" s="71" t="s">
        <v>460</v>
      </c>
      <c r="M19" s="3" t="str">
        <f>CONCATENATE(VLOOKUP(Table57[[#This Row],[Field Type]],FieldTypesRef1[],2,FALSE),IF(Table57[[#This Row],[Mandatory]]="Yes","","?"))</f>
        <v>string</v>
      </c>
      <c r="N19" s="89" t="str">
        <f>VLOOKUP(Table57[[#This Row],[Field Type]],FieldTypesRef1[],3,FALSE)</f>
        <v/>
      </c>
      <c r="O19" s="3" t="str">
        <f>IF(Table57[[#This Row],[Mandatory]]="Yes","[Required]","")</f>
        <v>[Required]</v>
      </c>
      <c r="P19" s="3" t="str">
        <f>IF(Table57[[#This Row],[Max Length]]&gt;0,CONCATENATE("[MaxLength(",Table57[[#This Row],[Max Length]],")]"),"")</f>
        <v>[MaxLength(400)]</v>
      </c>
      <c r="Q19" s="3" t="str">
        <f>CONCATENATE("""",Table57[[#This Row],[SQL Name]],""" : """,Table57[[#This Row],[Field]],""",")</f>
        <v>"Mandate_Letter_Commitment_1_DESC" : "Mandate Letter Commitment 1",</v>
      </c>
      <c r="R19" s="71" t="str">
        <f>CONCATENATE("/** Section: ",Table57[[#This Row],[Section]], " **/ ",Table57[[#This Row],[EF Core Annotation1]],Table57[[#This Row],[EF Core Annotation2]],Table57[[#This Row],[EF Core Annotation3]],"public ",Table57[[#This Row],[EF Type]]," ",Table57[[#This Row],[SQL Name]]," {get;set;}")</f>
        <v>/** Section: Program Tag **/ [Required][MaxLength(400)]public string Mandate_Letter_Commitment_1_DESC {get;set;}</v>
      </c>
    </row>
    <row r="20" spans="1:18" x14ac:dyDescent="0.3">
      <c r="A20" s="85" t="s">
        <v>595</v>
      </c>
      <c r="B20" s="85" t="s">
        <v>574</v>
      </c>
      <c r="C20" s="71" t="str">
        <f>SUBSTITUTE(SUBSTITUTE(PROPER(TRIM(CLEAN(Table57[[#This Row],[Field]])))," ","_"),"-","")</f>
        <v>Mandate_Letter_Commitment_2</v>
      </c>
      <c r="D20" s="71" t="s">
        <v>489</v>
      </c>
      <c r="E20" s="71" t="str">
        <f>VLOOKUP(Table57[[#This Row],[Extension]],DescRef1[],2,FALSE)</f>
        <v>DESC</v>
      </c>
      <c r="F20" s="71">
        <v>400</v>
      </c>
      <c r="G20" s="88"/>
      <c r="H20" s="71" t="str">
        <f>IF(Table57[[#This Row],[Code]]="-", Table57[[#This Row],[Formatted]], CONCATENATE(Table57[[#This Row],[Formatted]],"_",Table57[[#This Row],[Code]]))</f>
        <v>Mandate_Letter_Commitment_2_DESC</v>
      </c>
      <c r="I20" s="71" t="s">
        <v>556</v>
      </c>
      <c r="J20" s="3">
        <v>18</v>
      </c>
      <c r="K20" s="71" t="s">
        <v>460</v>
      </c>
      <c r="M20" s="3" t="str">
        <f>CONCATENATE(VLOOKUP(Table57[[#This Row],[Field Type]],FieldTypesRef1[],2,FALSE),IF(Table57[[#This Row],[Mandatory]]="Yes","","?"))</f>
        <v>string?</v>
      </c>
      <c r="N20" s="89" t="str">
        <f>VLOOKUP(Table57[[#This Row],[Field Type]],FieldTypesRef1[],3,FALSE)</f>
        <v/>
      </c>
      <c r="O20" s="3" t="str">
        <f>IF(Table57[[#This Row],[Mandatory]]="Yes","[Required]","")</f>
        <v/>
      </c>
      <c r="P20" s="3" t="str">
        <f>IF(Table57[[#This Row],[Max Length]]&gt;0,CONCATENATE("[MaxLength(",Table57[[#This Row],[Max Length]],")]"),"")</f>
        <v>[MaxLength(400)]</v>
      </c>
      <c r="Q20" s="3" t="str">
        <f>CONCATENATE("""",Table57[[#This Row],[SQL Name]],""" : """,Table57[[#This Row],[Field]],""",")</f>
        <v>"Mandate_Letter_Commitment_2_DESC" : "Mandate Letter Commitment 2",</v>
      </c>
      <c r="R20" s="71" t="str">
        <f>CONCATENATE("/** Section: ",Table57[[#This Row],[Section]], " **/ ",Table57[[#This Row],[EF Core Annotation1]],Table57[[#This Row],[EF Core Annotation2]],Table57[[#This Row],[EF Core Annotation3]],"public ",Table57[[#This Row],[EF Type]]," ",Table57[[#This Row],[SQL Name]]," {get;set;}")</f>
        <v>/** Section: Program Tag **/ [MaxLength(400)]public string? Mandate_Letter_Commitment_2_DESC {get;set;}</v>
      </c>
    </row>
    <row r="21" spans="1:18" x14ac:dyDescent="0.3">
      <c r="A21" s="85" t="s">
        <v>595</v>
      </c>
      <c r="B21" s="85" t="s">
        <v>575</v>
      </c>
      <c r="C21" s="71" t="str">
        <f>SUBSTITUTE(SUBSTITUTE(PROPER(TRIM(CLEAN(Table57[[#This Row],[Field]])))," ","_"),"-","")</f>
        <v>Transfer_Payment_Programs_1</v>
      </c>
      <c r="D21" s="71" t="s">
        <v>489</v>
      </c>
      <c r="E21" s="71" t="str">
        <f>VLOOKUP(Table57[[#This Row],[Extension]],DescRef1[],2,FALSE)</f>
        <v>DESC</v>
      </c>
      <c r="F21" s="71">
        <v>400</v>
      </c>
      <c r="G21" s="71" t="s">
        <v>568</v>
      </c>
      <c r="H21" s="71" t="str">
        <f>IF(Table57[[#This Row],[Code]]="-", Table57[[#This Row],[Formatted]], CONCATENATE(Table57[[#This Row],[Formatted]],"_",Table57[[#This Row],[Code]]))</f>
        <v>Transfer_Payment_Programs_1_DESC</v>
      </c>
      <c r="I21" s="71" t="s">
        <v>556</v>
      </c>
      <c r="J21" s="3">
        <v>33</v>
      </c>
      <c r="K21" s="71" t="s">
        <v>460</v>
      </c>
      <c r="M21" s="3" t="str">
        <f>CONCATENATE(VLOOKUP(Table57[[#This Row],[Field Type]],FieldTypesRef1[],2,FALSE),IF(Table57[[#This Row],[Mandatory]]="Yes","","?"))</f>
        <v>string</v>
      </c>
      <c r="N21" s="89" t="str">
        <f>VLOOKUP(Table57[[#This Row],[Field Type]],FieldTypesRef1[],3,FALSE)</f>
        <v/>
      </c>
      <c r="O21" s="3" t="str">
        <f>IF(Table57[[#This Row],[Mandatory]]="Yes","[Required]","")</f>
        <v>[Required]</v>
      </c>
      <c r="P21" s="3" t="str">
        <f>IF(Table57[[#This Row],[Max Length]]&gt;0,CONCATENATE("[MaxLength(",Table57[[#This Row],[Max Length]],")]"),"")</f>
        <v>[MaxLength(400)]</v>
      </c>
      <c r="Q21" s="3" t="str">
        <f>CONCATENATE("""",Table57[[#This Row],[SQL Name]],""" : """,Table57[[#This Row],[Field]],""",")</f>
        <v>"Transfer_Payment_Programs_1_DESC" : "Transfer Payment Programs 1",</v>
      </c>
      <c r="R21" s="71" t="str">
        <f>CONCATENATE("/** Section: ",Table57[[#This Row],[Section]], " **/ ",Table57[[#This Row],[EF Core Annotation1]],Table57[[#This Row],[EF Core Annotation2]],Table57[[#This Row],[EF Core Annotation3]],"public ",Table57[[#This Row],[EF Type]]," ",Table57[[#This Row],[SQL Name]]," {get;set;}")</f>
        <v>/** Section: Program Tag **/ [Required][MaxLength(400)]public string Transfer_Payment_Programs_1_DESC {get;set;}</v>
      </c>
    </row>
    <row r="22" spans="1:18" x14ac:dyDescent="0.3">
      <c r="A22" s="85" t="s">
        <v>595</v>
      </c>
      <c r="B22" s="85" t="s">
        <v>576</v>
      </c>
      <c r="C22" s="71" t="str">
        <f>SUBSTITUTE(SUBSTITUTE(PROPER(TRIM(CLEAN(Table57[[#This Row],[Field]])))," ","_"),"-","")</f>
        <v>Transfer_Payment_Programs_2</v>
      </c>
      <c r="D22" s="71" t="s">
        <v>489</v>
      </c>
      <c r="E22" s="71" t="str">
        <f>VLOOKUP(Table57[[#This Row],[Extension]],DescRef1[],2,FALSE)</f>
        <v>DESC</v>
      </c>
      <c r="F22" s="71">
        <v>400</v>
      </c>
      <c r="G22" s="88"/>
      <c r="H22" s="71" t="str">
        <f>IF(Table57[[#This Row],[Code]]="-", Table57[[#This Row],[Formatted]], CONCATENATE(Table57[[#This Row],[Formatted]],"_",Table57[[#This Row],[Code]]))</f>
        <v>Transfer_Payment_Programs_2_DESC</v>
      </c>
      <c r="I22" s="71" t="s">
        <v>556</v>
      </c>
      <c r="J22" s="3">
        <v>33</v>
      </c>
      <c r="K22" s="71" t="s">
        <v>460</v>
      </c>
      <c r="M22" s="3" t="str">
        <f>CONCATENATE(VLOOKUP(Table57[[#This Row],[Field Type]],FieldTypesRef1[],2,FALSE),IF(Table57[[#This Row],[Mandatory]]="Yes","","?"))</f>
        <v>string?</v>
      </c>
      <c r="N22" s="89" t="str">
        <f>VLOOKUP(Table57[[#This Row],[Field Type]],FieldTypesRef1[],3,FALSE)</f>
        <v/>
      </c>
      <c r="O22" s="3" t="str">
        <f>IF(Table57[[#This Row],[Mandatory]]="Yes","[Required]","")</f>
        <v/>
      </c>
      <c r="P22" s="3" t="str">
        <f>IF(Table57[[#This Row],[Max Length]]&gt;0,CONCATENATE("[MaxLength(",Table57[[#This Row],[Max Length]],")]"),"")</f>
        <v>[MaxLength(400)]</v>
      </c>
      <c r="Q22" s="3" t="str">
        <f>CONCATENATE("""",Table57[[#This Row],[SQL Name]],""" : """,Table57[[#This Row],[Field]],""",")</f>
        <v>"Transfer_Payment_Programs_2_DESC" : "Transfer Payment Programs 2",</v>
      </c>
      <c r="R22" s="71" t="str">
        <f>CONCATENATE("/** Section: ",Table57[[#This Row],[Section]], " **/ ",Table57[[#This Row],[EF Core Annotation1]],Table57[[#This Row],[EF Core Annotation2]],Table57[[#This Row],[EF Core Annotation3]],"public ",Table57[[#This Row],[EF Type]]," ",Table57[[#This Row],[SQL Name]]," {get;set;}")</f>
        <v>/** Section: Program Tag **/ [MaxLength(400)]public string? Transfer_Payment_Programs_2_DESC {get;set;}</v>
      </c>
    </row>
    <row r="23" spans="1:18" x14ac:dyDescent="0.3">
      <c r="A23" s="85" t="s">
        <v>595</v>
      </c>
      <c r="B23" s="85" t="s">
        <v>577</v>
      </c>
      <c r="C23" s="71" t="str">
        <f>SUBSTITUTE(SUBSTITUTE(PROPER(TRIM(CLEAN(Table57[[#This Row],[Field]])))," ","_"),"-","")</f>
        <v>Horizontal_Initiative_1</v>
      </c>
      <c r="D23" s="71" t="s">
        <v>489</v>
      </c>
      <c r="E23" s="71" t="str">
        <f>VLOOKUP(Table57[[#This Row],[Extension]],DescRef1[],2,FALSE)</f>
        <v>DESC</v>
      </c>
      <c r="F23" s="71">
        <v>400</v>
      </c>
      <c r="G23" s="71" t="s">
        <v>568</v>
      </c>
      <c r="H23" s="71" t="str">
        <f>IF(Table57[[#This Row],[Code]]="-", Table57[[#This Row],[Formatted]], CONCATENATE(Table57[[#This Row],[Formatted]],"_",Table57[[#This Row],[Code]]))</f>
        <v>Horizontal_Initiative_1_DESC</v>
      </c>
      <c r="I23" s="71" t="s">
        <v>556</v>
      </c>
      <c r="J23" s="3">
        <v>9</v>
      </c>
      <c r="M23" s="3" t="str">
        <f>CONCATENATE(VLOOKUP(Table57[[#This Row],[Field Type]],FieldTypesRef1[],2,FALSE),IF(Table57[[#This Row],[Mandatory]]="Yes","","?"))</f>
        <v>string</v>
      </c>
      <c r="N23" s="89" t="str">
        <f>VLOOKUP(Table57[[#This Row],[Field Type]],FieldTypesRef1[],3,FALSE)</f>
        <v/>
      </c>
      <c r="O23" s="3" t="str">
        <f>IF(Table57[[#This Row],[Mandatory]]="Yes","[Required]","")</f>
        <v>[Required]</v>
      </c>
      <c r="P23" s="3" t="str">
        <f>IF(Table57[[#This Row],[Max Length]]&gt;0,CONCATENATE("[MaxLength(",Table57[[#This Row],[Max Length]],")]"),"")</f>
        <v>[MaxLength(400)]</v>
      </c>
      <c r="Q23" s="3" t="str">
        <f>CONCATENATE("""",Table57[[#This Row],[SQL Name]],""" : """,Table57[[#This Row],[Field]],""",")</f>
        <v>"Horizontal_Initiative_1_DESC" : "Horizontal Initiative 1",</v>
      </c>
      <c r="R23" s="71" t="str">
        <f>CONCATENATE("/** Section: ",Table57[[#This Row],[Section]], " **/ ",Table57[[#This Row],[EF Core Annotation1]],Table57[[#This Row],[EF Core Annotation2]],Table57[[#This Row],[EF Core Annotation3]],"public ",Table57[[#This Row],[EF Type]]," ",Table57[[#This Row],[SQL Name]]," {get;set;}")</f>
        <v>/** Section: Program Tag **/ [Required][MaxLength(400)]public string Horizontal_Initiative_1_DESC {get;set;}</v>
      </c>
    </row>
    <row r="24" spans="1:18" x14ac:dyDescent="0.3">
      <c r="A24" s="85" t="s">
        <v>595</v>
      </c>
      <c r="B24" s="85" t="s">
        <v>578</v>
      </c>
      <c r="C24" s="71" t="str">
        <f>SUBSTITUTE(SUBSTITUTE(PROPER(TRIM(CLEAN(Table57[[#This Row],[Field]])))," ","_"),"-","")</f>
        <v>Horizontal_Initiative_2</v>
      </c>
      <c r="D24" s="71" t="s">
        <v>489</v>
      </c>
      <c r="E24" s="71" t="str">
        <f>VLOOKUP(Table57[[#This Row],[Extension]],DescRef1[],2,FALSE)</f>
        <v>DESC</v>
      </c>
      <c r="F24" s="71">
        <v>400</v>
      </c>
      <c r="G24" s="88"/>
      <c r="H24" s="71" t="str">
        <f>IF(Table57[[#This Row],[Code]]="-", Table57[[#This Row],[Formatted]], CONCATENATE(Table57[[#This Row],[Formatted]],"_",Table57[[#This Row],[Code]]))</f>
        <v>Horizontal_Initiative_2_DESC</v>
      </c>
      <c r="I24" s="71" t="s">
        <v>556</v>
      </c>
      <c r="J24" s="3">
        <v>9</v>
      </c>
      <c r="M24" s="3" t="str">
        <f>CONCATENATE(VLOOKUP(Table57[[#This Row],[Field Type]],FieldTypesRef1[],2,FALSE),IF(Table57[[#This Row],[Mandatory]]="Yes","","?"))</f>
        <v>string?</v>
      </c>
      <c r="N24" s="89" t="str">
        <f>VLOOKUP(Table57[[#This Row],[Field Type]],FieldTypesRef1[],3,FALSE)</f>
        <v/>
      </c>
      <c r="O24" s="3" t="str">
        <f>IF(Table57[[#This Row],[Mandatory]]="Yes","[Required]","")</f>
        <v/>
      </c>
      <c r="P24" s="3" t="str">
        <f>IF(Table57[[#This Row],[Max Length]]&gt;0,CONCATENATE("[MaxLength(",Table57[[#This Row],[Max Length]],")]"),"")</f>
        <v>[MaxLength(400)]</v>
      </c>
      <c r="Q24" s="3" t="str">
        <f>CONCATENATE("""",Table57[[#This Row],[SQL Name]],""" : """,Table57[[#This Row],[Field]],""",")</f>
        <v>"Horizontal_Initiative_2_DESC" : "Horizontal Initiative 2",</v>
      </c>
      <c r="R24" s="71" t="str">
        <f>CONCATENATE("/** Section: ",Table57[[#This Row],[Section]], " **/ ",Table57[[#This Row],[EF Core Annotation1]],Table57[[#This Row],[EF Core Annotation2]],Table57[[#This Row],[EF Core Annotation3]],"public ",Table57[[#This Row],[EF Type]]," ",Table57[[#This Row],[SQL Name]]," {get;set;}")</f>
        <v>/** Section: Program Tag **/ [MaxLength(400)]public string? Horizontal_Initiative_2_DESC {get;set;}</v>
      </c>
    </row>
    <row r="25" spans="1:18" x14ac:dyDescent="0.3">
      <c r="A25" s="85" t="s">
        <v>595</v>
      </c>
      <c r="B25" s="85" t="s">
        <v>579</v>
      </c>
      <c r="C25" s="71" t="str">
        <f>SUBSTITUTE(SUBSTITUTE(PROPER(TRIM(CLEAN(Table57[[#This Row],[Field]])))," ","_"),"-","")</f>
        <v>Government_Of_Canada_Outcome_Areas_1</v>
      </c>
      <c r="D25" s="71" t="s">
        <v>489</v>
      </c>
      <c r="E25" s="71" t="str">
        <f>VLOOKUP(Table57[[#This Row],[Extension]],DescRef1[],2,FALSE)</f>
        <v>DESC</v>
      </c>
      <c r="F25" s="71">
        <v>400</v>
      </c>
      <c r="G25" s="71" t="s">
        <v>568</v>
      </c>
      <c r="H25" s="71" t="str">
        <f>IF(Table57[[#This Row],[Code]]="-", Table57[[#This Row],[Formatted]], CONCATENATE(Table57[[#This Row],[Formatted]],"_",Table57[[#This Row],[Code]]))</f>
        <v>Government_Of_Canada_Outcome_Areas_1_DESC</v>
      </c>
      <c r="I25" s="71" t="s">
        <v>556</v>
      </c>
      <c r="J25" s="3">
        <v>16</v>
      </c>
      <c r="K25" s="71" t="s">
        <v>460</v>
      </c>
      <c r="M25" s="3" t="str">
        <f>CONCATENATE(VLOOKUP(Table57[[#This Row],[Field Type]],FieldTypesRef1[],2,FALSE),IF(Table57[[#This Row],[Mandatory]]="Yes","","?"))</f>
        <v>string</v>
      </c>
      <c r="N25" s="89" t="str">
        <f>VLOOKUP(Table57[[#This Row],[Field Type]],FieldTypesRef1[],3,FALSE)</f>
        <v/>
      </c>
      <c r="O25" s="3" t="str">
        <f>IF(Table57[[#This Row],[Mandatory]]="Yes","[Required]","")</f>
        <v>[Required]</v>
      </c>
      <c r="P25" s="3" t="str">
        <f>IF(Table57[[#This Row],[Max Length]]&gt;0,CONCATENATE("[MaxLength(",Table57[[#This Row],[Max Length]],")]"),"")</f>
        <v>[MaxLength(400)]</v>
      </c>
      <c r="Q25" s="3" t="str">
        <f>CONCATENATE("""",Table57[[#This Row],[SQL Name]],""" : """,Table57[[#This Row],[Field]],""",")</f>
        <v>"Government_Of_Canada_Outcome_Areas_1_DESC" : "Government of Canada Outcome Areas 1",</v>
      </c>
      <c r="R25" s="71" t="str">
        <f>CONCATENATE("/** Section: ",Table57[[#This Row],[Section]], " **/ ",Table57[[#This Row],[EF Core Annotation1]],Table57[[#This Row],[EF Core Annotation2]],Table57[[#This Row],[EF Core Annotation3]],"public ",Table57[[#This Row],[EF Type]]," ",Table57[[#This Row],[SQL Name]]," {get;set;}")</f>
        <v>/** Section: Program Tag **/ [Required][MaxLength(400)]public string Government_Of_Canada_Outcome_Areas_1_DESC {get;set;}</v>
      </c>
    </row>
    <row r="26" spans="1:18" x14ac:dyDescent="0.3">
      <c r="A26" s="85" t="s">
        <v>595</v>
      </c>
      <c r="B26" s="85" t="s">
        <v>580</v>
      </c>
      <c r="C26" s="71" t="str">
        <f>SUBSTITUTE(SUBSTITUTE(PROPER(TRIM(CLEAN(Table57[[#This Row],[Field]])))," ","_"),"-","")</f>
        <v>Government_Of_Canada_Outcome_Areas_2</v>
      </c>
      <c r="D26" s="71" t="s">
        <v>489</v>
      </c>
      <c r="E26" s="71" t="str">
        <f>VLOOKUP(Table57[[#This Row],[Extension]],DescRef1[],2,FALSE)</f>
        <v>DESC</v>
      </c>
      <c r="F26" s="71">
        <v>400</v>
      </c>
      <c r="G26" s="88"/>
      <c r="H26" s="71" t="str">
        <f>IF(Table57[[#This Row],[Code]]="-", Table57[[#This Row],[Formatted]], CONCATENATE(Table57[[#This Row],[Formatted]],"_",Table57[[#This Row],[Code]]))</f>
        <v>Government_Of_Canada_Outcome_Areas_2_DESC</v>
      </c>
      <c r="I26" s="71" t="s">
        <v>556</v>
      </c>
      <c r="J26" s="3">
        <v>16</v>
      </c>
      <c r="K26" s="71" t="s">
        <v>460</v>
      </c>
      <c r="M26" s="3" t="str">
        <f>CONCATENATE(VLOOKUP(Table57[[#This Row],[Field Type]],FieldTypesRef1[],2,FALSE),IF(Table57[[#This Row],[Mandatory]]="Yes","","?"))</f>
        <v>string?</v>
      </c>
      <c r="N26" s="89" t="str">
        <f>VLOOKUP(Table57[[#This Row],[Field Type]],FieldTypesRef1[],3,FALSE)</f>
        <v/>
      </c>
      <c r="O26" s="3" t="str">
        <f>IF(Table57[[#This Row],[Mandatory]]="Yes","[Required]","")</f>
        <v/>
      </c>
      <c r="P26" s="3" t="str">
        <f>IF(Table57[[#This Row],[Max Length]]&gt;0,CONCATENATE("[MaxLength(",Table57[[#This Row],[Max Length]],")]"),"")</f>
        <v>[MaxLength(400)]</v>
      </c>
      <c r="Q26" s="3" t="str">
        <f>CONCATENATE("""",Table57[[#This Row],[SQL Name]],""" : """,Table57[[#This Row],[Field]],""",")</f>
        <v>"Government_Of_Canada_Outcome_Areas_2_DESC" : "Government of Canada Outcome Areas 2",</v>
      </c>
      <c r="R26" s="71" t="str">
        <f>CONCATENATE("/** Section: ",Table57[[#This Row],[Section]], " **/ ",Table57[[#This Row],[EF Core Annotation1]],Table57[[#This Row],[EF Core Annotation2]],Table57[[#This Row],[EF Core Annotation3]],"public ",Table57[[#This Row],[EF Type]]," ",Table57[[#This Row],[SQL Name]]," {get;set;}")</f>
        <v>/** Section: Program Tag **/ [MaxLength(400)]public string? Government_Of_Canada_Outcome_Areas_2_DESC {get;set;}</v>
      </c>
    </row>
    <row r="27" spans="1:18" x14ac:dyDescent="0.3">
      <c r="A27" s="85" t="s">
        <v>595</v>
      </c>
      <c r="B27" s="85" t="s">
        <v>581</v>
      </c>
      <c r="C27" s="71" t="str">
        <f>SUBSTITUTE(SUBSTITUTE(PROPER(TRIM(CLEAN(Table57[[#This Row],[Field]])))," ","_"),"-","")</f>
        <v>Method_Of_Intervention_1</v>
      </c>
      <c r="D27" s="71" t="s">
        <v>489</v>
      </c>
      <c r="E27" s="71" t="str">
        <f>VLOOKUP(Table57[[#This Row],[Extension]],DescRef1[],2,FALSE)</f>
        <v>DESC</v>
      </c>
      <c r="F27" s="71">
        <v>400</v>
      </c>
      <c r="G27" s="71" t="s">
        <v>568</v>
      </c>
      <c r="H27" s="71" t="str">
        <f>IF(Table57[[#This Row],[Code]]="-", Table57[[#This Row],[Formatted]], CONCATENATE(Table57[[#This Row],[Formatted]],"_",Table57[[#This Row],[Code]]))</f>
        <v>Method_Of_Intervention_1_DESC</v>
      </c>
      <c r="I27" s="71" t="s">
        <v>556</v>
      </c>
      <c r="J27" s="3">
        <v>8</v>
      </c>
      <c r="M27" s="3" t="str">
        <f>CONCATENATE(VLOOKUP(Table57[[#This Row],[Field Type]],FieldTypesRef1[],2,FALSE),IF(Table57[[#This Row],[Mandatory]]="Yes","","?"))</f>
        <v>string</v>
      </c>
      <c r="N27" s="89" t="str">
        <f>VLOOKUP(Table57[[#This Row],[Field Type]],FieldTypesRef1[],3,FALSE)</f>
        <v/>
      </c>
      <c r="O27" s="3" t="str">
        <f>IF(Table57[[#This Row],[Mandatory]]="Yes","[Required]","")</f>
        <v>[Required]</v>
      </c>
      <c r="P27" s="3" t="str">
        <f>IF(Table57[[#This Row],[Max Length]]&gt;0,CONCATENATE("[MaxLength(",Table57[[#This Row],[Max Length]],")]"),"")</f>
        <v>[MaxLength(400)]</v>
      </c>
      <c r="Q27" s="3" t="str">
        <f>CONCATENATE("""",Table57[[#This Row],[SQL Name]],""" : """,Table57[[#This Row],[Field]],""",")</f>
        <v>"Method_Of_Intervention_1_DESC" : "Method of Intervention 1",</v>
      </c>
      <c r="R27" s="71" t="str">
        <f>CONCATENATE("/** Section: ",Table57[[#This Row],[Section]], " **/ ",Table57[[#This Row],[EF Core Annotation1]],Table57[[#This Row],[EF Core Annotation2]],Table57[[#This Row],[EF Core Annotation3]],"public ",Table57[[#This Row],[EF Type]]," ",Table57[[#This Row],[SQL Name]]," {get;set;}")</f>
        <v>/** Section: Program Tag **/ [Required][MaxLength(400)]public string Method_Of_Intervention_1_DESC {get;set;}</v>
      </c>
    </row>
    <row r="28" spans="1:18" x14ac:dyDescent="0.3">
      <c r="A28" s="85" t="s">
        <v>595</v>
      </c>
      <c r="B28" s="85" t="s">
        <v>582</v>
      </c>
      <c r="C28" s="71" t="str">
        <f>SUBSTITUTE(SUBSTITUTE(PROPER(TRIM(CLEAN(Table57[[#This Row],[Field]])))," ","_"),"-","")</f>
        <v>Method_Of_Intervention_2</v>
      </c>
      <c r="D28" s="71" t="s">
        <v>489</v>
      </c>
      <c r="E28" s="71" t="str">
        <f>VLOOKUP(Table57[[#This Row],[Extension]],DescRef1[],2,FALSE)</f>
        <v>DESC</v>
      </c>
      <c r="F28" s="71">
        <v>400</v>
      </c>
      <c r="G28" s="88"/>
      <c r="H28" s="71" t="str">
        <f>IF(Table57[[#This Row],[Code]]="-", Table57[[#This Row],[Formatted]], CONCATENATE(Table57[[#This Row],[Formatted]],"_",Table57[[#This Row],[Code]]))</f>
        <v>Method_Of_Intervention_2_DESC</v>
      </c>
      <c r="I28" s="71" t="s">
        <v>556</v>
      </c>
      <c r="J28" s="3">
        <v>8</v>
      </c>
      <c r="M28" s="3" t="str">
        <f>CONCATENATE(VLOOKUP(Table57[[#This Row],[Field Type]],FieldTypesRef1[],2,FALSE),IF(Table57[[#This Row],[Mandatory]]="Yes","","?"))</f>
        <v>string?</v>
      </c>
      <c r="N28" s="89" t="str">
        <f>VLOOKUP(Table57[[#This Row],[Field Type]],FieldTypesRef1[],3,FALSE)</f>
        <v/>
      </c>
      <c r="O28" s="3" t="str">
        <f>IF(Table57[[#This Row],[Mandatory]]="Yes","[Required]","")</f>
        <v/>
      </c>
      <c r="P28" s="3" t="str">
        <f>IF(Table57[[#This Row],[Max Length]]&gt;0,CONCATENATE("[MaxLength(",Table57[[#This Row],[Max Length]],")]"),"")</f>
        <v>[MaxLength(400)]</v>
      </c>
      <c r="Q28" s="3" t="str">
        <f>CONCATENATE("""",Table57[[#This Row],[SQL Name]],""" : """,Table57[[#This Row],[Field]],""",")</f>
        <v>"Method_Of_Intervention_2_DESC" : "Method of Intervention 2",</v>
      </c>
      <c r="R28" s="71" t="str">
        <f>CONCATENATE("/** Section: ",Table57[[#This Row],[Section]], " **/ ",Table57[[#This Row],[EF Core Annotation1]],Table57[[#This Row],[EF Core Annotation2]],Table57[[#This Row],[EF Core Annotation3]],"public ",Table57[[#This Row],[EF Type]]," ",Table57[[#This Row],[SQL Name]]," {get;set;}")</f>
        <v>/** Section: Program Tag **/ [MaxLength(400)]public string? Method_Of_Intervention_2_DESC {get;set;}</v>
      </c>
    </row>
    <row r="29" spans="1:18" x14ac:dyDescent="0.3">
      <c r="A29" s="85" t="s">
        <v>595</v>
      </c>
      <c r="B29" s="85" t="s">
        <v>583</v>
      </c>
      <c r="C29" s="71" t="str">
        <f>SUBSTITUTE(SUBSTITUTE(PROPER(TRIM(CLEAN(Table57[[#This Row],[Field]])))," ","_"),"-","")</f>
        <v>Target_Group_1</v>
      </c>
      <c r="D29" s="71" t="s">
        <v>489</v>
      </c>
      <c r="E29" s="71" t="str">
        <f>VLOOKUP(Table57[[#This Row],[Extension]],DescRef1[],2,FALSE)</f>
        <v>DESC</v>
      </c>
      <c r="F29" s="71">
        <v>400</v>
      </c>
      <c r="G29" s="71" t="s">
        <v>568</v>
      </c>
      <c r="H29" s="71" t="str">
        <f>IF(Table57[[#This Row],[Code]]="-", Table57[[#This Row],[Formatted]], CONCATENATE(Table57[[#This Row],[Formatted]],"_",Table57[[#This Row],[Code]]))</f>
        <v>Target_Group_1_DESC</v>
      </c>
      <c r="I29" s="71" t="s">
        <v>556</v>
      </c>
      <c r="J29" s="3">
        <v>88</v>
      </c>
      <c r="K29" s="71" t="s">
        <v>460</v>
      </c>
      <c r="M29" s="3" t="str">
        <f>CONCATENATE(VLOOKUP(Table57[[#This Row],[Field Type]],FieldTypesRef1[],2,FALSE),IF(Table57[[#This Row],[Mandatory]]="Yes","","?"))</f>
        <v>string</v>
      </c>
      <c r="N29" s="89" t="str">
        <f>VLOOKUP(Table57[[#This Row],[Field Type]],FieldTypesRef1[],3,FALSE)</f>
        <v/>
      </c>
      <c r="O29" s="3" t="str">
        <f>IF(Table57[[#This Row],[Mandatory]]="Yes","[Required]","")</f>
        <v>[Required]</v>
      </c>
      <c r="P29" s="3" t="str">
        <f>IF(Table57[[#This Row],[Max Length]]&gt;0,CONCATENATE("[MaxLength(",Table57[[#This Row],[Max Length]],")]"),"")</f>
        <v>[MaxLength(400)]</v>
      </c>
      <c r="Q29" s="3" t="str">
        <f>CONCATENATE("""",Table57[[#This Row],[SQL Name]],""" : """,Table57[[#This Row],[Field]],""",")</f>
        <v>"Target_Group_1_DESC" : "Target Group 1",</v>
      </c>
      <c r="R29" s="71" t="str">
        <f>CONCATENATE("/** Section: ",Table57[[#This Row],[Section]], " **/ ",Table57[[#This Row],[EF Core Annotation1]],Table57[[#This Row],[EF Core Annotation2]],Table57[[#This Row],[EF Core Annotation3]],"public ",Table57[[#This Row],[EF Type]]," ",Table57[[#This Row],[SQL Name]]," {get;set;}")</f>
        <v>/** Section: Program Tag **/ [Required][MaxLength(400)]public string Target_Group_1_DESC {get;set;}</v>
      </c>
    </row>
    <row r="30" spans="1:18" x14ac:dyDescent="0.3">
      <c r="A30" s="85" t="s">
        <v>595</v>
      </c>
      <c r="B30" s="85" t="s">
        <v>584</v>
      </c>
      <c r="C30" s="71" t="str">
        <f>SUBSTITUTE(SUBSTITUTE(PROPER(TRIM(CLEAN(Table57[[#This Row],[Field]])))," ","_"),"-","")</f>
        <v>Target_Group_2</v>
      </c>
      <c r="D30" s="71" t="s">
        <v>489</v>
      </c>
      <c r="E30" s="71" t="str">
        <f>VLOOKUP(Table57[[#This Row],[Extension]],DescRef1[],2,FALSE)</f>
        <v>DESC</v>
      </c>
      <c r="F30" s="71">
        <v>400</v>
      </c>
      <c r="G30" s="88"/>
      <c r="H30" s="71" t="str">
        <f>IF(Table57[[#This Row],[Code]]="-", Table57[[#This Row],[Formatted]], CONCATENATE(Table57[[#This Row],[Formatted]],"_",Table57[[#This Row],[Code]]))</f>
        <v>Target_Group_2_DESC</v>
      </c>
      <c r="I30" s="71" t="s">
        <v>556</v>
      </c>
      <c r="J30" s="3">
        <v>88</v>
      </c>
      <c r="K30" s="71" t="s">
        <v>460</v>
      </c>
      <c r="M30" s="3" t="str">
        <f>CONCATENATE(VLOOKUP(Table57[[#This Row],[Field Type]],FieldTypesRef1[],2,FALSE),IF(Table57[[#This Row],[Mandatory]]="Yes","","?"))</f>
        <v>string?</v>
      </c>
      <c r="N30" s="89" t="str">
        <f>VLOOKUP(Table57[[#This Row],[Field Type]],FieldTypesRef1[],3,FALSE)</f>
        <v/>
      </c>
      <c r="O30" s="3" t="str">
        <f>IF(Table57[[#This Row],[Mandatory]]="Yes","[Required]","")</f>
        <v/>
      </c>
      <c r="P30" s="3" t="str">
        <f>IF(Table57[[#This Row],[Max Length]]&gt;0,CONCATENATE("[MaxLength(",Table57[[#This Row],[Max Length]],")]"),"")</f>
        <v>[MaxLength(400)]</v>
      </c>
      <c r="Q30" s="3" t="str">
        <f>CONCATENATE("""",Table57[[#This Row],[SQL Name]],""" : """,Table57[[#This Row],[Field]],""",")</f>
        <v>"Target_Group_2_DESC" : "Target Group 2",</v>
      </c>
      <c r="R30" s="71" t="str">
        <f>CONCATENATE("/** Section: ",Table57[[#This Row],[Section]], " **/ ",Table57[[#This Row],[EF Core Annotation1]],Table57[[#This Row],[EF Core Annotation2]],Table57[[#This Row],[EF Core Annotation3]],"public ",Table57[[#This Row],[EF Type]]," ",Table57[[#This Row],[SQL Name]]," {get;set;}")</f>
        <v>/** Section: Program Tag **/ [MaxLength(400)]public string? Target_Group_2_DESC {get;set;}</v>
      </c>
    </row>
    <row r="31" spans="1:18" x14ac:dyDescent="0.3">
      <c r="A31" s="85" t="s">
        <v>595</v>
      </c>
      <c r="B31" s="85" t="s">
        <v>585</v>
      </c>
      <c r="C31" s="71" t="str">
        <f>SUBSTITUTE(SUBSTITUTE(PROPER(TRIM(CLEAN(Table57[[#This Row],[Field]])))," ","_"),"-","")</f>
        <v>Target_Group_3</v>
      </c>
      <c r="D31" s="71" t="s">
        <v>489</v>
      </c>
      <c r="E31" s="71" t="str">
        <f>VLOOKUP(Table57[[#This Row],[Extension]],DescRef1[],2,FALSE)</f>
        <v>DESC</v>
      </c>
      <c r="F31" s="71">
        <v>400</v>
      </c>
      <c r="G31" s="88"/>
      <c r="H31" s="71" t="str">
        <f>IF(Table57[[#This Row],[Code]]="-", Table57[[#This Row],[Formatted]], CONCATENATE(Table57[[#This Row],[Formatted]],"_",Table57[[#This Row],[Code]]))</f>
        <v>Target_Group_3_DESC</v>
      </c>
      <c r="I31" s="71" t="s">
        <v>556</v>
      </c>
      <c r="J31" s="3">
        <v>88</v>
      </c>
      <c r="K31" s="71" t="s">
        <v>460</v>
      </c>
      <c r="M31" s="3" t="str">
        <f>CONCATENATE(VLOOKUP(Table57[[#This Row],[Field Type]],FieldTypesRef1[],2,FALSE),IF(Table57[[#This Row],[Mandatory]]="Yes","","?"))</f>
        <v>string?</v>
      </c>
      <c r="N31" s="89" t="str">
        <f>VLOOKUP(Table57[[#This Row],[Field Type]],FieldTypesRef1[],3,FALSE)</f>
        <v/>
      </c>
      <c r="O31" s="3" t="str">
        <f>IF(Table57[[#This Row],[Mandatory]]="Yes","[Required]","")</f>
        <v/>
      </c>
      <c r="P31" s="3" t="str">
        <f>IF(Table57[[#This Row],[Max Length]]&gt;0,CONCATENATE("[MaxLength(",Table57[[#This Row],[Max Length]],")]"),"")</f>
        <v>[MaxLength(400)]</v>
      </c>
      <c r="Q31" s="3" t="str">
        <f>CONCATENATE("""",Table57[[#This Row],[SQL Name]],""" : """,Table57[[#This Row],[Field]],""",")</f>
        <v>"Target_Group_3_DESC" : "Target Group 3",</v>
      </c>
      <c r="R31" s="71" t="str">
        <f>CONCATENATE("/** Section: ",Table57[[#This Row],[Section]], " **/ ",Table57[[#This Row],[EF Core Annotation1]],Table57[[#This Row],[EF Core Annotation2]],Table57[[#This Row],[EF Core Annotation3]],"public ",Table57[[#This Row],[EF Type]]," ",Table57[[#This Row],[SQL Name]]," {get;set;}")</f>
        <v>/** Section: Program Tag **/ [MaxLength(400)]public string? Target_Group_3_DESC {get;set;}</v>
      </c>
    </row>
    <row r="32" spans="1:18" ht="15" customHeight="1" x14ac:dyDescent="0.3">
      <c r="A32" s="85" t="s">
        <v>595</v>
      </c>
      <c r="B32" s="85" t="s">
        <v>586</v>
      </c>
      <c r="C32" s="71" t="str">
        <f>SUBSTITUTE(SUBSTITUTE(PROPER(TRIM(CLEAN(Table57[[#This Row],[Field]])))," ","_"),"-","")</f>
        <v>Target_Group_4</v>
      </c>
      <c r="D32" s="71" t="s">
        <v>489</v>
      </c>
      <c r="E32" s="71" t="str">
        <f>VLOOKUP(Table57[[#This Row],[Extension]],DescRef1[],2,FALSE)</f>
        <v>DESC</v>
      </c>
      <c r="F32" s="71">
        <v>400</v>
      </c>
      <c r="G32" s="88"/>
      <c r="H32" s="71" t="str">
        <f>IF(Table57[[#This Row],[Code]]="-", Table57[[#This Row],[Formatted]], CONCATENATE(Table57[[#This Row],[Formatted]],"_",Table57[[#This Row],[Code]]))</f>
        <v>Target_Group_4_DESC</v>
      </c>
      <c r="I32" s="71" t="s">
        <v>556</v>
      </c>
      <c r="J32" s="3">
        <v>88</v>
      </c>
      <c r="K32" s="71" t="s">
        <v>460</v>
      </c>
      <c r="M32" s="3" t="str">
        <f>CONCATENATE(VLOOKUP(Table57[[#This Row],[Field Type]],FieldTypesRef1[],2,FALSE),IF(Table57[[#This Row],[Mandatory]]="Yes","","?"))</f>
        <v>string?</v>
      </c>
      <c r="N32" s="89" t="str">
        <f>VLOOKUP(Table57[[#This Row],[Field Type]],FieldTypesRef1[],3,FALSE)</f>
        <v/>
      </c>
      <c r="O32" s="3" t="str">
        <f>IF(Table57[[#This Row],[Mandatory]]="Yes","[Required]","")</f>
        <v/>
      </c>
      <c r="P32" s="3" t="str">
        <f>IF(Table57[[#This Row],[Max Length]]&gt;0,CONCATENATE("[MaxLength(",Table57[[#This Row],[Max Length]],")]"),"")</f>
        <v>[MaxLength(400)]</v>
      </c>
      <c r="Q32" s="3" t="str">
        <f>CONCATENATE("""",Table57[[#This Row],[SQL Name]],""" : """,Table57[[#This Row],[Field]],""",")</f>
        <v>"Target_Group_4_DESC" : "Target Group 4",</v>
      </c>
      <c r="R32" s="71" t="str">
        <f>CONCATENATE("/** Section: ",Table57[[#This Row],[Section]], " **/ ",Table57[[#This Row],[EF Core Annotation1]],Table57[[#This Row],[EF Core Annotation2]],Table57[[#This Row],[EF Core Annotation3]],"public ",Table57[[#This Row],[EF Type]]," ",Table57[[#This Row],[SQL Name]]," {get;set;}")</f>
        <v>/** Section: Program Tag **/ [MaxLength(400)]public string? Target_Group_4_DESC {get;set;}</v>
      </c>
    </row>
    <row r="33" spans="1:18" x14ac:dyDescent="0.3">
      <c r="A33" s="85" t="s">
        <v>595</v>
      </c>
      <c r="B33" s="85" t="s">
        <v>587</v>
      </c>
      <c r="C33" s="71" t="str">
        <f>SUBSTITUTE(SUBSTITUTE(PROPER(TRIM(CLEAN(Table57[[#This Row],[Field]])))," ","_"),"-","")</f>
        <v>Target_Group_5</v>
      </c>
      <c r="D33" s="71" t="s">
        <v>489</v>
      </c>
      <c r="E33" s="71" t="str">
        <f>VLOOKUP(Table57[[#This Row],[Extension]],DescRef1[],2,FALSE)</f>
        <v>DESC</v>
      </c>
      <c r="F33" s="71">
        <v>400</v>
      </c>
      <c r="G33" s="88"/>
      <c r="H33" s="71" t="str">
        <f>IF(Table57[[#This Row],[Code]]="-", Table57[[#This Row],[Formatted]], CONCATENATE(Table57[[#This Row],[Formatted]],"_",Table57[[#This Row],[Code]]))</f>
        <v>Target_Group_5_DESC</v>
      </c>
      <c r="I33" s="71" t="s">
        <v>556</v>
      </c>
      <c r="J33" s="3">
        <v>88</v>
      </c>
      <c r="K33" s="71" t="s">
        <v>460</v>
      </c>
      <c r="M33" s="3" t="str">
        <f>CONCATENATE(VLOOKUP(Table57[[#This Row],[Field Type]],FieldTypesRef1[],2,FALSE),IF(Table57[[#This Row],[Mandatory]]="Yes","","?"))</f>
        <v>string?</v>
      </c>
      <c r="N33" s="89" t="str">
        <f>VLOOKUP(Table57[[#This Row],[Field Type]],FieldTypesRef1[],3,FALSE)</f>
        <v/>
      </c>
      <c r="O33" s="3" t="str">
        <f>IF(Table57[[#This Row],[Mandatory]]="Yes","[Required]","")</f>
        <v/>
      </c>
      <c r="P33" s="3" t="str">
        <f>IF(Table57[[#This Row],[Max Length]]&gt;0,CONCATENATE("[MaxLength(",Table57[[#This Row],[Max Length]],")]"),"")</f>
        <v>[MaxLength(400)]</v>
      </c>
      <c r="Q33" s="3" t="str">
        <f>CONCATENATE("""",Table57[[#This Row],[SQL Name]],""" : """,Table57[[#This Row],[Field]],""",")</f>
        <v>"Target_Group_5_DESC" : "Target Group 5",</v>
      </c>
      <c r="R33" s="71" t="str">
        <f>CONCATENATE("/** Section: ",Table57[[#This Row],[Section]], " **/ ",Table57[[#This Row],[EF Core Annotation1]],Table57[[#This Row],[EF Core Annotation2]],Table57[[#This Row],[EF Core Annotation3]],"public ",Table57[[#This Row],[EF Type]]," ",Table57[[#This Row],[SQL Name]]," {get;set;}")</f>
        <v>/** Section: Program Tag **/ [MaxLength(400)]public string? Target_Group_5_DESC {get;set;}</v>
      </c>
    </row>
    <row r="34" spans="1:18" x14ac:dyDescent="0.3">
      <c r="A34" s="85" t="s">
        <v>595</v>
      </c>
      <c r="B34" s="85" t="s">
        <v>18</v>
      </c>
      <c r="C34" s="71" t="str">
        <f>SUBSTITUTE(SUBSTITUTE(PROPER(TRIM(CLEAN(Table57[[#This Row],[Field]])))," ","_"),"-","")</f>
        <v>Government_Of_Canada_Activity_Tags</v>
      </c>
      <c r="D34" s="71" t="s">
        <v>489</v>
      </c>
      <c r="E34" s="71" t="str">
        <f>VLOOKUP(Table57[[#This Row],[Extension]],DescRef1[],2,FALSE)</f>
        <v>DESC</v>
      </c>
      <c r="F34" s="71">
        <v>400</v>
      </c>
      <c r="G34" s="71" t="s">
        <v>568</v>
      </c>
      <c r="H34" s="71" t="str">
        <f>IF(Table57[[#This Row],[Code]]="-", Table57[[#This Row],[Formatted]], CONCATENATE(Table57[[#This Row],[Formatted]],"_",Table57[[#This Row],[Code]]))</f>
        <v>Government_Of_Canada_Activity_Tags_DESC</v>
      </c>
      <c r="I34" s="71" t="s">
        <v>556</v>
      </c>
      <c r="J34" s="3">
        <v>18</v>
      </c>
      <c r="K34" s="71" t="s">
        <v>460</v>
      </c>
      <c r="M34" s="3" t="str">
        <f>CONCATENATE(VLOOKUP(Table57[[#This Row],[Field Type]],FieldTypesRef1[],2,FALSE),IF(Table57[[#This Row],[Mandatory]]="Yes","","?"))</f>
        <v>string</v>
      </c>
      <c r="N34" s="89" t="str">
        <f>VLOOKUP(Table57[[#This Row],[Field Type]],FieldTypesRef1[],3,FALSE)</f>
        <v/>
      </c>
      <c r="O34" s="3" t="str">
        <f>IF(Table57[[#This Row],[Mandatory]]="Yes","[Required]","")</f>
        <v>[Required]</v>
      </c>
      <c r="P34" s="3" t="str">
        <f>IF(Table57[[#This Row],[Max Length]]&gt;0,CONCATENATE("[MaxLength(",Table57[[#This Row],[Max Length]],")]"),"")</f>
        <v>[MaxLength(400)]</v>
      </c>
      <c r="Q34" s="3" t="str">
        <f>CONCATENATE("""",Table57[[#This Row],[SQL Name]],""" : """,Table57[[#This Row],[Field]],""",")</f>
        <v>"Government_Of_Canada_Activity_Tags_DESC" : "Government of Canada Activity Tags",</v>
      </c>
      <c r="R34" s="71" t="str">
        <f>CONCATENATE("/** Section: ",Table57[[#This Row],[Section]], " **/ ",Table57[[#This Row],[EF Core Annotation1]],Table57[[#This Row],[EF Core Annotation2]],Table57[[#This Row],[EF Core Annotation3]],"public ",Table57[[#This Row],[EF Type]]," ",Table57[[#This Row],[SQL Name]]," {get;set;}")</f>
        <v>/** Section: Program Tag **/ [Required][MaxLength(400)]public string Government_Of_Canada_Activity_Tags_DESC {get;set;}</v>
      </c>
    </row>
    <row r="35" spans="1:18" x14ac:dyDescent="0.3">
      <c r="A35" s="85" t="s">
        <v>595</v>
      </c>
      <c r="B35" s="85" t="s">
        <v>19</v>
      </c>
      <c r="C35" s="71" t="str">
        <f>SUBSTITUTE(SUBSTITUTE(PROPER(TRIM(CLEAN(Table57[[#This Row],[Field]])))," ","_"),"-","")</f>
        <v>Canadian_Classification_Of_Functions_Of_Government</v>
      </c>
      <c r="D35" s="71" t="s">
        <v>489</v>
      </c>
      <c r="E35" s="71" t="str">
        <f>VLOOKUP(Table57[[#This Row],[Extension]],DescRef1[],2,FALSE)</f>
        <v>DESC</v>
      </c>
      <c r="F35" s="71">
        <v>400</v>
      </c>
      <c r="G35" s="71" t="s">
        <v>568</v>
      </c>
      <c r="H35" s="71" t="str">
        <f>IF(Table57[[#This Row],[Code]]="-", Table57[[#This Row],[Formatted]], CONCATENATE(Table57[[#This Row],[Formatted]],"_",Table57[[#This Row],[Code]]))</f>
        <v>Canadian_Classification_Of_Functions_Of_Government_DESC</v>
      </c>
      <c r="I35" s="71" t="s">
        <v>556</v>
      </c>
      <c r="K35" s="71" t="s">
        <v>20</v>
      </c>
      <c r="M35" s="3" t="str">
        <f>CONCATENATE(VLOOKUP(Table57[[#This Row],[Field Type]],FieldTypesRef1[],2,FALSE),IF(Table57[[#This Row],[Mandatory]]="Yes","","?"))</f>
        <v>string</v>
      </c>
      <c r="N35" s="89" t="str">
        <f>VLOOKUP(Table57[[#This Row],[Field Type]],FieldTypesRef1[],3,FALSE)</f>
        <v/>
      </c>
      <c r="O35" s="3" t="str">
        <f>IF(Table57[[#This Row],[Mandatory]]="Yes","[Required]","")</f>
        <v>[Required]</v>
      </c>
      <c r="P35" s="3" t="str">
        <f>IF(Table57[[#This Row],[Max Length]]&gt;0,CONCATENATE("[MaxLength(",Table57[[#This Row],[Max Length]],")]"),"")</f>
        <v>[MaxLength(400)]</v>
      </c>
      <c r="Q35" s="3" t="str">
        <f>CONCATENATE("""",Table57[[#This Row],[SQL Name]],""" : """,Table57[[#This Row],[Field]],""",")</f>
        <v>"Canadian_Classification_Of_Functions_Of_Government_DESC" : "Canadian Classification of Functions of Government",</v>
      </c>
      <c r="R35" s="71" t="str">
        <f>CONCATENATE("/** Section: ",Table57[[#This Row],[Section]], " **/ ",Table57[[#This Row],[EF Core Annotation1]],Table57[[#This Row],[EF Core Annotation2]],Table57[[#This Row],[EF Core Annotation3]],"public ",Table57[[#This Row],[EF Type]]," ",Table57[[#This Row],[SQL Name]]," {get;set;}")</f>
        <v>/** Section: Program Tag **/ [Required][MaxLength(400)]public string Canadian_Classification_Of_Functions_Of_Government_DESC {get;set;}</v>
      </c>
    </row>
    <row r="36" spans="1:18" x14ac:dyDescent="0.3">
      <c r="A36" s="85" t="s">
        <v>465</v>
      </c>
      <c r="B36" s="85" t="s">
        <v>588</v>
      </c>
      <c r="C36" s="71" t="str">
        <f>SUBSTITUTE(SUBSTITUTE(PROPER(TRIM(CLEAN(Table57[[#This Row],[Field]])))," ","_"),"-","")</f>
        <v>Ultimate_Outcome_1</v>
      </c>
      <c r="D36" s="71" t="s">
        <v>489</v>
      </c>
      <c r="E36" s="71" t="str">
        <f>VLOOKUP(Table57[[#This Row],[Extension]],DescRef1[],2,FALSE)</f>
        <v>DESC</v>
      </c>
      <c r="F36" s="71">
        <v>400</v>
      </c>
      <c r="G36" s="71" t="s">
        <v>568</v>
      </c>
      <c r="H36" s="71" t="str">
        <f>IF(Table57[[#This Row],[Code]]="-", Table57[[#This Row],[Formatted]], CONCATENATE(Table57[[#This Row],[Formatted]],"_",Table57[[#This Row],[Code]]))</f>
        <v>Ultimate_Outcome_1_DESC</v>
      </c>
      <c r="I36" s="71" t="s">
        <v>556</v>
      </c>
      <c r="K36" s="71" t="s">
        <v>21</v>
      </c>
      <c r="M36" s="3" t="str">
        <f>CONCATENATE(VLOOKUP(Table57[[#This Row],[Field Type]],FieldTypesRef1[],2,FALSE),IF(Table57[[#This Row],[Mandatory]]="Yes","","?"))</f>
        <v>string</v>
      </c>
      <c r="N36" s="89" t="str">
        <f>VLOOKUP(Table57[[#This Row],[Field Type]],FieldTypesRef1[],3,FALSE)</f>
        <v/>
      </c>
      <c r="O36" s="3" t="str">
        <f>IF(Table57[[#This Row],[Mandatory]]="Yes","[Required]","")</f>
        <v>[Required]</v>
      </c>
      <c r="P36" s="3" t="str">
        <f>IF(Table57[[#This Row],[Max Length]]&gt;0,CONCATENATE("[MaxLength(",Table57[[#This Row],[Max Length]],")]"),"")</f>
        <v>[MaxLength(400)]</v>
      </c>
      <c r="Q36" s="3" t="str">
        <f>CONCATENATE("""",Table57[[#This Row],[SQL Name]],""" : """,Table57[[#This Row],[Field]],""",")</f>
        <v>"Ultimate_Outcome_1_DESC" : "Ultimate Outcome 1",</v>
      </c>
      <c r="R36" s="71" t="str">
        <f>CONCATENATE("/** Section: ",Table57[[#This Row],[Section]], " **/ ",Table57[[#This Row],[EF Core Annotation1]],Table57[[#This Row],[EF Core Annotation2]],Table57[[#This Row],[EF Core Annotation3]],"public ",Table57[[#This Row],[EF Type]]," ",Table57[[#This Row],[SQL Name]]," {get;set;}")</f>
        <v>/** Section: Program Design Tool **/ [Required][MaxLength(400)]public string Ultimate_Outcome_1_DESC {get;set;}</v>
      </c>
    </row>
    <row r="37" spans="1:18" x14ac:dyDescent="0.3">
      <c r="A37" s="85" t="s">
        <v>465</v>
      </c>
      <c r="B37" s="85" t="s">
        <v>589</v>
      </c>
      <c r="C37" s="71" t="str">
        <f>SUBSTITUTE(SUBSTITUTE(PROPER(TRIM(CLEAN(Table57[[#This Row],[Field]])))," ","_"),"-","")</f>
        <v>Ultimate_Outcome_2</v>
      </c>
      <c r="D37" s="71" t="s">
        <v>489</v>
      </c>
      <c r="E37" s="71" t="str">
        <f>VLOOKUP(Table57[[#This Row],[Extension]],DescRef1[],2,FALSE)</f>
        <v>DESC</v>
      </c>
      <c r="F37" s="71">
        <v>400</v>
      </c>
      <c r="G37" s="71" t="s">
        <v>568</v>
      </c>
      <c r="H37" s="71" t="str">
        <f>IF(Table57[[#This Row],[Code]]="-", Table57[[#This Row],[Formatted]], CONCATENATE(Table57[[#This Row],[Formatted]],"_",Table57[[#This Row],[Code]]))</f>
        <v>Ultimate_Outcome_2_DESC</v>
      </c>
      <c r="I37" s="71" t="s">
        <v>556</v>
      </c>
      <c r="K37" s="71" t="s">
        <v>21</v>
      </c>
      <c r="M37" s="3" t="str">
        <f>CONCATENATE(VLOOKUP(Table57[[#This Row],[Field Type]],FieldTypesRef1[],2,FALSE),IF(Table57[[#This Row],[Mandatory]]="Yes","","?"))</f>
        <v>string</v>
      </c>
      <c r="N37" s="89" t="str">
        <f>VLOOKUP(Table57[[#This Row],[Field Type]],FieldTypesRef1[],3,FALSE)</f>
        <v/>
      </c>
      <c r="O37" s="3" t="str">
        <f>IF(Table57[[#This Row],[Mandatory]]="Yes","[Required]","")</f>
        <v>[Required]</v>
      </c>
      <c r="P37" s="3" t="str">
        <f>IF(Table57[[#This Row],[Max Length]]&gt;0,CONCATENATE("[MaxLength(",Table57[[#This Row],[Max Length]],")]"),"")</f>
        <v>[MaxLength(400)]</v>
      </c>
      <c r="Q37" s="3" t="str">
        <f>CONCATENATE("""",Table57[[#This Row],[SQL Name]],""" : """,Table57[[#This Row],[Field]],""",")</f>
        <v>"Ultimate_Outcome_2_DESC" : "Ultimate Outcome 2",</v>
      </c>
      <c r="R37" s="71" t="str">
        <f>CONCATENATE("/** Section: ",Table57[[#This Row],[Section]], " **/ ",Table57[[#This Row],[EF Core Annotation1]],Table57[[#This Row],[EF Core Annotation2]],Table57[[#This Row],[EF Core Annotation3]],"public ",Table57[[#This Row],[EF Type]]," ",Table57[[#This Row],[SQL Name]]," {get;set;}")</f>
        <v>/** Section: Program Design Tool **/ [Required][MaxLength(400)]public string Ultimate_Outcome_2_DESC {get;set;}</v>
      </c>
    </row>
    <row r="38" spans="1:18" x14ac:dyDescent="0.3">
      <c r="A38" s="85" t="s">
        <v>465</v>
      </c>
      <c r="B38" s="85" t="s">
        <v>22</v>
      </c>
      <c r="C38" s="71" t="str">
        <f>SUBSTITUTE(SUBSTITUTE(PROPER(TRIM(CLEAN(Table57[[#This Row],[Field]])))," ","_"),"-","")</f>
        <v>Intermediate_Outcome</v>
      </c>
      <c r="D38" s="71" t="s">
        <v>545</v>
      </c>
      <c r="E38" s="71" t="str">
        <f>VLOOKUP(Table57[[#This Row],[Extension]],DescRef1[],2,FALSE)</f>
        <v>-</v>
      </c>
      <c r="H38" s="71" t="str">
        <f>IF(Table57[[#This Row],[Code]]="-", Table57[[#This Row],[Formatted]], CONCATENATE(Table57[[#This Row],[Formatted]],"_",Table57[[#This Row],[Code]]))</f>
        <v>Intermediate_Outcome</v>
      </c>
      <c r="I38" s="71" t="s">
        <v>556</v>
      </c>
      <c r="K38" s="71" t="s">
        <v>23</v>
      </c>
      <c r="M38" s="3" t="str">
        <f>CONCATENATE(VLOOKUP(Table57[[#This Row],[Field Type]],FieldTypesRef1[],2,FALSE),IF(Table57[[#This Row],[Mandatory]]="Yes","","?"))</f>
        <v>string?</v>
      </c>
      <c r="N38" s="89" t="str">
        <f>VLOOKUP(Table57[[#This Row],[Field Type]],FieldTypesRef1[],3,FALSE)</f>
        <v/>
      </c>
      <c r="O38" s="3" t="str">
        <f>IF(Table57[[#This Row],[Mandatory]]="Yes","[Required]","")</f>
        <v/>
      </c>
      <c r="P38" s="3" t="str">
        <f>IF(Table57[[#This Row],[Max Length]]&gt;0,CONCATENATE("[MaxLength(",Table57[[#This Row],[Max Length]],")]"),"")</f>
        <v/>
      </c>
      <c r="Q38" s="3" t="str">
        <f>CONCATENATE("""",Table57[[#This Row],[SQL Name]],""" : """,Table57[[#This Row],[Field]],""",")</f>
        <v>"Intermediate_Outcome" : "Intermediate Outcome",</v>
      </c>
      <c r="R38" s="71" t="str">
        <f>CONCATENATE("/** Section: ",Table57[[#This Row],[Section]], " **/ ",Table57[[#This Row],[EF Core Annotation1]],Table57[[#This Row],[EF Core Annotation2]],Table57[[#This Row],[EF Core Annotation3]],"public ",Table57[[#This Row],[EF Type]]," ",Table57[[#This Row],[SQL Name]]," {get;set;}")</f>
        <v>/** Section: Program Design Tool **/ public string? Intermediate_Outcome {get;set;}</v>
      </c>
    </row>
    <row r="39" spans="1:18" x14ac:dyDescent="0.3">
      <c r="B39" s="85" t="s">
        <v>24</v>
      </c>
      <c r="C39" s="71" t="str">
        <f>SUBSTITUTE(SUBSTITUTE(PROPER(TRIM(CLEAN(Table57[[#This Row],[Field]])))," ","_"),"-","")</f>
        <v>Immediate_Outcome</v>
      </c>
      <c r="D39" s="71" t="s">
        <v>545</v>
      </c>
      <c r="E39" s="71" t="str">
        <f>VLOOKUP(Table57[[#This Row],[Extension]],DescRef1[],2,FALSE)</f>
        <v>-</v>
      </c>
      <c r="H39" s="71" t="str">
        <f>IF(Table57[[#This Row],[Code]]="-", Table57[[#This Row],[Formatted]], CONCATENATE(Table57[[#This Row],[Formatted]],"_",Table57[[#This Row],[Code]]))</f>
        <v>Immediate_Outcome</v>
      </c>
      <c r="I39" s="71" t="s">
        <v>556</v>
      </c>
      <c r="K39" s="71" t="s">
        <v>25</v>
      </c>
      <c r="M39" s="3" t="str">
        <f>CONCATENATE(VLOOKUP(Table57[[#This Row],[Field Type]],FieldTypesRef1[],2,FALSE),IF(Table57[[#This Row],[Mandatory]]="Yes","","?"))</f>
        <v>string?</v>
      </c>
      <c r="N39" s="89" t="str">
        <f>VLOOKUP(Table57[[#This Row],[Field Type]],FieldTypesRef1[],3,FALSE)</f>
        <v/>
      </c>
      <c r="O39" s="3" t="str">
        <f>IF(Table57[[#This Row],[Mandatory]]="Yes","[Required]","")</f>
        <v/>
      </c>
      <c r="P39" s="3" t="str">
        <f>IF(Table57[[#This Row],[Max Length]]&gt;0,CONCATENATE("[MaxLength(",Table57[[#This Row],[Max Length]],")]"),"")</f>
        <v/>
      </c>
      <c r="Q39" s="3" t="str">
        <f>CONCATENATE("""",Table57[[#This Row],[SQL Name]],""" : """,Table57[[#This Row],[Field]],""",")</f>
        <v>"Immediate_Outcome" : "Immediate Outcome",</v>
      </c>
      <c r="R39" s="71" t="str">
        <f>CONCATENATE("/** Section: ",Table57[[#This Row],[Section]], " **/ ",Table57[[#This Row],[EF Core Annotation1]],Table57[[#This Row],[EF Core Annotation2]],Table57[[#This Row],[EF Core Annotation3]],"public ",Table57[[#This Row],[EF Type]]," ",Table57[[#This Row],[SQL Name]]," {get;set;}")</f>
        <v>/** Section:  **/ public string? Immediate_Outcome {get;set;}</v>
      </c>
    </row>
    <row r="40" spans="1:18" x14ac:dyDescent="0.3">
      <c r="B40" s="85" t="s">
        <v>26</v>
      </c>
      <c r="C40" s="71" t="str">
        <f>SUBSTITUTE(SUBSTITUTE(PROPER(TRIM(CLEAN(Table57[[#This Row],[Field]])))," ","_"),"-","")</f>
        <v>Outputs</v>
      </c>
      <c r="D40" s="71" t="s">
        <v>545</v>
      </c>
      <c r="E40" s="71" t="str">
        <f>VLOOKUP(Table57[[#This Row],[Extension]],DescRef1[],2,FALSE)</f>
        <v>-</v>
      </c>
      <c r="H40" s="71" t="str">
        <f>IF(Table57[[#This Row],[Code]]="-", Table57[[#This Row],[Formatted]], CONCATENATE(Table57[[#This Row],[Formatted]],"_",Table57[[#This Row],[Code]]))</f>
        <v>Outputs</v>
      </c>
      <c r="I40" s="71" t="s">
        <v>78</v>
      </c>
      <c r="K40" s="71" t="s">
        <v>27</v>
      </c>
      <c r="M40" s="3" t="str">
        <f>CONCATENATE(VLOOKUP(Table57[[#This Row],[Field Type]],FieldTypesRef1[],2,FALSE),IF(Table57[[#This Row],[Mandatory]]="Yes","","?"))</f>
        <v>string?</v>
      </c>
      <c r="N40" s="89" t="str">
        <f>VLOOKUP(Table57[[#This Row],[Field Type]],FieldTypesRef1[],3,FALSE)</f>
        <v/>
      </c>
      <c r="O40" s="3" t="str">
        <f>IF(Table57[[#This Row],[Mandatory]]="Yes","[Required]","")</f>
        <v/>
      </c>
      <c r="P40" s="3" t="str">
        <f>IF(Table57[[#This Row],[Max Length]]&gt;0,CONCATENATE("[MaxLength(",Table57[[#This Row],[Max Length]],")]"),"")</f>
        <v/>
      </c>
      <c r="Q40" s="3" t="str">
        <f>CONCATENATE("""",Table57[[#This Row],[SQL Name]],""" : """,Table57[[#This Row],[Field]],""",")</f>
        <v>"Outputs" : "Outputs",</v>
      </c>
      <c r="R40" s="71" t="str">
        <f>CONCATENATE("/** Section: ",Table57[[#This Row],[Section]], " **/ ",Table57[[#This Row],[EF Core Annotation1]],Table57[[#This Row],[EF Core Annotation2]],Table57[[#This Row],[EF Core Annotation3]],"public ",Table57[[#This Row],[EF Type]]," ",Table57[[#This Row],[SQL Name]]," {get;set;}")</f>
        <v>/** Section:  **/ public string? Outputs {get;set;}</v>
      </c>
    </row>
    <row r="41" spans="1:18" x14ac:dyDescent="0.3">
      <c r="B41" s="85" t="s">
        <v>28</v>
      </c>
      <c r="C41" s="71" t="str">
        <f>SUBSTITUTE(SUBSTITUTE(PROPER(TRIM(CLEAN(Table57[[#This Row],[Field]])))," ","_"),"-","")</f>
        <v>Activities</v>
      </c>
      <c r="D41" s="71" t="s">
        <v>545</v>
      </c>
      <c r="E41" s="71" t="str">
        <f>VLOOKUP(Table57[[#This Row],[Extension]],DescRef1[],2,FALSE)</f>
        <v>-</v>
      </c>
      <c r="H41" s="71" t="str">
        <f>IF(Table57[[#This Row],[Code]]="-", Table57[[#This Row],[Formatted]], CONCATENATE(Table57[[#This Row],[Formatted]],"_",Table57[[#This Row],[Code]]))</f>
        <v>Activities</v>
      </c>
      <c r="I41" s="71" t="s">
        <v>78</v>
      </c>
      <c r="K41" s="71" t="s">
        <v>27</v>
      </c>
      <c r="M41" s="3" t="str">
        <f>CONCATENATE(VLOOKUP(Table57[[#This Row],[Field Type]],FieldTypesRef1[],2,FALSE),IF(Table57[[#This Row],[Mandatory]]="Yes","","?"))</f>
        <v>string?</v>
      </c>
      <c r="N41" s="89" t="str">
        <f>VLOOKUP(Table57[[#This Row],[Field Type]],FieldTypesRef1[],3,FALSE)</f>
        <v/>
      </c>
      <c r="O41" s="3" t="str">
        <f>IF(Table57[[#This Row],[Mandatory]]="Yes","[Required]","")</f>
        <v/>
      </c>
      <c r="P41" s="3" t="str">
        <f>IF(Table57[[#This Row],[Max Length]]&gt;0,CONCATENATE("[MaxLength(",Table57[[#This Row],[Max Length]],")]"),"")</f>
        <v/>
      </c>
      <c r="Q41" s="3" t="str">
        <f>CONCATENATE("""",Table57[[#This Row],[SQL Name]],""" : """,Table57[[#This Row],[Field]],""",")</f>
        <v>"Activities" : "Activities",</v>
      </c>
      <c r="R41" s="71" t="str">
        <f>CONCATENATE("/** Section: ",Table57[[#This Row],[Section]], " **/ ",Table57[[#This Row],[EF Core Annotation1]],Table57[[#This Row],[EF Core Annotation2]],Table57[[#This Row],[EF Core Annotation3]],"public ",Table57[[#This Row],[EF Type]]," ",Table57[[#This Row],[SQL Name]]," {get;set;}")</f>
        <v>/** Section:  **/ public string? Activities {get;set;}</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'Datahub Reference'!$A$33:$A$40</xm:f>
          </x14:formula1>
          <xm:sqref>I2:I41</xm:sqref>
        </x14:dataValidation>
        <x14:dataValidation type="list" allowBlank="1" showInputMessage="1" showErrorMessage="1">
          <x14:formula1>
            <xm:f>'Datahub Reference'!$A$3:$A$30</xm:f>
          </x14:formula1>
          <xm:sqref>D1:D1048576</xm:sqref>
        </x14:dataValidation>
        <x14:dataValidation type="list" allowBlank="1" showInputMessage="1" showErrorMessage="1">
          <x14:formula1>
            <xm:f>Sheet2!$C$2:$C$10</xm:f>
          </x14:formula1>
          <xm:sqref>L2:L305 M42:P305</xm:sqref>
        </x14:dataValidation>
        <x14:dataValidation type="list" allowBlank="1" showInputMessage="1" showErrorMessage="1">
          <x14:formula1>
            <xm:f>Sheet2!$A$2:A$9</xm:f>
          </x14:formula1>
          <xm:sqref>I42:I172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14.4" x14ac:dyDescent="0.3"/>
  <cols>
    <col min="1" max="1" width="55.21875" style="3" customWidth="1"/>
  </cols>
  <sheetData>
    <row r="1" spans="1:1" ht="21" x14ac:dyDescent="0.4">
      <c r="A1" s="96" t="s">
        <v>2</v>
      </c>
    </row>
    <row r="2" spans="1:1" ht="115.2" x14ac:dyDescent="0.3">
      <c r="A2" s="81" t="s">
        <v>629</v>
      </c>
    </row>
    <row r="3" spans="1:1" ht="43.2" x14ac:dyDescent="0.3">
      <c r="A3" s="81" t="s">
        <v>627</v>
      </c>
    </row>
    <row r="4" spans="1:1" ht="43.2" x14ac:dyDescent="0.3">
      <c r="A4" s="81" t="s">
        <v>626</v>
      </c>
    </row>
    <row r="5" spans="1:1" ht="86.4" x14ac:dyDescent="0.3">
      <c r="A5" s="81" t="s">
        <v>625</v>
      </c>
    </row>
    <row r="6" spans="1:1" ht="403.2" x14ac:dyDescent="0.3">
      <c r="A6" s="81" t="s">
        <v>628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E37" sqref="E37"/>
    </sheetView>
  </sheetViews>
  <sheetFormatPr defaultRowHeight="14.4" x14ac:dyDescent="0.3"/>
  <cols>
    <col min="1" max="1" width="21.77734375" bestFit="1" customWidth="1"/>
    <col min="3" max="3" width="23.21875" bestFit="1" customWidth="1"/>
  </cols>
  <sheetData>
    <row r="1" spans="1:3" x14ac:dyDescent="0.3">
      <c r="A1" s="3" t="s">
        <v>85</v>
      </c>
      <c r="B1" s="3"/>
      <c r="C1" s="3" t="s">
        <v>3</v>
      </c>
    </row>
    <row r="2" spans="1:3" x14ac:dyDescent="0.3">
      <c r="A2" s="3" t="s">
        <v>15</v>
      </c>
      <c r="B2" s="3"/>
      <c r="C2" s="3" t="s">
        <v>86</v>
      </c>
    </row>
    <row r="3" spans="1:3" x14ac:dyDescent="0.3">
      <c r="A3" s="3" t="s">
        <v>9</v>
      </c>
      <c r="B3" s="3"/>
      <c r="C3" s="3" t="s">
        <v>15</v>
      </c>
    </row>
    <row r="4" spans="1:3" x14ac:dyDescent="0.3">
      <c r="A4" s="3" t="s">
        <v>11</v>
      </c>
      <c r="B4" s="3"/>
      <c r="C4" s="3" t="s">
        <v>9</v>
      </c>
    </row>
    <row r="5" spans="1:3" x14ac:dyDescent="0.3">
      <c r="A5" s="3" t="s">
        <v>76</v>
      </c>
      <c r="B5" s="3"/>
      <c r="C5" s="3" t="s">
        <v>87</v>
      </c>
    </row>
    <row r="6" spans="1:3" x14ac:dyDescent="0.3">
      <c r="A6" s="3" t="s">
        <v>54</v>
      </c>
      <c r="B6" s="3"/>
      <c r="C6" s="3" t="s">
        <v>88</v>
      </c>
    </row>
    <row r="7" spans="1:3" x14ac:dyDescent="0.3">
      <c r="A7" s="3" t="s">
        <v>13</v>
      </c>
      <c r="B7" s="3"/>
      <c r="C7" s="3" t="s">
        <v>89</v>
      </c>
    </row>
    <row r="8" spans="1:3" x14ac:dyDescent="0.3">
      <c r="A8" s="3" t="s">
        <v>7</v>
      </c>
      <c r="B8" s="3"/>
      <c r="C8" s="3" t="s">
        <v>90</v>
      </c>
    </row>
    <row r="9" spans="1:3" x14ac:dyDescent="0.3">
      <c r="A9" s="3" t="s">
        <v>5</v>
      </c>
      <c r="B9" s="3"/>
      <c r="C9" s="3" t="s">
        <v>91</v>
      </c>
    </row>
    <row r="10" spans="1:3" x14ac:dyDescent="0.3">
      <c r="A10" s="3"/>
      <c r="B10" s="3"/>
      <c r="C10" s="3" t="s">
        <v>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305"/>
  <sheetViews>
    <sheetView topLeftCell="A31" workbookViewId="0">
      <selection sqref="A1:I1"/>
    </sheetView>
  </sheetViews>
  <sheetFormatPr defaultColWidth="9.21875" defaultRowHeight="14.4" x14ac:dyDescent="0.3"/>
  <cols>
    <col min="1" max="1" width="147.77734375" style="3" bestFit="1" customWidth="1"/>
    <col min="2" max="2" width="55" style="3" bestFit="1" customWidth="1"/>
    <col min="3" max="3" width="10.44140625" style="3" bestFit="1" customWidth="1"/>
    <col min="4" max="4" width="54.21875" style="3" bestFit="1" customWidth="1"/>
    <col min="5" max="5" width="9.21875" style="3" hidden="1" customWidth="1"/>
    <col min="6" max="6" width="93.77734375" style="3" customWidth="1"/>
    <col min="7" max="7" width="9.21875" style="3" hidden="1" customWidth="1"/>
    <col min="8" max="8" width="155" style="3" bestFit="1" customWidth="1"/>
    <col min="9" max="9" width="9.21875" style="3" hidden="1" customWidth="1"/>
    <col min="10" max="16384" width="9.21875" style="3"/>
  </cols>
  <sheetData>
    <row r="1" spans="1:11" x14ac:dyDescent="0.3">
      <c r="A1" s="123"/>
      <c r="B1" s="123"/>
      <c r="C1" s="123"/>
      <c r="D1" s="123"/>
      <c r="E1" s="123"/>
      <c r="F1" s="123"/>
      <c r="G1" s="123"/>
      <c r="H1" s="123"/>
      <c r="I1" s="124"/>
      <c r="J1" s="70"/>
      <c r="K1" s="70"/>
    </row>
    <row r="2" spans="1:11" x14ac:dyDescent="0.3">
      <c r="A2" s="14"/>
      <c r="B2" s="14"/>
      <c r="C2" s="14"/>
      <c r="D2" s="68" t="s">
        <v>93</v>
      </c>
      <c r="E2" s="14"/>
      <c r="F2" s="69"/>
      <c r="G2" s="14"/>
      <c r="H2" s="68" t="s">
        <v>94</v>
      </c>
      <c r="I2" s="14"/>
    </row>
    <row r="3" spans="1:11" x14ac:dyDescent="0.3">
      <c r="A3" s="14"/>
      <c r="B3" s="14"/>
      <c r="C3" s="14"/>
      <c r="D3" s="35" t="s">
        <v>95</v>
      </c>
      <c r="E3" s="14"/>
      <c r="F3" s="35"/>
      <c r="G3" s="14"/>
      <c r="H3" s="35" t="s">
        <v>95</v>
      </c>
      <c r="I3" s="14"/>
    </row>
    <row r="4" spans="1:11" x14ac:dyDescent="0.3">
      <c r="A4" s="67" t="s">
        <v>96</v>
      </c>
      <c r="B4" s="66"/>
      <c r="C4" s="14"/>
      <c r="D4" s="24" t="s">
        <v>97</v>
      </c>
      <c r="E4" s="14"/>
      <c r="F4" s="58"/>
      <c r="G4" s="14"/>
      <c r="H4" s="65"/>
      <c r="I4" s="14"/>
    </row>
    <row r="5" spans="1:11" x14ac:dyDescent="0.3">
      <c r="A5" s="58" t="s">
        <v>98</v>
      </c>
      <c r="B5" s="49"/>
      <c r="C5" s="14"/>
      <c r="D5" s="24" t="s">
        <v>99</v>
      </c>
      <c r="E5" s="14"/>
      <c r="F5" s="63"/>
      <c r="G5" s="14"/>
      <c r="H5" s="24"/>
      <c r="I5" s="14"/>
    </row>
    <row r="6" spans="1:11" x14ac:dyDescent="0.3">
      <c r="A6" s="27" t="s">
        <v>100</v>
      </c>
      <c r="B6" s="64"/>
      <c r="C6" s="14"/>
      <c r="D6" s="24" t="s">
        <v>101</v>
      </c>
      <c r="E6" s="14"/>
      <c r="F6" s="63"/>
      <c r="G6" s="14"/>
      <c r="H6" s="24"/>
      <c r="I6" s="14"/>
    </row>
    <row r="7" spans="1:11" x14ac:dyDescent="0.3">
      <c r="A7" s="27" t="s">
        <v>102</v>
      </c>
      <c r="B7" s="12"/>
      <c r="C7" s="14"/>
      <c r="D7" s="24" t="s">
        <v>103</v>
      </c>
      <c r="E7" s="14"/>
      <c r="F7" s="63"/>
      <c r="G7" s="14"/>
      <c r="H7" s="24"/>
      <c r="I7" s="14"/>
    </row>
    <row r="8" spans="1:11" x14ac:dyDescent="0.3">
      <c r="A8" s="18" t="s">
        <v>104</v>
      </c>
      <c r="B8" s="12"/>
      <c r="C8" s="14"/>
      <c r="D8" s="24" t="s">
        <v>105</v>
      </c>
      <c r="E8" s="14"/>
      <c r="F8" s="63"/>
      <c r="G8" s="14"/>
      <c r="H8" s="24"/>
      <c r="I8" s="14"/>
    </row>
    <row r="9" spans="1:11" x14ac:dyDescent="0.3">
      <c r="A9" s="18" t="s">
        <v>106</v>
      </c>
      <c r="B9" s="12"/>
      <c r="C9" s="14"/>
      <c r="D9" s="24" t="s">
        <v>107</v>
      </c>
      <c r="E9" s="14"/>
      <c r="F9" s="63"/>
      <c r="G9" s="14"/>
      <c r="H9" s="24"/>
      <c r="I9" s="14"/>
    </row>
    <row r="10" spans="1:11" x14ac:dyDescent="0.3">
      <c r="A10" s="18" t="s">
        <v>108</v>
      </c>
      <c r="B10" s="12"/>
      <c r="C10" s="14"/>
      <c r="D10" s="24" t="s">
        <v>109</v>
      </c>
      <c r="E10" s="14"/>
      <c r="F10" s="63"/>
      <c r="G10" s="14"/>
      <c r="H10" s="24"/>
      <c r="I10" s="14"/>
    </row>
    <row r="11" spans="1:11" x14ac:dyDescent="0.3">
      <c r="A11" s="26" t="s">
        <v>110</v>
      </c>
      <c r="B11" s="12"/>
      <c r="C11" s="14"/>
      <c r="D11" s="24" t="s">
        <v>111</v>
      </c>
      <c r="E11" s="14"/>
      <c r="F11" s="63"/>
      <c r="G11" s="14"/>
      <c r="H11" s="62"/>
      <c r="I11" s="14"/>
    </row>
    <row r="12" spans="1:11" x14ac:dyDescent="0.3">
      <c r="A12" s="12" t="s">
        <v>112</v>
      </c>
      <c r="B12" s="14"/>
      <c r="C12" s="14"/>
      <c r="D12" s="24" t="s">
        <v>113</v>
      </c>
      <c r="E12" s="14"/>
      <c r="F12" s="63"/>
      <c r="G12" s="14"/>
      <c r="H12" s="62"/>
      <c r="I12" s="14"/>
    </row>
    <row r="13" spans="1:11" x14ac:dyDescent="0.3">
      <c r="A13" s="14"/>
      <c r="B13" s="28"/>
      <c r="C13" s="14"/>
      <c r="D13" s="24" t="s">
        <v>114</v>
      </c>
      <c r="E13" s="14"/>
      <c r="F13" s="63"/>
      <c r="G13" s="14"/>
      <c r="H13" s="62"/>
      <c r="I13" s="14"/>
    </row>
    <row r="14" spans="1:11" x14ac:dyDescent="0.3">
      <c r="A14" s="28"/>
      <c r="B14" s="47"/>
      <c r="C14" s="14"/>
      <c r="D14" s="24" t="s">
        <v>115</v>
      </c>
      <c r="E14" s="14"/>
      <c r="F14" s="63"/>
      <c r="G14" s="14"/>
      <c r="H14" s="62"/>
      <c r="I14" s="14"/>
    </row>
    <row r="15" spans="1:11" x14ac:dyDescent="0.3">
      <c r="A15" s="50" t="s">
        <v>116</v>
      </c>
      <c r="B15" s="49"/>
      <c r="C15" s="14"/>
      <c r="D15" s="24" t="s">
        <v>117</v>
      </c>
      <c r="E15" s="14"/>
      <c r="F15" s="63"/>
      <c r="G15" s="14"/>
      <c r="H15" s="62"/>
      <c r="I15" s="14"/>
    </row>
    <row r="16" spans="1:11" x14ac:dyDescent="0.3">
      <c r="A16" s="35" t="s">
        <v>95</v>
      </c>
      <c r="B16" s="48"/>
      <c r="C16" s="14"/>
      <c r="D16" s="24" t="s">
        <v>118</v>
      </c>
      <c r="E16" s="14"/>
      <c r="F16" s="63"/>
      <c r="G16" s="14"/>
      <c r="H16" s="62"/>
      <c r="I16" s="14"/>
    </row>
    <row r="17" spans="1:11" x14ac:dyDescent="0.3">
      <c r="A17" s="24" t="s">
        <v>119</v>
      </c>
      <c r="B17" s="48"/>
      <c r="C17" s="14"/>
      <c r="D17" s="24" t="s">
        <v>120</v>
      </c>
      <c r="E17" s="14"/>
      <c r="F17" s="24"/>
      <c r="G17" s="14"/>
      <c r="H17" s="62"/>
      <c r="I17" s="14"/>
    </row>
    <row r="18" spans="1:11" x14ac:dyDescent="0.3">
      <c r="A18" s="24" t="s">
        <v>121</v>
      </c>
      <c r="B18" s="48"/>
      <c r="C18" s="14"/>
      <c r="D18" s="24" t="s">
        <v>122</v>
      </c>
      <c r="E18" s="14"/>
      <c r="F18" s="24"/>
      <c r="G18" s="14"/>
      <c r="H18" s="62"/>
      <c r="I18" s="14"/>
    </row>
    <row r="19" spans="1:11" x14ac:dyDescent="0.3">
      <c r="A19" s="24" t="s">
        <v>123</v>
      </c>
      <c r="B19" s="48"/>
      <c r="C19" s="14"/>
      <c r="D19" s="24" t="s">
        <v>124</v>
      </c>
      <c r="E19" s="14"/>
      <c r="F19" s="24"/>
      <c r="G19" s="14"/>
      <c r="H19" s="62"/>
      <c r="I19" s="14"/>
    </row>
    <row r="20" spans="1:11" x14ac:dyDescent="0.3">
      <c r="A20" s="24" t="s">
        <v>125</v>
      </c>
      <c r="B20" s="48"/>
      <c r="C20" s="14"/>
      <c r="D20" s="24" t="s">
        <v>126</v>
      </c>
      <c r="E20" s="14"/>
      <c r="F20" s="58" t="s">
        <v>95</v>
      </c>
      <c r="G20" s="14"/>
      <c r="H20" s="62"/>
      <c r="I20" s="14"/>
    </row>
    <row r="21" spans="1:11" x14ac:dyDescent="0.3">
      <c r="A21" s="24" t="s">
        <v>127</v>
      </c>
      <c r="B21" s="48"/>
      <c r="C21" s="14"/>
      <c r="D21" s="24" t="s">
        <v>128</v>
      </c>
      <c r="E21" s="14"/>
      <c r="F21" s="24" t="s">
        <v>129</v>
      </c>
      <c r="G21" s="14"/>
      <c r="H21" s="62"/>
      <c r="I21" s="14"/>
    </row>
    <row r="22" spans="1:11" x14ac:dyDescent="0.3">
      <c r="A22" s="24" t="s">
        <v>130</v>
      </c>
      <c r="B22" s="61"/>
      <c r="C22" s="14"/>
      <c r="D22" s="24" t="s">
        <v>131</v>
      </c>
      <c r="E22" s="14"/>
      <c r="F22" s="24" t="s">
        <v>132</v>
      </c>
      <c r="G22" s="14"/>
      <c r="H22" s="37"/>
      <c r="I22" s="14"/>
    </row>
    <row r="23" spans="1:11" x14ac:dyDescent="0.3">
      <c r="A23" s="62" t="s">
        <v>133</v>
      </c>
      <c r="B23" s="61"/>
      <c r="C23" s="14"/>
      <c r="D23" s="24" t="s">
        <v>134</v>
      </c>
      <c r="E23" s="14"/>
      <c r="F23" s="24" t="s">
        <v>135</v>
      </c>
      <c r="G23" s="14"/>
      <c r="H23" s="14"/>
      <c r="I23" s="14"/>
    </row>
    <row r="24" spans="1:11" x14ac:dyDescent="0.3">
      <c r="A24" s="62" t="s">
        <v>136</v>
      </c>
      <c r="B24" s="61"/>
      <c r="C24" s="14"/>
      <c r="D24" s="24" t="s">
        <v>137</v>
      </c>
      <c r="E24" s="14"/>
      <c r="F24" s="24" t="s">
        <v>138</v>
      </c>
      <c r="G24" s="14"/>
      <c r="H24" s="60" t="s">
        <v>139</v>
      </c>
      <c r="I24" s="14"/>
    </row>
    <row r="25" spans="1:11" x14ac:dyDescent="0.3">
      <c r="A25" s="59" t="s">
        <v>140</v>
      </c>
      <c r="B25" s="14"/>
      <c r="C25" s="14"/>
      <c r="D25" s="24" t="s">
        <v>141</v>
      </c>
      <c r="E25" s="14"/>
      <c r="F25" s="58" t="s">
        <v>95</v>
      </c>
      <c r="G25" s="14"/>
      <c r="H25" s="35" t="s">
        <v>95</v>
      </c>
      <c r="I25" s="14"/>
    </row>
    <row r="26" spans="1:11" x14ac:dyDescent="0.3">
      <c r="A26" s="14"/>
      <c r="B26" s="57"/>
      <c r="C26" s="14"/>
      <c r="D26" s="24" t="s">
        <v>142</v>
      </c>
      <c r="E26" s="14"/>
      <c r="F26" s="24" t="s">
        <v>143</v>
      </c>
      <c r="G26" s="14"/>
      <c r="H26" s="52" t="s">
        <v>144</v>
      </c>
      <c r="I26" s="14"/>
    </row>
    <row r="27" spans="1:11" x14ac:dyDescent="0.3">
      <c r="A27" s="56" t="s">
        <v>145</v>
      </c>
      <c r="B27" s="55"/>
      <c r="C27" s="14"/>
      <c r="D27" s="24" t="s">
        <v>146</v>
      </c>
      <c r="E27" s="14"/>
      <c r="F27" s="24" t="s">
        <v>147</v>
      </c>
      <c r="G27" s="14"/>
      <c r="H27" s="52" t="s">
        <v>148</v>
      </c>
      <c r="I27" s="14"/>
    </row>
    <row r="28" spans="1:11" x14ac:dyDescent="0.3">
      <c r="A28" s="54" t="s">
        <v>95</v>
      </c>
      <c r="B28" s="48"/>
      <c r="C28" s="14"/>
      <c r="D28" s="24" t="s">
        <v>149</v>
      </c>
      <c r="E28" s="14"/>
      <c r="F28" s="24"/>
      <c r="G28" s="14"/>
      <c r="H28" s="52" t="s">
        <v>150</v>
      </c>
      <c r="I28" s="15"/>
      <c r="J28" s="15"/>
      <c r="K28" s="15"/>
    </row>
    <row r="29" spans="1:11" x14ac:dyDescent="0.3">
      <c r="A29" s="24" t="s">
        <v>151</v>
      </c>
      <c r="B29" s="48"/>
      <c r="C29" s="14"/>
      <c r="D29" s="24" t="s">
        <v>152</v>
      </c>
      <c r="E29" s="14"/>
      <c r="F29" s="24"/>
      <c r="G29" s="14"/>
      <c r="H29" s="53" t="s">
        <v>153</v>
      </c>
      <c r="I29" s="15"/>
      <c r="J29" s="15"/>
      <c r="K29" s="15"/>
    </row>
    <row r="30" spans="1:11" x14ac:dyDescent="0.3">
      <c r="A30" s="24" t="s">
        <v>154</v>
      </c>
      <c r="B30" s="48"/>
      <c r="C30" s="14"/>
      <c r="D30" s="24" t="s">
        <v>155</v>
      </c>
      <c r="E30" s="14"/>
      <c r="F30" s="24"/>
      <c r="G30" s="14"/>
      <c r="H30" s="52" t="s">
        <v>156</v>
      </c>
      <c r="I30" s="14"/>
    </row>
    <row r="31" spans="1:11" x14ac:dyDescent="0.3">
      <c r="A31" s="24" t="s">
        <v>157</v>
      </c>
      <c r="B31" s="48"/>
      <c r="C31" s="14"/>
      <c r="D31" s="24" t="s">
        <v>158</v>
      </c>
      <c r="E31" s="14"/>
      <c r="F31" s="24"/>
      <c r="G31" s="14"/>
      <c r="H31" s="52" t="s">
        <v>159</v>
      </c>
      <c r="I31" s="14"/>
    </row>
    <row r="32" spans="1:11" x14ac:dyDescent="0.3">
      <c r="A32" s="24" t="s">
        <v>160</v>
      </c>
      <c r="B32" s="48"/>
      <c r="C32" s="14"/>
      <c r="D32" s="24" t="s">
        <v>161</v>
      </c>
      <c r="E32" s="14"/>
      <c r="F32" s="24"/>
      <c r="G32" s="14"/>
      <c r="H32" s="51" t="s">
        <v>162</v>
      </c>
      <c r="I32" s="14"/>
    </row>
    <row r="33" spans="1:11" x14ac:dyDescent="0.3">
      <c r="A33" s="24" t="s">
        <v>163</v>
      </c>
      <c r="B33" s="48"/>
      <c r="C33" s="14"/>
      <c r="D33" s="24" t="s">
        <v>164</v>
      </c>
      <c r="E33" s="14"/>
      <c r="F33" s="24"/>
      <c r="G33" s="14"/>
      <c r="H33" s="51" t="s">
        <v>165</v>
      </c>
      <c r="I33" s="14"/>
    </row>
    <row r="34" spans="1:11" x14ac:dyDescent="0.3">
      <c r="A34" s="22" t="s">
        <v>140</v>
      </c>
      <c r="B34" s="10"/>
      <c r="C34" s="14"/>
      <c r="D34" s="24" t="s">
        <v>166</v>
      </c>
      <c r="E34" s="14"/>
      <c r="F34" s="24"/>
      <c r="G34" s="14"/>
      <c r="H34" s="51" t="s">
        <v>167</v>
      </c>
      <c r="I34" s="14"/>
    </row>
    <row r="35" spans="1:11" x14ac:dyDescent="0.3">
      <c r="A35" s="10"/>
      <c r="B35" s="47"/>
      <c r="C35" s="14"/>
      <c r="D35" s="24" t="s">
        <v>168</v>
      </c>
      <c r="E35" s="14"/>
      <c r="F35" s="24"/>
      <c r="G35" s="14"/>
      <c r="H35" s="27"/>
      <c r="I35" s="14"/>
    </row>
    <row r="36" spans="1:11" x14ac:dyDescent="0.3">
      <c r="A36" s="50" t="s">
        <v>169</v>
      </c>
      <c r="B36" s="49"/>
      <c r="C36" s="14"/>
      <c r="D36" s="24" t="s">
        <v>170</v>
      </c>
      <c r="E36" s="14"/>
      <c r="F36" s="24"/>
      <c r="G36" s="14"/>
      <c r="H36" s="27"/>
      <c r="I36" s="14"/>
    </row>
    <row r="37" spans="1:11" x14ac:dyDescent="0.3">
      <c r="A37" s="35" t="s">
        <v>95</v>
      </c>
      <c r="B37" s="48"/>
      <c r="C37" s="14"/>
      <c r="D37" s="24" t="s">
        <v>171</v>
      </c>
      <c r="E37" s="14"/>
      <c r="F37" s="24"/>
      <c r="G37" s="14"/>
      <c r="H37" s="27"/>
      <c r="I37" s="15"/>
      <c r="J37" s="15"/>
      <c r="K37" s="15"/>
    </row>
    <row r="38" spans="1:11" x14ac:dyDescent="0.3">
      <c r="A38" s="24" t="s">
        <v>172</v>
      </c>
      <c r="B38" s="48"/>
      <c r="C38" s="14"/>
      <c r="D38" s="24" t="s">
        <v>173</v>
      </c>
      <c r="E38" s="14"/>
      <c r="F38" s="24"/>
      <c r="G38" s="14"/>
      <c r="H38" s="27"/>
      <c r="I38" s="15"/>
      <c r="J38" s="15"/>
      <c r="K38" s="15"/>
    </row>
    <row r="39" spans="1:11" x14ac:dyDescent="0.3">
      <c r="A39" s="24" t="s">
        <v>174</v>
      </c>
      <c r="B39" s="48"/>
      <c r="C39" s="14"/>
      <c r="D39" s="24" t="s">
        <v>175</v>
      </c>
      <c r="E39" s="14"/>
      <c r="F39" s="24"/>
      <c r="G39" s="14"/>
      <c r="H39" s="27"/>
      <c r="I39" s="15"/>
      <c r="J39" s="15"/>
      <c r="K39" s="15"/>
    </row>
    <row r="40" spans="1:11" x14ac:dyDescent="0.3">
      <c r="A40" s="24" t="s">
        <v>176</v>
      </c>
      <c r="B40" s="48"/>
      <c r="C40" s="10"/>
      <c r="D40" s="24" t="s">
        <v>177</v>
      </c>
      <c r="E40" s="10"/>
      <c r="F40" s="24"/>
      <c r="G40" s="10"/>
      <c r="H40" s="27"/>
      <c r="I40" s="10"/>
      <c r="J40" s="10"/>
      <c r="K40" s="10"/>
    </row>
    <row r="41" spans="1:11" x14ac:dyDescent="0.3">
      <c r="A41" s="24" t="s">
        <v>178</v>
      </c>
      <c r="B41" s="48"/>
      <c r="C41" s="10"/>
      <c r="D41" s="24" t="s">
        <v>179</v>
      </c>
      <c r="E41" s="10"/>
      <c r="F41" s="24"/>
      <c r="G41" s="10"/>
      <c r="H41" s="27"/>
      <c r="I41" s="10"/>
      <c r="J41" s="10"/>
      <c r="K41" s="10"/>
    </row>
    <row r="42" spans="1:11" x14ac:dyDescent="0.3">
      <c r="A42" s="24" t="s">
        <v>180</v>
      </c>
      <c r="B42" s="48"/>
      <c r="C42" s="10"/>
      <c r="D42" s="24" t="s">
        <v>181</v>
      </c>
      <c r="E42" s="10"/>
      <c r="F42" s="24"/>
      <c r="G42" s="10"/>
      <c r="H42" s="27"/>
      <c r="I42" s="10"/>
      <c r="J42" s="10"/>
      <c r="K42" s="10"/>
    </row>
    <row r="43" spans="1:11" x14ac:dyDescent="0.3">
      <c r="A43" s="24" t="s">
        <v>182</v>
      </c>
      <c r="B43" s="48"/>
      <c r="C43" s="10"/>
      <c r="D43" s="24" t="s">
        <v>183</v>
      </c>
      <c r="E43" s="10"/>
      <c r="F43" s="24"/>
      <c r="G43" s="10"/>
      <c r="H43" s="27"/>
      <c r="I43" s="10"/>
      <c r="J43" s="10"/>
      <c r="K43" s="10"/>
    </row>
    <row r="44" spans="1:11" x14ac:dyDescent="0.3">
      <c r="A44" s="24" t="s">
        <v>184</v>
      </c>
      <c r="B44" s="48"/>
      <c r="C44" s="10"/>
      <c r="D44" s="24" t="s">
        <v>185</v>
      </c>
      <c r="E44" s="10"/>
      <c r="F44" s="24"/>
      <c r="G44" s="10"/>
      <c r="H44" s="27"/>
      <c r="I44" s="10"/>
      <c r="J44" s="10"/>
      <c r="K44" s="10"/>
    </row>
    <row r="45" spans="1:11" x14ac:dyDescent="0.3">
      <c r="A45" s="22" t="s">
        <v>186</v>
      </c>
      <c r="B45" s="10"/>
      <c r="C45" s="10"/>
      <c r="D45" s="24" t="s">
        <v>187</v>
      </c>
      <c r="E45" s="10"/>
      <c r="F45" s="24"/>
      <c r="G45" s="10"/>
      <c r="H45" s="27"/>
      <c r="I45" s="10"/>
      <c r="J45" s="10"/>
      <c r="K45" s="10"/>
    </row>
    <row r="46" spans="1:11" x14ac:dyDescent="0.3">
      <c r="A46" s="10"/>
      <c r="B46" s="47"/>
      <c r="C46" s="14"/>
      <c r="D46" s="24" t="s">
        <v>188</v>
      </c>
      <c r="E46" s="14"/>
      <c r="F46" s="24"/>
      <c r="G46" s="14"/>
      <c r="H46" s="27"/>
      <c r="I46" s="15"/>
      <c r="J46" s="15"/>
      <c r="K46" s="15"/>
    </row>
    <row r="47" spans="1:11" x14ac:dyDescent="0.3">
      <c r="A47" s="47" t="s">
        <v>189</v>
      </c>
      <c r="B47" s="46"/>
      <c r="C47" s="10"/>
      <c r="D47" s="24" t="s">
        <v>190</v>
      </c>
      <c r="E47" s="10"/>
      <c r="F47" s="24"/>
      <c r="G47" s="10"/>
      <c r="H47" s="27"/>
      <c r="I47" s="10"/>
      <c r="J47" s="10"/>
      <c r="K47" s="10"/>
    </row>
    <row r="48" spans="1:11" x14ac:dyDescent="0.3">
      <c r="A48" s="45" t="s">
        <v>95</v>
      </c>
      <c r="B48" s="44" t="s">
        <v>95</v>
      </c>
      <c r="C48" s="10"/>
      <c r="D48" s="24" t="s">
        <v>191</v>
      </c>
      <c r="E48" s="10"/>
      <c r="F48" s="24"/>
      <c r="G48" s="10"/>
      <c r="H48" s="27"/>
      <c r="I48" s="10"/>
      <c r="J48" s="10"/>
      <c r="K48" s="10"/>
    </row>
    <row r="49" spans="1:11" x14ac:dyDescent="0.3">
      <c r="A49" s="42" t="s">
        <v>192</v>
      </c>
      <c r="B49" s="43" t="s">
        <v>193</v>
      </c>
      <c r="C49" s="10"/>
      <c r="D49" s="24" t="s">
        <v>194</v>
      </c>
      <c r="E49" s="10"/>
      <c r="F49" s="24"/>
      <c r="G49" s="10"/>
      <c r="H49" s="27"/>
      <c r="I49" s="10"/>
      <c r="J49" s="10"/>
      <c r="K49" s="10"/>
    </row>
    <row r="50" spans="1:11" x14ac:dyDescent="0.3">
      <c r="A50" s="42" t="s">
        <v>195</v>
      </c>
      <c r="B50" s="43" t="s">
        <v>196</v>
      </c>
      <c r="C50" s="10"/>
      <c r="D50" s="24" t="s">
        <v>197</v>
      </c>
      <c r="E50" s="10"/>
      <c r="F50" s="24"/>
      <c r="G50" s="10"/>
      <c r="H50" s="18"/>
      <c r="I50" s="10"/>
      <c r="J50" s="10"/>
      <c r="K50" s="10"/>
    </row>
    <row r="51" spans="1:11" x14ac:dyDescent="0.3">
      <c r="A51" s="42" t="s">
        <v>198</v>
      </c>
      <c r="B51" s="43" t="s">
        <v>199</v>
      </c>
      <c r="C51" s="10"/>
      <c r="D51" s="24" t="s">
        <v>200</v>
      </c>
      <c r="E51" s="10"/>
      <c r="F51" s="18"/>
      <c r="G51" s="10"/>
      <c r="H51" s="18"/>
      <c r="I51" s="10"/>
      <c r="J51" s="10"/>
      <c r="K51" s="10"/>
    </row>
    <row r="52" spans="1:11" x14ac:dyDescent="0.3">
      <c r="A52" s="42" t="s">
        <v>201</v>
      </c>
      <c r="B52" s="43" t="s">
        <v>201</v>
      </c>
      <c r="C52" s="10"/>
      <c r="D52" s="24" t="s">
        <v>202</v>
      </c>
      <c r="E52" s="10"/>
      <c r="F52" s="18"/>
      <c r="G52" s="10"/>
      <c r="H52" s="18"/>
      <c r="I52" s="10"/>
      <c r="J52" s="10"/>
      <c r="K52" s="10"/>
    </row>
    <row r="53" spans="1:11" x14ac:dyDescent="0.3">
      <c r="A53" s="42"/>
      <c r="B53" s="41"/>
      <c r="C53" s="12"/>
      <c r="D53" s="24" t="s">
        <v>203</v>
      </c>
      <c r="E53" s="12"/>
      <c r="F53" s="18"/>
      <c r="G53" s="12"/>
      <c r="H53" s="18"/>
      <c r="I53" s="12"/>
      <c r="J53" s="12"/>
      <c r="K53" s="12"/>
    </row>
    <row r="54" spans="1:11" x14ac:dyDescent="0.3">
      <c r="A54" s="40"/>
      <c r="B54" s="10"/>
      <c r="C54" s="11"/>
      <c r="D54" s="24" t="s">
        <v>204</v>
      </c>
      <c r="E54" s="11"/>
      <c r="F54" s="26"/>
      <c r="G54" s="11"/>
      <c r="H54" s="18"/>
      <c r="I54" s="11"/>
      <c r="J54" s="11"/>
      <c r="K54" s="11"/>
    </row>
    <row r="55" spans="1:11" x14ac:dyDescent="0.3">
      <c r="A55" s="10"/>
      <c r="B55" s="39"/>
      <c r="C55" s="14"/>
      <c r="D55" s="24" t="s">
        <v>205</v>
      </c>
      <c r="E55" s="14"/>
      <c r="F55" s="10"/>
      <c r="G55" s="14"/>
      <c r="H55" s="27"/>
      <c r="I55" s="15"/>
      <c r="J55" s="15"/>
      <c r="K55" s="15"/>
    </row>
    <row r="56" spans="1:11" x14ac:dyDescent="0.3">
      <c r="A56" s="39" t="s">
        <v>206</v>
      </c>
      <c r="B56" s="39"/>
      <c r="C56" s="14"/>
      <c r="D56" s="24" t="s">
        <v>207</v>
      </c>
      <c r="E56" s="14"/>
      <c r="F56" s="38" t="s">
        <v>208</v>
      </c>
      <c r="G56" s="14"/>
      <c r="H56" s="37"/>
      <c r="I56" s="15"/>
      <c r="J56" s="15"/>
      <c r="K56" s="15"/>
    </row>
    <row r="57" spans="1:11" x14ac:dyDescent="0.3">
      <c r="A57" s="36" t="s">
        <v>209</v>
      </c>
      <c r="B57" s="30"/>
      <c r="C57" s="10"/>
      <c r="D57" s="24" t="s">
        <v>210</v>
      </c>
      <c r="E57" s="10"/>
      <c r="F57" s="35" t="s">
        <v>95</v>
      </c>
      <c r="G57" s="10"/>
      <c r="H57" s="10"/>
      <c r="I57" s="10"/>
      <c r="J57" s="10"/>
      <c r="K57" s="10"/>
    </row>
    <row r="58" spans="1:11" x14ac:dyDescent="0.3">
      <c r="A58" s="29" t="s">
        <v>95</v>
      </c>
      <c r="B58" s="11"/>
      <c r="C58" s="10"/>
      <c r="D58" s="24" t="s">
        <v>211</v>
      </c>
      <c r="E58" s="10"/>
      <c r="F58" s="18" t="s">
        <v>212</v>
      </c>
      <c r="G58" s="10"/>
      <c r="H58" s="14"/>
      <c r="I58" s="10"/>
      <c r="J58" s="10"/>
      <c r="K58" s="10"/>
    </row>
    <row r="59" spans="1:11" x14ac:dyDescent="0.3">
      <c r="A59" s="18" t="s">
        <v>213</v>
      </c>
      <c r="B59" s="11"/>
      <c r="C59" s="10"/>
      <c r="D59" s="24" t="s">
        <v>214</v>
      </c>
      <c r="E59" s="10"/>
      <c r="F59" s="18" t="s">
        <v>215</v>
      </c>
      <c r="G59" s="10"/>
      <c r="H59" s="10"/>
      <c r="I59" s="10"/>
      <c r="J59" s="10"/>
      <c r="K59" s="10"/>
    </row>
    <row r="60" spans="1:11" x14ac:dyDescent="0.3">
      <c r="A60" s="18" t="s">
        <v>216</v>
      </c>
      <c r="B60" s="11"/>
      <c r="C60" s="10"/>
      <c r="D60" s="24" t="s">
        <v>217</v>
      </c>
      <c r="E60" s="10"/>
      <c r="F60" s="18" t="s">
        <v>218</v>
      </c>
      <c r="G60" s="10"/>
      <c r="H60" s="10"/>
      <c r="I60" s="10"/>
      <c r="J60" s="10"/>
      <c r="K60" s="10"/>
    </row>
    <row r="61" spans="1:11" x14ac:dyDescent="0.3">
      <c r="A61" s="18" t="s">
        <v>219</v>
      </c>
      <c r="B61" s="32"/>
      <c r="C61" s="10"/>
      <c r="D61" s="24" t="s">
        <v>220</v>
      </c>
      <c r="E61" s="10"/>
      <c r="F61" s="18" t="s">
        <v>221</v>
      </c>
      <c r="G61" s="10"/>
      <c r="H61" s="10"/>
      <c r="I61" s="10"/>
      <c r="J61" s="10"/>
      <c r="K61" s="10"/>
    </row>
    <row r="62" spans="1:11" x14ac:dyDescent="0.3">
      <c r="A62" s="31" t="s">
        <v>222</v>
      </c>
      <c r="B62" s="30"/>
      <c r="C62" s="10"/>
      <c r="D62" s="24" t="s">
        <v>223</v>
      </c>
      <c r="E62" s="10"/>
      <c r="F62" s="18" t="s">
        <v>224</v>
      </c>
      <c r="G62" s="10"/>
      <c r="H62" s="10"/>
      <c r="I62" s="10"/>
      <c r="J62" s="15"/>
      <c r="K62" s="15"/>
    </row>
    <row r="63" spans="1:11" x14ac:dyDescent="0.3">
      <c r="A63" s="29" t="s">
        <v>95</v>
      </c>
      <c r="B63" s="11"/>
      <c r="C63" s="12"/>
      <c r="D63" s="24" t="s">
        <v>225</v>
      </c>
      <c r="E63" s="12"/>
      <c r="F63" s="10" t="s">
        <v>226</v>
      </c>
      <c r="G63" s="12"/>
      <c r="H63" s="10"/>
      <c r="I63" s="12"/>
      <c r="J63" s="10"/>
      <c r="K63" s="10"/>
    </row>
    <row r="64" spans="1:11" x14ac:dyDescent="0.3">
      <c r="A64" s="8" t="s">
        <v>227</v>
      </c>
      <c r="B64" s="11"/>
      <c r="C64" s="10"/>
      <c r="D64" s="24" t="s">
        <v>228</v>
      </c>
      <c r="E64" s="10"/>
      <c r="F64" s="10" t="s">
        <v>229</v>
      </c>
      <c r="G64" s="10"/>
      <c r="H64" s="10"/>
      <c r="I64" s="10"/>
      <c r="J64" s="10"/>
      <c r="K64" s="10"/>
    </row>
    <row r="65" spans="1:11" x14ac:dyDescent="0.3">
      <c r="A65" s="8" t="s">
        <v>230</v>
      </c>
      <c r="B65" s="11"/>
      <c r="C65" s="10"/>
      <c r="D65" s="24" t="s">
        <v>231</v>
      </c>
      <c r="E65" s="10"/>
      <c r="F65" s="10" t="s">
        <v>232</v>
      </c>
      <c r="G65" s="10"/>
      <c r="H65" s="12"/>
      <c r="I65" s="10"/>
      <c r="J65" s="10"/>
      <c r="K65" s="10"/>
    </row>
    <row r="66" spans="1:11" x14ac:dyDescent="0.3">
      <c r="A66" s="8" t="s">
        <v>233</v>
      </c>
      <c r="B66" s="34"/>
      <c r="C66" s="10"/>
      <c r="D66" s="24" t="s">
        <v>234</v>
      </c>
      <c r="E66" s="10"/>
      <c r="F66" s="10" t="s">
        <v>235</v>
      </c>
      <c r="G66" s="10"/>
      <c r="H66" s="11"/>
      <c r="I66" s="10"/>
      <c r="J66" s="10"/>
      <c r="K66" s="10"/>
    </row>
    <row r="67" spans="1:11" x14ac:dyDescent="0.3">
      <c r="A67" s="33" t="s">
        <v>236</v>
      </c>
      <c r="B67" s="30"/>
      <c r="C67" s="10"/>
      <c r="D67" s="24" t="s">
        <v>237</v>
      </c>
      <c r="E67" s="10"/>
      <c r="F67" s="16" t="s">
        <v>238</v>
      </c>
      <c r="G67" s="10"/>
      <c r="H67" s="14"/>
      <c r="I67" s="10"/>
      <c r="J67" s="10"/>
      <c r="K67" s="10"/>
    </row>
    <row r="68" spans="1:11" x14ac:dyDescent="0.3">
      <c r="A68" s="29" t="s">
        <v>95</v>
      </c>
      <c r="B68" s="11"/>
      <c r="C68" s="10"/>
      <c r="D68" s="24" t="s">
        <v>239</v>
      </c>
      <c r="E68" s="10"/>
      <c r="F68" s="16" t="s">
        <v>240</v>
      </c>
      <c r="G68" s="10"/>
      <c r="H68" s="14"/>
      <c r="I68" s="10"/>
      <c r="J68" s="10"/>
      <c r="K68" s="10"/>
    </row>
    <row r="69" spans="1:11" x14ac:dyDescent="0.3">
      <c r="A69" s="8" t="s">
        <v>241</v>
      </c>
      <c r="B69" s="11"/>
      <c r="C69" s="10"/>
      <c r="D69" s="24" t="s">
        <v>242</v>
      </c>
      <c r="E69" s="10"/>
      <c r="F69" s="16" t="s">
        <v>243</v>
      </c>
      <c r="G69" s="10"/>
      <c r="H69" s="10"/>
      <c r="I69" s="10"/>
      <c r="J69" s="12"/>
      <c r="K69" s="12"/>
    </row>
    <row r="70" spans="1:11" x14ac:dyDescent="0.3">
      <c r="A70" s="8" t="s">
        <v>244</v>
      </c>
      <c r="B70" s="11"/>
      <c r="C70" s="12"/>
      <c r="D70" s="24" t="s">
        <v>245</v>
      </c>
      <c r="E70" s="12"/>
      <c r="F70" s="16" t="s">
        <v>246</v>
      </c>
      <c r="G70" s="12"/>
      <c r="H70" s="10"/>
      <c r="I70" s="12"/>
      <c r="J70" s="11"/>
      <c r="K70" s="11"/>
    </row>
    <row r="71" spans="1:11" x14ac:dyDescent="0.3">
      <c r="A71" s="8" t="s">
        <v>247</v>
      </c>
      <c r="B71" s="11"/>
      <c r="C71" s="12"/>
      <c r="D71" s="24" t="s">
        <v>248</v>
      </c>
      <c r="E71" s="12"/>
      <c r="F71" s="10" t="s">
        <v>249</v>
      </c>
      <c r="G71" s="12"/>
      <c r="H71" s="10"/>
      <c r="I71" s="12"/>
      <c r="J71" s="11"/>
      <c r="K71" s="11"/>
    </row>
    <row r="72" spans="1:11" x14ac:dyDescent="0.3">
      <c r="A72" s="18"/>
      <c r="B72" s="11"/>
      <c r="C72" s="12"/>
      <c r="D72" s="24" t="s">
        <v>250</v>
      </c>
      <c r="E72" s="12"/>
      <c r="F72" s="10" t="s">
        <v>251</v>
      </c>
      <c r="G72" s="12"/>
      <c r="H72" s="10"/>
      <c r="I72" s="12"/>
      <c r="J72" s="11"/>
      <c r="K72" s="11"/>
    </row>
    <row r="73" spans="1:11" x14ac:dyDescent="0.3">
      <c r="A73" s="18"/>
      <c r="B73" s="32"/>
      <c r="C73" s="12"/>
      <c r="D73" s="24" t="s">
        <v>252</v>
      </c>
      <c r="E73" s="11"/>
      <c r="F73" s="10" t="s">
        <v>253</v>
      </c>
      <c r="G73" s="11"/>
      <c r="H73" s="10"/>
      <c r="I73" s="11"/>
      <c r="J73" s="15"/>
      <c r="K73" s="15"/>
    </row>
    <row r="74" spans="1:11" x14ac:dyDescent="0.3">
      <c r="A74" s="31"/>
      <c r="B74" s="30"/>
      <c r="C74" s="11"/>
      <c r="D74" s="24" t="s">
        <v>254</v>
      </c>
      <c r="E74" s="14"/>
      <c r="F74" s="10"/>
      <c r="G74" s="14"/>
      <c r="H74" s="10"/>
      <c r="I74" s="15"/>
      <c r="J74" s="15"/>
      <c r="K74" s="15"/>
    </row>
    <row r="75" spans="1:11" x14ac:dyDescent="0.3">
      <c r="A75" s="29"/>
      <c r="B75" s="11"/>
      <c r="C75" s="14"/>
      <c r="D75" s="24" t="s">
        <v>255</v>
      </c>
      <c r="E75" s="14"/>
      <c r="F75" s="10"/>
      <c r="G75" s="14"/>
      <c r="H75" s="10"/>
      <c r="I75" s="15"/>
      <c r="J75" s="10"/>
      <c r="K75" s="10"/>
    </row>
    <row r="76" spans="1:11" x14ac:dyDescent="0.3">
      <c r="A76" s="18"/>
      <c r="B76" s="11"/>
      <c r="C76" s="14"/>
      <c r="D76" s="24" t="s">
        <v>256</v>
      </c>
      <c r="E76" s="10"/>
      <c r="F76" s="10"/>
      <c r="G76" s="10"/>
      <c r="H76" s="10"/>
      <c r="I76" s="10"/>
      <c r="J76" s="10"/>
      <c r="K76" s="10"/>
    </row>
    <row r="77" spans="1:11" x14ac:dyDescent="0.3">
      <c r="A77" s="18"/>
      <c r="B77" s="32"/>
      <c r="C77" s="10"/>
      <c r="D77" s="24" t="s">
        <v>257</v>
      </c>
      <c r="E77" s="10"/>
      <c r="F77" s="10"/>
      <c r="G77" s="10"/>
      <c r="H77" s="12"/>
      <c r="I77" s="10"/>
      <c r="J77" s="10"/>
      <c r="K77" s="10"/>
    </row>
    <row r="78" spans="1:11" x14ac:dyDescent="0.3">
      <c r="A78" s="31"/>
      <c r="B78" s="30"/>
      <c r="C78" s="10"/>
      <c r="D78" s="24" t="s">
        <v>258</v>
      </c>
      <c r="E78" s="10"/>
      <c r="F78" s="10"/>
      <c r="G78" s="10"/>
      <c r="H78" s="10"/>
      <c r="I78" s="10"/>
      <c r="J78" s="10"/>
      <c r="K78" s="10"/>
    </row>
    <row r="79" spans="1:11" x14ac:dyDescent="0.3">
      <c r="A79" s="29"/>
      <c r="B79" s="28"/>
      <c r="C79" s="10"/>
      <c r="D79" s="24" t="s">
        <v>259</v>
      </c>
      <c r="E79" s="10"/>
      <c r="F79" s="10"/>
      <c r="G79" s="10"/>
      <c r="H79" s="10"/>
      <c r="I79" s="10"/>
      <c r="J79" s="10"/>
      <c r="K79" s="10"/>
    </row>
    <row r="80" spans="1:11" x14ac:dyDescent="0.3">
      <c r="A80" s="27"/>
      <c r="B80" s="11"/>
      <c r="C80" s="10"/>
      <c r="D80" s="24" t="s">
        <v>260</v>
      </c>
      <c r="E80" s="10"/>
      <c r="F80" s="10"/>
      <c r="G80" s="10"/>
      <c r="H80" s="10"/>
      <c r="I80" s="10"/>
      <c r="J80" s="15"/>
      <c r="K80" s="15"/>
    </row>
    <row r="81" spans="1:11" x14ac:dyDescent="0.3">
      <c r="A81" s="26"/>
      <c r="B81" s="10"/>
      <c r="C81" s="10"/>
      <c r="D81" s="24" t="s">
        <v>261</v>
      </c>
      <c r="E81" s="10"/>
      <c r="F81" s="10"/>
      <c r="G81" s="10"/>
      <c r="H81" s="10"/>
      <c r="I81" s="10"/>
      <c r="J81" s="10"/>
      <c r="K81" s="10"/>
    </row>
    <row r="82" spans="1:11" x14ac:dyDescent="0.3">
      <c r="A82" s="10"/>
      <c r="B82" s="10"/>
      <c r="C82" s="10"/>
      <c r="D82" s="24" t="s">
        <v>262</v>
      </c>
      <c r="E82" s="14"/>
      <c r="F82" s="12"/>
      <c r="G82" s="14"/>
      <c r="H82" s="10"/>
      <c r="I82" s="15"/>
      <c r="J82" s="10"/>
      <c r="K82" s="10"/>
    </row>
    <row r="83" spans="1:11" x14ac:dyDescent="0.3">
      <c r="A83" s="10"/>
      <c r="B83" s="10"/>
      <c r="C83" s="14"/>
      <c r="D83" s="24" t="s">
        <v>263</v>
      </c>
      <c r="E83" s="10"/>
      <c r="F83" s="11"/>
      <c r="G83" s="10"/>
      <c r="H83" s="10"/>
      <c r="I83" s="10"/>
      <c r="J83" s="10"/>
      <c r="K83" s="10"/>
    </row>
    <row r="84" spans="1:11" x14ac:dyDescent="0.3">
      <c r="A84" s="25" t="s">
        <v>264</v>
      </c>
      <c r="B84" s="25" t="s">
        <v>265</v>
      </c>
      <c r="C84" s="10"/>
      <c r="D84" s="24" t="s">
        <v>266</v>
      </c>
      <c r="E84" s="10"/>
      <c r="F84" s="16"/>
      <c r="G84" s="10"/>
      <c r="H84" s="12"/>
      <c r="I84" s="10"/>
      <c r="J84" s="10"/>
      <c r="K84" s="10"/>
    </row>
    <row r="85" spans="1:11" x14ac:dyDescent="0.3">
      <c r="A85" s="23" t="s">
        <v>192</v>
      </c>
      <c r="B85" s="23" t="s">
        <v>193</v>
      </c>
      <c r="C85" s="10"/>
      <c r="D85" s="22" t="s">
        <v>267</v>
      </c>
      <c r="E85" s="10"/>
      <c r="F85" s="16"/>
      <c r="G85" s="10"/>
      <c r="H85" s="11"/>
      <c r="I85" s="10"/>
      <c r="J85" s="10"/>
      <c r="K85" s="10"/>
    </row>
    <row r="86" spans="1:11" x14ac:dyDescent="0.3">
      <c r="A86" s="21" t="s">
        <v>195</v>
      </c>
      <c r="B86" s="21" t="s">
        <v>196</v>
      </c>
      <c r="C86" s="10"/>
      <c r="D86" s="13"/>
      <c r="E86" s="10"/>
      <c r="F86" s="10"/>
      <c r="G86" s="10"/>
      <c r="H86" s="14"/>
      <c r="I86" s="10"/>
      <c r="J86" s="10"/>
      <c r="K86" s="10"/>
    </row>
    <row r="87" spans="1:11" x14ac:dyDescent="0.3">
      <c r="A87" s="20" t="s">
        <v>198</v>
      </c>
      <c r="B87" s="20" t="s">
        <v>199</v>
      </c>
      <c r="C87" s="10"/>
      <c r="D87" s="13"/>
      <c r="E87" s="10"/>
      <c r="F87" s="10"/>
      <c r="G87" s="10"/>
      <c r="H87" s="14"/>
      <c r="I87" s="10"/>
      <c r="J87" s="12"/>
      <c r="K87" s="12"/>
    </row>
    <row r="88" spans="1:11" x14ac:dyDescent="0.3">
      <c r="A88" s="19" t="s">
        <v>201</v>
      </c>
      <c r="B88" s="19" t="s">
        <v>268</v>
      </c>
      <c r="C88" s="10"/>
      <c r="D88" s="13"/>
      <c r="E88" s="10"/>
      <c r="F88" s="10"/>
      <c r="G88" s="10"/>
      <c r="H88" s="10"/>
      <c r="I88" s="10"/>
      <c r="J88" s="11"/>
      <c r="K88" s="11"/>
    </row>
    <row r="89" spans="1:11" x14ac:dyDescent="0.3">
      <c r="B89" s="14"/>
      <c r="C89" s="10"/>
      <c r="D89" s="13"/>
      <c r="E89" s="10"/>
      <c r="F89" s="10"/>
      <c r="G89" s="10"/>
      <c r="H89" s="10"/>
      <c r="I89" s="10"/>
      <c r="J89" s="11"/>
      <c r="K89" s="11"/>
    </row>
    <row r="90" spans="1:11" x14ac:dyDescent="0.3">
      <c r="B90" s="10"/>
      <c r="C90" s="10"/>
      <c r="D90" s="13"/>
      <c r="E90" s="12"/>
      <c r="F90" s="10"/>
      <c r="G90" s="12"/>
      <c r="H90" s="10"/>
      <c r="I90" s="12"/>
      <c r="J90" s="15"/>
      <c r="K90" s="15"/>
    </row>
    <row r="91" spans="1:11" x14ac:dyDescent="0.3">
      <c r="A91" s="18" t="s">
        <v>213</v>
      </c>
      <c r="C91" s="11"/>
      <c r="D91" s="13"/>
      <c r="E91" s="14"/>
      <c r="F91" s="10"/>
      <c r="G91" s="14"/>
      <c r="H91" s="10"/>
      <c r="I91" s="15"/>
      <c r="J91" s="10"/>
      <c r="K91" s="10"/>
    </row>
    <row r="92" spans="1:11" x14ac:dyDescent="0.3">
      <c r="A92" s="18" t="s">
        <v>216</v>
      </c>
      <c r="C92" s="14"/>
      <c r="D92" s="13"/>
      <c r="E92" s="14"/>
      <c r="F92" s="10"/>
      <c r="G92" s="14"/>
      <c r="H92" s="10"/>
      <c r="I92" s="15"/>
      <c r="J92" s="10"/>
      <c r="K92" s="10"/>
    </row>
    <row r="93" spans="1:11" x14ac:dyDescent="0.3">
      <c r="A93" s="18" t="s">
        <v>219</v>
      </c>
      <c r="B93" s="17"/>
      <c r="C93" s="14"/>
      <c r="D93" s="13"/>
      <c r="E93" s="10"/>
      <c r="F93" s="10"/>
      <c r="G93" s="10"/>
      <c r="H93" s="10"/>
      <c r="I93" s="10"/>
      <c r="J93" s="10"/>
      <c r="K93" s="10"/>
    </row>
    <row r="94" spans="1:11" x14ac:dyDescent="0.3">
      <c r="A94" s="9" t="s">
        <v>227</v>
      </c>
      <c r="B94" s="17"/>
      <c r="C94" s="10"/>
      <c r="D94" s="13"/>
      <c r="E94" s="10"/>
      <c r="F94" s="10"/>
      <c r="G94" s="10"/>
      <c r="H94" s="10"/>
      <c r="I94" s="10"/>
      <c r="J94" s="15"/>
      <c r="K94" s="15"/>
    </row>
    <row r="95" spans="1:11" x14ac:dyDescent="0.3">
      <c r="A95" s="9" t="s">
        <v>230</v>
      </c>
      <c r="B95" s="17"/>
      <c r="C95" s="10"/>
      <c r="D95" s="13"/>
      <c r="E95" s="10"/>
      <c r="F95" s="10"/>
      <c r="G95" s="10"/>
      <c r="H95" s="10"/>
      <c r="I95" s="10"/>
      <c r="J95" s="10"/>
      <c r="K95" s="10"/>
    </row>
    <row r="96" spans="1:11" x14ac:dyDescent="0.3">
      <c r="A96" s="9" t="s">
        <v>233</v>
      </c>
      <c r="B96" s="17"/>
      <c r="C96" s="10"/>
      <c r="D96" s="13"/>
      <c r="E96" s="10"/>
      <c r="F96" s="10"/>
      <c r="G96" s="10"/>
      <c r="H96" s="10"/>
      <c r="I96" s="10"/>
      <c r="J96" s="10"/>
      <c r="K96" s="10"/>
    </row>
    <row r="97" spans="1:11" x14ac:dyDescent="0.3">
      <c r="A97" s="9" t="s">
        <v>241</v>
      </c>
      <c r="B97" s="17"/>
      <c r="C97" s="10"/>
      <c r="D97" s="13"/>
      <c r="E97" s="10"/>
      <c r="F97" s="12"/>
      <c r="G97" s="10"/>
      <c r="H97" s="12"/>
      <c r="I97" s="10"/>
      <c r="J97" s="10"/>
      <c r="K97" s="10"/>
    </row>
    <row r="98" spans="1:11" x14ac:dyDescent="0.3">
      <c r="A98" s="9" t="s">
        <v>244</v>
      </c>
      <c r="B98" s="17"/>
      <c r="C98" s="10"/>
      <c r="D98" s="13"/>
      <c r="E98" s="10"/>
      <c r="F98" s="11"/>
      <c r="G98" s="10"/>
      <c r="H98" s="11"/>
      <c r="I98" s="10"/>
      <c r="J98" s="10"/>
      <c r="K98" s="10"/>
    </row>
    <row r="99" spans="1:11" x14ac:dyDescent="0.3">
      <c r="A99" s="9" t="s">
        <v>247</v>
      </c>
      <c r="B99" s="17"/>
      <c r="C99" s="10"/>
      <c r="D99" s="13"/>
      <c r="E99" s="10"/>
      <c r="F99" s="16"/>
      <c r="G99" s="10"/>
      <c r="H99" s="11"/>
      <c r="I99" s="10"/>
      <c r="J99" s="10"/>
      <c r="K99" s="10"/>
    </row>
    <row r="100" spans="1:11" x14ac:dyDescent="0.3">
      <c r="C100" s="10"/>
      <c r="D100" s="13"/>
      <c r="E100" s="10"/>
      <c r="F100" s="16"/>
      <c r="G100" s="10"/>
      <c r="H100" s="11"/>
      <c r="I100" s="10"/>
      <c r="J100" s="10"/>
      <c r="K100" s="10"/>
    </row>
    <row r="101" spans="1:11" x14ac:dyDescent="0.3">
      <c r="A101" s="9" t="s">
        <v>269</v>
      </c>
      <c r="C101" s="10"/>
      <c r="D101" s="13"/>
      <c r="E101" s="10"/>
      <c r="F101" s="10"/>
      <c r="G101" s="10"/>
      <c r="H101" s="11"/>
      <c r="I101" s="10"/>
      <c r="J101" s="10"/>
      <c r="K101" s="10"/>
    </row>
    <row r="102" spans="1:11" x14ac:dyDescent="0.3">
      <c r="A102" s="9" t="s">
        <v>270</v>
      </c>
      <c r="C102" s="10"/>
      <c r="D102" s="13"/>
      <c r="E102" s="10"/>
      <c r="F102" s="10"/>
      <c r="G102" s="10"/>
      <c r="H102" s="14"/>
      <c r="I102" s="10"/>
      <c r="J102" s="12"/>
      <c r="K102" s="12"/>
    </row>
    <row r="103" spans="1:11" x14ac:dyDescent="0.3">
      <c r="A103" s="9" t="s">
        <v>271</v>
      </c>
      <c r="C103" s="10"/>
      <c r="D103" s="13"/>
      <c r="E103" s="10"/>
      <c r="F103" s="10"/>
      <c r="G103" s="10"/>
      <c r="H103" s="14"/>
      <c r="I103" s="10"/>
      <c r="J103" s="11"/>
      <c r="K103" s="11"/>
    </row>
    <row r="104" spans="1:11" x14ac:dyDescent="0.3">
      <c r="A104" s="9" t="s">
        <v>272</v>
      </c>
      <c r="C104" s="10"/>
      <c r="D104" s="13"/>
      <c r="E104" s="10"/>
      <c r="F104" s="10"/>
      <c r="G104" s="10"/>
      <c r="H104" s="10"/>
      <c r="I104" s="10"/>
      <c r="J104" s="15"/>
      <c r="K104" s="15"/>
    </row>
    <row r="105" spans="1:11" x14ac:dyDescent="0.3">
      <c r="A105" s="9" t="s">
        <v>273</v>
      </c>
      <c r="C105" s="10"/>
      <c r="D105" s="13"/>
      <c r="E105" s="12"/>
      <c r="F105" s="10"/>
      <c r="G105" s="12"/>
      <c r="H105" s="10"/>
      <c r="I105" s="12"/>
      <c r="J105" s="15"/>
      <c r="K105" s="15"/>
    </row>
    <row r="106" spans="1:11" x14ac:dyDescent="0.3">
      <c r="A106" s="9" t="s">
        <v>274</v>
      </c>
      <c r="C106" s="12"/>
      <c r="D106" s="13"/>
      <c r="E106" s="11"/>
      <c r="F106" s="10"/>
      <c r="G106" s="11"/>
      <c r="H106" s="10"/>
      <c r="I106" s="11"/>
      <c r="J106" s="10"/>
      <c r="K106" s="10"/>
    </row>
    <row r="107" spans="1:11" x14ac:dyDescent="0.3">
      <c r="A107" s="9" t="s">
        <v>275</v>
      </c>
      <c r="C107" s="11"/>
      <c r="D107" s="13"/>
      <c r="E107" s="14"/>
      <c r="F107" s="16"/>
      <c r="G107" s="14"/>
      <c r="H107" s="10"/>
      <c r="I107" s="15"/>
      <c r="J107" s="10"/>
      <c r="K107" s="10"/>
    </row>
    <row r="108" spans="1:11" x14ac:dyDescent="0.3">
      <c r="A108" s="9" t="s">
        <v>276</v>
      </c>
      <c r="C108" s="14"/>
      <c r="D108" s="13"/>
      <c r="E108" s="14"/>
      <c r="F108" s="10"/>
      <c r="G108" s="14"/>
      <c r="H108" s="10"/>
      <c r="I108" s="15"/>
      <c r="J108" s="10"/>
      <c r="K108" s="10"/>
    </row>
    <row r="109" spans="1:11" x14ac:dyDescent="0.3">
      <c r="A109" s="9" t="s">
        <v>277</v>
      </c>
      <c r="C109" s="14"/>
      <c r="D109" s="13"/>
      <c r="E109" s="10"/>
      <c r="F109" s="10"/>
      <c r="G109" s="10"/>
      <c r="H109" s="10"/>
      <c r="I109" s="10"/>
      <c r="J109" s="10"/>
      <c r="K109" s="10"/>
    </row>
    <row r="110" spans="1:11" x14ac:dyDescent="0.3">
      <c r="C110" s="10"/>
      <c r="D110" s="13"/>
      <c r="E110" s="10"/>
      <c r="F110" s="10"/>
      <c r="G110" s="10"/>
      <c r="H110" s="14"/>
      <c r="I110" s="10"/>
      <c r="J110" s="10"/>
      <c r="K110" s="10"/>
    </row>
    <row r="111" spans="1:11" x14ac:dyDescent="0.3">
      <c r="A111" s="9" t="s">
        <v>278</v>
      </c>
      <c r="B111" s="3" t="s">
        <v>279</v>
      </c>
      <c r="C111" s="10"/>
      <c r="D111" s="13"/>
      <c r="E111" s="10"/>
      <c r="F111" s="10"/>
      <c r="G111" s="10"/>
      <c r="H111" s="10"/>
      <c r="I111" s="10"/>
      <c r="J111" s="15"/>
      <c r="K111" s="15"/>
    </row>
    <row r="112" spans="1:11" x14ac:dyDescent="0.3">
      <c r="A112" s="9" t="s">
        <v>280</v>
      </c>
      <c r="B112" s="3" t="s">
        <v>281</v>
      </c>
      <c r="C112" s="10"/>
      <c r="D112" s="13"/>
      <c r="E112" s="10"/>
      <c r="F112" s="10"/>
      <c r="G112" s="10"/>
      <c r="H112" s="10"/>
      <c r="I112" s="10"/>
      <c r="J112" s="10"/>
      <c r="K112" s="10"/>
    </row>
    <row r="113" spans="1:11" x14ac:dyDescent="0.3">
      <c r="A113" s="9" t="s">
        <v>282</v>
      </c>
      <c r="B113" s="3" t="s">
        <v>283</v>
      </c>
      <c r="C113" s="10"/>
      <c r="D113" s="13"/>
      <c r="E113" s="10"/>
      <c r="F113" s="12"/>
      <c r="G113" s="10"/>
      <c r="H113" s="10"/>
      <c r="I113" s="10"/>
      <c r="J113" s="10"/>
      <c r="K113" s="10"/>
    </row>
    <row r="114" spans="1:11" x14ac:dyDescent="0.3">
      <c r="A114" s="9" t="s">
        <v>284</v>
      </c>
      <c r="B114" s="3" t="s">
        <v>285</v>
      </c>
      <c r="C114" s="10"/>
      <c r="D114" s="13"/>
      <c r="E114" s="10"/>
      <c r="F114" s="16"/>
      <c r="G114" s="10"/>
      <c r="H114" s="10"/>
      <c r="I114" s="10"/>
      <c r="J114" s="10"/>
      <c r="K114" s="10"/>
    </row>
    <row r="115" spans="1:11" x14ac:dyDescent="0.3">
      <c r="A115" s="9" t="s">
        <v>286</v>
      </c>
      <c r="B115" s="3" t="s">
        <v>287</v>
      </c>
      <c r="C115" s="10"/>
      <c r="D115" s="13"/>
      <c r="E115" s="14"/>
      <c r="F115" s="16"/>
      <c r="G115" s="14"/>
      <c r="H115" s="10"/>
      <c r="I115" s="15"/>
      <c r="J115" s="10"/>
      <c r="K115" s="10"/>
    </row>
    <row r="116" spans="1:11" x14ac:dyDescent="0.3">
      <c r="A116" s="9" t="s">
        <v>288</v>
      </c>
      <c r="B116" s="3" t="s">
        <v>289</v>
      </c>
      <c r="C116" s="14"/>
      <c r="D116" s="13"/>
      <c r="E116" s="10"/>
      <c r="F116" s="10"/>
      <c r="G116" s="10"/>
      <c r="H116" s="10"/>
      <c r="I116" s="10"/>
      <c r="J116" s="10"/>
      <c r="K116" s="10"/>
    </row>
    <row r="117" spans="1:11" x14ac:dyDescent="0.3">
      <c r="A117" s="9" t="s">
        <v>290</v>
      </c>
      <c r="B117" s="3" t="s">
        <v>291</v>
      </c>
      <c r="C117" s="10"/>
      <c r="D117" s="10"/>
      <c r="E117" s="10"/>
      <c r="F117" s="10"/>
      <c r="G117" s="12"/>
      <c r="H117" s="10"/>
      <c r="I117" s="10"/>
      <c r="J117" s="10"/>
    </row>
    <row r="118" spans="1:11" x14ac:dyDescent="0.3">
      <c r="A118" s="9" t="s">
        <v>140</v>
      </c>
      <c r="B118" s="3" t="s">
        <v>292</v>
      </c>
      <c r="C118" s="10"/>
      <c r="D118" s="10"/>
      <c r="E118" s="10"/>
      <c r="F118" s="10"/>
      <c r="G118" s="11"/>
      <c r="H118" s="10"/>
      <c r="I118" s="12"/>
      <c r="J118" s="12"/>
    </row>
    <row r="119" spans="1:11" x14ac:dyDescent="0.3">
      <c r="C119" s="10"/>
      <c r="D119" s="10"/>
      <c r="E119" s="10"/>
      <c r="F119" s="10"/>
      <c r="G119" s="14"/>
      <c r="H119" s="10"/>
      <c r="I119" s="11"/>
      <c r="J119" s="11"/>
    </row>
    <row r="120" spans="1:11" x14ac:dyDescent="0.3">
      <c r="C120" s="10"/>
      <c r="D120" s="10"/>
      <c r="E120" s="10"/>
      <c r="F120" s="10"/>
      <c r="G120" s="10"/>
      <c r="H120" s="10"/>
      <c r="I120" s="15"/>
      <c r="J120" s="15"/>
    </row>
    <row r="121" spans="1:11" x14ac:dyDescent="0.3">
      <c r="A121" s="9" t="s">
        <v>17</v>
      </c>
      <c r="C121" s="12"/>
      <c r="D121" s="10"/>
      <c r="E121" s="12"/>
      <c r="F121" s="10"/>
      <c r="G121" s="12"/>
      <c r="H121" s="10"/>
      <c r="I121" s="10"/>
    </row>
    <row r="122" spans="1:11" x14ac:dyDescent="0.3">
      <c r="A122" s="7" t="s">
        <v>95</v>
      </c>
      <c r="C122" s="12"/>
      <c r="D122" s="10"/>
      <c r="E122" s="12"/>
      <c r="F122" s="10"/>
      <c r="G122" s="12"/>
      <c r="H122" s="10"/>
      <c r="I122" s="10"/>
    </row>
    <row r="123" spans="1:11" x14ac:dyDescent="0.3">
      <c r="A123" s="9" t="s">
        <v>293</v>
      </c>
      <c r="C123" s="14"/>
      <c r="D123" s="16"/>
      <c r="E123" s="14"/>
      <c r="F123" s="10"/>
      <c r="G123" s="15"/>
      <c r="H123" s="10"/>
      <c r="I123" s="10"/>
    </row>
    <row r="124" spans="1:11" x14ac:dyDescent="0.3">
      <c r="A124" s="9" t="s">
        <v>294</v>
      </c>
      <c r="C124" s="14"/>
      <c r="D124" s="10"/>
      <c r="E124" s="14"/>
      <c r="F124" s="10"/>
      <c r="G124" s="15"/>
      <c r="H124" s="10"/>
      <c r="I124" s="10"/>
    </row>
    <row r="125" spans="1:11" x14ac:dyDescent="0.3">
      <c r="A125" s="9" t="s">
        <v>295</v>
      </c>
      <c r="C125" s="10"/>
      <c r="D125" s="10"/>
      <c r="E125" s="10"/>
      <c r="F125" s="10"/>
      <c r="G125" s="10"/>
      <c r="H125" s="10"/>
      <c r="I125" s="10"/>
    </row>
    <row r="126" spans="1:11" x14ac:dyDescent="0.3">
      <c r="A126" s="9" t="s">
        <v>296</v>
      </c>
      <c r="C126" s="10"/>
      <c r="D126" s="10"/>
      <c r="E126" s="10"/>
      <c r="F126" s="10"/>
      <c r="G126" s="10"/>
      <c r="H126" s="10"/>
      <c r="I126" s="10"/>
    </row>
    <row r="127" spans="1:11" x14ac:dyDescent="0.3">
      <c r="A127" s="9" t="s">
        <v>297</v>
      </c>
      <c r="C127" s="10"/>
      <c r="D127" s="10"/>
      <c r="E127" s="10"/>
      <c r="F127" s="14"/>
      <c r="G127" s="10"/>
      <c r="H127" s="15"/>
      <c r="I127" s="15"/>
    </row>
    <row r="128" spans="1:11" x14ac:dyDescent="0.3">
      <c r="A128" s="9" t="s">
        <v>298</v>
      </c>
      <c r="C128" s="10"/>
      <c r="D128" s="10"/>
      <c r="E128" s="10"/>
      <c r="F128" s="10"/>
      <c r="G128" s="10"/>
      <c r="H128" s="10"/>
      <c r="I128" s="10"/>
    </row>
    <row r="129" spans="1:11" x14ac:dyDescent="0.3">
      <c r="A129" s="9" t="s">
        <v>299</v>
      </c>
      <c r="C129" s="10"/>
      <c r="D129" s="12"/>
      <c r="E129" s="10"/>
      <c r="F129" s="10"/>
      <c r="G129" s="10"/>
      <c r="H129" s="10"/>
      <c r="I129" s="10"/>
    </row>
    <row r="130" spans="1:11" x14ac:dyDescent="0.3">
      <c r="A130" s="9" t="s">
        <v>300</v>
      </c>
      <c r="C130" s="10"/>
      <c r="D130" s="16"/>
      <c r="E130" s="10"/>
      <c r="F130" s="10"/>
      <c r="G130" s="10"/>
      <c r="H130" s="10"/>
      <c r="I130" s="10"/>
    </row>
    <row r="131" spans="1:11" x14ac:dyDescent="0.3">
      <c r="A131" s="9" t="s">
        <v>301</v>
      </c>
      <c r="C131" s="14"/>
      <c r="D131" s="16"/>
      <c r="E131" s="14"/>
      <c r="F131" s="10"/>
      <c r="G131" s="15"/>
      <c r="H131" s="10"/>
      <c r="I131" s="10"/>
    </row>
    <row r="132" spans="1:11" x14ac:dyDescent="0.3">
      <c r="A132" s="9" t="s">
        <v>302</v>
      </c>
      <c r="C132" s="10"/>
      <c r="D132" s="10"/>
      <c r="E132" s="10"/>
      <c r="F132" s="10"/>
      <c r="G132" s="10"/>
      <c r="H132" s="10"/>
      <c r="I132" s="10"/>
    </row>
    <row r="133" spans="1:11" x14ac:dyDescent="0.3">
      <c r="A133" s="9" t="s">
        <v>303</v>
      </c>
      <c r="C133" s="10"/>
      <c r="D133" s="10"/>
      <c r="E133" s="10"/>
      <c r="F133" s="10"/>
      <c r="G133" s="10"/>
      <c r="H133" s="10"/>
      <c r="I133" s="10"/>
    </row>
    <row r="134" spans="1:11" x14ac:dyDescent="0.3">
      <c r="A134" s="9" t="s">
        <v>304</v>
      </c>
      <c r="C134" s="10"/>
      <c r="D134" s="10"/>
      <c r="E134" s="10"/>
      <c r="F134" s="12"/>
      <c r="G134" s="10"/>
      <c r="H134" s="12"/>
      <c r="I134" s="12"/>
    </row>
    <row r="135" spans="1:11" x14ac:dyDescent="0.3">
      <c r="A135" s="9" t="s">
        <v>305</v>
      </c>
      <c r="C135" s="10"/>
      <c r="D135" s="10"/>
      <c r="E135" s="10"/>
      <c r="F135" s="11"/>
      <c r="G135" s="10"/>
      <c r="H135" s="11"/>
      <c r="I135" s="11"/>
    </row>
    <row r="136" spans="1:11" x14ac:dyDescent="0.3">
      <c r="A136" s="9" t="s">
        <v>306</v>
      </c>
      <c r="C136" s="10"/>
      <c r="D136" s="10"/>
      <c r="E136" s="10"/>
      <c r="F136" s="14"/>
      <c r="G136" s="10"/>
      <c r="H136" s="15"/>
      <c r="I136" s="15"/>
    </row>
    <row r="137" spans="1:11" x14ac:dyDescent="0.3">
      <c r="A137" s="9" t="s">
        <v>307</v>
      </c>
      <c r="C137" s="10"/>
      <c r="D137" s="10"/>
      <c r="E137" s="10"/>
      <c r="F137" s="10"/>
      <c r="G137" s="10"/>
      <c r="H137" s="15"/>
      <c r="I137" s="15"/>
    </row>
    <row r="138" spans="1:11" x14ac:dyDescent="0.3">
      <c r="A138" s="9" t="s">
        <v>308</v>
      </c>
      <c r="C138" s="12"/>
      <c r="D138" s="16"/>
      <c r="E138" s="12"/>
      <c r="F138" s="10"/>
      <c r="G138" s="12"/>
      <c r="H138" s="10"/>
      <c r="I138" s="10"/>
    </row>
    <row r="139" spans="1:11" x14ac:dyDescent="0.3">
      <c r="A139" s="9" t="s">
        <v>309</v>
      </c>
      <c r="C139" s="12"/>
      <c r="D139" s="13"/>
      <c r="E139" s="14"/>
      <c r="G139" s="14"/>
      <c r="H139" s="10"/>
      <c r="I139" s="15"/>
      <c r="J139" s="10"/>
      <c r="K139" s="10"/>
    </row>
    <row r="140" spans="1:11" x14ac:dyDescent="0.3">
      <c r="A140" s="9" t="s">
        <v>310</v>
      </c>
      <c r="C140" s="14"/>
      <c r="D140" s="13"/>
      <c r="E140" s="10"/>
      <c r="G140" s="10"/>
      <c r="H140" s="10"/>
      <c r="I140" s="10"/>
      <c r="J140" s="10"/>
      <c r="K140" s="10"/>
    </row>
    <row r="141" spans="1:11" x14ac:dyDescent="0.3">
      <c r="A141" s="9" t="s">
        <v>311</v>
      </c>
      <c r="C141" s="10"/>
      <c r="D141" s="13"/>
      <c r="E141" s="10"/>
      <c r="G141" s="10"/>
      <c r="H141" s="10"/>
      <c r="I141" s="10"/>
      <c r="J141" s="10"/>
      <c r="K141" s="10"/>
    </row>
    <row r="142" spans="1:11" x14ac:dyDescent="0.3">
      <c r="A142" s="9" t="s">
        <v>312</v>
      </c>
      <c r="C142" s="10"/>
      <c r="D142" s="13"/>
      <c r="E142" s="10"/>
      <c r="G142" s="10"/>
      <c r="H142" s="14"/>
      <c r="I142" s="10"/>
      <c r="J142" s="15"/>
      <c r="K142" s="15"/>
    </row>
    <row r="143" spans="1:11" x14ac:dyDescent="0.3">
      <c r="A143" s="9" t="s">
        <v>313</v>
      </c>
      <c r="C143" s="10"/>
      <c r="D143" s="13"/>
      <c r="E143" s="10"/>
      <c r="G143" s="10"/>
      <c r="H143" s="10"/>
      <c r="I143" s="10"/>
      <c r="J143" s="10"/>
      <c r="K143" s="10"/>
    </row>
    <row r="144" spans="1:11" x14ac:dyDescent="0.3">
      <c r="A144" s="9" t="s">
        <v>314</v>
      </c>
      <c r="C144" s="10"/>
      <c r="D144" s="13"/>
      <c r="E144" s="10"/>
      <c r="G144" s="10"/>
      <c r="H144" s="10"/>
      <c r="I144" s="10"/>
      <c r="J144" s="10"/>
      <c r="K144" s="10"/>
    </row>
    <row r="145" spans="1:11" x14ac:dyDescent="0.3">
      <c r="A145" s="9" t="s">
        <v>315</v>
      </c>
      <c r="C145" s="10"/>
      <c r="D145" s="13"/>
      <c r="E145" s="10"/>
      <c r="G145" s="10"/>
      <c r="H145" s="10"/>
      <c r="I145" s="10"/>
      <c r="J145" s="10"/>
      <c r="K145" s="10"/>
    </row>
    <row r="146" spans="1:11" x14ac:dyDescent="0.3">
      <c r="A146" s="9" t="s">
        <v>316</v>
      </c>
      <c r="C146" s="10"/>
      <c r="D146" s="13"/>
      <c r="E146" s="14"/>
      <c r="G146" s="14"/>
      <c r="H146" s="10"/>
      <c r="I146" s="15"/>
      <c r="J146" s="10"/>
      <c r="K146" s="10"/>
    </row>
    <row r="147" spans="1:11" x14ac:dyDescent="0.3">
      <c r="A147" s="9" t="s">
        <v>317</v>
      </c>
      <c r="C147" s="14"/>
      <c r="D147" s="13"/>
      <c r="E147" s="10"/>
      <c r="G147" s="10"/>
      <c r="H147" s="10"/>
      <c r="I147" s="10"/>
      <c r="J147" s="10"/>
      <c r="K147" s="10"/>
    </row>
    <row r="148" spans="1:11" x14ac:dyDescent="0.3">
      <c r="A148" s="9" t="s">
        <v>318</v>
      </c>
      <c r="C148" s="10"/>
      <c r="D148" s="13"/>
      <c r="E148" s="10"/>
      <c r="G148" s="10"/>
      <c r="H148" s="10"/>
      <c r="I148" s="10"/>
      <c r="J148" s="10"/>
      <c r="K148" s="10"/>
    </row>
    <row r="149" spans="1:11" x14ac:dyDescent="0.3">
      <c r="A149" s="9" t="s">
        <v>319</v>
      </c>
      <c r="C149" s="10"/>
      <c r="E149" s="10"/>
      <c r="G149" s="10"/>
      <c r="H149" s="12"/>
      <c r="I149" s="10"/>
      <c r="J149" s="12"/>
      <c r="K149" s="12"/>
    </row>
    <row r="150" spans="1:11" x14ac:dyDescent="0.3">
      <c r="A150" s="9" t="s">
        <v>320</v>
      </c>
      <c r="C150" s="10"/>
      <c r="E150" s="10"/>
      <c r="G150" s="10"/>
      <c r="H150" s="11"/>
      <c r="I150" s="10"/>
      <c r="J150" s="11"/>
      <c r="K150" s="11"/>
    </row>
    <row r="151" spans="1:11" x14ac:dyDescent="0.3">
      <c r="A151" s="9" t="s">
        <v>321</v>
      </c>
      <c r="C151" s="10"/>
    </row>
    <row r="152" spans="1:11" x14ac:dyDescent="0.3">
      <c r="A152" s="9" t="s">
        <v>322</v>
      </c>
    </row>
    <row r="153" spans="1:11" x14ac:dyDescent="0.3">
      <c r="A153" s="9" t="s">
        <v>323</v>
      </c>
    </row>
    <row r="154" spans="1:11" x14ac:dyDescent="0.3">
      <c r="A154" s="9" t="s">
        <v>324</v>
      </c>
    </row>
    <row r="155" spans="1:11" x14ac:dyDescent="0.3">
      <c r="A155" s="9" t="s">
        <v>268</v>
      </c>
    </row>
    <row r="157" spans="1:11" x14ac:dyDescent="0.3">
      <c r="A157" s="8" t="s">
        <v>325</v>
      </c>
    </row>
    <row r="158" spans="1:11" x14ac:dyDescent="0.3">
      <c r="A158" s="7" t="s">
        <v>95</v>
      </c>
    </row>
    <row r="159" spans="1:11" x14ac:dyDescent="0.3">
      <c r="A159" s="4" t="s">
        <v>326</v>
      </c>
    </row>
    <row r="160" spans="1:11" x14ac:dyDescent="0.3">
      <c r="A160" s="4" t="s">
        <v>327</v>
      </c>
    </row>
    <row r="161" spans="1:1" x14ac:dyDescent="0.3">
      <c r="A161" s="4" t="s">
        <v>328</v>
      </c>
    </row>
    <row r="162" spans="1:1" x14ac:dyDescent="0.3">
      <c r="A162" s="4" t="s">
        <v>329</v>
      </c>
    </row>
    <row r="163" spans="1:1" x14ac:dyDescent="0.3">
      <c r="A163" s="4" t="s">
        <v>330</v>
      </c>
    </row>
    <row r="164" spans="1:1" x14ac:dyDescent="0.3">
      <c r="A164" s="4" t="s">
        <v>331</v>
      </c>
    </row>
    <row r="165" spans="1:1" x14ac:dyDescent="0.3">
      <c r="A165" s="4" t="s">
        <v>332</v>
      </c>
    </row>
    <row r="166" spans="1:1" x14ac:dyDescent="0.3">
      <c r="A166" s="4" t="s">
        <v>333</v>
      </c>
    </row>
    <row r="167" spans="1:1" x14ac:dyDescent="0.3">
      <c r="A167" s="4" t="s">
        <v>334</v>
      </c>
    </row>
    <row r="168" spans="1:1" x14ac:dyDescent="0.3">
      <c r="A168" s="4" t="s">
        <v>335</v>
      </c>
    </row>
    <row r="169" spans="1:1" x14ac:dyDescent="0.3">
      <c r="A169" s="4" t="s">
        <v>336</v>
      </c>
    </row>
    <row r="170" spans="1:1" x14ac:dyDescent="0.3">
      <c r="A170" s="4" t="s">
        <v>337</v>
      </c>
    </row>
    <row r="171" spans="1:1" x14ac:dyDescent="0.3">
      <c r="A171" s="4" t="s">
        <v>338</v>
      </c>
    </row>
    <row r="172" spans="1:1" x14ac:dyDescent="0.3">
      <c r="A172" s="4" t="s">
        <v>339</v>
      </c>
    </row>
    <row r="173" spans="1:1" x14ac:dyDescent="0.3">
      <c r="A173" s="4" t="s">
        <v>340</v>
      </c>
    </row>
    <row r="174" spans="1:1" x14ac:dyDescent="0.3">
      <c r="A174" s="4" t="s">
        <v>341</v>
      </c>
    </row>
    <row r="175" spans="1:1" x14ac:dyDescent="0.3">
      <c r="A175" s="4" t="s">
        <v>342</v>
      </c>
    </row>
    <row r="176" spans="1:1" x14ac:dyDescent="0.3">
      <c r="A176" s="4" t="s">
        <v>343</v>
      </c>
    </row>
    <row r="177" spans="1:1" x14ac:dyDescent="0.3">
      <c r="A177" s="4" t="s">
        <v>344</v>
      </c>
    </row>
    <row r="178" spans="1:1" x14ac:dyDescent="0.3">
      <c r="A178" s="4" t="s">
        <v>345</v>
      </c>
    </row>
    <row r="179" spans="1:1" x14ac:dyDescent="0.3">
      <c r="A179" s="4" t="s">
        <v>346</v>
      </c>
    </row>
    <row r="180" spans="1:1" x14ac:dyDescent="0.3">
      <c r="A180" s="4" t="s">
        <v>347</v>
      </c>
    </row>
    <row r="181" spans="1:1" x14ac:dyDescent="0.3">
      <c r="A181" s="4" t="s">
        <v>348</v>
      </c>
    </row>
    <row r="182" spans="1:1" x14ac:dyDescent="0.3">
      <c r="A182" s="4" t="s">
        <v>349</v>
      </c>
    </row>
    <row r="183" spans="1:1" x14ac:dyDescent="0.3">
      <c r="A183" s="4" t="s">
        <v>350</v>
      </c>
    </row>
    <row r="184" spans="1:1" x14ac:dyDescent="0.3">
      <c r="A184" s="4" t="s">
        <v>351</v>
      </c>
    </row>
    <row r="185" spans="1:1" x14ac:dyDescent="0.3">
      <c r="A185" s="4" t="s">
        <v>352</v>
      </c>
    </row>
    <row r="186" spans="1:1" x14ac:dyDescent="0.3">
      <c r="A186" s="4" t="s">
        <v>353</v>
      </c>
    </row>
    <row r="187" spans="1:1" x14ac:dyDescent="0.3">
      <c r="A187" s="4" t="s">
        <v>354</v>
      </c>
    </row>
    <row r="188" spans="1:1" x14ac:dyDescent="0.3">
      <c r="A188" s="4" t="s">
        <v>355</v>
      </c>
    </row>
    <row r="189" spans="1:1" x14ac:dyDescent="0.3">
      <c r="A189" s="4" t="s">
        <v>356</v>
      </c>
    </row>
    <row r="190" spans="1:1" x14ac:dyDescent="0.3">
      <c r="A190" s="4" t="s">
        <v>357</v>
      </c>
    </row>
    <row r="191" spans="1:1" x14ac:dyDescent="0.3">
      <c r="A191" s="4" t="s">
        <v>358</v>
      </c>
    </row>
    <row r="192" spans="1:1" x14ac:dyDescent="0.3">
      <c r="A192" s="4" t="s">
        <v>359</v>
      </c>
    </row>
    <row r="193" spans="1:1" x14ac:dyDescent="0.3">
      <c r="A193" s="4" t="s">
        <v>360</v>
      </c>
    </row>
    <row r="194" spans="1:1" x14ac:dyDescent="0.3">
      <c r="A194" s="4" t="s">
        <v>361</v>
      </c>
    </row>
    <row r="195" spans="1:1" x14ac:dyDescent="0.3">
      <c r="A195" s="4" t="s">
        <v>362</v>
      </c>
    </row>
    <row r="196" spans="1:1" x14ac:dyDescent="0.3">
      <c r="A196" s="4" t="s">
        <v>363</v>
      </c>
    </row>
    <row r="197" spans="1:1" x14ac:dyDescent="0.3">
      <c r="A197" s="4" t="s">
        <v>364</v>
      </c>
    </row>
    <row r="198" spans="1:1" x14ac:dyDescent="0.3">
      <c r="A198" s="4" t="s">
        <v>365</v>
      </c>
    </row>
    <row r="199" spans="1:1" x14ac:dyDescent="0.3">
      <c r="A199" s="4" t="s">
        <v>366</v>
      </c>
    </row>
    <row r="200" spans="1:1" x14ac:dyDescent="0.3">
      <c r="A200" s="4" t="s">
        <v>367</v>
      </c>
    </row>
    <row r="201" spans="1:1" x14ac:dyDescent="0.3">
      <c r="A201" s="4" t="s">
        <v>368</v>
      </c>
    </row>
    <row r="202" spans="1:1" x14ac:dyDescent="0.3">
      <c r="A202" s="4" t="s">
        <v>369</v>
      </c>
    </row>
    <row r="203" spans="1:1" x14ac:dyDescent="0.3">
      <c r="A203" s="4" t="s">
        <v>370</v>
      </c>
    </row>
    <row r="204" spans="1:1" x14ac:dyDescent="0.3">
      <c r="A204" s="4" t="s">
        <v>371</v>
      </c>
    </row>
    <row r="205" spans="1:1" x14ac:dyDescent="0.3">
      <c r="A205" s="4" t="s">
        <v>372</v>
      </c>
    </row>
    <row r="206" spans="1:1" x14ac:dyDescent="0.3">
      <c r="A206" s="4" t="s">
        <v>373</v>
      </c>
    </row>
    <row r="207" spans="1:1" x14ac:dyDescent="0.3">
      <c r="A207" s="4" t="s">
        <v>374</v>
      </c>
    </row>
    <row r="208" spans="1:1" x14ac:dyDescent="0.3">
      <c r="A208" s="4" t="s">
        <v>375</v>
      </c>
    </row>
    <row r="209" spans="1:1" x14ac:dyDescent="0.3">
      <c r="A209" s="4" t="s">
        <v>376</v>
      </c>
    </row>
    <row r="210" spans="1:1" x14ac:dyDescent="0.3">
      <c r="A210" s="4" t="s">
        <v>377</v>
      </c>
    </row>
    <row r="211" spans="1:1" x14ac:dyDescent="0.3">
      <c r="A211" s="4" t="s">
        <v>378</v>
      </c>
    </row>
    <row r="212" spans="1:1" x14ac:dyDescent="0.3">
      <c r="A212" s="4" t="s">
        <v>379</v>
      </c>
    </row>
    <row r="213" spans="1:1" x14ac:dyDescent="0.3">
      <c r="A213" s="4" t="s">
        <v>380</v>
      </c>
    </row>
    <row r="214" spans="1:1" x14ac:dyDescent="0.3">
      <c r="A214" s="4" t="s">
        <v>381</v>
      </c>
    </row>
    <row r="215" spans="1:1" x14ac:dyDescent="0.3">
      <c r="A215" s="4" t="s">
        <v>382</v>
      </c>
    </row>
    <row r="216" spans="1:1" x14ac:dyDescent="0.3">
      <c r="A216" s="4" t="s">
        <v>383</v>
      </c>
    </row>
    <row r="217" spans="1:1" x14ac:dyDescent="0.3">
      <c r="A217" s="4" t="s">
        <v>384</v>
      </c>
    </row>
    <row r="218" spans="1:1" x14ac:dyDescent="0.3">
      <c r="A218" s="4" t="s">
        <v>385</v>
      </c>
    </row>
    <row r="219" spans="1:1" x14ac:dyDescent="0.3">
      <c r="A219" s="4" t="s">
        <v>386</v>
      </c>
    </row>
    <row r="220" spans="1:1" x14ac:dyDescent="0.3">
      <c r="A220" s="4" t="s">
        <v>387</v>
      </c>
    </row>
    <row r="221" spans="1:1" x14ac:dyDescent="0.3">
      <c r="A221" s="4" t="s">
        <v>388</v>
      </c>
    </row>
    <row r="222" spans="1:1" x14ac:dyDescent="0.3">
      <c r="A222" s="4" t="s">
        <v>389</v>
      </c>
    </row>
    <row r="223" spans="1:1" x14ac:dyDescent="0.3">
      <c r="A223" s="4" t="s">
        <v>390</v>
      </c>
    </row>
    <row r="224" spans="1:1" x14ac:dyDescent="0.3">
      <c r="A224" s="4" t="s">
        <v>391</v>
      </c>
    </row>
    <row r="225" spans="1:1" x14ac:dyDescent="0.3">
      <c r="A225" s="4" t="s">
        <v>392</v>
      </c>
    </row>
    <row r="226" spans="1:1" x14ac:dyDescent="0.3">
      <c r="A226" s="4" t="s">
        <v>393</v>
      </c>
    </row>
    <row r="227" spans="1:1" x14ac:dyDescent="0.3">
      <c r="A227" s="4" t="s">
        <v>394</v>
      </c>
    </row>
    <row r="228" spans="1:1" x14ac:dyDescent="0.3">
      <c r="A228" s="4" t="s">
        <v>395</v>
      </c>
    </row>
    <row r="229" spans="1:1" x14ac:dyDescent="0.3">
      <c r="A229" s="4" t="s">
        <v>396</v>
      </c>
    </row>
    <row r="230" spans="1:1" x14ac:dyDescent="0.3">
      <c r="A230" s="4" t="s">
        <v>397</v>
      </c>
    </row>
    <row r="231" spans="1:1" x14ac:dyDescent="0.3">
      <c r="A231" s="4" t="s">
        <v>398</v>
      </c>
    </row>
    <row r="232" spans="1:1" x14ac:dyDescent="0.3">
      <c r="A232" s="4" t="s">
        <v>399</v>
      </c>
    </row>
    <row r="233" spans="1:1" x14ac:dyDescent="0.3">
      <c r="A233" s="4" t="s">
        <v>400</v>
      </c>
    </row>
    <row r="234" spans="1:1" x14ac:dyDescent="0.3">
      <c r="A234" s="4" t="s">
        <v>401</v>
      </c>
    </row>
    <row r="235" spans="1:1" x14ac:dyDescent="0.3">
      <c r="A235" s="4" t="s">
        <v>402</v>
      </c>
    </row>
    <row r="236" spans="1:1" x14ac:dyDescent="0.3">
      <c r="A236" s="4" t="s">
        <v>403</v>
      </c>
    </row>
    <row r="237" spans="1:1" x14ac:dyDescent="0.3">
      <c r="A237" s="4" t="s">
        <v>404</v>
      </c>
    </row>
    <row r="238" spans="1:1" x14ac:dyDescent="0.3">
      <c r="A238" s="4" t="s">
        <v>405</v>
      </c>
    </row>
    <row r="239" spans="1:1" x14ac:dyDescent="0.3">
      <c r="A239" s="4" t="s">
        <v>406</v>
      </c>
    </row>
    <row r="240" spans="1:1" x14ac:dyDescent="0.3">
      <c r="A240" s="4" t="s">
        <v>407</v>
      </c>
    </row>
    <row r="241" spans="1:1" x14ac:dyDescent="0.3">
      <c r="A241" s="4" t="s">
        <v>408</v>
      </c>
    </row>
    <row r="242" spans="1:1" x14ac:dyDescent="0.3">
      <c r="A242" s="4" t="s">
        <v>409</v>
      </c>
    </row>
    <row r="243" spans="1:1" x14ac:dyDescent="0.3">
      <c r="A243" s="4" t="s">
        <v>410</v>
      </c>
    </row>
    <row r="244" spans="1:1" x14ac:dyDescent="0.3">
      <c r="A244" s="4" t="s">
        <v>411</v>
      </c>
    </row>
    <row r="245" spans="1:1" x14ac:dyDescent="0.3">
      <c r="A245" s="4" t="s">
        <v>412</v>
      </c>
    </row>
    <row r="246" spans="1:1" x14ac:dyDescent="0.3">
      <c r="A246" s="4" t="s">
        <v>413</v>
      </c>
    </row>
    <row r="248" spans="1:1" x14ac:dyDescent="0.3">
      <c r="A248" s="4" t="s">
        <v>18</v>
      </c>
    </row>
    <row r="249" spans="1:1" x14ac:dyDescent="0.3">
      <c r="A249" s="5" t="s">
        <v>95</v>
      </c>
    </row>
    <row r="250" spans="1:1" x14ac:dyDescent="0.3">
      <c r="A250" s="4" t="s">
        <v>414</v>
      </c>
    </row>
    <row r="251" spans="1:1" x14ac:dyDescent="0.3">
      <c r="A251" s="4" t="s">
        <v>415</v>
      </c>
    </row>
    <row r="252" spans="1:1" x14ac:dyDescent="0.3">
      <c r="A252" s="4" t="s">
        <v>416</v>
      </c>
    </row>
    <row r="253" spans="1:1" x14ac:dyDescent="0.3">
      <c r="A253" s="4" t="s">
        <v>417</v>
      </c>
    </row>
    <row r="254" spans="1:1" x14ac:dyDescent="0.3">
      <c r="A254" s="4" t="s">
        <v>418</v>
      </c>
    </row>
    <row r="255" spans="1:1" x14ac:dyDescent="0.3">
      <c r="A255" s="4" t="s">
        <v>419</v>
      </c>
    </row>
    <row r="256" spans="1:1" x14ac:dyDescent="0.3">
      <c r="A256" s="4" t="s">
        <v>420</v>
      </c>
    </row>
    <row r="257" spans="1:2" x14ac:dyDescent="0.3">
      <c r="A257" s="4" t="s">
        <v>421</v>
      </c>
    </row>
    <row r="258" spans="1:2" x14ac:dyDescent="0.3">
      <c r="A258" s="4" t="s">
        <v>422</v>
      </c>
    </row>
    <row r="259" spans="1:2" x14ac:dyDescent="0.3">
      <c r="A259" s="4" t="s">
        <v>423</v>
      </c>
    </row>
    <row r="260" spans="1:2" x14ac:dyDescent="0.3">
      <c r="A260" s="4" t="s">
        <v>424</v>
      </c>
    </row>
    <row r="261" spans="1:2" x14ac:dyDescent="0.3">
      <c r="A261" s="4" t="s">
        <v>425</v>
      </c>
    </row>
    <row r="262" spans="1:2" x14ac:dyDescent="0.3">
      <c r="A262" s="4" t="s">
        <v>426</v>
      </c>
    </row>
    <row r="263" spans="1:2" x14ac:dyDescent="0.3">
      <c r="A263" s="4" t="s">
        <v>427</v>
      </c>
    </row>
    <row r="264" spans="1:2" x14ac:dyDescent="0.3">
      <c r="A264" s="4" t="s">
        <v>428</v>
      </c>
    </row>
    <row r="265" spans="1:2" x14ac:dyDescent="0.3">
      <c r="A265" s="4" t="s">
        <v>429</v>
      </c>
    </row>
    <row r="266" spans="1:2" x14ac:dyDescent="0.3">
      <c r="A266" s="4" t="s">
        <v>201</v>
      </c>
    </row>
    <row r="267" spans="1:2" x14ac:dyDescent="0.3">
      <c r="A267" s="4" t="s">
        <v>430</v>
      </c>
    </row>
    <row r="269" spans="1:2" x14ac:dyDescent="0.3">
      <c r="A269" s="4" t="s">
        <v>16</v>
      </c>
    </row>
    <row r="270" spans="1:2" x14ac:dyDescent="0.3">
      <c r="A270" s="5" t="s">
        <v>95</v>
      </c>
    </row>
    <row r="271" spans="1:2" x14ac:dyDescent="0.3">
      <c r="A271" s="5" t="s">
        <v>95</v>
      </c>
      <c r="B271" s="6" t="s">
        <v>431</v>
      </c>
    </row>
    <row r="272" spans="1:2" x14ac:dyDescent="0.3">
      <c r="A272" s="4" t="s">
        <v>432</v>
      </c>
      <c r="B272" s="6" t="s">
        <v>431</v>
      </c>
    </row>
    <row r="273" spans="1:2" x14ac:dyDescent="0.3">
      <c r="A273" s="4" t="s">
        <v>433</v>
      </c>
      <c r="B273" s="6" t="s">
        <v>431</v>
      </c>
    </row>
    <row r="274" spans="1:2" x14ac:dyDescent="0.3">
      <c r="A274" s="4" t="s">
        <v>434</v>
      </c>
      <c r="B274" s="6" t="s">
        <v>431</v>
      </c>
    </row>
    <row r="275" spans="1:2" x14ac:dyDescent="0.3">
      <c r="A275" s="5" t="s">
        <v>95</v>
      </c>
      <c r="B275" s="3" t="s">
        <v>435</v>
      </c>
    </row>
    <row r="276" spans="1:2" x14ac:dyDescent="0.3">
      <c r="A276" s="4" t="s">
        <v>436</v>
      </c>
      <c r="B276" s="3" t="s">
        <v>435</v>
      </c>
    </row>
    <row r="277" spans="1:2" x14ac:dyDescent="0.3">
      <c r="A277" s="4" t="s">
        <v>437</v>
      </c>
      <c r="B277" s="3" t="s">
        <v>435</v>
      </c>
    </row>
    <row r="278" spans="1:2" x14ac:dyDescent="0.3">
      <c r="A278" s="4" t="s">
        <v>438</v>
      </c>
      <c r="B278" s="3" t="s">
        <v>435</v>
      </c>
    </row>
    <row r="279" spans="1:2" x14ac:dyDescent="0.3">
      <c r="A279" s="4" t="s">
        <v>439</v>
      </c>
      <c r="B279" s="3" t="s">
        <v>435</v>
      </c>
    </row>
    <row r="280" spans="1:2" x14ac:dyDescent="0.3">
      <c r="A280" s="5" t="s">
        <v>95</v>
      </c>
      <c r="B280" s="6" t="s">
        <v>440</v>
      </c>
    </row>
    <row r="281" spans="1:2" x14ac:dyDescent="0.3">
      <c r="A281" s="4" t="s">
        <v>436</v>
      </c>
      <c r="B281" s="6" t="s">
        <v>440</v>
      </c>
    </row>
    <row r="282" spans="1:2" x14ac:dyDescent="0.3">
      <c r="A282" s="4" t="s">
        <v>437</v>
      </c>
      <c r="B282" s="6" t="s">
        <v>440</v>
      </c>
    </row>
    <row r="283" spans="1:2" x14ac:dyDescent="0.3">
      <c r="A283" s="4" t="s">
        <v>441</v>
      </c>
      <c r="B283" s="6" t="s">
        <v>440</v>
      </c>
    </row>
    <row r="284" spans="1:2" x14ac:dyDescent="0.3">
      <c r="A284" s="4" t="s">
        <v>439</v>
      </c>
      <c r="B284" s="6" t="s">
        <v>440</v>
      </c>
    </row>
    <row r="286" spans="1:2" x14ac:dyDescent="0.3">
      <c r="A286" s="4" t="s">
        <v>442</v>
      </c>
    </row>
    <row r="287" spans="1:2" x14ac:dyDescent="0.3">
      <c r="A287" s="5" t="s">
        <v>95</v>
      </c>
    </row>
    <row r="288" spans="1:2" x14ac:dyDescent="0.3">
      <c r="A288" s="4" t="s">
        <v>443</v>
      </c>
    </row>
    <row r="289" spans="1:1" x14ac:dyDescent="0.3">
      <c r="A289" s="4" t="s">
        <v>444</v>
      </c>
    </row>
    <row r="290" spans="1:1" x14ac:dyDescent="0.3">
      <c r="A290" s="4" t="s">
        <v>445</v>
      </c>
    </row>
    <row r="291" spans="1:1" x14ac:dyDescent="0.3">
      <c r="A291" s="4" t="s">
        <v>446</v>
      </c>
    </row>
    <row r="292" spans="1:1" x14ac:dyDescent="0.3">
      <c r="A292" s="4" t="s">
        <v>447</v>
      </c>
    </row>
    <row r="293" spans="1:1" x14ac:dyDescent="0.3">
      <c r="A293" s="4" t="s">
        <v>448</v>
      </c>
    </row>
    <row r="294" spans="1:1" x14ac:dyDescent="0.3">
      <c r="A294" s="4" t="s">
        <v>449</v>
      </c>
    </row>
    <row r="295" spans="1:1" x14ac:dyDescent="0.3">
      <c r="A295" s="4" t="s">
        <v>450</v>
      </c>
    </row>
    <row r="296" spans="1:1" x14ac:dyDescent="0.3">
      <c r="A296" s="4" t="s">
        <v>451</v>
      </c>
    </row>
    <row r="297" spans="1:1" x14ac:dyDescent="0.3">
      <c r="A297" s="4" t="s">
        <v>452</v>
      </c>
    </row>
    <row r="298" spans="1:1" x14ac:dyDescent="0.3">
      <c r="A298" s="4" t="s">
        <v>453</v>
      </c>
    </row>
    <row r="299" spans="1:1" x14ac:dyDescent="0.3">
      <c r="A299" s="4" t="s">
        <v>454</v>
      </c>
    </row>
    <row r="300" spans="1:1" x14ac:dyDescent="0.3">
      <c r="A300" s="4" t="s">
        <v>455</v>
      </c>
    </row>
    <row r="301" spans="1:1" x14ac:dyDescent="0.3">
      <c r="A301" s="4" t="s">
        <v>456</v>
      </c>
    </row>
    <row r="302" spans="1:1" x14ac:dyDescent="0.3">
      <c r="A302" s="4" t="s">
        <v>457</v>
      </c>
    </row>
    <row r="303" spans="1:1" x14ac:dyDescent="0.3">
      <c r="A303" s="4" t="s">
        <v>458</v>
      </c>
    </row>
    <row r="304" spans="1:1" x14ac:dyDescent="0.3">
      <c r="A304" s="4" t="s">
        <v>459</v>
      </c>
    </row>
    <row r="305" spans="1:1" x14ac:dyDescent="0.3">
      <c r="A305" s="4" t="s">
        <v>268</v>
      </c>
    </row>
  </sheetData>
  <sheetProtection selectLockedCells="1" selectUnlockedCells="1"/>
  <mergeCells count="1">
    <mergeCell ref="A1:I1"/>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abSelected="1" topLeftCell="J1" zoomScaleNormal="100" workbookViewId="0">
      <selection activeCell="E5" sqref="E5"/>
    </sheetView>
  </sheetViews>
  <sheetFormatPr defaultColWidth="9.21875" defaultRowHeight="14.4" x14ac:dyDescent="0.3"/>
  <cols>
    <col min="1" max="1" width="32.21875" style="85" customWidth="1"/>
    <col min="2" max="2" width="45.21875" style="85" customWidth="1"/>
    <col min="3" max="3" width="56.5546875" style="71" customWidth="1"/>
    <col min="4" max="4" width="28" style="71" customWidth="1"/>
    <col min="5" max="7" width="16.21875" style="71" customWidth="1"/>
    <col min="8" max="8" width="135.109375" style="71" customWidth="1"/>
    <col min="9" max="9" width="21.77734375" style="71" bestFit="1" customWidth="1"/>
    <col min="10" max="10" width="29.33203125" style="3" customWidth="1"/>
    <col min="11" max="11" width="36.21875" style="71" customWidth="1"/>
    <col min="12" max="13" width="21" style="71" customWidth="1"/>
    <col min="14" max="14" width="21" style="84" customWidth="1"/>
    <col min="15" max="16" width="21" style="71" customWidth="1"/>
    <col min="17" max="17" width="15.21875" style="71" customWidth="1"/>
    <col min="18" max="18" width="14.5546875" style="71" customWidth="1"/>
    <col min="19" max="16384" width="9.21875" style="71"/>
  </cols>
  <sheetData>
    <row r="1" spans="1:18" s="3" customFormat="1" ht="35.25" customHeight="1" x14ac:dyDescent="0.3">
      <c r="A1" s="87" t="s">
        <v>550</v>
      </c>
      <c r="B1" s="87" t="s">
        <v>0</v>
      </c>
      <c r="C1" s="3" t="s">
        <v>551</v>
      </c>
      <c r="D1" s="87" t="s">
        <v>469</v>
      </c>
      <c r="E1" s="3" t="s">
        <v>482</v>
      </c>
      <c r="F1" s="87" t="s">
        <v>549</v>
      </c>
      <c r="G1" s="87" t="s">
        <v>544</v>
      </c>
      <c r="H1" s="3" t="s">
        <v>470</v>
      </c>
      <c r="I1" s="87" t="s">
        <v>85</v>
      </c>
      <c r="J1" s="87" t="s">
        <v>461</v>
      </c>
      <c r="K1" s="3" t="s">
        <v>2</v>
      </c>
      <c r="L1" s="3" t="s">
        <v>3</v>
      </c>
      <c r="M1" s="3" t="s">
        <v>559</v>
      </c>
      <c r="N1" s="3" t="s">
        <v>590</v>
      </c>
      <c r="O1" s="3" t="s">
        <v>591</v>
      </c>
      <c r="P1" s="3" t="s">
        <v>592</v>
      </c>
      <c r="Q1" s="3" t="s">
        <v>594</v>
      </c>
      <c r="R1" s="3" t="s">
        <v>593</v>
      </c>
    </row>
    <row r="2" spans="1:18" x14ac:dyDescent="0.3">
      <c r="A2" s="85" t="s">
        <v>29</v>
      </c>
      <c r="B2" s="85" t="s">
        <v>29</v>
      </c>
      <c r="C2" s="71" t="str">
        <f>SUBSTITUTE(SUBSTITUTE(PROPER(TRIM(CLEAN(Table574[[#This Row],[Field]])))," ","_"),"-","")</f>
        <v>Outcome_Level</v>
      </c>
      <c r="D2" s="71" t="s">
        <v>489</v>
      </c>
      <c r="E2" s="71" t="str">
        <f>VLOOKUP(Table574[[#This Row],[Extension]],DescRef1[],2,FALSE)</f>
        <v>DESC</v>
      </c>
      <c r="F2" s="71">
        <v>100</v>
      </c>
      <c r="G2" s="71" t="s">
        <v>568</v>
      </c>
      <c r="H2" s="71" t="str">
        <f>IF(Table574[[#This Row],[Code]]="-", Table574[[#This Row],[Formatted]], CONCATENATE(Table574[[#This Row],[Formatted]],"_",Table574[[#This Row],[Code]]))</f>
        <v>Outcome_Level_DESC</v>
      </c>
      <c r="I2" s="71" t="s">
        <v>78</v>
      </c>
      <c r="M2" s="3" t="str">
        <f>CONCATENATE(VLOOKUP(Table574[[#This Row],[Field Type]],FieldTypesRef1[],2,FALSE),IF(Table574[[#This Row],[Mandatory]]="Yes","","?"))</f>
        <v>string</v>
      </c>
      <c r="N2" s="3" t="str">
        <f>VLOOKUP(Table574[[#This Row],[Field Type]],FieldTypesRef1[],3,FALSE)</f>
        <v/>
      </c>
      <c r="O2" s="3" t="str">
        <f>IF(Table574[[#This Row],[Mandatory]]="Yes","[Required]","")</f>
        <v>[Required]</v>
      </c>
      <c r="P2" s="3" t="str">
        <f>IF(Table574[[#This Row],[Max Length]]&gt;0,CONCATENATE("[MaxLength(",Table574[[#This Row],[Max Length]],")]"),"")</f>
        <v>[MaxLength(100)]</v>
      </c>
      <c r="Q2" s="3" t="str">
        <f>CONCATENATE("""",Table574[[#This Row],[SQL Name]],""" : """,Table574[[#This Row],[Field]],""",")</f>
        <v>"Outcome_Level_DESC" : "Outcome Level",</v>
      </c>
      <c r="R2" s="71" t="str">
        <f>CONCATENATE("/** Section: ",Table574[[#This Row],[Section]], " **/ ",Table574[[#This Row],[EF Core Annotation1]],Table574[[#This Row],[EF Core Annotation2]],Table574[[#This Row],[EF Core Annotation3]],"public ",Table574[[#This Row],[EF Type]]," ",Table574[[#This Row],[SQL Name]]," {get;set;}")</f>
        <v>/** Section: Outcome Level **/ [Required][MaxLength(100)]public string Outcome_Level_DESC {get;set;}</v>
      </c>
    </row>
    <row r="3" spans="1:18" x14ac:dyDescent="0.3">
      <c r="A3" s="85" t="s">
        <v>31</v>
      </c>
      <c r="B3" s="85" t="s">
        <v>31</v>
      </c>
      <c r="C3" s="71" t="str">
        <f>SUBSTITUTE(SUBSTITUTE(PROPER(TRIM(CLEAN(Table574[[#This Row],[Field]])))," ","_"),"-","")</f>
        <v>Program_Output_Or_Outcome</v>
      </c>
      <c r="D3" s="71" t="s">
        <v>489</v>
      </c>
      <c r="E3" s="71" t="str">
        <f>VLOOKUP(Table574[[#This Row],[Extension]],DescRef1[],2,FALSE)</f>
        <v>DESC</v>
      </c>
      <c r="F3" s="71">
        <v>100</v>
      </c>
      <c r="G3" s="71" t="s">
        <v>568</v>
      </c>
      <c r="H3" s="71" t="str">
        <f>IF(Table574[[#This Row],[Code]]="-", Table574[[#This Row],[Formatted]], CONCATENATE(Table574[[#This Row],[Formatted]],"_",Table574[[#This Row],[Code]]))</f>
        <v>Program_Output_Or_Outcome_DESC</v>
      </c>
      <c r="I3" s="71" t="s">
        <v>78</v>
      </c>
      <c r="M3" s="3" t="str">
        <f>CONCATENATE(VLOOKUP(Table574[[#This Row],[Field Type]],FieldTypesRef1[],2,FALSE),IF(Table574[[#This Row],[Mandatory]]="Yes","","?"))</f>
        <v>string</v>
      </c>
      <c r="N3" s="89" t="str">
        <f>VLOOKUP(Table574[[#This Row],[Field Type]],FieldTypesRef1[],3,FALSE)</f>
        <v/>
      </c>
      <c r="O3" s="3" t="str">
        <f>IF(Table574[[#This Row],[Mandatory]]="Yes","[Required]","")</f>
        <v>[Required]</v>
      </c>
      <c r="P3" s="3" t="str">
        <f>IF(Table574[[#This Row],[Max Length]]&gt;0,CONCATENATE("[MaxLength(",Table574[[#This Row],[Max Length]],")]"),"")</f>
        <v>[MaxLength(100)]</v>
      </c>
      <c r="Q3" s="3" t="str">
        <f>CONCATENATE("""",Table574[[#This Row],[SQL Name]],""" : """,Table574[[#This Row],[Field]],""",")</f>
        <v>"Program_Output_Or_Outcome_DESC" : "Program Output or Outcome",</v>
      </c>
      <c r="R3" s="71" t="str">
        <f>CONCATENATE("/** Section: ",Table574[[#This Row],[Section]], " **/ ",Table574[[#This Row],[EF Core Annotation1]],Table574[[#This Row],[EF Core Annotation2]],Table574[[#This Row],[EF Core Annotation3]],"public ",Table574[[#This Row],[EF Type]]," ",Table574[[#This Row],[SQL Name]]," {get;set;}")</f>
        <v>/** Section: Program Output or Outcome **/ [Required][MaxLength(100)]public string Program_Output_Or_Outcome_DESC {get;set;}</v>
      </c>
    </row>
    <row r="4" spans="1:18" x14ac:dyDescent="0.3">
      <c r="A4" s="85" t="s">
        <v>32</v>
      </c>
      <c r="B4" s="86" t="s">
        <v>32</v>
      </c>
      <c r="C4" s="71" t="str">
        <f>SUBSTITUTE(SUBSTITUTE(PROPER(TRIM(CLEAN(Table574[[#This Row],[Field]])))," ","_"),"-","")</f>
        <v>Indicator</v>
      </c>
      <c r="D4" s="71" t="s">
        <v>489</v>
      </c>
      <c r="E4" s="71" t="str">
        <f>VLOOKUP(Table574[[#This Row],[Extension]],DescRef1[],2,FALSE)</f>
        <v>DESC</v>
      </c>
      <c r="F4" s="71">
        <v>100</v>
      </c>
      <c r="G4" s="71" t="s">
        <v>568</v>
      </c>
      <c r="H4" s="71" t="str">
        <f>IF(Table574[[#This Row],[Code]]="-", Table574[[#This Row],[Formatted]], CONCATENATE(Table574[[#This Row],[Formatted]],"_",Table574[[#This Row],[Code]]))</f>
        <v>Indicator_DESC</v>
      </c>
      <c r="I4" s="71" t="s">
        <v>78</v>
      </c>
      <c r="J4" s="17"/>
      <c r="K4" s="72"/>
      <c r="M4" s="3" t="str">
        <f>CONCATENATE(VLOOKUP(Table574[[#This Row],[Field Type]],FieldTypesRef1[],2,FALSE),IF(Table574[[#This Row],[Mandatory]]="Yes","","?"))</f>
        <v>string</v>
      </c>
      <c r="N4" s="89" t="str">
        <f>VLOOKUP(Table574[[#This Row],[Field Type]],FieldTypesRef1[],3,FALSE)</f>
        <v/>
      </c>
      <c r="O4" s="3" t="str">
        <f>IF(Table574[[#This Row],[Mandatory]]="Yes","[Required]","")</f>
        <v>[Required]</v>
      </c>
      <c r="P4" s="3" t="str">
        <f>IF(Table574[[#This Row],[Max Length]]&gt;0,CONCATENATE("[MaxLength(",Table574[[#This Row],[Max Length]],")]"),"")</f>
        <v>[MaxLength(100)]</v>
      </c>
      <c r="Q4" s="3" t="str">
        <f>CONCATENATE("""",Table574[[#This Row],[SQL Name]],""" : """,Table574[[#This Row],[Field]],""",")</f>
        <v>"Indicator_DESC" : "Indicator ",</v>
      </c>
      <c r="R4" s="71" t="str">
        <f>CONCATENATE("/** Section: ",Table574[[#This Row],[Section]], " **/ ",Table574[[#This Row],[EF Core Annotation1]],Table574[[#This Row],[EF Core Annotation2]],Table574[[#This Row],[EF Core Annotation3]],"public ",Table574[[#This Row],[EF Type]]," ",Table574[[#This Row],[SQL Name]]," {get;set;}")</f>
        <v>/** Section: Indicator  **/ [Required][MaxLength(100)]public string Indicator_DESC {get;set;}</v>
      </c>
    </row>
    <row r="5" spans="1:18" x14ac:dyDescent="0.3">
      <c r="A5" s="85" t="s">
        <v>33</v>
      </c>
      <c r="B5" s="86" t="s">
        <v>33</v>
      </c>
      <c r="C5" s="71" t="str">
        <f>SUBSTITUTE(SUBSTITUTE(PROPER(TRIM(CLEAN(Table574[[#This Row],[Field]])))," ","_"),"-","")</f>
        <v>Indicator_Calculation/Formula</v>
      </c>
      <c r="D5" s="71" t="s">
        <v>151</v>
      </c>
      <c r="E5" s="71" t="str">
        <f>VLOOKUP(Table574[[#This Row],[Extension]],DescRef1[],2,FALSE)</f>
        <v>NUM</v>
      </c>
      <c r="F5" s="71">
        <v>100</v>
      </c>
      <c r="G5" s="71" t="s">
        <v>568</v>
      </c>
      <c r="H5" s="121" t="s">
        <v>734</v>
      </c>
      <c r="I5" s="71" t="s">
        <v>554</v>
      </c>
      <c r="J5" s="17"/>
      <c r="K5" s="72"/>
      <c r="M5" s="3" t="str">
        <f>CONCATENATE(VLOOKUP(Table574[[#This Row],[Field Type]],FieldTypesRef1[],2,FALSE),IF(Table574[[#This Row],[Mandatory]]="Yes","","?"))</f>
        <v>double</v>
      </c>
      <c r="N5" s="89" t="str">
        <f>VLOOKUP(Table574[[#This Row],[Field Type]],FieldTypesRef1[],3,FALSE)</f>
        <v/>
      </c>
      <c r="O5" s="3" t="str">
        <f>IF(Table574[[#This Row],[Mandatory]]="Yes","[Required]","")</f>
        <v>[Required]</v>
      </c>
      <c r="P5" s="3" t="str">
        <f>IF(Table574[[#This Row],[Max Length]]&gt;0,CONCATENATE("[MaxLength(",Table574[[#This Row],[Max Length]],")]"),"")</f>
        <v>[MaxLength(100)]</v>
      </c>
      <c r="Q5" s="3" t="str">
        <f>CONCATENATE("""",Table574[[#This Row],[SQL Name]],""" : """,Table574[[#This Row],[Field]],""",")</f>
        <v>"Indicator_Calculation_Formula_NUM" : "Indicator Calculation/Formula",</v>
      </c>
      <c r="R5" s="71" t="str">
        <f>CONCATENATE("/** Section: ",Table574[[#This Row],[Section]], " **/ ",Table574[[#This Row],[EF Core Annotation1]],Table574[[#This Row],[EF Core Annotation2]],Table574[[#This Row],[EF Core Annotation3]],"public ",Table574[[#This Row],[EF Type]]," ",Table574[[#This Row],[SQL Name]]," {get;set;}")</f>
        <v>/** Section: Indicator Calculation/Formula **/ [Required][MaxLength(100)]public double Indicator_Calculation_Formula_NUM {get;set;}</v>
      </c>
    </row>
    <row r="6" spans="1:18" x14ac:dyDescent="0.3">
      <c r="A6" s="85" t="s">
        <v>34</v>
      </c>
      <c r="B6" s="86" t="s">
        <v>34</v>
      </c>
      <c r="C6" s="71" t="str">
        <f>SUBSTITUTE(SUBSTITUTE(PROPER(TRIM(CLEAN(Table574[[#This Row],[Field]])))," ","_"),"-","")</f>
        <v>Indicator_Rationale_(How_It_Relates_To_The_Output_Or_Outcome;_Why_Is_It_Relevant?)</v>
      </c>
      <c r="D6" s="71" t="s">
        <v>489</v>
      </c>
      <c r="E6" s="71" t="str">
        <f>VLOOKUP(Table574[[#This Row],[Extension]],DescRef1[],2,FALSE)</f>
        <v>DESC</v>
      </c>
      <c r="F6" s="71">
        <v>400</v>
      </c>
      <c r="G6" s="71" t="s">
        <v>568</v>
      </c>
      <c r="H6" s="71" t="s">
        <v>730</v>
      </c>
      <c r="I6" s="71" t="s">
        <v>78</v>
      </c>
      <c r="J6" s="17"/>
      <c r="K6" s="72"/>
      <c r="M6" s="3" t="str">
        <f>CONCATENATE(VLOOKUP(Table574[[#This Row],[Field Type]],FieldTypesRef1[],2,FALSE),IF(Table574[[#This Row],[Mandatory]]="Yes","","?"))</f>
        <v>string</v>
      </c>
      <c r="N6" s="89" t="str">
        <f>VLOOKUP(Table574[[#This Row],[Field Type]],FieldTypesRef1[],3,FALSE)</f>
        <v/>
      </c>
      <c r="O6" s="3" t="str">
        <f>IF(Table574[[#This Row],[Mandatory]]="Yes","[Required]","")</f>
        <v>[Required]</v>
      </c>
      <c r="P6" s="3" t="str">
        <f>IF(Table574[[#This Row],[Max Length]]&gt;0,CONCATENATE("[MaxLength(",Table574[[#This Row],[Max Length]],")]"),"")</f>
        <v>[MaxLength(400)]</v>
      </c>
      <c r="Q6" s="3" t="str">
        <f>CONCATENATE("""",Table574[[#This Row],[SQL Name]],""" : """,Table574[[#This Row],[Field]],""",")</f>
        <v>"Indicator_Rationale_DESC" : "Indicator Rationale (how it relates to the output or outcome; why is it relevant?)",</v>
      </c>
      <c r="R6" s="71" t="str">
        <f>CONCATENATE("/** Section: ",Table574[[#This Row],[Section]], " **/ ",Table574[[#This Row],[EF Core Annotation1]],Table574[[#This Row],[EF Core Annotation2]],Table574[[#This Row],[EF Core Annotation3]],"public ",Table574[[#This Row],[EF Type]]," ",Table574[[#This Row],[SQL Name]]," {get;set;}")</f>
        <v>/** Section: Indicator Rationale (how it relates to the output or outcome; why is it relevant?) **/ [Required][MaxLength(400)]public string Indicator_Rationale_DESC {get;set;}</v>
      </c>
    </row>
    <row r="7" spans="1:18" x14ac:dyDescent="0.3">
      <c r="A7" s="85" t="s">
        <v>35</v>
      </c>
      <c r="B7" s="86" t="s">
        <v>35</v>
      </c>
      <c r="C7" s="71" t="str">
        <f>SUBSTITUTE(SUBSTITUTE(PROPER(TRIM(CLEAN(Table574[[#This Row],[Field]])))," ","_"),"-","")</f>
        <v>Source_Of_Indicator</v>
      </c>
      <c r="D7" s="71" t="s">
        <v>489</v>
      </c>
      <c r="E7" s="71" t="str">
        <f>VLOOKUP(Table574[[#This Row],[Extension]],DescRef1[],2,FALSE)</f>
        <v>DESC</v>
      </c>
      <c r="F7" s="71">
        <v>100</v>
      </c>
      <c r="G7" s="71" t="s">
        <v>568</v>
      </c>
      <c r="H7" s="71" t="str">
        <f>IF(Table574[[#This Row],[Code]]="-", Table574[[#This Row],[Formatted]], CONCATENATE(Table574[[#This Row],[Formatted]],"_",Table574[[#This Row],[Code]]))</f>
        <v>Source_Of_Indicator_DESC</v>
      </c>
      <c r="I7" s="71" t="s">
        <v>78</v>
      </c>
      <c r="J7" s="17"/>
      <c r="K7" s="72"/>
      <c r="M7" s="3" t="str">
        <f>CONCATENATE(VLOOKUP(Table574[[#This Row],[Field Type]],FieldTypesRef1[],2,FALSE),IF(Table574[[#This Row],[Mandatory]]="Yes","","?"))</f>
        <v>string</v>
      </c>
      <c r="N7" s="89" t="str">
        <f>VLOOKUP(Table574[[#This Row],[Field Type]],FieldTypesRef1[],3,FALSE)</f>
        <v/>
      </c>
      <c r="O7" s="3" t="str">
        <f>IF(Table574[[#This Row],[Mandatory]]="Yes","[Required]","")</f>
        <v>[Required]</v>
      </c>
      <c r="P7" s="3" t="str">
        <f>IF(Table574[[#This Row],[Max Length]]&gt;0,CONCATENATE("[MaxLength(",Table574[[#This Row],[Max Length]],")]"),"")</f>
        <v>[MaxLength(100)]</v>
      </c>
      <c r="Q7" s="3" t="str">
        <f>CONCATENATE("""",Table574[[#This Row],[SQL Name]],""" : """,Table574[[#This Row],[Field]],""",")</f>
        <v>"Source_Of_Indicator_DESC" : "Source of Indicator",</v>
      </c>
      <c r="R7" s="71" t="str">
        <f>CONCATENATE("/** Section: ",Table574[[#This Row],[Section]], " **/ ",Table574[[#This Row],[EF Core Annotation1]],Table574[[#This Row],[EF Core Annotation2]],Table574[[#This Row],[EF Core Annotation3]],"public ",Table574[[#This Row],[EF Type]]," ",Table574[[#This Row],[SQL Name]]," {get;set;}")</f>
        <v>/** Section: Source of Indicator **/ [Required][MaxLength(100)]public string Source_Of_Indicator_DESC {get;set;}</v>
      </c>
    </row>
    <row r="8" spans="1:18" x14ac:dyDescent="0.3">
      <c r="A8" s="85" t="s">
        <v>37</v>
      </c>
      <c r="B8" s="85" t="s">
        <v>37</v>
      </c>
      <c r="C8" s="71" t="str">
        <f>SUBSTITUTE(SUBSTITUTE(PROPER(TRIM(CLEAN(Table574[[#This Row],[Field]])))," ","_"),"-","")</f>
        <v>Tb_Sub_Indicator_Identification_Number</v>
      </c>
      <c r="D8" s="71" t="s">
        <v>504</v>
      </c>
      <c r="E8" s="71" t="str">
        <f>VLOOKUP(Table574[[#This Row],[Extension]],DescRef1[],2,FALSE)</f>
        <v>ID</v>
      </c>
      <c r="F8" s="71">
        <v>100</v>
      </c>
      <c r="G8" s="71" t="s">
        <v>568</v>
      </c>
      <c r="H8" s="71" t="str">
        <f>IF(Table574[[#This Row],[Code]]="-", Table574[[#This Row],[Formatted]], CONCATENATE(Table574[[#This Row],[Formatted]],"_",Table574[[#This Row],[Code]]))</f>
        <v>Tb_Sub_Indicator_Identification_Number_ID</v>
      </c>
      <c r="I8" s="71" t="s">
        <v>78</v>
      </c>
      <c r="J8" s="17"/>
      <c r="M8" s="3" t="str">
        <f>CONCATENATE(VLOOKUP(Table574[[#This Row],[Field Type]],FieldTypesRef1[],2,FALSE),IF(Table574[[#This Row],[Mandatory]]="Yes","","?"))</f>
        <v>string</v>
      </c>
      <c r="N8" s="89" t="str">
        <f>VLOOKUP(Table574[[#This Row],[Field Type]],FieldTypesRef1[],3,FALSE)</f>
        <v/>
      </c>
      <c r="O8" s="3" t="str">
        <f>IF(Table574[[#This Row],[Mandatory]]="Yes","[Required]","")</f>
        <v>[Required]</v>
      </c>
      <c r="P8" s="3" t="str">
        <f>IF(Table574[[#This Row],[Max Length]]&gt;0,CONCATENATE("[MaxLength(",Table574[[#This Row],[Max Length]],")]"),"")</f>
        <v>[MaxLength(100)]</v>
      </c>
      <c r="Q8" s="3" t="str">
        <f>CONCATENATE("""",Table574[[#This Row],[SQL Name]],""" : """,Table574[[#This Row],[Field]],""",")</f>
        <v>"Tb_Sub_Indicator_Identification_Number_ID" : "TB Sub Indicator Identification Number",</v>
      </c>
      <c r="R8" s="71" t="str">
        <f>CONCATENATE("/** Section: ",Table574[[#This Row],[Section]], " **/ ",Table574[[#This Row],[EF Core Annotation1]],Table574[[#This Row],[EF Core Annotation2]],Table574[[#This Row],[EF Core Annotation3]],"public ",Table574[[#This Row],[EF Type]]," ",Table574[[#This Row],[SQL Name]]," {get;set;}")</f>
        <v>/** Section: TB Sub Indicator Identification Number **/ [Required][MaxLength(100)]public string Tb_Sub_Indicator_Identification_Number_ID {get;set;}</v>
      </c>
    </row>
    <row r="9" spans="1:18" x14ac:dyDescent="0.3">
      <c r="A9" s="85" t="s">
        <v>38</v>
      </c>
      <c r="B9" s="85" t="s">
        <v>38</v>
      </c>
      <c r="C9" s="71" t="str">
        <f>SUBSTITUTE(SUBSTITUTE(PROPER(TRIM(CLEAN(Table574[[#This Row],[Field]])))," ","_"),"-","")</f>
        <v>Indicator_Category</v>
      </c>
      <c r="D9" s="71" t="s">
        <v>489</v>
      </c>
      <c r="E9" s="71" t="str">
        <f>VLOOKUP(Table574[[#This Row],[Extension]],DescRef1[],2,FALSE)</f>
        <v>DESC</v>
      </c>
      <c r="F9" s="71">
        <v>100</v>
      </c>
      <c r="G9" s="71" t="s">
        <v>568</v>
      </c>
      <c r="H9" s="71" t="str">
        <f>IF(Table574[[#This Row],[Code]]="-", Table574[[#This Row],[Formatted]], CONCATENATE(Table574[[#This Row],[Formatted]],"_",Table574[[#This Row],[Code]]))</f>
        <v>Indicator_Category_DESC</v>
      </c>
      <c r="I9" s="71" t="s">
        <v>556</v>
      </c>
      <c r="J9" s="90">
        <v>2</v>
      </c>
      <c r="K9" s="71" t="s">
        <v>662</v>
      </c>
      <c r="M9" s="3" t="str">
        <f>CONCATENATE(VLOOKUP(Table574[[#This Row],[Field Type]],FieldTypesRef1[],2,FALSE),IF(Table574[[#This Row],[Mandatory]]="Yes","","?"))</f>
        <v>string</v>
      </c>
      <c r="N9" s="89" t="str">
        <f>VLOOKUP(Table574[[#This Row],[Field Type]],FieldTypesRef1[],3,FALSE)</f>
        <v/>
      </c>
      <c r="O9" s="3" t="str">
        <f>IF(Table574[[#This Row],[Mandatory]]="Yes","[Required]","")</f>
        <v>[Required]</v>
      </c>
      <c r="P9" s="3" t="str">
        <f>IF(Table574[[#This Row],[Max Length]]&gt;0,CONCATENATE("[MaxLength(",Table574[[#This Row],[Max Length]],")]"),"")</f>
        <v>[MaxLength(100)]</v>
      </c>
      <c r="Q9" s="3" t="str">
        <f>CONCATENATE("""",Table574[[#This Row],[SQL Name]],""" : """,Table574[[#This Row],[Field]],""",")</f>
        <v>"Indicator_Category_DESC" : "Indicator Category",</v>
      </c>
      <c r="R9" s="71" t="str">
        <f>CONCATENATE("/** Section: ",Table574[[#This Row],[Section]], " **/ ",Table574[[#This Row],[EF Core Annotation1]],Table574[[#This Row],[EF Core Annotation2]],Table574[[#This Row],[EF Core Annotation3]],"public ",Table574[[#This Row],[EF Type]]," ",Table574[[#This Row],[SQL Name]]," {get;set;}")</f>
        <v>/** Section: Indicator Category **/ [Required][MaxLength(100)]public string Indicator_Category_DESC {get;set;}</v>
      </c>
    </row>
    <row r="10" spans="1:18" x14ac:dyDescent="0.3">
      <c r="A10" s="85" t="s">
        <v>40</v>
      </c>
      <c r="B10" s="85" t="s">
        <v>40</v>
      </c>
      <c r="C10" s="71" t="str">
        <f>SUBSTITUTE(SUBSTITUTE(PROPER(TRIM(CLEAN(Table574[[#This Row],[Field]])))," ","_"),"-","")</f>
        <v>Indicator_Direction</v>
      </c>
      <c r="D10" s="71" t="s">
        <v>489</v>
      </c>
      <c r="E10" s="71" t="str">
        <f>VLOOKUP(Table574[[#This Row],[Extension]],DescRef1[],2,FALSE)</f>
        <v>DESC</v>
      </c>
      <c r="F10" s="71">
        <v>100</v>
      </c>
      <c r="G10" s="71" t="s">
        <v>568</v>
      </c>
      <c r="H10" s="71" t="str">
        <f>IF(Table574[[#This Row],[Code]]="-", Table574[[#This Row],[Formatted]], CONCATENATE(Table574[[#This Row],[Formatted]],"_",Table574[[#This Row],[Code]]))</f>
        <v>Indicator_Direction_DESC</v>
      </c>
      <c r="I10" s="71" t="s">
        <v>556</v>
      </c>
      <c r="J10" s="90">
        <v>3</v>
      </c>
      <c r="K10" s="71" t="s">
        <v>663</v>
      </c>
      <c r="M10" s="3" t="str">
        <f>CONCATENATE(VLOOKUP(Table574[[#This Row],[Field Type]],FieldTypesRef1[],2,FALSE),IF(Table574[[#This Row],[Mandatory]]="Yes","","?"))</f>
        <v>string</v>
      </c>
      <c r="N10" s="89" t="str">
        <f>VLOOKUP(Table574[[#This Row],[Field Type]],FieldTypesRef1[],3,FALSE)</f>
        <v/>
      </c>
      <c r="O10" s="3" t="str">
        <f>IF(Table574[[#This Row],[Mandatory]]="Yes","[Required]","")</f>
        <v>[Required]</v>
      </c>
      <c r="P10" s="3" t="str">
        <f>IF(Table574[[#This Row],[Max Length]]&gt;0,CONCATENATE("[MaxLength(",Table574[[#This Row],[Max Length]],")]"),"")</f>
        <v>[MaxLength(100)]</v>
      </c>
      <c r="Q10" s="3" t="str">
        <f>CONCATENATE("""",Table574[[#This Row],[SQL Name]],""" : """,Table574[[#This Row],[Field]],""",")</f>
        <v>"Indicator_Direction_DESC" : "Indicator Direction ",</v>
      </c>
      <c r="R10" s="71" t="str">
        <f>CONCATENATE("/** Section: ",Table574[[#This Row],[Section]], " **/ ",Table574[[#This Row],[EF Core Annotation1]],Table574[[#This Row],[EF Core Annotation2]],Table574[[#This Row],[EF Core Annotation3]],"public ",Table574[[#This Row],[EF Type]]," ",Table574[[#This Row],[SQL Name]]," {get;set;}")</f>
        <v>/** Section: Indicator Direction  **/ [Required][MaxLength(100)]public string Indicator_Direction_DESC {get;set;}</v>
      </c>
    </row>
    <row r="11" spans="1:18" x14ac:dyDescent="0.3">
      <c r="A11" s="85" t="s">
        <v>42</v>
      </c>
      <c r="B11" s="85" t="s">
        <v>42</v>
      </c>
      <c r="C11" s="71" t="str">
        <f>SUBSTITUTE(SUBSTITUTE(PROPER(TRIM(CLEAN(Table574[[#This Row],[Field]])))," ","_"),"-","")</f>
        <v>Indicator__Progressive_Or_Aggregate</v>
      </c>
      <c r="D11" s="71" t="s">
        <v>489</v>
      </c>
      <c r="E11" s="71" t="str">
        <f>VLOOKUP(Table574[[#This Row],[Extension]],DescRef1[],2,FALSE)</f>
        <v>DESC</v>
      </c>
      <c r="F11" s="71">
        <v>100</v>
      </c>
      <c r="G11" s="71" t="s">
        <v>568</v>
      </c>
      <c r="H11" s="71" t="str">
        <f>IF(Table574[[#This Row],[Code]]="-", Table574[[#This Row],[Formatted]], CONCATENATE(Table574[[#This Row],[Formatted]],"_",Table574[[#This Row],[Code]]))</f>
        <v>Indicator__Progressive_Or_Aggregate_DESC</v>
      </c>
      <c r="I11" s="71" t="s">
        <v>556</v>
      </c>
      <c r="J11" s="90">
        <v>2</v>
      </c>
      <c r="K11" s="71" t="s">
        <v>664</v>
      </c>
      <c r="M11" s="3" t="str">
        <f>CONCATENATE(VLOOKUP(Table574[[#This Row],[Field Type]],FieldTypesRef1[],2,FALSE),IF(Table574[[#This Row],[Mandatory]]="Yes","","?"))</f>
        <v>string</v>
      </c>
      <c r="N11" s="89" t="str">
        <f>VLOOKUP(Table574[[#This Row],[Field Type]],FieldTypesRef1[],3,FALSE)</f>
        <v/>
      </c>
      <c r="O11" s="3" t="str">
        <f>IF(Table574[[#This Row],[Mandatory]]="Yes","[Required]","")</f>
        <v>[Required]</v>
      </c>
      <c r="P11" s="3" t="str">
        <f>IF(Table574[[#This Row],[Max Length]]&gt;0,CONCATENATE("[MaxLength(",Table574[[#This Row],[Max Length]],")]"),"")</f>
        <v>[MaxLength(100)]</v>
      </c>
      <c r="Q11" s="3" t="str">
        <f>CONCATENATE("""",Table574[[#This Row],[SQL Name]],""" : """,Table574[[#This Row],[Field]],""",")</f>
        <v>"Indicator__Progressive_Or_Aggregate_DESC" : "Indicator - progressive or aggregate",</v>
      </c>
      <c r="R11" s="71" t="str">
        <f>CONCATENATE("/** Section: ",Table574[[#This Row],[Section]], " **/ ",Table574[[#This Row],[EF Core Annotation1]],Table574[[#This Row],[EF Core Annotation2]],Table574[[#This Row],[EF Core Annotation3]],"public ",Table574[[#This Row],[EF Type]]," ",Table574[[#This Row],[SQL Name]]," {get;set;}")</f>
        <v>/** Section: Indicator - progressive or aggregate **/ [Required][MaxLength(100)]public string Indicator__Progressive_Or_Aggregate_DESC {get;set;}</v>
      </c>
    </row>
    <row r="12" spans="1:18" x14ac:dyDescent="0.3">
      <c r="A12" s="85" t="s">
        <v>599</v>
      </c>
      <c r="B12" s="85" t="s">
        <v>599</v>
      </c>
      <c r="C12" s="71" t="str">
        <f>SUBSTITUTE(SUBSTITUTE(PROPER(TRIM(CLEAN(Table574[[#This Row],[Field]])))," ","_"),"-","")</f>
        <v>Branch_Optional</v>
      </c>
      <c r="D12" s="71" t="s">
        <v>489</v>
      </c>
      <c r="E12" s="71" t="str">
        <f>VLOOKUP(Table574[[#This Row],[Extension]],DescRef1[],2,FALSE)</f>
        <v>DESC</v>
      </c>
      <c r="F12" s="71">
        <v>100</v>
      </c>
      <c r="G12" s="71" t="s">
        <v>601</v>
      </c>
      <c r="H12" s="71" t="str">
        <f>IF(Table574[[#This Row],[Code]]="-", Table574[[#This Row],[Formatted]], CONCATENATE(Table574[[#This Row],[Formatted]],"_",Table574[[#This Row],[Code]]))</f>
        <v>Branch_Optional_DESC</v>
      </c>
      <c r="I12" s="71" t="s">
        <v>78</v>
      </c>
      <c r="J12" s="17"/>
      <c r="M12" s="3" t="str">
        <f>CONCATENATE(VLOOKUP(Table574[[#This Row],[Field Type]],FieldTypesRef1[],2,FALSE),IF(Table574[[#This Row],[Mandatory]]="Yes","","?"))</f>
        <v>string?</v>
      </c>
      <c r="N12" s="89" t="str">
        <f>VLOOKUP(Table574[[#This Row],[Field Type]],FieldTypesRef1[],3,FALSE)</f>
        <v/>
      </c>
      <c r="O12" s="3" t="str">
        <f>IF(Table574[[#This Row],[Mandatory]]="Yes","[Required]","")</f>
        <v/>
      </c>
      <c r="P12" s="3" t="str">
        <f>IF(Table574[[#This Row],[Max Length]]&gt;0,CONCATENATE("[MaxLength(",Table574[[#This Row],[Max Length]],")]"),"")</f>
        <v>[MaxLength(100)]</v>
      </c>
      <c r="Q12" s="3" t="str">
        <f>CONCATENATE("""",Table574[[#This Row],[SQL Name]],""" : """,Table574[[#This Row],[Field]],""",")</f>
        <v>"Branch_Optional_DESC" : "Branch OPTIONAL",</v>
      </c>
      <c r="R12" s="71" t="str">
        <f>CONCATENATE("/** Section: ",Table574[[#This Row],[Section]], " **/ ",Table574[[#This Row],[EF Core Annotation1]],Table574[[#This Row],[EF Core Annotation2]],Table574[[#This Row],[EF Core Annotation3]],"public ",Table574[[#This Row],[EF Type]]," ",Table574[[#This Row],[SQL Name]]," {get;set;}")</f>
        <v>/** Section: Branch OPTIONAL **/ [MaxLength(100)]public string? Branch_Optional_DESC {get;set;}</v>
      </c>
    </row>
    <row r="13" spans="1:18" x14ac:dyDescent="0.3">
      <c r="A13" s="85" t="s">
        <v>45</v>
      </c>
      <c r="B13" s="85" t="s">
        <v>45</v>
      </c>
      <c r="C13" s="71" t="str">
        <f>SUBSTITUTE(SUBSTITUTE(PROPER(TRIM(CLEAN(Table574[[#This Row],[Field]])))," ","_"),"-","")</f>
        <v>Data_Owner</v>
      </c>
      <c r="D13" s="71" t="s">
        <v>265</v>
      </c>
      <c r="E13" s="71" t="str">
        <f>VLOOKUP(Table574[[#This Row],[Extension]],DescRef1[],2,FALSE)</f>
        <v>NAME</v>
      </c>
      <c r="F13" s="71" t="s">
        <v>265</v>
      </c>
      <c r="G13" s="71" t="s">
        <v>568</v>
      </c>
      <c r="H13" s="71" t="str">
        <f>IF(Table574[[#This Row],[Code]]="-", Table574[[#This Row],[Formatted]], CONCATENATE(Table574[[#This Row],[Formatted]],"_",Table574[[#This Row],[Code]]))</f>
        <v>Data_Owner_NAME</v>
      </c>
      <c r="I13" s="71" t="s">
        <v>78</v>
      </c>
      <c r="J13" s="17"/>
      <c r="M13" s="3" t="str">
        <f>CONCATENATE(VLOOKUP(Table574[[#This Row],[Field Type]],FieldTypesRef1[],2,FALSE),IF(Table574[[#This Row],[Mandatory]]="Yes","","?"))</f>
        <v>string</v>
      </c>
      <c r="N13" s="89" t="str">
        <f>VLOOKUP(Table574[[#This Row],[Field Type]],FieldTypesRef1[],3,FALSE)</f>
        <v/>
      </c>
      <c r="O13" s="3" t="str">
        <f>IF(Table574[[#This Row],[Mandatory]]="Yes","[Required]","")</f>
        <v>[Required]</v>
      </c>
      <c r="P13" s="3" t="str">
        <f>IF(Table574[[#This Row],[Max Length]]&gt;0,CONCATENATE("[MaxLength(",Table574[[#This Row],[Max Length]],")]"),"")</f>
        <v>[MaxLength(Name)]</v>
      </c>
      <c r="Q13" s="3" t="str">
        <f>CONCATENATE("""",Table574[[#This Row],[SQL Name]],""" : """,Table574[[#This Row],[Field]],""",")</f>
        <v>"Data_Owner_NAME" : "Data Owner",</v>
      </c>
      <c r="R13" s="71" t="str">
        <f>CONCATENATE("/** Section: ",Table574[[#This Row],[Section]], " **/ ",Table574[[#This Row],[EF Core Annotation1]],Table574[[#This Row],[EF Core Annotation2]],Table574[[#This Row],[EF Core Annotation3]],"public ",Table574[[#This Row],[EF Type]]," ",Table574[[#This Row],[SQL Name]]," {get;set;}")</f>
        <v>/** Section: Data Owner **/ [Required][MaxLength(Name)]public string Data_Owner_NAME {get;set;}</v>
      </c>
    </row>
    <row r="14" spans="1:18" x14ac:dyDescent="0.3">
      <c r="A14" s="85" t="s">
        <v>46</v>
      </c>
      <c r="B14" s="85" t="s">
        <v>46</v>
      </c>
      <c r="C14" s="71" t="str">
        <f>SUBSTITUTE(SUBSTITUTE(PROPER(TRIM(CLEAN(Table574[[#This Row],[Field]])))," ","_"),"-","")</f>
        <v>Data_Source</v>
      </c>
      <c r="D14" s="71" t="s">
        <v>489</v>
      </c>
      <c r="E14" s="71" t="str">
        <f>VLOOKUP(Table574[[#This Row],[Extension]],DescRef1[],2,FALSE)</f>
        <v>DESC</v>
      </c>
      <c r="F14" s="71">
        <v>100</v>
      </c>
      <c r="G14" s="71" t="s">
        <v>568</v>
      </c>
      <c r="H14" s="71" t="str">
        <f>IF(Table574[[#This Row],[Code]]="-", Table574[[#This Row],[Formatted]], CONCATENATE(Table574[[#This Row],[Formatted]],"_",Table574[[#This Row],[Code]]))</f>
        <v>Data_Source_DESC</v>
      </c>
      <c r="I14" s="71" t="s">
        <v>78</v>
      </c>
      <c r="K14" s="83"/>
      <c r="M14" s="3" t="str">
        <f>CONCATENATE(VLOOKUP(Table574[[#This Row],[Field Type]],FieldTypesRef1[],2,FALSE),IF(Table574[[#This Row],[Mandatory]]="Yes","","?"))</f>
        <v>string</v>
      </c>
      <c r="N14" s="89" t="str">
        <f>VLOOKUP(Table574[[#This Row],[Field Type]],FieldTypesRef1[],3,FALSE)</f>
        <v/>
      </c>
      <c r="O14" s="3" t="str">
        <f>IF(Table574[[#This Row],[Mandatory]]="Yes","[Required]","")</f>
        <v>[Required]</v>
      </c>
      <c r="P14" s="3" t="str">
        <f>IF(Table574[[#This Row],[Max Length]]&gt;0,CONCATENATE("[MaxLength(",Table574[[#This Row],[Max Length]],")]"),"")</f>
        <v>[MaxLength(100)]</v>
      </c>
      <c r="Q14" s="3" t="str">
        <f>CONCATENATE("""",Table574[[#This Row],[SQL Name]],""" : """,Table574[[#This Row],[Field]],""",")</f>
        <v>"Data_Source_DESC" : "Data Source",</v>
      </c>
      <c r="R14" s="71" t="str">
        <f>CONCATENATE("/** Section: ",Table574[[#This Row],[Section]], " **/ ",Table574[[#This Row],[EF Core Annotation1]],Table574[[#This Row],[EF Core Annotation2]],Table574[[#This Row],[EF Core Annotation3]],"public ",Table574[[#This Row],[EF Type]]," ",Table574[[#This Row],[SQL Name]]," {get;set;}")</f>
        <v>/** Section: Data Source **/ [Required][MaxLength(100)]public string Data_Source_DESC {get;set;}</v>
      </c>
    </row>
    <row r="15" spans="1:18" x14ac:dyDescent="0.3">
      <c r="A15" s="85" t="s">
        <v>47</v>
      </c>
      <c r="B15" s="85" t="s">
        <v>47</v>
      </c>
      <c r="C15" s="71" t="str">
        <f>SUBSTITUTE(SUBSTITUTE(PROPER(TRIM(CLEAN(Table574[[#This Row],[Field]])))," ","_"),"-","")</f>
        <v>Frequency</v>
      </c>
      <c r="D15" s="71" t="s">
        <v>489</v>
      </c>
      <c r="E15" s="71" t="str">
        <f>VLOOKUP(Table574[[#This Row],[Extension]],DescRef1[],2,FALSE)</f>
        <v>DESC</v>
      </c>
      <c r="F15" s="71">
        <v>100</v>
      </c>
      <c r="G15" s="71" t="s">
        <v>568</v>
      </c>
      <c r="H15" s="71" t="str">
        <f>IF(Table574[[#This Row],[Code]]="-", Table574[[#This Row],[Formatted]], CONCATENATE(Table574[[#This Row],[Formatted]],"_",Table574[[#This Row],[Code]]))</f>
        <v>Frequency_DESC</v>
      </c>
      <c r="I15" s="71" t="s">
        <v>78</v>
      </c>
      <c r="K15" s="83"/>
      <c r="M15" s="3" t="str">
        <f>CONCATENATE(VLOOKUP(Table574[[#This Row],[Field Type]],FieldTypesRef1[],2,FALSE),IF(Table574[[#This Row],[Mandatory]]="Yes","","?"))</f>
        <v>string</v>
      </c>
      <c r="N15" s="89" t="str">
        <f>VLOOKUP(Table574[[#This Row],[Field Type]],FieldTypesRef1[],3,FALSE)</f>
        <v/>
      </c>
      <c r="O15" s="3" t="str">
        <f>IF(Table574[[#This Row],[Mandatory]]="Yes","[Required]","")</f>
        <v>[Required]</v>
      </c>
      <c r="P15" s="3" t="str">
        <f>IF(Table574[[#This Row],[Max Length]]&gt;0,CONCATENATE("[MaxLength(",Table574[[#This Row],[Max Length]],")]"),"")</f>
        <v>[MaxLength(100)]</v>
      </c>
      <c r="Q15" s="3" t="str">
        <f>CONCATENATE("""",Table574[[#This Row],[SQL Name]],""" : """,Table574[[#This Row],[Field]],""",")</f>
        <v>"Frequency_DESC" : "Frequency ",</v>
      </c>
      <c r="R15" s="71" t="str">
        <f>CONCATENATE("/** Section: ",Table574[[#This Row],[Section]], " **/ ",Table574[[#This Row],[EF Core Annotation1]],Table574[[#This Row],[EF Core Annotation2]],Table574[[#This Row],[EF Core Annotation3]],"public ",Table574[[#This Row],[EF Type]]," ",Table574[[#This Row],[SQL Name]]," {get;set;}")</f>
        <v>/** Section: Frequency  **/ [Required][MaxLength(100)]public string Frequency_DESC {get;set;}</v>
      </c>
    </row>
    <row r="16" spans="1:18" x14ac:dyDescent="0.3">
      <c r="A16" s="85" t="s">
        <v>48</v>
      </c>
      <c r="B16" s="85" t="s">
        <v>48</v>
      </c>
      <c r="C16" s="71" t="str">
        <f>SUBSTITUTE(SUBSTITUTE(PROPER(TRIM(CLEAN(Table574[[#This Row],[Field]])))," ","_"),"-","")</f>
        <v>Data_Type</v>
      </c>
      <c r="D16" s="71" t="s">
        <v>489</v>
      </c>
      <c r="E16" s="71" t="str">
        <f>VLOOKUP(Table574[[#This Row],[Extension]],DescRef1[],2,FALSE)</f>
        <v>DESC</v>
      </c>
      <c r="F16" s="71">
        <v>100</v>
      </c>
      <c r="G16" s="71" t="s">
        <v>568</v>
      </c>
      <c r="H16" s="71" t="str">
        <f>IF(Table574[[#This Row],[Code]]="-", Table574[[#This Row],[Formatted]], CONCATENATE(Table574[[#This Row],[Formatted]],"_",Table574[[#This Row],[Code]]))</f>
        <v>Data_Type_DESC</v>
      </c>
      <c r="I16" s="71" t="s">
        <v>78</v>
      </c>
      <c r="K16" s="83"/>
      <c r="M16" s="3" t="str">
        <f>CONCATENATE(VLOOKUP(Table574[[#This Row],[Field Type]],FieldTypesRef1[],2,FALSE),IF(Table574[[#This Row],[Mandatory]]="Yes","","?"))</f>
        <v>string</v>
      </c>
      <c r="N16" s="89" t="str">
        <f>VLOOKUP(Table574[[#This Row],[Field Type]],FieldTypesRef1[],3,FALSE)</f>
        <v/>
      </c>
      <c r="O16" s="3" t="str">
        <f>IF(Table574[[#This Row],[Mandatory]]="Yes","[Required]","")</f>
        <v>[Required]</v>
      </c>
      <c r="P16" s="3" t="str">
        <f>IF(Table574[[#This Row],[Max Length]]&gt;0,CONCATENATE("[MaxLength(",Table574[[#This Row],[Max Length]],")]"),"")</f>
        <v>[MaxLength(100)]</v>
      </c>
      <c r="Q16" s="3" t="str">
        <f>CONCATENATE("""",Table574[[#This Row],[SQL Name]],""" : """,Table574[[#This Row],[Field]],""",")</f>
        <v>"Data_Type_DESC" : "Data Type",</v>
      </c>
      <c r="R16" s="71" t="str">
        <f>CONCATENATE("/** Section: ",Table574[[#This Row],[Section]], " **/ ",Table574[[#This Row],[EF Core Annotation1]],Table574[[#This Row],[EF Core Annotation2]],Table574[[#This Row],[EF Core Annotation3]],"public ",Table574[[#This Row],[EF Type]]," ",Table574[[#This Row],[SQL Name]]," {get;set;}")</f>
        <v>/** Section: Data Type **/ [Required][MaxLength(100)]public string Data_Type_DESC {get;set;}</v>
      </c>
    </row>
    <row r="17" spans="1:18" x14ac:dyDescent="0.3">
      <c r="A17" s="85" t="s">
        <v>50</v>
      </c>
      <c r="B17" s="85" t="s">
        <v>50</v>
      </c>
      <c r="C17" s="71" t="str">
        <f>SUBSTITUTE(SUBSTITUTE(PROPER(TRIM(CLEAN(Table574[[#This Row],[Field]])))," ","_"),"-","")</f>
        <v>Baseline</v>
      </c>
      <c r="D17" s="71" t="s">
        <v>489</v>
      </c>
      <c r="E17" s="71" t="str">
        <f>VLOOKUP(Table574[[#This Row],[Extension]],DescRef1[],2,FALSE)</f>
        <v>DESC</v>
      </c>
      <c r="F17" s="71">
        <v>100</v>
      </c>
      <c r="G17" s="71" t="s">
        <v>568</v>
      </c>
      <c r="H17" s="71" t="str">
        <f>IF(Table574[[#This Row],[Code]]="-", Table574[[#This Row],[Formatted]], CONCATENATE(Table574[[#This Row],[Formatted]],"_",Table574[[#This Row],[Code]]))</f>
        <v>Baseline_DESC</v>
      </c>
      <c r="I17" s="71" t="s">
        <v>78</v>
      </c>
      <c r="K17" s="83"/>
      <c r="M17" s="3" t="str">
        <f>CONCATENATE(VLOOKUP(Table574[[#This Row],[Field Type]],FieldTypesRef1[],2,FALSE),IF(Table574[[#This Row],[Mandatory]]="Yes","","?"))</f>
        <v>string</v>
      </c>
      <c r="N17" s="89" t="str">
        <f>VLOOKUP(Table574[[#This Row],[Field Type]],FieldTypesRef1[],3,FALSE)</f>
        <v/>
      </c>
      <c r="O17" s="3" t="str">
        <f>IF(Table574[[#This Row],[Mandatory]]="Yes","[Required]","")</f>
        <v>[Required]</v>
      </c>
      <c r="P17" s="3" t="str">
        <f>IF(Table574[[#This Row],[Max Length]]&gt;0,CONCATENATE("[MaxLength(",Table574[[#This Row],[Max Length]],")]"),"")</f>
        <v>[MaxLength(100)]</v>
      </c>
      <c r="Q17" s="3" t="str">
        <f>CONCATENATE("""",Table574[[#This Row],[SQL Name]],""" : """,Table574[[#This Row],[Field]],""",")</f>
        <v>"Baseline_DESC" : "Baseline ",</v>
      </c>
      <c r="R17" s="71" t="str">
        <f>CONCATENATE("/** Section: ",Table574[[#This Row],[Section]], " **/ ",Table574[[#This Row],[EF Core Annotation1]],Table574[[#This Row],[EF Core Annotation2]],Table574[[#This Row],[EF Core Annotation3]],"public ",Table574[[#This Row],[EF Type]]," ",Table574[[#This Row],[SQL Name]]," {get;set;}")</f>
        <v>/** Section: Baseline  **/ [Required][MaxLength(100)]public string Baseline_DESC {get;set;}</v>
      </c>
    </row>
    <row r="18" spans="1:18" x14ac:dyDescent="0.3">
      <c r="A18" s="85" t="s">
        <v>51</v>
      </c>
      <c r="B18" s="85" t="s">
        <v>51</v>
      </c>
      <c r="C18" s="71" t="str">
        <f>SUBSTITUTE(SUBSTITUTE(PROPER(TRIM(CLEAN(Table574[[#This Row],[Field]])))," ","_"),"-","")</f>
        <v>Date_Of_Baseline_(Month/Year)</v>
      </c>
      <c r="D18" s="71" t="s">
        <v>15</v>
      </c>
      <c r="E18" s="71" t="str">
        <f>VLOOKUP(Table574[[#This Row],[Extension]],DescRef1[],2,FALSE)</f>
        <v>DT</v>
      </c>
      <c r="G18" s="71" t="s">
        <v>568</v>
      </c>
      <c r="H18" s="71" t="str">
        <f>IF(Table574[[#This Row],[Code]]="-", Table574[[#This Row],[Formatted]], CONCATENATE(Table574[[#This Row],[Formatted]],"_",Table574[[#This Row],[Code]]))</f>
        <v>Date_Of_Baseline_(Month/Year)_DT</v>
      </c>
      <c r="I18" s="71" t="s">
        <v>15</v>
      </c>
      <c r="K18" s="83"/>
      <c r="M18" s="3" t="str">
        <f>CONCATENATE(VLOOKUP(Table574[[#This Row],[Field Type]],FieldTypesRef1[],2,FALSE),IF(Table574[[#This Row],[Mandatory]]="Yes","","?"))</f>
        <v>DateTime</v>
      </c>
      <c r="N18" s="89" t="str">
        <f>VLOOKUP(Table574[[#This Row],[Field Type]],FieldTypesRef1[],3,FALSE)</f>
        <v/>
      </c>
      <c r="O18" s="3" t="str">
        <f>IF(Table574[[#This Row],[Mandatory]]="Yes","[Required]","")</f>
        <v>[Required]</v>
      </c>
      <c r="P18" s="3" t="str">
        <f>IF(Table574[[#This Row],[Max Length]]&gt;0,CONCATENATE("[MaxLength(",Table574[[#This Row],[Max Length]],")]"),"")</f>
        <v/>
      </c>
      <c r="Q18" s="3" t="str">
        <f>CONCATENATE("""",Table574[[#This Row],[SQL Name]],""" : """,Table574[[#This Row],[Field]],""",")</f>
        <v>"Date_Of_Baseline_(Month/Year)_DT" : "Date of Baseline (month/year)",</v>
      </c>
      <c r="R18" s="71" t="str">
        <f>CONCATENATE("/** Section: ",Table574[[#This Row],[Section]], " **/ ",Table574[[#This Row],[EF Core Annotation1]],Table574[[#This Row],[EF Core Annotation2]],Table574[[#This Row],[EF Core Annotation3]],"public ",Table574[[#This Row],[EF Type]]," ",Table574[[#This Row],[SQL Name]]," {get;set;}")</f>
        <v>/** Section: Date of Baseline (month/year) **/ [Required]public DateTime Date_Of_Baseline_(Month/Year)_DT {get;set;}</v>
      </c>
    </row>
    <row r="19" spans="1:18" x14ac:dyDescent="0.3">
      <c r="A19" s="85" t="s">
        <v>53</v>
      </c>
      <c r="B19" s="85" t="s">
        <v>53</v>
      </c>
      <c r="C19" s="71" t="str">
        <f>SUBSTITUTE(SUBSTITUTE(PROPER(TRIM(CLEAN(Table574[[#This Row],[Field]])))," ","_"),"-","")</f>
        <v>Target_Value_Minimum</v>
      </c>
      <c r="D19" s="71" t="s">
        <v>489</v>
      </c>
      <c r="E19" s="71" t="str">
        <f>VLOOKUP(Table574[[#This Row],[Extension]],DescRef1[],2,FALSE)</f>
        <v>DESC</v>
      </c>
      <c r="F19" s="71">
        <v>100</v>
      </c>
      <c r="G19" s="71" t="s">
        <v>568</v>
      </c>
      <c r="H19" s="71" t="str">
        <f>IF(Table574[[#This Row],[Code]]="-", Table574[[#This Row],[Formatted]], CONCATENATE(Table574[[#This Row],[Formatted]],"_",Table574[[#This Row],[Code]]))</f>
        <v>Target_Value_Minimum_DESC</v>
      </c>
      <c r="I19" s="71" t="s">
        <v>78</v>
      </c>
      <c r="M19" s="3" t="str">
        <f>CONCATENATE(VLOOKUP(Table574[[#This Row],[Field Type]],FieldTypesRef1[],2,FALSE),IF(Table574[[#This Row],[Mandatory]]="Yes","","?"))</f>
        <v>string</v>
      </c>
      <c r="N19" s="89" t="str">
        <f>VLOOKUP(Table574[[#This Row],[Field Type]],FieldTypesRef1[],3,FALSE)</f>
        <v/>
      </c>
      <c r="O19" s="3" t="str">
        <f>IF(Table574[[#This Row],[Mandatory]]="Yes","[Required]","")</f>
        <v>[Required]</v>
      </c>
      <c r="P19" s="3" t="str">
        <f>IF(Table574[[#This Row],[Max Length]]&gt;0,CONCATENATE("[MaxLength(",Table574[[#This Row],[Max Length]],")]"),"")</f>
        <v>[MaxLength(100)]</v>
      </c>
      <c r="Q19" s="3" t="str">
        <f>CONCATENATE("""",Table574[[#This Row],[SQL Name]],""" : """,Table574[[#This Row],[Field]],""",")</f>
        <v>"Target_Value_Minimum_DESC" : "Target value -minimum",</v>
      </c>
      <c r="R19" s="71" t="str">
        <f>CONCATENATE("/** Section: ",Table574[[#This Row],[Section]], " **/ ",Table574[[#This Row],[EF Core Annotation1]],Table574[[#This Row],[EF Core Annotation2]],Table574[[#This Row],[EF Core Annotation3]],"public ",Table574[[#This Row],[EF Type]]," ",Table574[[#This Row],[SQL Name]]," {get;set;}")</f>
        <v>/** Section: Target value -minimum **/ [Required][MaxLength(100)]public string Target_Value_Minimum_DESC {get;set;}</v>
      </c>
    </row>
    <row r="20" spans="1:18" x14ac:dyDescent="0.3">
      <c r="A20" s="85" t="s">
        <v>56</v>
      </c>
      <c r="B20" s="85" t="s">
        <v>56</v>
      </c>
      <c r="C20" s="71" t="str">
        <f>SUBSTITUTE(SUBSTITUTE(PROPER(TRIM(CLEAN(Table574[[#This Row],[Field]])))," ","_"),"-","")</f>
        <v>Target_Value__Maximum</v>
      </c>
      <c r="D20" s="71" t="s">
        <v>489</v>
      </c>
      <c r="E20" s="71" t="str">
        <f>VLOOKUP(Table574[[#This Row],[Extension]],DescRef1[],2,FALSE)</f>
        <v>DESC</v>
      </c>
      <c r="F20" s="71">
        <v>100</v>
      </c>
      <c r="G20" s="71" t="s">
        <v>568</v>
      </c>
      <c r="H20" s="71" t="str">
        <f>IF(Table574[[#This Row],[Code]]="-", Table574[[#This Row],[Formatted]], CONCATENATE(Table574[[#This Row],[Formatted]],"_",Table574[[#This Row],[Code]]))</f>
        <v>Target_Value__Maximum_DESC</v>
      </c>
      <c r="I20" s="71" t="s">
        <v>78</v>
      </c>
      <c r="M20" s="3" t="str">
        <f>CONCATENATE(VLOOKUP(Table574[[#This Row],[Field Type]],FieldTypesRef1[],2,FALSE),IF(Table574[[#This Row],[Mandatory]]="Yes","","?"))</f>
        <v>string</v>
      </c>
      <c r="N20" s="89" t="str">
        <f>VLOOKUP(Table574[[#This Row],[Field Type]],FieldTypesRef1[],3,FALSE)</f>
        <v/>
      </c>
      <c r="O20" s="3" t="str">
        <f>IF(Table574[[#This Row],[Mandatory]]="Yes","[Required]","")</f>
        <v>[Required]</v>
      </c>
      <c r="P20" s="3" t="str">
        <f>IF(Table574[[#This Row],[Max Length]]&gt;0,CONCATENATE("[MaxLength(",Table574[[#This Row],[Max Length]],")]"),"")</f>
        <v>[MaxLength(100)]</v>
      </c>
      <c r="Q20" s="3" t="str">
        <f>CONCATENATE("""",Table574[[#This Row],[SQL Name]],""" : """,Table574[[#This Row],[Field]],""",")</f>
        <v>"Target_Value__Maximum_DESC" : "Target value - maximum",</v>
      </c>
      <c r="R20" s="71" t="str">
        <f>CONCATENATE("/** Section: ",Table574[[#This Row],[Section]], " **/ ",Table574[[#This Row],[EF Core Annotation1]],Table574[[#This Row],[EF Core Annotation2]],Table574[[#This Row],[EF Core Annotation3]],"public ",Table574[[#This Row],[EF Type]]," ",Table574[[#This Row],[SQL Name]]," {get;set;}")</f>
        <v>/** Section: Target value - maximum **/ [Required][MaxLength(100)]public string Target_Value__Maximum_DESC {get;set;}</v>
      </c>
    </row>
    <row r="21" spans="1:18" x14ac:dyDescent="0.3">
      <c r="A21" s="85" t="s">
        <v>57</v>
      </c>
      <c r="B21" s="85" t="s">
        <v>57</v>
      </c>
      <c r="C21" s="71" t="str">
        <f>SUBSTITUTE(SUBSTITUTE(PROPER(TRIM(CLEAN(Table574[[#This Row],[Field]])))," ","_"),"-","")</f>
        <v>Target_Value__Exact</v>
      </c>
      <c r="D21" s="71" t="s">
        <v>489</v>
      </c>
      <c r="E21" s="71" t="str">
        <f>VLOOKUP(Table574[[#This Row],[Extension]],DescRef1[],2,FALSE)</f>
        <v>DESC</v>
      </c>
      <c r="F21" s="71">
        <v>100</v>
      </c>
      <c r="G21" s="71" t="s">
        <v>568</v>
      </c>
      <c r="H21" s="71" t="str">
        <f>IF(Table574[[#This Row],[Code]]="-", Table574[[#This Row],[Formatted]], CONCATENATE(Table574[[#This Row],[Formatted]],"_",Table574[[#This Row],[Code]]))</f>
        <v>Target_Value__Exact_DESC</v>
      </c>
      <c r="I21" s="71" t="s">
        <v>78</v>
      </c>
      <c r="M21" s="3" t="str">
        <f>CONCATENATE(VLOOKUP(Table574[[#This Row],[Field Type]],FieldTypesRef1[],2,FALSE),IF(Table574[[#This Row],[Mandatory]]="Yes","","?"))</f>
        <v>string</v>
      </c>
      <c r="N21" s="89" t="str">
        <f>VLOOKUP(Table574[[#This Row],[Field Type]],FieldTypesRef1[],3,FALSE)</f>
        <v/>
      </c>
      <c r="O21" s="3" t="str">
        <f>IF(Table574[[#This Row],[Mandatory]]="Yes","[Required]","")</f>
        <v>[Required]</v>
      </c>
      <c r="P21" s="3" t="str">
        <f>IF(Table574[[#This Row],[Max Length]]&gt;0,CONCATENATE("[MaxLength(",Table574[[#This Row],[Max Length]],")]"),"")</f>
        <v>[MaxLength(100)]</v>
      </c>
      <c r="Q21" s="3" t="str">
        <f>CONCATENATE("""",Table574[[#This Row],[SQL Name]],""" : """,Table574[[#This Row],[Field]],""",")</f>
        <v>"Target_Value__Exact_DESC" : "Target value - exact ",</v>
      </c>
      <c r="R21" s="71" t="str">
        <f>CONCATENATE("/** Section: ",Table574[[#This Row],[Section]], " **/ ",Table574[[#This Row],[EF Core Annotation1]],Table574[[#This Row],[EF Core Annotation2]],Table574[[#This Row],[EF Core Annotation3]],"public ",Table574[[#This Row],[EF Type]]," ",Table574[[#This Row],[SQL Name]]," {get;set;}")</f>
        <v>/** Section: Target value - exact  **/ [Required][MaxLength(100)]public string Target_Value__Exact_DESC {get;set;}</v>
      </c>
    </row>
    <row r="22" spans="1:18" x14ac:dyDescent="0.3">
      <c r="A22" s="85" t="s">
        <v>58</v>
      </c>
      <c r="B22" s="85" t="s">
        <v>58</v>
      </c>
      <c r="C22" s="71" t="str">
        <f>SUBSTITUTE(SUBSTITUTE(PROPER(TRIM(CLEAN(Table574[[#This Row],[Field]])))," ","_"),"-","")</f>
        <v>Target_Type</v>
      </c>
      <c r="D22" s="71" t="s">
        <v>489</v>
      </c>
      <c r="E22" s="71" t="str">
        <f>VLOOKUP(Table574[[#This Row],[Extension]],DescRef1[],2,FALSE)</f>
        <v>DESC</v>
      </c>
      <c r="F22" s="71">
        <v>100</v>
      </c>
      <c r="G22" s="71" t="s">
        <v>568</v>
      </c>
      <c r="H22" s="71" t="str">
        <f>IF(Table574[[#This Row],[Code]]="-", Table574[[#This Row],[Formatted]], CONCATENATE(Table574[[#This Row],[Formatted]],"_",Table574[[#This Row],[Code]]))</f>
        <v>Target_Type_DESC</v>
      </c>
      <c r="I22" s="71" t="s">
        <v>78</v>
      </c>
      <c r="M22" s="3" t="str">
        <f>CONCATENATE(VLOOKUP(Table574[[#This Row],[Field Type]],FieldTypesRef1[],2,FALSE),IF(Table574[[#This Row],[Mandatory]]="Yes","","?"))</f>
        <v>string</v>
      </c>
      <c r="N22" s="89" t="str">
        <f>VLOOKUP(Table574[[#This Row],[Field Type]],FieldTypesRef1[],3,FALSE)</f>
        <v/>
      </c>
      <c r="O22" s="3" t="str">
        <f>IF(Table574[[#This Row],[Mandatory]]="Yes","[Required]","")</f>
        <v>[Required]</v>
      </c>
      <c r="P22" s="3" t="str">
        <f>IF(Table574[[#This Row],[Max Length]]&gt;0,CONCATENATE("[MaxLength(",Table574[[#This Row],[Max Length]],")]"),"")</f>
        <v>[MaxLength(100)]</v>
      </c>
      <c r="Q22" s="3" t="str">
        <f>CONCATENATE("""",Table574[[#This Row],[SQL Name]],""" : """,Table574[[#This Row],[Field]],""",")</f>
        <v>"Target_Type_DESC" : "Target Type",</v>
      </c>
      <c r="R22" s="71" t="str">
        <f>CONCATENATE("/** Section: ",Table574[[#This Row],[Section]], " **/ ",Table574[[#This Row],[EF Core Annotation1]],Table574[[#This Row],[EF Core Annotation2]],Table574[[#This Row],[EF Core Annotation3]],"public ",Table574[[#This Row],[EF Type]]," ",Table574[[#This Row],[SQL Name]]," {get;set;}")</f>
        <v>/** Section: Target Type **/ [Required][MaxLength(100)]public string Target_Type_DESC {get;set;}</v>
      </c>
    </row>
    <row r="23" spans="1:18" x14ac:dyDescent="0.3">
      <c r="A23" s="85" t="s">
        <v>60</v>
      </c>
      <c r="B23" s="85" t="s">
        <v>60</v>
      </c>
      <c r="C23" s="71" t="str">
        <f>SUBSTITUTE(SUBSTITUTE(PROPER(TRIM(CLEAN(Table574[[#This Row],[Field]])))," ","_"),"-","")</f>
        <v>Target_202021</v>
      </c>
      <c r="D23" s="71" t="s">
        <v>489</v>
      </c>
      <c r="E23" s="71" t="str">
        <f>VLOOKUP(Table574[[#This Row],[Extension]],DescRef1[],2,FALSE)</f>
        <v>DESC</v>
      </c>
      <c r="F23" s="71">
        <v>100</v>
      </c>
      <c r="G23" s="71" t="s">
        <v>568</v>
      </c>
      <c r="H23" s="71" t="str">
        <f>IF(Table574[[#This Row],[Code]]="-", Table574[[#This Row],[Formatted]], CONCATENATE(Table574[[#This Row],[Formatted]],"_",Table574[[#This Row],[Code]]))</f>
        <v>Target_202021_DESC</v>
      </c>
      <c r="I23" s="71" t="s">
        <v>78</v>
      </c>
      <c r="M23" s="3" t="str">
        <f>CONCATENATE(VLOOKUP(Table574[[#This Row],[Field Type]],FieldTypesRef1[],2,FALSE),IF(Table574[[#This Row],[Mandatory]]="Yes","","?"))</f>
        <v>string</v>
      </c>
      <c r="N23" s="89" t="str">
        <f>VLOOKUP(Table574[[#This Row],[Field Type]],FieldTypesRef1[],3,FALSE)</f>
        <v/>
      </c>
      <c r="O23" s="3" t="str">
        <f>IF(Table574[[#This Row],[Mandatory]]="Yes","[Required]","")</f>
        <v>[Required]</v>
      </c>
      <c r="P23" s="3" t="str">
        <f>IF(Table574[[#This Row],[Max Length]]&gt;0,CONCATENATE("[MaxLength(",Table574[[#This Row],[Max Length]],")]"),"")</f>
        <v>[MaxLength(100)]</v>
      </c>
      <c r="Q23" s="3" t="str">
        <f>CONCATENATE("""",Table574[[#This Row],[SQL Name]],""" : """,Table574[[#This Row],[Field]],""",")</f>
        <v>"Target_202021_DESC" : "Target 2020-21",</v>
      </c>
      <c r="R23" s="71" t="str">
        <f>CONCATENATE("/** Section: ",Table574[[#This Row],[Section]], " **/ ",Table574[[#This Row],[EF Core Annotation1]],Table574[[#This Row],[EF Core Annotation2]],Table574[[#This Row],[EF Core Annotation3]],"public ",Table574[[#This Row],[EF Type]]," ",Table574[[#This Row],[SQL Name]]," {get;set;}")</f>
        <v>/** Section: Target 2020-21 **/ [Required][MaxLength(100)]public string Target_202021_DESC {get;set;}</v>
      </c>
    </row>
    <row r="24" spans="1:18" x14ac:dyDescent="0.3">
      <c r="A24" s="85" t="s">
        <v>61</v>
      </c>
      <c r="B24" s="85" t="s">
        <v>61</v>
      </c>
      <c r="C24" s="71" t="str">
        <f>SUBSTITUTE(SUBSTITUTE(PROPER(TRIM(CLEAN(Table574[[#This Row],[Field]])))," ","_"),"-","")</f>
        <v>Date_To_Achieve_Target_(Month/Year)</v>
      </c>
      <c r="D24" s="71" t="s">
        <v>15</v>
      </c>
      <c r="E24" s="71" t="str">
        <f>VLOOKUP(Table574[[#This Row],[Extension]],DescRef1[],2,FALSE)</f>
        <v>DT</v>
      </c>
      <c r="G24" s="71" t="s">
        <v>568</v>
      </c>
      <c r="H24" s="71" t="str">
        <f>IF(Table574[[#This Row],[Code]]="-", Table574[[#This Row],[Formatted]], CONCATENATE(Table574[[#This Row],[Formatted]],"_",Table574[[#This Row],[Code]]))</f>
        <v>Date_To_Achieve_Target_(Month/Year)_DT</v>
      </c>
      <c r="I24" s="71" t="s">
        <v>15</v>
      </c>
      <c r="M24" s="3" t="str">
        <f>CONCATENATE(VLOOKUP(Table574[[#This Row],[Field Type]],FieldTypesRef1[],2,FALSE),IF(Table574[[#This Row],[Mandatory]]="Yes","","?"))</f>
        <v>DateTime</v>
      </c>
      <c r="N24" s="89" t="str">
        <f>VLOOKUP(Table574[[#This Row],[Field Type]],FieldTypesRef1[],3,FALSE)</f>
        <v/>
      </c>
      <c r="O24" s="3" t="str">
        <f>IF(Table574[[#This Row],[Mandatory]]="Yes","[Required]","")</f>
        <v>[Required]</v>
      </c>
      <c r="P24" s="3" t="str">
        <f>IF(Table574[[#This Row],[Max Length]]&gt;0,CONCATENATE("[MaxLength(",Table574[[#This Row],[Max Length]],")]"),"")</f>
        <v/>
      </c>
      <c r="Q24" s="3" t="str">
        <f>CONCATENATE("""",Table574[[#This Row],[SQL Name]],""" : """,Table574[[#This Row],[Field]],""",")</f>
        <v>"Date_To_Achieve_Target_(Month/Year)_DT" : "Date to achieve Target (month/year)",</v>
      </c>
      <c r="R24" s="71" t="str">
        <f>CONCATENATE("/** Section: ",Table574[[#This Row],[Section]], " **/ ",Table574[[#This Row],[EF Core Annotation1]],Table574[[#This Row],[EF Core Annotation2]],Table574[[#This Row],[EF Core Annotation3]],"public ",Table574[[#This Row],[EF Type]]," ",Table574[[#This Row],[SQL Name]]," {get;set;}")</f>
        <v>/** Section: Date to achieve Target (month/year) **/ [Required]public DateTime Date_To_Achieve_Target_(Month/Year)_DT {get;set;}</v>
      </c>
    </row>
    <row r="25" spans="1:18" x14ac:dyDescent="0.3">
      <c r="A25" s="85" t="s">
        <v>635</v>
      </c>
      <c r="B25" s="85" t="s">
        <v>635</v>
      </c>
      <c r="C25" s="71" t="str">
        <f>SUBSTITUTE(SUBSTITUTE(PROPER(TRIM(CLEAN(Table574[[#This Row],[Field]])))," ","_"),"-","")</f>
        <v>Date_201920_Result_Collected_(Month/Year)</v>
      </c>
      <c r="D25" s="71" t="s">
        <v>15</v>
      </c>
      <c r="E25" s="71" t="str">
        <f>VLOOKUP(Table574[[#This Row],[Extension]],DescRef1[],2,FALSE)</f>
        <v>DT</v>
      </c>
      <c r="G25" s="71" t="s">
        <v>568</v>
      </c>
      <c r="H25" s="71" t="str">
        <f>IF(Table574[[#This Row],[Code]]="-", Table574[[#This Row],[Formatted]], CONCATENATE(Table574[[#This Row],[Formatted]],"_",Table574[[#This Row],[Code]]))</f>
        <v>Date_201920_Result_Collected_(Month/Year)_DT</v>
      </c>
      <c r="I25" s="71" t="s">
        <v>78</v>
      </c>
      <c r="M25" s="3" t="str">
        <f>CONCATENATE(VLOOKUP(Table574[[#This Row],[Field Type]],FieldTypesRef1[],2,FALSE),IF(Table574[[#This Row],[Mandatory]]="Yes","","?"))</f>
        <v>string</v>
      </c>
      <c r="N25" s="89" t="str">
        <f>VLOOKUP(Table574[[#This Row],[Field Type]],FieldTypesRef1[],3,FALSE)</f>
        <v/>
      </c>
      <c r="O25" s="3" t="str">
        <f>IF(Table574[[#This Row],[Mandatory]]="Yes","[Required]","")</f>
        <v>[Required]</v>
      </c>
      <c r="P25" s="3" t="str">
        <f>IF(Table574[[#This Row],[Max Length]]&gt;0,CONCATENATE("[MaxLength(",Table574[[#This Row],[Max Length]],")]"),"")</f>
        <v/>
      </c>
      <c r="Q25" s="3" t="str">
        <f>CONCATENATE("""",Table574[[#This Row],[SQL Name]],""" : """,Table574[[#This Row],[Field]],""",")</f>
        <v>"Date_201920_Result_Collected_(Month/Year)_DT" : "Date 2019-20 result collected (Month/Year)",</v>
      </c>
      <c r="R25" s="71" t="str">
        <f>CONCATENATE("/** Section: ",Table574[[#This Row],[Section]], " **/ ",Table574[[#This Row],[EF Core Annotation1]],Table574[[#This Row],[EF Core Annotation2]],Table574[[#This Row],[EF Core Annotation3]],"public ",Table574[[#This Row],[EF Type]]," ",Table574[[#This Row],[SQL Name]]," {get;set;}")</f>
        <v>/** Section: Date 2019-20 result collected (Month/Year) **/ [Required]public string Date_201920_Result_Collected_(Month/Year)_DT {get;set;}</v>
      </c>
    </row>
    <row r="26" spans="1:18" x14ac:dyDescent="0.3">
      <c r="A26" s="85" t="s">
        <v>63</v>
      </c>
      <c r="B26" s="85" t="s">
        <v>63</v>
      </c>
      <c r="C26" s="71" t="str">
        <f>SUBSTITUTE(SUBSTITUTE(PROPER(TRIM(CLEAN(Table574[[#This Row],[Field]])))," ","_"),"-","")</f>
        <v>201920_Result</v>
      </c>
      <c r="D26" s="71" t="s">
        <v>489</v>
      </c>
      <c r="E26" s="71" t="str">
        <f>VLOOKUP(Table574[[#This Row],[Extension]],DescRef1[],2,FALSE)</f>
        <v>DESC</v>
      </c>
      <c r="F26" s="71">
        <v>400</v>
      </c>
      <c r="G26" s="71" t="s">
        <v>568</v>
      </c>
      <c r="H26" s="71" t="str">
        <f>IF(Table574[[#This Row],[Code]]="-", Table574[[#This Row],[Formatted]], CONCATENATE(Table574[[#This Row],[Formatted]],"_",Table574[[#This Row],[Code]]))</f>
        <v>201920_Result_DESC</v>
      </c>
      <c r="I26" s="71" t="s">
        <v>78</v>
      </c>
      <c r="M26" s="3" t="str">
        <f>CONCATENATE(VLOOKUP(Table574[[#This Row],[Field Type]],FieldTypesRef1[],2,FALSE),IF(Table574[[#This Row],[Mandatory]]="Yes","","?"))</f>
        <v>string</v>
      </c>
      <c r="N26" s="89" t="str">
        <f>VLOOKUP(Table574[[#This Row],[Field Type]],FieldTypesRef1[],3,FALSE)</f>
        <v/>
      </c>
      <c r="O26" s="3" t="str">
        <f>IF(Table574[[#This Row],[Mandatory]]="Yes","[Required]","")</f>
        <v>[Required]</v>
      </c>
      <c r="P26" s="3" t="str">
        <f>IF(Table574[[#This Row],[Max Length]]&gt;0,CONCATENATE("[MaxLength(",Table574[[#This Row],[Max Length]],")]"),"")</f>
        <v>[MaxLength(400)]</v>
      </c>
      <c r="Q26" s="3" t="str">
        <f>CONCATENATE("""",Table574[[#This Row],[SQL Name]],""" : """,Table574[[#This Row],[Field]],""",")</f>
        <v>"201920_Result_DESC" : "2019-20 Result",</v>
      </c>
      <c r="R26" s="71" t="str">
        <f>CONCATENATE("/** Section: ",Table574[[#This Row],[Section]], " **/ ",Table574[[#This Row],[EF Core Annotation1]],Table574[[#This Row],[EF Core Annotation2]],Table574[[#This Row],[EF Core Annotation3]],"public ",Table574[[#This Row],[EF Type]]," ",Table574[[#This Row],[SQL Name]]," {get;set;}")</f>
        <v>/** Section: 2019-20 Result **/ [Required][MaxLength(400)]public string 201920_Result_DESC {get;set;}</v>
      </c>
    </row>
    <row r="27" spans="1:18" x14ac:dyDescent="0.3">
      <c r="A27" s="85" t="s">
        <v>64</v>
      </c>
      <c r="B27" s="85" t="s">
        <v>64</v>
      </c>
      <c r="C27" s="71" t="str">
        <f>SUBSTITUTE(SUBSTITUTE(PROPER(TRIM(CLEAN(Table574[[#This Row],[Field]])))," ","_"),"-","")</f>
        <v>201819_Result</v>
      </c>
      <c r="D27" s="71" t="s">
        <v>489</v>
      </c>
      <c r="E27" s="71" t="str">
        <f>VLOOKUP(Table574[[#This Row],[Extension]],DescRef1[],2,FALSE)</f>
        <v>DESC</v>
      </c>
      <c r="F27" s="71">
        <v>400</v>
      </c>
      <c r="G27" s="83" t="s">
        <v>601</v>
      </c>
      <c r="H27" s="71" t="str">
        <f>IF(Table574[[#This Row],[Code]]="-", Table574[[#This Row],[Formatted]], CONCATENATE(Table574[[#This Row],[Formatted]],"_",Table574[[#This Row],[Code]]))</f>
        <v>201819_Result_DESC</v>
      </c>
      <c r="I27" s="71" t="s">
        <v>78</v>
      </c>
      <c r="M27" s="3" t="str">
        <f>CONCATENATE(VLOOKUP(Table574[[#This Row],[Field Type]],FieldTypesRef1[],2,FALSE),IF(Table574[[#This Row],[Mandatory]]="Yes","","?"))</f>
        <v>string?</v>
      </c>
      <c r="N27" s="89" t="str">
        <f>VLOOKUP(Table574[[#This Row],[Field Type]],FieldTypesRef1[],3,FALSE)</f>
        <v/>
      </c>
      <c r="O27" s="3" t="str">
        <f>IF(Table574[[#This Row],[Mandatory]]="Yes","[Required]","")</f>
        <v/>
      </c>
      <c r="P27" s="3" t="str">
        <f>IF(Table574[[#This Row],[Max Length]]&gt;0,CONCATENATE("[MaxLength(",Table574[[#This Row],[Max Length]],")]"),"")</f>
        <v>[MaxLength(400)]</v>
      </c>
      <c r="Q27" s="3" t="str">
        <f>CONCATENATE("""",Table574[[#This Row],[SQL Name]],""" : """,Table574[[#This Row],[Field]],""",")</f>
        <v>"201819_Result_DESC" : "2018-19 Result",</v>
      </c>
      <c r="R27" s="71" t="str">
        <f>CONCATENATE("/** Section: ",Table574[[#This Row],[Section]], " **/ ",Table574[[#This Row],[EF Core Annotation1]],Table574[[#This Row],[EF Core Annotation2]],Table574[[#This Row],[EF Core Annotation3]],"public ",Table574[[#This Row],[EF Type]]," ",Table574[[#This Row],[SQL Name]]," {get;set;}")</f>
        <v>/** Section: 2018-19 Result **/ [MaxLength(400)]public string? 201819_Result_DESC {get;set;}</v>
      </c>
    </row>
    <row r="28" spans="1:18" x14ac:dyDescent="0.3">
      <c r="A28" s="85" t="s">
        <v>65</v>
      </c>
      <c r="B28" s="85" t="s">
        <v>65</v>
      </c>
      <c r="C28" s="71" t="str">
        <f>SUBSTITUTE(SUBSTITUTE(PROPER(TRIM(CLEAN(Table574[[#This Row],[Field]])))," ","_"),"-","")</f>
        <v>201718_Result</v>
      </c>
      <c r="D28" s="71" t="s">
        <v>489</v>
      </c>
      <c r="E28" s="71" t="str">
        <f>VLOOKUP(Table574[[#This Row],[Extension]],DescRef1[],2,FALSE)</f>
        <v>DESC</v>
      </c>
      <c r="F28" s="71">
        <v>400</v>
      </c>
      <c r="G28" s="83" t="s">
        <v>601</v>
      </c>
      <c r="H28" s="71" t="str">
        <f>IF(Table574[[#This Row],[Code]]="-", Table574[[#This Row],[Formatted]], CONCATENATE(Table574[[#This Row],[Formatted]],"_",Table574[[#This Row],[Code]]))</f>
        <v>201718_Result_DESC</v>
      </c>
      <c r="I28" s="71" t="s">
        <v>78</v>
      </c>
      <c r="M28" s="3" t="str">
        <f>CONCATENATE(VLOOKUP(Table574[[#This Row],[Field Type]],FieldTypesRef1[],2,FALSE),IF(Table574[[#This Row],[Mandatory]]="Yes","","?"))</f>
        <v>string?</v>
      </c>
      <c r="N28" s="89" t="str">
        <f>VLOOKUP(Table574[[#This Row],[Field Type]],FieldTypesRef1[],3,FALSE)</f>
        <v/>
      </c>
      <c r="O28" s="3" t="str">
        <f>IF(Table574[[#This Row],[Mandatory]]="Yes","[Required]","")</f>
        <v/>
      </c>
      <c r="P28" s="3" t="str">
        <f>IF(Table574[[#This Row],[Max Length]]&gt;0,CONCATENATE("[MaxLength(",Table574[[#This Row],[Max Length]],")]"),"")</f>
        <v>[MaxLength(400)]</v>
      </c>
      <c r="Q28" s="3" t="str">
        <f>CONCATENATE("""",Table574[[#This Row],[SQL Name]],""" : """,Table574[[#This Row],[Field]],""",")</f>
        <v>"201718_Result_DESC" : "2017-18 Result",</v>
      </c>
      <c r="R28" s="71" t="str">
        <f>CONCATENATE("/** Section: ",Table574[[#This Row],[Section]], " **/ ",Table574[[#This Row],[EF Core Annotation1]],Table574[[#This Row],[EF Core Annotation2]],Table574[[#This Row],[EF Core Annotation3]],"public ",Table574[[#This Row],[EF Type]]," ",Table574[[#This Row],[SQL Name]]," {get;set;}")</f>
        <v>/** Section: 2017-18 Result **/ [MaxLength(400)]public string? 201718_Result_DESC {get;set;}</v>
      </c>
    </row>
    <row r="29" spans="1:18" x14ac:dyDescent="0.3">
      <c r="A29" s="85" t="s">
        <v>66</v>
      </c>
      <c r="B29" s="85" t="s">
        <v>66</v>
      </c>
      <c r="C29" s="71" t="str">
        <f>SUBSTITUTE(SUBSTITUTE(PROPER(TRIM(CLEAN(Table574[[#This Row],[Field]])))," ","_"),"-","")</f>
        <v>Does_This_Indicator_Support_Gba+_?</v>
      </c>
      <c r="D29" s="71" t="s">
        <v>489</v>
      </c>
      <c r="E29" s="71" t="str">
        <f>VLOOKUP(Table574[[#This Row],[Extension]],DescRef1[],2,FALSE)</f>
        <v>DESC</v>
      </c>
      <c r="F29" s="71">
        <v>100</v>
      </c>
      <c r="G29" s="83" t="s">
        <v>568</v>
      </c>
      <c r="H29" s="71" t="s">
        <v>731</v>
      </c>
      <c r="I29" s="71" t="s">
        <v>78</v>
      </c>
      <c r="M29" s="3" t="str">
        <f>CONCATENATE(VLOOKUP(Table574[[#This Row],[Field Type]],FieldTypesRef1[],2,FALSE),IF(Table574[[#This Row],[Mandatory]]="Yes","","?"))</f>
        <v>string</v>
      </c>
      <c r="N29" s="89" t="str">
        <f>VLOOKUP(Table574[[#This Row],[Field Type]],FieldTypesRef1[],3,FALSE)</f>
        <v/>
      </c>
      <c r="O29" s="3" t="str">
        <f>IF(Table574[[#This Row],[Mandatory]]="Yes","[Required]","")</f>
        <v>[Required]</v>
      </c>
      <c r="P29" s="3" t="str">
        <f>IF(Table574[[#This Row],[Max Length]]&gt;0,CONCATENATE("[MaxLength(",Table574[[#This Row],[Max Length]],")]"),"")</f>
        <v>[MaxLength(100)]</v>
      </c>
      <c r="Q29" s="3" t="str">
        <f>CONCATENATE("""",Table574[[#This Row],[SQL Name]],""" : """,Table574[[#This Row],[Field]],""",")</f>
        <v>"Does_This_Indicator_Support_Gba" : "Does this indicator support GBA+ ?",</v>
      </c>
      <c r="R29" s="71" t="str">
        <f>CONCATENATE("/** Section: ",Table574[[#This Row],[Section]], " **/ ",Table574[[#This Row],[EF Core Annotation1]],Table574[[#This Row],[EF Core Annotation2]],Table574[[#This Row],[EF Core Annotation3]],"public ",Table574[[#This Row],[EF Type]]," ",Table574[[#This Row],[SQL Name]]," {get;set;}")</f>
        <v>/** Section: Does this indicator support GBA+ ? **/ [Required][MaxLength(100)]public string Does_This_Indicator_Support_Gba {get;set;}</v>
      </c>
    </row>
    <row r="30" spans="1:18" x14ac:dyDescent="0.3">
      <c r="A30" s="85" t="s">
        <v>68</v>
      </c>
      <c r="B30" s="85" t="s">
        <v>68</v>
      </c>
      <c r="C30" s="71" t="str">
        <f>SUBSTITUTE(SUBSTITUTE(PROPER(TRIM(CLEAN(Table574[[#This Row],[Field]])))," ","_"),"-","")</f>
        <v>If_Yes,_Please_Provide_An_Explanation_Of_How/_In_What_Ways_The_Indicator_Supports_Gba+.</v>
      </c>
      <c r="D30" s="71" t="s">
        <v>489</v>
      </c>
      <c r="E30" s="71" t="str">
        <f>VLOOKUP(Table574[[#This Row],[Extension]],DescRef1[],2,FALSE)</f>
        <v>DESC</v>
      </c>
      <c r="F30" s="71">
        <v>400</v>
      </c>
      <c r="G30" s="83" t="s">
        <v>601</v>
      </c>
      <c r="H30" s="71" t="s">
        <v>732</v>
      </c>
      <c r="I30" s="71" t="s">
        <v>78</v>
      </c>
      <c r="M30" s="3" t="str">
        <f>CONCATENATE(VLOOKUP(Table574[[#This Row],[Field Type]],FieldTypesRef1[],2,FALSE),IF(Table574[[#This Row],[Mandatory]]="Yes","","?"))</f>
        <v>string?</v>
      </c>
      <c r="N30" s="89" t="str">
        <f>VLOOKUP(Table574[[#This Row],[Field Type]],FieldTypesRef1[],3,FALSE)</f>
        <v/>
      </c>
      <c r="O30" s="3" t="str">
        <f>IF(Table574[[#This Row],[Mandatory]]="Yes","[Required]","")</f>
        <v/>
      </c>
      <c r="P30" s="3" t="str">
        <f>IF(Table574[[#This Row],[Max Length]]&gt;0,CONCATENATE("[MaxLength(",Table574[[#This Row],[Max Length]],")]"),"")</f>
        <v>[MaxLength(400)]</v>
      </c>
      <c r="Q30" s="3" t="str">
        <f>CONCATENATE("""",Table574[[#This Row],[SQL Name]],""" : """,Table574[[#This Row],[Field]],""",")</f>
        <v>"If_Yes_Please_Provide_An_Explanation_Of_How" : "If yes, please provide an explanation of how/ in what ways the indicator supports GBA+.",</v>
      </c>
      <c r="R30" s="71" t="str">
        <f>CONCATENATE("/** Section: ",Table574[[#This Row],[Section]], " **/ ",Table574[[#This Row],[EF Core Annotation1]],Table574[[#This Row],[EF Core Annotation2]],Table574[[#This Row],[EF Core Annotation3]],"public ",Table574[[#This Row],[EF Type]]," ",Table574[[#This Row],[SQL Name]]," {get;set;}")</f>
        <v>/** Section: If yes, please provide an explanation of how/ in what ways the indicator supports GBA+. **/ [MaxLength(400)]public string? If_Yes_Please_Provide_An_Explanation_Of_How {get;set;}</v>
      </c>
    </row>
    <row r="31" spans="1:18" ht="144" x14ac:dyDescent="0.3">
      <c r="A31" s="85" t="s">
        <v>600</v>
      </c>
      <c r="B31" s="92" t="s">
        <v>600</v>
      </c>
      <c r="C31" s="71" t="str">
        <f>SUBSTITUTE(SUBSTITUTE(PROPER(TRIM(CLEAN(Table574[[#This Row],[Field]])))," ","_"),"-","")</f>
        <v>Methodology_How_Will_The_Indicator_Be_Measured?_Include:_Calculation/Formula:_…_Definition(S):_..._(Where_Specific_Terminology_Is_Used)_Note(S):_..._(I.E._Additional_Information_On_The_Indicator)Sectors_May_Also_Insert_A_Link_To_A_Methodology_Sheet_In_This_Column.</v>
      </c>
      <c r="D31" s="71" t="s">
        <v>489</v>
      </c>
      <c r="E31" s="71" t="str">
        <f>VLOOKUP(Table574[[#This Row],[Extension]],DescRef1[],2,FALSE)</f>
        <v>DESC</v>
      </c>
      <c r="F31" s="71">
        <v>400</v>
      </c>
      <c r="G31" s="83" t="s">
        <v>568</v>
      </c>
      <c r="H31" s="121" t="s">
        <v>733</v>
      </c>
      <c r="I31" s="71" t="s">
        <v>78</v>
      </c>
      <c r="M31" s="3" t="str">
        <f>CONCATENATE(VLOOKUP(Table574[[#This Row],[Field Type]],FieldTypesRef1[],2,FALSE),IF(Table574[[#This Row],[Mandatory]]="Yes","","?"))</f>
        <v>string</v>
      </c>
      <c r="N31" s="89" t="str">
        <f>VLOOKUP(Table574[[#This Row],[Field Type]],FieldTypesRef1[],3,FALSE)</f>
        <v/>
      </c>
      <c r="O31" s="3" t="str">
        <f>IF(Table574[[#This Row],[Mandatory]]="Yes","[Required]","")</f>
        <v>[Required]</v>
      </c>
      <c r="P31" s="3" t="str">
        <f>IF(Table574[[#This Row],[Max Length]]&gt;0,CONCATENATE("[MaxLength(",Table574[[#This Row],[Max Length]],")]"),"")</f>
        <v>[MaxLength(400)]</v>
      </c>
      <c r="Q31" s="3" t="str">
        <f>CONCATENATE("""",Table574[[#This Row],[SQL Name]],""" : """,Table574[[#This Row],[Field]],""",")</f>
        <v>"Methodology_How_Will_The_Indicator_Be_Measured" : "Methodology 
How will the indicator be measured? 
Include:
 Calculation/formula: …
 Definition(s): ... (where specific terminology is used) 
Note(s): ... (i.e. additional information on the indicator)
Sectors may also insert a link to a methodology sheet in this column.",</v>
      </c>
      <c r="R31" s="71" t="str">
        <f>CONCATENATE("/** Section: ",Table574[[#This Row],[Section]], " **/ ",Table574[[#This Row],[EF Core Annotation1]],Table574[[#This Row],[EF Core Annotation2]],Table574[[#This Row],[EF Core Annotation3]],"public ",Table574[[#This Row],[EF Type]]," ",Table574[[#This Row],[SQL Name]]," {get;set;}")</f>
        <v>/** Section: Methodology 
How will the indicator be measured? 
Include:
 Calculation/formula: …
 Definition(s): ... (where specific terminology is used) 
Note(s): ... (i.e. additional information on the indicator)
Sectors may also insert a link to a methodology sheet in this column. **/ [Required][MaxLength(400)]public string Methodology_How_Will_The_Indicator_Be_Measured {get;set;}</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Sheet2!$C$2:$C$10</xm:f>
          </x14:formula1>
          <xm:sqref>M32:P295 L2:L295</xm:sqref>
        </x14:dataValidation>
        <x14:dataValidation type="list" allowBlank="1" showInputMessage="1" showErrorMessage="1">
          <x14:formula1>
            <xm:f>'Datahub Reference'!$A$3:$A$30</xm:f>
          </x14:formula1>
          <xm:sqref>F13 D1:D1048576</xm:sqref>
        </x14:dataValidation>
        <x14:dataValidation type="list" allowBlank="1" showInputMessage="1" showErrorMessage="1">
          <x14:formula1>
            <xm:f>'Datahub Reference'!$A$33:$A$40</xm:f>
          </x14:formula1>
          <xm:sqref>I2:I31</xm:sqref>
        </x14:dataValidation>
        <x14:dataValidation type="list" allowBlank="1" showInputMessage="1" showErrorMessage="1">
          <x14:formula1>
            <xm:f>Sheet2!$A$2:A$9</xm:f>
          </x14:formula1>
          <xm:sqref>I32:I162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zoomScale="80" zoomScaleNormal="80" workbookViewId="0">
      <selection activeCell="A5" sqref="A5"/>
    </sheetView>
  </sheetViews>
  <sheetFormatPr defaultColWidth="9.21875" defaultRowHeight="14.4" x14ac:dyDescent="0.3"/>
  <cols>
    <col min="1" max="2" width="32.21875" style="85" customWidth="1"/>
    <col min="3" max="4" width="45.21875" style="85" customWidth="1"/>
    <col min="5" max="5" width="56.5546875" style="71" customWidth="1"/>
    <col min="6" max="6" width="28" style="71" customWidth="1"/>
    <col min="7" max="9" width="16.21875" style="71" customWidth="1"/>
    <col min="10" max="10" width="65.21875" style="71" customWidth="1"/>
    <col min="11" max="11" width="21.77734375" style="71" bestFit="1" customWidth="1"/>
    <col min="12" max="12" width="33.44140625" style="3" customWidth="1"/>
    <col min="13" max="13" width="38" style="71" customWidth="1"/>
    <col min="14" max="15" width="21" style="71" customWidth="1"/>
    <col min="16" max="16" width="21" style="84" customWidth="1"/>
    <col min="17" max="18" width="21" style="71" customWidth="1"/>
    <col min="19" max="19" width="15.21875" style="71" customWidth="1"/>
    <col min="20" max="20" width="14.5546875" style="71" customWidth="1"/>
    <col min="21" max="16384" width="9.21875" style="71"/>
  </cols>
  <sheetData>
    <row r="1" spans="1:20" s="3" customFormat="1" ht="35.25" customHeight="1" x14ac:dyDescent="0.3">
      <c r="A1" s="87" t="s">
        <v>550</v>
      </c>
      <c r="B1" s="87" t="s">
        <v>630</v>
      </c>
      <c r="C1" s="87" t="s">
        <v>0</v>
      </c>
      <c r="D1" s="87" t="s">
        <v>634</v>
      </c>
      <c r="E1" s="3" t="s">
        <v>551</v>
      </c>
      <c r="F1" s="87" t="s">
        <v>469</v>
      </c>
      <c r="G1" s="3" t="s">
        <v>482</v>
      </c>
      <c r="H1" s="87" t="s">
        <v>549</v>
      </c>
      <c r="I1" s="87" t="s">
        <v>544</v>
      </c>
      <c r="J1" s="3" t="s">
        <v>470</v>
      </c>
      <c r="K1" s="87" t="s">
        <v>85</v>
      </c>
      <c r="L1" s="87" t="s">
        <v>461</v>
      </c>
      <c r="M1" s="3" t="s">
        <v>2</v>
      </c>
      <c r="N1" s="3" t="s">
        <v>3</v>
      </c>
      <c r="O1" s="3" t="s">
        <v>559</v>
      </c>
      <c r="P1" s="3" t="s">
        <v>590</v>
      </c>
      <c r="Q1" s="3" t="s">
        <v>591</v>
      </c>
      <c r="R1" s="3" t="s">
        <v>592</v>
      </c>
      <c r="S1" s="3" t="s">
        <v>594</v>
      </c>
      <c r="T1" s="3" t="s">
        <v>593</v>
      </c>
    </row>
    <row r="2" spans="1:20" s="107" customFormat="1" ht="43.2" x14ac:dyDescent="0.3">
      <c r="A2" s="106" t="s">
        <v>602</v>
      </c>
      <c r="B2" s="106"/>
      <c r="C2" s="106" t="s">
        <v>659</v>
      </c>
      <c r="D2" s="106"/>
      <c r="E2" s="107" t="str">
        <f>SUBSTITUTE(SUBSTITUTE(PROPER(TRIM(CLEAN(Table57458[[#This Row],[Field]])))," ","_"),"-","")</f>
        <v>Considerations</v>
      </c>
      <c r="F2" s="107" t="s">
        <v>489</v>
      </c>
      <c r="G2" s="107" t="str">
        <f>VLOOKUP(Table57458[[#This Row],[Extension]],DescRef1[],2,FALSE)</f>
        <v>DESC</v>
      </c>
      <c r="H2" s="107">
        <v>400</v>
      </c>
      <c r="I2" s="107" t="s">
        <v>568</v>
      </c>
      <c r="J2" s="107" t="str">
        <f>IF(Table57458[[#This Row],[Code]]="-", Table57458[[#This Row],[Formatted]], CONCATENATE(Table57458[[#This Row],[Formatted]],"_",Table57458[[#This Row],[Code]]))</f>
        <v>Considerations_DESC</v>
      </c>
      <c r="K2" s="107" t="s">
        <v>78</v>
      </c>
      <c r="L2" s="108"/>
      <c r="M2" s="109" t="s">
        <v>665</v>
      </c>
      <c r="O2" s="108" t="str">
        <f>CONCATENATE(VLOOKUP(Table57458[[#This Row],[Field Type]],FieldTypesRef1[],2,FALSE),IF(Table57458[[#This Row],[Mandatory]]="Yes","","?"))</f>
        <v>string</v>
      </c>
      <c r="P2" s="108" t="str">
        <f>VLOOKUP(Table57458[[#This Row],[Field Type]],FieldTypesRef1[],3,FALSE)</f>
        <v/>
      </c>
      <c r="Q2" s="108" t="str">
        <f>IF(Table57458[[#This Row],[Mandatory]]="Yes","[Required]","")</f>
        <v>[Required]</v>
      </c>
      <c r="R2" s="108" t="str">
        <f>IF(Table57458[[#This Row],[Max Length]]&gt;0,CONCATENATE("[MaxLength(",Table57458[[#This Row],[Max Length]],")]"),"")</f>
        <v>[MaxLength(400)]</v>
      </c>
      <c r="S2" s="108" t="str">
        <f>CONCATENATE("""",Table57458[[#This Row],[SQL Name]],""" = """,Table57458[[#This Row],[Field]],",")</f>
        <v>"Considerations_DESC" = "Considerations ,</v>
      </c>
      <c r="T2" s="107" t="str">
        <f>CONCATENATE("/** Section: ",Table57458[[#This Row],[Section]], " **/ ",Table57458[[#This Row],[EF Core Annotation1]],Table57458[[#This Row],[EF Core Annotation2]],Table57458[[#This Row],[EF Core Annotation3]],"public ",Table57458[[#This Row],[EF Type]]," ",Table57458[[#This Row],[SQL Name]]," {get;set;}")</f>
        <v>/** Section: Experimentation Considerations **/ [Required][MaxLength(400)]public string Considerations_DESC {get;set;}</v>
      </c>
    </row>
    <row r="3" spans="1:20" s="107" customFormat="1" ht="43.2" x14ac:dyDescent="0.3">
      <c r="A3" s="106" t="s">
        <v>602</v>
      </c>
      <c r="B3" s="106"/>
      <c r="C3" s="106" t="s">
        <v>660</v>
      </c>
      <c r="D3" s="106"/>
      <c r="E3" s="107" t="str">
        <f>SUBSTITUTE(SUBSTITUTE(PROPER(TRIM(CLEAN(Table57458[[#This Row],[Field]])))," ","_"),"-","")</f>
        <v>Recommendation_Date</v>
      </c>
      <c r="F3" s="107" t="s">
        <v>15</v>
      </c>
      <c r="G3" s="107" t="str">
        <f>VLOOKUP(Table57458[[#This Row],[Extension]],DescRef1[],2,FALSE)</f>
        <v>DT</v>
      </c>
      <c r="I3" s="107" t="s">
        <v>568</v>
      </c>
      <c r="J3" s="107" t="str">
        <f>IF(Table57458[[#This Row],[Code]]="-", Table57458[[#This Row],[Formatted]], CONCATENATE(Table57458[[#This Row],[Formatted]],"_",Table57458[[#This Row],[Code]]))</f>
        <v>Recommendation_Date_DT</v>
      </c>
      <c r="K3" s="107" t="s">
        <v>15</v>
      </c>
      <c r="L3" s="108"/>
      <c r="M3" s="109" t="s">
        <v>665</v>
      </c>
      <c r="O3" s="108" t="str">
        <f>CONCATENATE(VLOOKUP(Table57458[[#This Row],[Field Type]],FieldTypesRef1[],2,FALSE),IF(Table57458[[#This Row],[Mandatory]]="Yes","","?"))</f>
        <v>DateTime</v>
      </c>
      <c r="P3" s="110" t="str">
        <f>VLOOKUP(Table57458[[#This Row],[Field Type]],FieldTypesRef1[],3,FALSE)</f>
        <v/>
      </c>
      <c r="Q3" s="108" t="str">
        <f>IF(Table57458[[#This Row],[Mandatory]]="Yes","[Required]","")</f>
        <v>[Required]</v>
      </c>
      <c r="R3" s="108" t="str">
        <f>IF(Table57458[[#This Row],[Max Length]]&gt;0,CONCATENATE("[MaxLength(",Table57458[[#This Row],[Max Length]],")]"),"")</f>
        <v/>
      </c>
      <c r="S3" s="108" t="str">
        <f>CONCATENATE("""",Table57458[[#This Row],[SQL Name]],""" = """,Table57458[[#This Row],[Field]],",")</f>
        <v>"Recommendation_Date_DT" = "Recommendation date ,</v>
      </c>
      <c r="T3" s="107" t="str">
        <f>CONCATENATE("/** Section: ",Table57458[[#This Row],[Section]], " **/ ",Table57458[[#This Row],[EF Core Annotation1]],Table57458[[#This Row],[EF Core Annotation2]],Table57458[[#This Row],[EF Core Annotation3]],"public ",Table57458[[#This Row],[EF Type]]," ",Table57458[[#This Row],[SQL Name]]," {get;set;}")</f>
        <v>/** Section: Experimentation Considerations **/ [Required]public DateTime Recommendation_Date_DT {get;set;}</v>
      </c>
    </row>
    <row r="4" spans="1:20" s="107" customFormat="1" ht="43.2" x14ac:dyDescent="0.3">
      <c r="A4" s="106" t="s">
        <v>602</v>
      </c>
      <c r="B4" s="106"/>
      <c r="C4" s="91" t="s">
        <v>661</v>
      </c>
      <c r="D4" s="91"/>
      <c r="E4" s="107" t="str">
        <f>SUBSTITUTE(SUBSTITUTE(PROPER(TRIM(CLEAN(Table57458[[#This Row],[Field]])))," ","_"),"-","")</f>
        <v>Sector_Feedback_On_Feasibility_(Sectors_To_Complete_At_MidYear_Update)</v>
      </c>
      <c r="F4" s="107" t="s">
        <v>489</v>
      </c>
      <c r="G4" s="107" t="str">
        <f>VLOOKUP(Table57458[[#This Row],[Extension]],DescRef1[],2,FALSE)</f>
        <v>DESC</v>
      </c>
      <c r="H4" s="107">
        <v>400</v>
      </c>
      <c r="I4" s="107" t="s">
        <v>568</v>
      </c>
      <c r="J4" s="107" t="str">
        <f>IF(Table57458[[#This Row],[Code]]="-", Table57458[[#This Row],[Formatted]], CONCATENATE(Table57458[[#This Row],[Formatted]],"_",Table57458[[#This Row],[Code]]))</f>
        <v>Sector_Feedback_On_Feasibility_(Sectors_To_Complete_At_MidYear_Update)_DESC</v>
      </c>
      <c r="K4" s="107" t="s">
        <v>78</v>
      </c>
      <c r="L4" s="111"/>
      <c r="M4" s="109" t="s">
        <v>665</v>
      </c>
      <c r="O4" s="108" t="str">
        <f>CONCATENATE(VLOOKUP(Table57458[[#This Row],[Field Type]],FieldTypesRef1[],2,FALSE),IF(Table57458[[#This Row],[Mandatory]]="Yes","","?"))</f>
        <v>string</v>
      </c>
      <c r="P4" s="110" t="str">
        <f>VLOOKUP(Table57458[[#This Row],[Field Type]],FieldTypesRef1[],3,FALSE)</f>
        <v/>
      </c>
      <c r="Q4" s="108" t="str">
        <f>IF(Table57458[[#This Row],[Mandatory]]="Yes","[Required]","")</f>
        <v>[Required]</v>
      </c>
      <c r="R4" s="108" t="str">
        <f>IF(Table57458[[#This Row],[Max Length]]&gt;0,CONCATENATE("[MaxLength(",Table57458[[#This Row],[Max Length]],")]"),"")</f>
        <v>[MaxLength(400)]</v>
      </c>
      <c r="S4" s="108" t="str">
        <f>CONCATENATE("""",Table57458[[#This Row],[SQL Name]],""" = """,Table57458[[#This Row],[Field]],",")</f>
        <v>"Sector_Feedback_On_Feasibility_(Sectors_To_Complete_At_MidYear_Update)_DESC" = "Sector Feedback on Feasibility (Sectors to complete at Mid-Year Update) ,</v>
      </c>
      <c r="T4" s="107" t="str">
        <f>CONCATENATE("/** Section: ",Table57458[[#This Row],[Section]], " **/ ",Table57458[[#This Row],[EF Core Annotation1]],Table57458[[#This Row],[EF Core Annotation2]],Table57458[[#This Row],[EF Core Annotation3]],"public ",Table57458[[#This Row],[EF Type]]," ",Table57458[[#This Row],[SQL Name]]," {get;set;}")</f>
        <v>/** Section: Experimentation Considerations **/ [Required][MaxLength(400)]public string Sector_Feedback_On_Feasibility_(Sectors_To_Complete_At_MidYear_Update)_DESC {get;set;}</v>
      </c>
    </row>
    <row r="5" spans="1:20" s="113" customFormat="1" ht="61.05" customHeight="1" x14ac:dyDescent="0.3">
      <c r="A5" s="112" t="s">
        <v>603</v>
      </c>
      <c r="B5" s="104" t="s">
        <v>636</v>
      </c>
      <c r="C5" s="112" t="s">
        <v>637</v>
      </c>
      <c r="D5" s="104"/>
      <c r="E5" s="113" t="str">
        <f>SUBSTITUTE(SUBSTITUTE(PROPER(TRIM(CLEAN(Table57458[[#This Row],[Field]])))," ","_"),"-","")</f>
        <v>Does_It_Apply_(Yes/No)_Via_By_Committing_Resources_(Financial,_Hr)_To_Experimentation?</v>
      </c>
      <c r="F5" s="113" t="s">
        <v>78</v>
      </c>
      <c r="G5" s="113" t="str">
        <f>VLOOKUP(Table57458[[#This Row],[Extension]],DescRef1[],2,FALSE)</f>
        <v>TXT</v>
      </c>
      <c r="H5" s="113">
        <v>400</v>
      </c>
      <c r="I5" s="113" t="s">
        <v>601</v>
      </c>
      <c r="J5" s="113" t="str">
        <f>IF(Table57458[[#This Row],[Code]]="-", Table57458[[#This Row],[Formatted]], CONCATENATE(Table57458[[#This Row],[Formatted]],"_",Table57458[[#This Row],[Code]]))</f>
        <v>Does_It_Apply_(Yes/No)_Via_By_Committing_Resources_(Financial,_Hr)_To_Experimentation?_TXT</v>
      </c>
      <c r="K5" s="113" t="s">
        <v>78</v>
      </c>
      <c r="L5" s="105"/>
      <c r="M5" s="113" t="s">
        <v>657</v>
      </c>
      <c r="O5" s="114" t="str">
        <f>CONCATENATE(VLOOKUP(Table57458[[#This Row],[Field Type]],FieldTypesRef1[],2,FALSE),IF(Table57458[[#This Row],[Mandatory]]="Yes","","?"))</f>
        <v>string?</v>
      </c>
      <c r="P5" s="115"/>
      <c r="Q5" s="114" t="str">
        <f>IF(Table57458[[#This Row],[Mandatory]]="Yes","[Required]","")</f>
        <v/>
      </c>
      <c r="R5" s="114" t="str">
        <f>IF(Table57458[[#This Row],[Max Length]]&gt;0,CONCATENATE("[MaxLength(",Table57458[[#This Row],[Max Length]],")]"),"")</f>
        <v>[MaxLength(400)]</v>
      </c>
      <c r="S5" s="114" t="str">
        <f>CONCATENATE("""",Table57458[[#This Row],[SQL Name]],""" = """,Table57458[[#This Row],[Field]],",")</f>
        <v>"Does_It_Apply_(Yes/No)_Via_By_Committing_Resources_(Financial,_Hr)_To_Experimentation?_TXT" = "Does it apply (Yes/No) via by committing resources (financial, HR) to experimentation? ,</v>
      </c>
      <c r="T5" s="113"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Does_It_Apply_(Yes/No)_Via_By_Committing_Resources_(Financial,_Hr)_To_Experimentation?_TXT {get;set;}</v>
      </c>
    </row>
    <row r="6" spans="1:20" s="113" customFormat="1" ht="61.95" customHeight="1" x14ac:dyDescent="0.3">
      <c r="A6" s="104" t="s">
        <v>603</v>
      </c>
      <c r="B6" s="104" t="s">
        <v>636</v>
      </c>
      <c r="C6" s="104" t="s">
        <v>631</v>
      </c>
      <c r="D6" s="104" t="s">
        <v>638</v>
      </c>
      <c r="E6" s="113" t="str">
        <f>SUBSTITUTE(SUBSTITUTE(PROPER(TRIM(CLEAN(Table57458[[#This Row],[Field]])))," ","_"),"-","")</f>
        <v>Description_Of_Example/Experiment</v>
      </c>
      <c r="F6" s="113" t="s">
        <v>78</v>
      </c>
      <c r="G6" s="113" t="str">
        <f>VLOOKUP(Table57458[[#This Row],[Extension]],DescRef1[],2,FALSE)</f>
        <v>TXT</v>
      </c>
      <c r="H6" s="113">
        <v>100</v>
      </c>
      <c r="I6" s="113" t="s">
        <v>601</v>
      </c>
      <c r="J6" s="113" t="str">
        <f>IF(Table57458[[#This Row],[Code]]="-", Table57458[[#This Row],[Formatted]], CONCATENATE(Table57458[[#This Row],[Formatted]],"_",Table57458[[#This Row],[Code]]))</f>
        <v>Description_Of_Example/Experiment_TXT</v>
      </c>
      <c r="K6" s="113" t="s">
        <v>78</v>
      </c>
      <c r="L6" s="105"/>
      <c r="M6" s="113" t="s">
        <v>657</v>
      </c>
      <c r="O6" s="114" t="str">
        <f>CONCATENATE(VLOOKUP(Table57458[[#This Row],[Field Type]],FieldTypesRef1[],2,FALSE),IF(Table57458[[#This Row],[Mandatory]]="Yes","","?"))</f>
        <v>string?</v>
      </c>
      <c r="P6" s="115" t="str">
        <f>VLOOKUP(Table57458[[#This Row],[Field Type]],FieldTypesRef1[],3,FALSE)</f>
        <v/>
      </c>
      <c r="Q6" s="114" t="str">
        <f>IF(Table57458[[#This Row],[Mandatory]]="Yes","[Required]","")</f>
        <v/>
      </c>
      <c r="R6" s="114" t="str">
        <f>IF(Table57458[[#This Row],[Max Length]]&gt;0,CONCATENATE("[MaxLength(",Table57458[[#This Row],[Max Length]],")]"),"")</f>
        <v>[MaxLength(100)]</v>
      </c>
      <c r="S6" s="114" t="str">
        <f>CONCATENATE("""",Table57458[[#This Row],[SQL Name]],""" = """,Table57458[[#This Row],[Field]],",")</f>
        <v>"Description_Of_Example/Experiment_TXT" = "Description of example/experiment,</v>
      </c>
      <c r="T6" s="113"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[MaxLength(100)]public string? Description_Of_Example/Experiment_TXT {get;set;}</v>
      </c>
    </row>
    <row r="7" spans="1:20" s="113" customFormat="1" ht="60.45" customHeight="1" x14ac:dyDescent="0.3">
      <c r="A7" s="104" t="s">
        <v>603</v>
      </c>
      <c r="B7" s="104" t="s">
        <v>636</v>
      </c>
      <c r="C7" s="104" t="s">
        <v>632</v>
      </c>
      <c r="D7" s="104"/>
      <c r="E7" s="113" t="str">
        <f>SUBSTITUTE(SUBSTITUTE(PROPER(TRIM(CLEAN(Table57458[[#This Row],[Field]])))," ","_"),"-","")</f>
        <v>Sector</v>
      </c>
      <c r="F7" s="113" t="s">
        <v>78</v>
      </c>
      <c r="G7" s="113" t="str">
        <f>VLOOKUP(Table57458[[#This Row],[Extension]],DescRef1[],2,FALSE)</f>
        <v>TXT</v>
      </c>
      <c r="H7" s="113">
        <v>400</v>
      </c>
      <c r="I7" s="113" t="s">
        <v>601</v>
      </c>
      <c r="J7" s="113" t="str">
        <f>IF(Table57458[[#This Row],[Code]]="-", Table57458[[#This Row],[Formatted]], CONCATENATE(Table57458[[#This Row],[Formatted]],"_",Table57458[[#This Row],[Code]]))</f>
        <v>Sector_TXT</v>
      </c>
      <c r="K7" s="113" t="s">
        <v>78</v>
      </c>
      <c r="L7" s="105"/>
      <c r="M7" s="113" t="s">
        <v>657</v>
      </c>
      <c r="O7" s="114" t="str">
        <f>CONCATENATE(VLOOKUP(Table57458[[#This Row],[Field Type]],FieldTypesRef1[],2,FALSE),IF(Table57458[[#This Row],[Mandatory]]="Yes","","?"))</f>
        <v>string?</v>
      </c>
      <c r="P7" s="115" t="str">
        <f>VLOOKUP(Table57458[[#This Row],[Field Type]],FieldTypesRef1[],3,FALSE)</f>
        <v/>
      </c>
      <c r="Q7" s="114" t="str">
        <f>IF(Table57458[[#This Row],[Mandatory]]="Yes","[Required]","")</f>
        <v/>
      </c>
      <c r="R7" s="114" t="str">
        <f>IF(Table57458[[#This Row],[Max Length]]&gt;0,CONCATENATE("[MaxLength(",Table57458[[#This Row],[Max Length]],")]"),"")</f>
        <v>[MaxLength(400)]</v>
      </c>
      <c r="S7" s="114" t="str">
        <f>CONCATENATE("""",Table57458[[#This Row],[SQL Name]],""" = """,Table57458[[#This Row],[Field]],",")</f>
        <v>"Sector_TXT" = "Sector,</v>
      </c>
      <c r="T7" s="113"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Sector_TXT {get;set;}</v>
      </c>
    </row>
    <row r="8" spans="1:20" s="113" customFormat="1" ht="58.5" customHeight="1" x14ac:dyDescent="0.3">
      <c r="A8" s="104" t="s">
        <v>603</v>
      </c>
      <c r="B8" s="104" t="s">
        <v>636</v>
      </c>
      <c r="C8" s="104" t="s">
        <v>633</v>
      </c>
      <c r="D8" s="104"/>
      <c r="E8" s="113" t="str">
        <f>SUBSTITUTE(SUBSTITUTE(PROPER(TRIM(CLEAN(Table57458[[#This Row],[Field]])))," ","_"),"-","")</f>
        <v>Date_Approved</v>
      </c>
      <c r="F8" s="113" t="s">
        <v>15</v>
      </c>
      <c r="G8" s="113" t="str">
        <f>VLOOKUP(Table57458[[#This Row],[Extension]],DescRef1[],2,FALSE)</f>
        <v>DT</v>
      </c>
      <c r="I8" s="113" t="s">
        <v>601</v>
      </c>
      <c r="J8" s="113" t="str">
        <f>IF(Table57458[[#This Row],[Code]]="-", Table57458[[#This Row],[Formatted]], CONCATENATE(Table57458[[#This Row],[Formatted]],"_",Table57458[[#This Row],[Code]]))</f>
        <v>Date_Approved_DT</v>
      </c>
      <c r="K8" s="113" t="s">
        <v>15</v>
      </c>
      <c r="L8" s="114"/>
      <c r="M8" s="113" t="s">
        <v>657</v>
      </c>
      <c r="O8" s="114" t="str">
        <f>CONCATENATE(VLOOKUP(Table57458[[#This Row],[Field Type]],FieldTypesRef1[],2,FALSE),IF(Table57458[[#This Row],[Mandatory]]="Yes","","?"))</f>
        <v>DateTime?</v>
      </c>
      <c r="P8" s="115" t="str">
        <f>VLOOKUP(Table57458[[#This Row],[Field Type]],FieldTypesRef1[],3,FALSE)</f>
        <v/>
      </c>
      <c r="Q8" s="114" t="str">
        <f>IF(Table57458[[#This Row],[Mandatory]]="Yes","[Required]","")</f>
        <v/>
      </c>
      <c r="R8" s="114" t="str">
        <f>IF(Table57458[[#This Row],[Max Length]]&gt;0,CONCATENATE("[MaxLength(",Table57458[[#This Row],[Max Length]],")]"),"")</f>
        <v/>
      </c>
      <c r="S8" s="114" t="str">
        <f>CONCATENATE("""",Table57458[[#This Row],[SQL Name]],""" = """,Table57458[[#This Row],[Field]],",")</f>
        <v>"Date_Approved_DT" = "Date Approved,</v>
      </c>
      <c r="T8" s="113"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public DateTime? Date_Approved_DT {get;set;}</v>
      </c>
    </row>
    <row r="9" spans="1:20" s="101" customFormat="1" ht="61.95" customHeight="1" x14ac:dyDescent="0.3">
      <c r="A9" s="97" t="s">
        <v>603</v>
      </c>
      <c r="B9" s="97" t="s">
        <v>636</v>
      </c>
      <c r="C9" s="104" t="s">
        <v>640</v>
      </c>
      <c r="D9" s="97"/>
      <c r="E9" s="101" t="str">
        <f>SUBSTITUTE(SUBSTITUTE(PROPER(TRIM(CLEAN(Table57458[[#This Row],[Field]])))," ","_"),"-","")</f>
        <v>Does_It_Apply_(Yes/No)_Via_By_Running_Experiments_(I.E._Randomized,_QuasiExperimental,_Or_Structured_PrePost_Methodology)?</v>
      </c>
      <c r="F9" s="101" t="s">
        <v>78</v>
      </c>
      <c r="G9" s="101" t="str">
        <f>VLOOKUP(Table57458[[#This Row],[Extension]],DescRef1[],2,FALSE)</f>
        <v>TXT</v>
      </c>
      <c r="H9" s="101">
        <v>400</v>
      </c>
      <c r="I9" s="101" t="s">
        <v>601</v>
      </c>
      <c r="J9" s="101" t="str">
        <f>IF(Table57458[[#This Row],[Code]]="-", Table57458[[#This Row],[Formatted]], CONCATENATE(Table57458[[#This Row],[Formatted]],"_",Table57458[[#This Row],[Code]]))</f>
        <v>Does_It_Apply_(Yes/No)_Via_By_Running_Experiments_(I.E._Randomized,_QuasiExperimental,_Or_Structured_PrePost_Methodology)?_TXT</v>
      </c>
      <c r="K9" s="101" t="s">
        <v>78</v>
      </c>
      <c r="L9" s="102"/>
      <c r="M9" s="101" t="s">
        <v>657</v>
      </c>
      <c r="O9" s="102" t="str">
        <f>CONCATENATE(VLOOKUP(Table57458[[#This Row],[Field Type]],FieldTypesRef1[],2,FALSE),IF(Table57458[[#This Row],[Mandatory]]="Yes","","?"))</f>
        <v>string?</v>
      </c>
      <c r="P9" s="103" t="str">
        <f>VLOOKUP(Table57458[[#This Row],[Field Type]],FieldTypesRef1[],3,FALSE)</f>
        <v/>
      </c>
      <c r="Q9" s="102" t="str">
        <f>IF(Table57458[[#This Row],[Mandatory]]="Yes","[Required]","")</f>
        <v/>
      </c>
      <c r="R9" s="102" t="str">
        <f>IF(Table57458[[#This Row],[Max Length]]&gt;0,CONCATENATE("[MaxLength(",Table57458[[#This Row],[Max Length]],")]"),"")</f>
        <v>[MaxLength(400)]</v>
      </c>
      <c r="S9" s="102" t="str">
        <f>CONCATENATE("""",Table57458[[#This Row],[SQL Name]],""" = """,Table57458[[#This Row],[Field]],",")</f>
        <v>"Does_It_Apply_(Yes/No)_Via_By_Running_Experiments_(I.E._Randomized,_QuasiExperimental,_Or_Structured_PrePost_Methodology)?_TXT" = "Does it apply (Yes/No) via by running experiments (i.e. randomized, quasi-experimental, or structured pre-post methodology)?,</v>
      </c>
      <c r="T9"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Does_It_Apply_(Yes/No)_Via_By_Running_Experiments_(I.E._Randomized,_QuasiExperimental,_Or_Structured_PrePost_Methodology)?_TXT {get;set;}</v>
      </c>
    </row>
    <row r="10" spans="1:20" s="101" customFormat="1" ht="60" customHeight="1" x14ac:dyDescent="0.3">
      <c r="A10" s="97" t="s">
        <v>603</v>
      </c>
      <c r="B10" s="97" t="s">
        <v>636</v>
      </c>
      <c r="C10" s="104" t="s">
        <v>631</v>
      </c>
      <c r="D10" s="104" t="s">
        <v>638</v>
      </c>
      <c r="E10" s="101" t="str">
        <f>SUBSTITUTE(SUBSTITUTE(PROPER(TRIM(CLEAN(Table57458[[#This Row],[Field]])))," ","_"),"-","")</f>
        <v>Description_Of_Example/Experiment</v>
      </c>
      <c r="F10" s="101" t="s">
        <v>78</v>
      </c>
      <c r="G10" s="101" t="str">
        <f>VLOOKUP(Table57458[[#This Row],[Extension]],DescRef1[],2,FALSE)</f>
        <v>TXT</v>
      </c>
      <c r="H10" s="101">
        <v>100</v>
      </c>
      <c r="I10" s="101" t="s">
        <v>601</v>
      </c>
      <c r="J10" s="101" t="str">
        <f>IF(Table57458[[#This Row],[Code]]="-", Table57458[[#This Row],[Formatted]], CONCATENATE(Table57458[[#This Row],[Formatted]],"_",Table57458[[#This Row],[Code]]))</f>
        <v>Description_Of_Example/Experiment_TXT</v>
      </c>
      <c r="K10" s="101" t="s">
        <v>78</v>
      </c>
      <c r="L10" s="102"/>
      <c r="M10" s="101" t="s">
        <v>657</v>
      </c>
      <c r="O10" s="102" t="str">
        <f>CONCATENATE(VLOOKUP(Table57458[[#This Row],[Field Type]],FieldTypesRef1[],2,FALSE),IF(Table57458[[#This Row],[Mandatory]]="Yes","","?"))</f>
        <v>string?</v>
      </c>
      <c r="P10" s="103" t="str">
        <f>VLOOKUP(Table57458[[#This Row],[Field Type]],FieldTypesRef1[],3,FALSE)</f>
        <v/>
      </c>
      <c r="Q10" s="102" t="str">
        <f>IF(Table57458[[#This Row],[Mandatory]]="Yes","[Required]","")</f>
        <v/>
      </c>
      <c r="R10" s="102" t="str">
        <f>IF(Table57458[[#This Row],[Max Length]]&gt;0,CONCATENATE("[MaxLength(",Table57458[[#This Row],[Max Length]],")]"),"")</f>
        <v>[MaxLength(100)]</v>
      </c>
      <c r="S10" s="102" t="str">
        <f>CONCATENATE("""",Table57458[[#This Row],[SQL Name]],""" = """,Table57458[[#This Row],[Field]],",")</f>
        <v>"Description_Of_Example/Experiment_TXT" = "Description of example/experiment,</v>
      </c>
      <c r="T10"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[MaxLength(100)]public string? Description_Of_Example/Experiment_TXT {get;set;}</v>
      </c>
    </row>
    <row r="11" spans="1:20" s="101" customFormat="1" ht="60" customHeight="1" x14ac:dyDescent="0.3">
      <c r="A11" s="97" t="s">
        <v>603</v>
      </c>
      <c r="B11" s="97" t="s">
        <v>636</v>
      </c>
      <c r="C11" s="104" t="s">
        <v>632</v>
      </c>
      <c r="D11" s="97"/>
      <c r="E11" s="101" t="str">
        <f>SUBSTITUTE(SUBSTITUTE(PROPER(TRIM(CLEAN(Table57458[[#This Row],[Field]])))," ","_"),"-","")</f>
        <v>Sector</v>
      </c>
      <c r="F11" s="101" t="s">
        <v>78</v>
      </c>
      <c r="G11" s="101" t="str">
        <f>VLOOKUP(Table57458[[#This Row],[Extension]],DescRef1[],2,FALSE)</f>
        <v>TXT</v>
      </c>
      <c r="H11" s="101">
        <v>400</v>
      </c>
      <c r="I11" s="101" t="s">
        <v>601</v>
      </c>
      <c r="J11" s="101" t="str">
        <f>IF(Table57458[[#This Row],[Code]]="-", Table57458[[#This Row],[Formatted]], CONCATENATE(Table57458[[#This Row],[Formatted]],"_",Table57458[[#This Row],[Code]]))</f>
        <v>Sector_TXT</v>
      </c>
      <c r="K11" s="101" t="s">
        <v>78</v>
      </c>
      <c r="L11" s="102"/>
      <c r="M11" s="101" t="s">
        <v>657</v>
      </c>
      <c r="O11" s="102" t="str">
        <f>CONCATENATE(VLOOKUP(Table57458[[#This Row],[Field Type]],FieldTypesRef1[],2,FALSE),IF(Table57458[[#This Row],[Mandatory]]="Yes","","?"))</f>
        <v>string?</v>
      </c>
      <c r="P11" s="103" t="str">
        <f>VLOOKUP(Table57458[[#This Row],[Field Type]],FieldTypesRef1[],3,FALSE)</f>
        <v/>
      </c>
      <c r="Q11" s="102" t="str">
        <f>IF(Table57458[[#This Row],[Mandatory]]="Yes","[Required]","")</f>
        <v/>
      </c>
      <c r="R11" s="102" t="str">
        <f>IF(Table57458[[#This Row],[Max Length]]&gt;0,CONCATENATE("[MaxLength(",Table57458[[#This Row],[Max Length]],")]"),"")</f>
        <v>[MaxLength(400)]</v>
      </c>
      <c r="S11" s="102" t="str">
        <f>CONCATENATE("""",Table57458[[#This Row],[SQL Name]],""" = """,Table57458[[#This Row],[Field]],",")</f>
        <v>"Sector_TXT" = "Sector,</v>
      </c>
      <c r="T11"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Sector_TXT {get;set;}</v>
      </c>
    </row>
    <row r="12" spans="1:20" s="101" customFormat="1" ht="144" x14ac:dyDescent="0.3">
      <c r="A12" s="97" t="s">
        <v>603</v>
      </c>
      <c r="B12" s="97" t="s">
        <v>636</v>
      </c>
      <c r="C12" s="104" t="s">
        <v>633</v>
      </c>
      <c r="D12" s="97"/>
      <c r="E12" s="101" t="str">
        <f>SUBSTITUTE(SUBSTITUTE(PROPER(TRIM(CLEAN(Table57458[[#This Row],[Field]])))," ","_"),"-","")</f>
        <v>Date_Approved</v>
      </c>
      <c r="F12" s="101" t="s">
        <v>15</v>
      </c>
      <c r="G12" s="101" t="str">
        <f>VLOOKUP(Table57458[[#This Row],[Extension]],DescRef1[],2,FALSE)</f>
        <v>DT</v>
      </c>
      <c r="I12" s="101" t="s">
        <v>601</v>
      </c>
      <c r="J12" s="101" t="str">
        <f>IF(Table57458[[#This Row],[Code]]="-", Table57458[[#This Row],[Formatted]], CONCATENATE(Table57458[[#This Row],[Formatted]],"_",Table57458[[#This Row],[Code]]))</f>
        <v>Date_Approved_DT</v>
      </c>
      <c r="K12" s="101" t="s">
        <v>15</v>
      </c>
      <c r="L12" s="102"/>
      <c r="M12" s="101" t="s">
        <v>657</v>
      </c>
      <c r="O12" s="102" t="str">
        <f>CONCATENATE(VLOOKUP(Table57458[[#This Row],[Field Type]],FieldTypesRef1[],2,FALSE),IF(Table57458[[#This Row],[Mandatory]]="Yes","","?"))</f>
        <v>DateTime?</v>
      </c>
      <c r="P12" s="103" t="str">
        <f>VLOOKUP(Table57458[[#This Row],[Field Type]],FieldTypesRef1[],3,FALSE)</f>
        <v/>
      </c>
      <c r="Q12" s="102" t="str">
        <f>IF(Table57458[[#This Row],[Mandatory]]="Yes","[Required]","")</f>
        <v/>
      </c>
      <c r="R12" s="102" t="str">
        <f>IF(Table57458[[#This Row],[Max Length]]&gt;0,CONCATENATE("[MaxLength(",Table57458[[#This Row],[Max Length]],")]"),"")</f>
        <v/>
      </c>
      <c r="S12" s="102" t="str">
        <f>CONCATENATE("""",Table57458[[#This Row],[SQL Name]],""" = """,Table57458[[#This Row],[Field]],",")</f>
        <v>"Date_Approved_DT" = "Date Approved,</v>
      </c>
      <c r="T12"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public DateTime? Date_Approved_DT {get;set;}</v>
      </c>
    </row>
    <row r="13" spans="1:20" s="101" customFormat="1" ht="59.55" customHeight="1" x14ac:dyDescent="0.3">
      <c r="A13" s="97" t="s">
        <v>603</v>
      </c>
      <c r="B13" s="97" t="s">
        <v>636</v>
      </c>
      <c r="C13" s="104" t="s">
        <v>639</v>
      </c>
      <c r="D13" s="97"/>
      <c r="E13" s="101" t="str">
        <f>SUBSTITUTE(SUBSTITUTE(PROPER(TRIM(CLEAN(Table57458[[#This Row],[Field]])))," ","_"),"-","")</f>
        <v>Does_It_Apply_(Yes/No)_Via_By_Developing_A_Coordinated_DepartmentWide_Framework_Or_Approach_To_Experimentation_(E.G._A_Strategy,_Plan,_Statement_Etc.)_?</v>
      </c>
      <c r="F13" s="101" t="s">
        <v>78</v>
      </c>
      <c r="G13" s="101" t="str">
        <f>VLOOKUP(Table57458[[#This Row],[Extension]],DescRef1[],2,FALSE)</f>
        <v>TXT</v>
      </c>
      <c r="H13" s="101">
        <v>400</v>
      </c>
      <c r="I13" s="101" t="s">
        <v>601</v>
      </c>
      <c r="J13" s="101" t="str">
        <f>IF(Table57458[[#This Row],[Code]]="-", Table57458[[#This Row],[Formatted]], CONCATENATE(Table57458[[#This Row],[Formatted]],"_",Table57458[[#This Row],[Code]]))</f>
        <v>Does_It_Apply_(Yes/No)_Via_By_Developing_A_Coordinated_DepartmentWide_Framework_Or_Approach_To_Experimentation_(E.G._A_Strategy,_Plan,_Statement_Etc.)_?_TXT</v>
      </c>
      <c r="K13" s="101" t="s">
        <v>78</v>
      </c>
      <c r="L13" s="102"/>
      <c r="M13" s="101" t="s">
        <v>657</v>
      </c>
      <c r="O13" s="102" t="str">
        <f>CONCATENATE(VLOOKUP(Table57458[[#This Row],[Field Type]],FieldTypesRef1[],2,FALSE),IF(Table57458[[#This Row],[Mandatory]]="Yes","","?"))</f>
        <v>string?</v>
      </c>
      <c r="P13" s="103" t="str">
        <f>VLOOKUP(Table57458[[#This Row],[Field Type]],FieldTypesRef1[],3,FALSE)</f>
        <v/>
      </c>
      <c r="Q13" s="102" t="str">
        <f>IF(Table57458[[#This Row],[Mandatory]]="Yes","[Required]","")</f>
        <v/>
      </c>
      <c r="R13" s="102" t="str">
        <f>IF(Table57458[[#This Row],[Max Length]]&gt;0,CONCATENATE("[MaxLength(",Table57458[[#This Row],[Max Length]],")]"),"")</f>
        <v>[MaxLength(400)]</v>
      </c>
      <c r="S13" s="102" t="str">
        <f>CONCATENATE("""",Table57458[[#This Row],[SQL Name]],""" = """,Table57458[[#This Row],[Field]],",")</f>
        <v>"Does_It_Apply_(Yes/No)_Via_By_Developing_A_Coordinated_DepartmentWide_Framework_Or_Approach_To_Experimentation_(E.G._A_Strategy,_Plan,_Statement_Etc.)_?_TXT" = "Does it apply (Yes/No) via by developing a coordinated department-wide framework or approach to experimentation (e.g. a strategy, plan, statement etc.) ?,</v>
      </c>
      <c r="T13"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Does_It_Apply_(Yes/No)_Via_By_Developing_A_Coordinated_DepartmentWide_Framework_Or_Approach_To_Experimentation_(E.G._A_Strategy,_Plan,_Statement_Etc.)_?_TXT {get;set;}</v>
      </c>
    </row>
    <row r="14" spans="1:20" s="101" customFormat="1" ht="59.55" customHeight="1" x14ac:dyDescent="0.3">
      <c r="A14" s="97" t="s">
        <v>603</v>
      </c>
      <c r="B14" s="97" t="s">
        <v>636</v>
      </c>
      <c r="C14" s="104" t="s">
        <v>631</v>
      </c>
      <c r="D14" s="104" t="s">
        <v>638</v>
      </c>
      <c r="E14" s="101" t="str">
        <f>SUBSTITUTE(SUBSTITUTE(PROPER(TRIM(CLEAN(Table57458[[#This Row],[Field]])))," ","_"),"-","")</f>
        <v>Description_Of_Example/Experiment</v>
      </c>
      <c r="F14" s="101" t="s">
        <v>78</v>
      </c>
      <c r="G14" s="101" t="str">
        <f>VLOOKUP(Table57458[[#This Row],[Extension]],DescRef1[],2,FALSE)</f>
        <v>TXT</v>
      </c>
      <c r="H14" s="101">
        <v>100</v>
      </c>
      <c r="I14" s="101" t="s">
        <v>601</v>
      </c>
      <c r="J14" s="101" t="str">
        <f>IF(Table57458[[#This Row],[Code]]="-", Table57458[[#This Row],[Formatted]], CONCATENATE(Table57458[[#This Row],[Formatted]],"_",Table57458[[#This Row],[Code]]))</f>
        <v>Description_Of_Example/Experiment_TXT</v>
      </c>
      <c r="K14" s="101" t="s">
        <v>78</v>
      </c>
      <c r="L14" s="102"/>
      <c r="M14" s="101" t="s">
        <v>657</v>
      </c>
      <c r="O14" s="102" t="str">
        <f>CONCATENATE(VLOOKUP(Table57458[[#This Row],[Field Type]],FieldTypesRef1[],2,FALSE),IF(Table57458[[#This Row],[Mandatory]]="Yes","","?"))</f>
        <v>string?</v>
      </c>
      <c r="P14" s="103" t="str">
        <f>VLOOKUP(Table57458[[#This Row],[Field Type]],FieldTypesRef1[],3,FALSE)</f>
        <v/>
      </c>
      <c r="Q14" s="102" t="str">
        <f>IF(Table57458[[#This Row],[Mandatory]]="Yes","[Required]","")</f>
        <v/>
      </c>
      <c r="R14" s="102" t="str">
        <f>IF(Table57458[[#This Row],[Max Length]]&gt;0,CONCATENATE("[MaxLength(",Table57458[[#This Row],[Max Length]],")]"),"")</f>
        <v>[MaxLength(100)]</v>
      </c>
      <c r="S14" s="102" t="str">
        <f>CONCATENATE("""",Table57458[[#This Row],[SQL Name]],""" = """,Table57458[[#This Row],[Field]],",")</f>
        <v>"Description_Of_Example/Experiment_TXT" = "Description of example/experiment,</v>
      </c>
      <c r="T14"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[MaxLength(100)]public string? Description_Of_Example/Experiment_TXT {get;set;}</v>
      </c>
    </row>
    <row r="15" spans="1:20" s="101" customFormat="1" ht="60.45" customHeight="1" x14ac:dyDescent="0.3">
      <c r="A15" s="97" t="s">
        <v>603</v>
      </c>
      <c r="B15" s="97" t="s">
        <v>636</v>
      </c>
      <c r="C15" s="104" t="s">
        <v>632</v>
      </c>
      <c r="D15" s="97"/>
      <c r="E15" s="101" t="str">
        <f>SUBSTITUTE(SUBSTITUTE(PROPER(TRIM(CLEAN(Table57458[[#This Row],[Field]])))," ","_"),"-","")</f>
        <v>Sector</v>
      </c>
      <c r="F15" s="101" t="s">
        <v>78</v>
      </c>
      <c r="G15" s="101" t="str">
        <f>VLOOKUP(Table57458[[#This Row],[Extension]],DescRef1[],2,FALSE)</f>
        <v>TXT</v>
      </c>
      <c r="H15" s="101">
        <v>400</v>
      </c>
      <c r="I15" s="101" t="s">
        <v>601</v>
      </c>
      <c r="J15" s="101" t="str">
        <f>IF(Table57458[[#This Row],[Code]]="-", Table57458[[#This Row],[Formatted]], CONCATENATE(Table57458[[#This Row],[Formatted]],"_",Table57458[[#This Row],[Code]]))</f>
        <v>Sector_TXT</v>
      </c>
      <c r="K15" s="101" t="s">
        <v>78</v>
      </c>
      <c r="L15" s="102"/>
      <c r="M15" s="101" t="s">
        <v>657</v>
      </c>
      <c r="O15" s="102" t="str">
        <f>CONCATENATE(VLOOKUP(Table57458[[#This Row],[Field Type]],FieldTypesRef1[],2,FALSE),IF(Table57458[[#This Row],[Mandatory]]="Yes","","?"))</f>
        <v>string?</v>
      </c>
      <c r="P15" s="103" t="str">
        <f>VLOOKUP(Table57458[[#This Row],[Field Type]],FieldTypesRef1[],3,FALSE)</f>
        <v/>
      </c>
      <c r="Q15" s="102" t="str">
        <f>IF(Table57458[[#This Row],[Mandatory]]="Yes","[Required]","")</f>
        <v/>
      </c>
      <c r="R15" s="102" t="str">
        <f>IF(Table57458[[#This Row],[Max Length]]&gt;0,CONCATENATE("[MaxLength(",Table57458[[#This Row],[Max Length]],")]"),"")</f>
        <v>[MaxLength(400)]</v>
      </c>
      <c r="S15" s="102" t="str">
        <f>CONCATENATE("""",Table57458[[#This Row],[SQL Name]],""" = """,Table57458[[#This Row],[Field]],",")</f>
        <v>"Sector_TXT" = "Sector,</v>
      </c>
      <c r="T15"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Sector_TXT {get;set;}</v>
      </c>
    </row>
    <row r="16" spans="1:20" s="101" customFormat="1" ht="60" customHeight="1" x14ac:dyDescent="0.3">
      <c r="A16" s="97" t="s">
        <v>603</v>
      </c>
      <c r="B16" s="97" t="s">
        <v>636</v>
      </c>
      <c r="C16" s="104" t="s">
        <v>633</v>
      </c>
      <c r="D16" s="97"/>
      <c r="E16" s="101" t="str">
        <f>SUBSTITUTE(SUBSTITUTE(PROPER(TRIM(CLEAN(Table57458[[#This Row],[Field]])))," ","_"),"-","")</f>
        <v>Date_Approved</v>
      </c>
      <c r="F16" s="101" t="s">
        <v>15</v>
      </c>
      <c r="G16" s="101" t="str">
        <f>VLOOKUP(Table57458[[#This Row],[Extension]],DescRef1[],2,FALSE)</f>
        <v>DT</v>
      </c>
      <c r="I16" s="101" t="s">
        <v>601</v>
      </c>
      <c r="J16" s="101" t="str">
        <f>IF(Table57458[[#This Row],[Code]]="-", Table57458[[#This Row],[Formatted]], CONCATENATE(Table57458[[#This Row],[Formatted]],"_",Table57458[[#This Row],[Code]]))</f>
        <v>Date_Approved_DT</v>
      </c>
      <c r="K16" s="101" t="s">
        <v>15</v>
      </c>
      <c r="L16" s="102"/>
      <c r="M16" s="101" t="s">
        <v>657</v>
      </c>
      <c r="O16" s="102" t="str">
        <f>CONCATENATE(VLOOKUP(Table57458[[#This Row],[Field Type]],FieldTypesRef1[],2,FALSE),IF(Table57458[[#This Row],[Mandatory]]="Yes","","?"))</f>
        <v>DateTime?</v>
      </c>
      <c r="P16" s="103" t="str">
        <f>VLOOKUP(Table57458[[#This Row],[Field Type]],FieldTypesRef1[],3,FALSE)</f>
        <v/>
      </c>
      <c r="Q16" s="102" t="str">
        <f>IF(Table57458[[#This Row],[Mandatory]]="Yes","[Required]","")</f>
        <v/>
      </c>
      <c r="R16" s="102" t="str">
        <f>IF(Table57458[[#This Row],[Max Length]]&gt;0,CONCATENATE("[MaxLength(",Table57458[[#This Row],[Max Length]],")]"),"")</f>
        <v/>
      </c>
      <c r="S16" s="102" t="str">
        <f>CONCATENATE("""",Table57458[[#This Row],[SQL Name]],""" = """,Table57458[[#This Row],[Field]],",")</f>
        <v>"Date_Approved_DT" = "Date Approved,</v>
      </c>
      <c r="T16"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public DateTime? Date_Approved_DT {get;set;}</v>
      </c>
    </row>
    <row r="17" spans="1:20" s="101" customFormat="1" ht="60.45" customHeight="1" x14ac:dyDescent="0.3">
      <c r="A17" s="97" t="s">
        <v>603</v>
      </c>
      <c r="B17" s="97" t="s">
        <v>636</v>
      </c>
      <c r="C17" s="104" t="s">
        <v>644</v>
      </c>
      <c r="D17" s="97"/>
      <c r="E17" s="101" t="str">
        <f>SUBSTITUTE(SUBSTITUTE(PROPER(TRIM(CLEAN(Table57458[[#This Row],[Field]])))," ","_"),"-","")</f>
        <v>Does_It_Apply_(Yes/No)_Via_By_Integrating_Experimentation_Into_Departmental_Governance_Bodies?</v>
      </c>
      <c r="F17" s="101" t="s">
        <v>78</v>
      </c>
      <c r="G17" s="101" t="str">
        <f>VLOOKUP(Table57458[[#This Row],[Extension]],DescRef1[],2,FALSE)</f>
        <v>TXT</v>
      </c>
      <c r="H17" s="101">
        <v>400</v>
      </c>
      <c r="I17" s="101" t="s">
        <v>601</v>
      </c>
      <c r="J17" s="101" t="str">
        <f>IF(Table57458[[#This Row],[Code]]="-", Table57458[[#This Row],[Formatted]], CONCATENATE(Table57458[[#This Row],[Formatted]],"_",Table57458[[#This Row],[Code]]))</f>
        <v>Does_It_Apply_(Yes/No)_Via_By_Integrating_Experimentation_Into_Departmental_Governance_Bodies?_TXT</v>
      </c>
      <c r="K17" s="101" t="s">
        <v>78</v>
      </c>
      <c r="L17" s="102"/>
      <c r="M17" s="101" t="s">
        <v>657</v>
      </c>
      <c r="O17" s="102" t="str">
        <f>CONCATENATE(VLOOKUP(Table57458[[#This Row],[Field Type]],FieldTypesRef1[],2,FALSE),IF(Table57458[[#This Row],[Mandatory]]="Yes","","?"))</f>
        <v>string?</v>
      </c>
      <c r="P17" s="103" t="str">
        <f>VLOOKUP(Table57458[[#This Row],[Field Type]],FieldTypesRef1[],3,FALSE)</f>
        <v/>
      </c>
      <c r="Q17" s="102" t="str">
        <f>IF(Table57458[[#This Row],[Mandatory]]="Yes","[Required]","")</f>
        <v/>
      </c>
      <c r="R17" s="102" t="str">
        <f>IF(Table57458[[#This Row],[Max Length]]&gt;0,CONCATENATE("[MaxLength(",Table57458[[#This Row],[Max Length]],")]"),"")</f>
        <v>[MaxLength(400)]</v>
      </c>
      <c r="S17" s="102" t="str">
        <f>CONCATENATE("""",Table57458[[#This Row],[SQL Name]],""" = """,Table57458[[#This Row],[Field]],",")</f>
        <v>"Does_It_Apply_(Yes/No)_Via_By_Integrating_Experimentation_Into_Departmental_Governance_Bodies?_TXT" = "Does it apply (Yes/No) via by integrating experimentation into departmental governance bodies?,</v>
      </c>
      <c r="T17"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Does_It_Apply_(Yes/No)_Via_By_Integrating_Experimentation_Into_Departmental_Governance_Bodies?_TXT {get;set;}</v>
      </c>
    </row>
    <row r="18" spans="1:20" s="101" customFormat="1" ht="57.45" customHeight="1" x14ac:dyDescent="0.3">
      <c r="A18" s="97" t="s">
        <v>603</v>
      </c>
      <c r="B18" s="97" t="s">
        <v>636</v>
      </c>
      <c r="C18" s="104" t="s">
        <v>631</v>
      </c>
      <c r="D18" s="104" t="s">
        <v>638</v>
      </c>
      <c r="E18" s="101" t="str">
        <f>SUBSTITUTE(SUBSTITUTE(PROPER(TRIM(CLEAN(Table57458[[#This Row],[Field]])))," ","_"),"-","")</f>
        <v>Description_Of_Example/Experiment</v>
      </c>
      <c r="F18" s="101" t="s">
        <v>78</v>
      </c>
      <c r="G18" s="101" t="str">
        <f>VLOOKUP(Table57458[[#This Row],[Extension]],DescRef1[],2,FALSE)</f>
        <v>TXT</v>
      </c>
      <c r="H18" s="101">
        <v>100</v>
      </c>
      <c r="I18" s="101" t="s">
        <v>601</v>
      </c>
      <c r="J18" s="101" t="str">
        <f>IF(Table57458[[#This Row],[Code]]="-", Table57458[[#This Row],[Formatted]], CONCATENATE(Table57458[[#This Row],[Formatted]],"_",Table57458[[#This Row],[Code]]))</f>
        <v>Description_Of_Example/Experiment_TXT</v>
      </c>
      <c r="K18" s="101" t="s">
        <v>78</v>
      </c>
      <c r="L18" s="102"/>
      <c r="M18" s="101" t="s">
        <v>657</v>
      </c>
      <c r="O18" s="102" t="str">
        <f>CONCATENATE(VLOOKUP(Table57458[[#This Row],[Field Type]],FieldTypesRef1[],2,FALSE),IF(Table57458[[#This Row],[Mandatory]]="Yes","","?"))</f>
        <v>string?</v>
      </c>
      <c r="P18" s="103" t="str">
        <f>VLOOKUP(Table57458[[#This Row],[Field Type]],FieldTypesRef1[],3,FALSE)</f>
        <v/>
      </c>
      <c r="Q18" s="102" t="str">
        <f>IF(Table57458[[#This Row],[Mandatory]]="Yes","[Required]","")</f>
        <v/>
      </c>
      <c r="R18" s="102" t="str">
        <f>IF(Table57458[[#This Row],[Max Length]]&gt;0,CONCATENATE("[MaxLength(",Table57458[[#This Row],[Max Length]],")]"),"")</f>
        <v>[MaxLength(100)]</v>
      </c>
      <c r="S18" s="102" t="str">
        <f>CONCATENATE("""",Table57458[[#This Row],[SQL Name]],""" = """,Table57458[[#This Row],[Field]],",")</f>
        <v>"Description_Of_Example/Experiment_TXT" = "Description of example/experiment,</v>
      </c>
      <c r="T18"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[MaxLength(100)]public string? Description_Of_Example/Experiment_TXT {get;set;}</v>
      </c>
    </row>
    <row r="19" spans="1:20" s="101" customFormat="1" ht="58.5" customHeight="1" x14ac:dyDescent="0.3">
      <c r="A19" s="97" t="s">
        <v>603</v>
      </c>
      <c r="B19" s="97" t="s">
        <v>636</v>
      </c>
      <c r="C19" s="104" t="s">
        <v>632</v>
      </c>
      <c r="D19" s="97"/>
      <c r="E19" s="101" t="str">
        <f>SUBSTITUTE(SUBSTITUTE(PROPER(TRIM(CLEAN(Table57458[[#This Row],[Field]])))," ","_"),"-","")</f>
        <v>Sector</v>
      </c>
      <c r="F19" s="101" t="s">
        <v>78</v>
      </c>
      <c r="G19" s="101" t="str">
        <f>VLOOKUP(Table57458[[#This Row],[Extension]],DescRef1[],2,FALSE)</f>
        <v>TXT</v>
      </c>
      <c r="H19" s="101">
        <v>400</v>
      </c>
      <c r="I19" s="101" t="s">
        <v>601</v>
      </c>
      <c r="J19" s="101" t="str">
        <f>IF(Table57458[[#This Row],[Code]]="-", Table57458[[#This Row],[Formatted]], CONCATENATE(Table57458[[#This Row],[Formatted]],"_",Table57458[[#This Row],[Code]]))</f>
        <v>Sector_TXT</v>
      </c>
      <c r="K19" s="101" t="s">
        <v>78</v>
      </c>
      <c r="L19" s="102"/>
      <c r="M19" s="101" t="s">
        <v>657</v>
      </c>
      <c r="O19" s="102" t="str">
        <f>CONCATENATE(VLOOKUP(Table57458[[#This Row],[Field Type]],FieldTypesRef1[],2,FALSE),IF(Table57458[[#This Row],[Mandatory]]="Yes","","?"))</f>
        <v>string?</v>
      </c>
      <c r="P19" s="103" t="str">
        <f>VLOOKUP(Table57458[[#This Row],[Field Type]],FieldTypesRef1[],3,FALSE)</f>
        <v/>
      </c>
      <c r="Q19" s="102" t="str">
        <f>IF(Table57458[[#This Row],[Mandatory]]="Yes","[Required]","")</f>
        <v/>
      </c>
      <c r="R19" s="102" t="str">
        <f>IF(Table57458[[#This Row],[Max Length]]&gt;0,CONCATENATE("[MaxLength(",Table57458[[#This Row],[Max Length]],")]"),"")</f>
        <v>[MaxLength(400)]</v>
      </c>
      <c r="S19" s="102" t="str">
        <f>CONCATENATE("""",Table57458[[#This Row],[SQL Name]],""" = """,Table57458[[#This Row],[Field]],",")</f>
        <v>"Sector_TXT" = "Sector,</v>
      </c>
      <c r="T19"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Sector_TXT {get;set;}</v>
      </c>
    </row>
    <row r="20" spans="1:20" s="101" customFormat="1" ht="60.45" customHeight="1" x14ac:dyDescent="0.3">
      <c r="A20" s="97" t="s">
        <v>603</v>
      </c>
      <c r="B20" s="97" t="s">
        <v>636</v>
      </c>
      <c r="C20" s="104" t="s">
        <v>633</v>
      </c>
      <c r="D20" s="97"/>
      <c r="E20" s="101" t="str">
        <f>SUBSTITUTE(SUBSTITUTE(PROPER(TRIM(CLEAN(Table57458[[#This Row],[Field]])))," ","_"),"-","")</f>
        <v>Date_Approved</v>
      </c>
      <c r="F20" s="101" t="s">
        <v>15</v>
      </c>
      <c r="G20" s="101" t="str">
        <f>VLOOKUP(Table57458[[#This Row],[Extension]],DescRef1[],2,FALSE)</f>
        <v>DT</v>
      </c>
      <c r="I20" s="101" t="s">
        <v>601</v>
      </c>
      <c r="J20" s="101" t="str">
        <f>IF(Table57458[[#This Row],[Code]]="-", Table57458[[#This Row],[Formatted]], CONCATENATE(Table57458[[#This Row],[Formatted]],"_",Table57458[[#This Row],[Code]]))</f>
        <v>Date_Approved_DT</v>
      </c>
      <c r="K20" s="101" t="s">
        <v>15</v>
      </c>
      <c r="L20" s="102"/>
      <c r="M20" s="101" t="s">
        <v>657</v>
      </c>
      <c r="O20" s="102" t="str">
        <f>CONCATENATE(VLOOKUP(Table57458[[#This Row],[Field Type]],FieldTypesRef1[],2,FALSE),IF(Table57458[[#This Row],[Mandatory]]="Yes","","?"))</f>
        <v>DateTime?</v>
      </c>
      <c r="P20" s="103" t="str">
        <f>VLOOKUP(Table57458[[#This Row],[Field Type]],FieldTypesRef1[],3,FALSE)</f>
        <v/>
      </c>
      <c r="Q20" s="102" t="str">
        <f>IF(Table57458[[#This Row],[Mandatory]]="Yes","[Required]","")</f>
        <v/>
      </c>
      <c r="R20" s="102" t="str">
        <f>IF(Table57458[[#This Row],[Max Length]]&gt;0,CONCATENATE("[MaxLength(",Table57458[[#This Row],[Max Length]],")]"),"")</f>
        <v/>
      </c>
      <c r="S20" s="102" t="str">
        <f>CONCATENATE("""",Table57458[[#This Row],[SQL Name]],""" = """,Table57458[[#This Row],[Field]],",")</f>
        <v>"Date_Approved_DT" = "Date Approved,</v>
      </c>
      <c r="T20"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public DateTime? Date_Approved_DT {get;set;}</v>
      </c>
    </row>
    <row r="21" spans="1:20" s="101" customFormat="1" ht="58.05" customHeight="1" x14ac:dyDescent="0.3">
      <c r="A21" s="97" t="s">
        <v>603</v>
      </c>
      <c r="B21" s="97" t="s">
        <v>636</v>
      </c>
      <c r="C21" s="104" t="s">
        <v>641</v>
      </c>
      <c r="D21" s="97"/>
      <c r="E21" s="101" t="str">
        <f>SUBSTITUTE(SUBSTITUTE(PROPER(TRIM(CLEAN(Table57458[[#This Row],[Field]])))," ","_"),"-","")</f>
        <v>Does_It_Apply_(Yes/No)_By_Building_Departmental_Capacity_Or_Awareness_To_Do_Experimentation_In_Ways_Different_From_The_Approaches_Noted_Above_(Please_Explain)?</v>
      </c>
      <c r="F21" s="101" t="s">
        <v>78</v>
      </c>
      <c r="G21" s="101" t="str">
        <f>VLOOKUP(Table57458[[#This Row],[Extension]],DescRef1[],2,FALSE)</f>
        <v>TXT</v>
      </c>
      <c r="H21" s="101">
        <v>400</v>
      </c>
      <c r="I21" s="101" t="s">
        <v>601</v>
      </c>
      <c r="J21" s="101" t="str">
        <f>IF(Table57458[[#This Row],[Code]]="-", Table57458[[#This Row],[Formatted]], CONCATENATE(Table57458[[#This Row],[Formatted]],"_",Table57458[[#This Row],[Code]]))</f>
        <v>Does_It_Apply_(Yes/No)_By_Building_Departmental_Capacity_Or_Awareness_To_Do_Experimentation_In_Ways_Different_From_The_Approaches_Noted_Above_(Please_Explain)?_TXT</v>
      </c>
      <c r="K21" s="101" t="s">
        <v>78</v>
      </c>
      <c r="L21" s="102"/>
      <c r="M21" s="101" t="s">
        <v>657</v>
      </c>
      <c r="O21" s="102" t="str">
        <f>CONCATENATE(VLOOKUP(Table57458[[#This Row],[Field Type]],FieldTypesRef1[],2,FALSE),IF(Table57458[[#This Row],[Mandatory]]="Yes","","?"))</f>
        <v>string?</v>
      </c>
      <c r="P21" s="103" t="str">
        <f>VLOOKUP(Table57458[[#This Row],[Field Type]],FieldTypesRef1[],3,FALSE)</f>
        <v/>
      </c>
      <c r="Q21" s="102" t="str">
        <f>IF(Table57458[[#This Row],[Mandatory]]="Yes","[Required]","")</f>
        <v/>
      </c>
      <c r="R21" s="102" t="str">
        <f>IF(Table57458[[#This Row],[Max Length]]&gt;0,CONCATENATE("[MaxLength(",Table57458[[#This Row],[Max Length]],")]"),"")</f>
        <v>[MaxLength(400)]</v>
      </c>
      <c r="S21" s="102" t="str">
        <f>CONCATENATE("""",Table57458[[#This Row],[SQL Name]],""" = """,Table57458[[#This Row],[Field]],",")</f>
        <v>"Does_It_Apply_(Yes/No)_By_Building_Departmental_Capacity_Or_Awareness_To_Do_Experimentation_In_Ways_Different_From_The_Approaches_Noted_Above_(Please_Explain)?_TXT" = "Does it apply (Yes/No)  by building departmental capacity or awareness to do experimentation in ways different from the approaches noted above (please explain)?,</v>
      </c>
      <c r="T21"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Does_It_Apply_(Yes/No)_By_Building_Departmental_Capacity_Or_Awareness_To_Do_Experimentation_In_Ways_Different_From_The_Approaches_Noted_Above_(Please_Explain)?_TXT {get;set;}</v>
      </c>
    </row>
    <row r="22" spans="1:20" s="101" customFormat="1" ht="61.05" customHeight="1" x14ac:dyDescent="0.3">
      <c r="A22" s="97" t="s">
        <v>603</v>
      </c>
      <c r="B22" s="97" t="s">
        <v>636</v>
      </c>
      <c r="C22" s="104" t="s">
        <v>631</v>
      </c>
      <c r="D22" s="104" t="s">
        <v>638</v>
      </c>
      <c r="E22" s="101" t="str">
        <f>SUBSTITUTE(SUBSTITUTE(PROPER(TRIM(CLEAN(Table57458[[#This Row],[Field]])))," ","_"),"-","")</f>
        <v>Description_Of_Example/Experiment</v>
      </c>
      <c r="F22" s="101" t="s">
        <v>78</v>
      </c>
      <c r="G22" s="101" t="str">
        <f>VLOOKUP(Table57458[[#This Row],[Extension]],DescRef1[],2,FALSE)</f>
        <v>TXT</v>
      </c>
      <c r="H22" s="101">
        <v>100</v>
      </c>
      <c r="I22" s="101" t="s">
        <v>601</v>
      </c>
      <c r="J22" s="101" t="str">
        <f>IF(Table57458[[#This Row],[Code]]="-", Table57458[[#This Row],[Formatted]], CONCATENATE(Table57458[[#This Row],[Formatted]],"_",Table57458[[#This Row],[Code]]))</f>
        <v>Description_Of_Example/Experiment_TXT</v>
      </c>
      <c r="K22" s="101" t="s">
        <v>78</v>
      </c>
      <c r="L22" s="102"/>
      <c r="M22" s="101" t="s">
        <v>657</v>
      </c>
      <c r="O22" s="102" t="str">
        <f>CONCATENATE(VLOOKUP(Table57458[[#This Row],[Field Type]],FieldTypesRef1[],2,FALSE),IF(Table57458[[#This Row],[Mandatory]]="Yes","","?"))</f>
        <v>string?</v>
      </c>
      <c r="P22" s="103" t="str">
        <f>VLOOKUP(Table57458[[#This Row],[Field Type]],FieldTypesRef1[],3,FALSE)</f>
        <v/>
      </c>
      <c r="Q22" s="102" t="str">
        <f>IF(Table57458[[#This Row],[Mandatory]]="Yes","[Required]","")</f>
        <v/>
      </c>
      <c r="R22" s="102" t="str">
        <f>IF(Table57458[[#This Row],[Max Length]]&gt;0,CONCATENATE("[MaxLength(",Table57458[[#This Row],[Max Length]],")]"),"")</f>
        <v>[MaxLength(100)]</v>
      </c>
      <c r="S22" s="102" t="str">
        <f>CONCATENATE("""",Table57458[[#This Row],[SQL Name]],""" = """,Table57458[[#This Row],[Field]],",")</f>
        <v>"Description_Of_Example/Experiment_TXT" = "Description of example/experiment,</v>
      </c>
      <c r="T22"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[MaxLength(100)]public string? Description_Of_Example/Experiment_TXT {get;set;}</v>
      </c>
    </row>
    <row r="23" spans="1:20" s="101" customFormat="1" ht="61.05" customHeight="1" x14ac:dyDescent="0.3">
      <c r="A23" s="97" t="s">
        <v>603</v>
      </c>
      <c r="B23" s="97" t="s">
        <v>636</v>
      </c>
      <c r="C23" s="104" t="s">
        <v>632</v>
      </c>
      <c r="D23" s="97"/>
      <c r="E23" s="101" t="str">
        <f>SUBSTITUTE(SUBSTITUTE(PROPER(TRIM(CLEAN(Table57458[[#This Row],[Field]])))," ","_"),"-","")</f>
        <v>Sector</v>
      </c>
      <c r="F23" s="101" t="s">
        <v>78</v>
      </c>
      <c r="G23" s="101" t="str">
        <f>VLOOKUP(Table57458[[#This Row],[Extension]],DescRef1[],2,FALSE)</f>
        <v>TXT</v>
      </c>
      <c r="H23" s="101">
        <v>400</v>
      </c>
      <c r="I23" s="101" t="s">
        <v>601</v>
      </c>
      <c r="J23" s="101" t="str">
        <f>IF(Table57458[[#This Row],[Code]]="-", Table57458[[#This Row],[Formatted]], CONCATENATE(Table57458[[#This Row],[Formatted]],"_",Table57458[[#This Row],[Code]]))</f>
        <v>Sector_TXT</v>
      </c>
      <c r="K23" s="101" t="s">
        <v>78</v>
      </c>
      <c r="L23" s="102"/>
      <c r="M23" s="101" t="s">
        <v>657</v>
      </c>
      <c r="O23" s="102" t="str">
        <f>CONCATENATE(VLOOKUP(Table57458[[#This Row],[Field Type]],FieldTypesRef1[],2,FALSE),IF(Table57458[[#This Row],[Mandatory]]="Yes","","?"))</f>
        <v>string?</v>
      </c>
      <c r="P23" s="103" t="str">
        <f>VLOOKUP(Table57458[[#This Row],[Field Type]],FieldTypesRef1[],3,FALSE)</f>
        <v/>
      </c>
      <c r="Q23" s="102" t="str">
        <f>IF(Table57458[[#This Row],[Mandatory]]="Yes","[Required]","")</f>
        <v/>
      </c>
      <c r="R23" s="102" t="str">
        <f>IF(Table57458[[#This Row],[Max Length]]&gt;0,CONCATENATE("[MaxLength(",Table57458[[#This Row],[Max Length]],")]"),"")</f>
        <v>[MaxLength(400)]</v>
      </c>
      <c r="S23" s="102" t="str">
        <f>CONCATENATE("""",Table57458[[#This Row],[SQL Name]],""" = """,Table57458[[#This Row],[Field]],",")</f>
        <v>"Sector_TXT" = "Sector,</v>
      </c>
      <c r="T23"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Sector_TXT {get;set;}</v>
      </c>
    </row>
    <row r="24" spans="1:20" s="101" customFormat="1" ht="58.05" customHeight="1" x14ac:dyDescent="0.3">
      <c r="A24" s="97" t="s">
        <v>603</v>
      </c>
      <c r="B24" s="97" t="s">
        <v>636</v>
      </c>
      <c r="C24" s="104" t="s">
        <v>633</v>
      </c>
      <c r="D24" s="97"/>
      <c r="E24" s="101" t="str">
        <f>SUBSTITUTE(SUBSTITUTE(PROPER(TRIM(CLEAN(Table57458[[#This Row],[Field]])))," ","_"),"-","")</f>
        <v>Date_Approved</v>
      </c>
      <c r="F24" s="101" t="s">
        <v>15</v>
      </c>
      <c r="G24" s="101" t="str">
        <f>VLOOKUP(Table57458[[#This Row],[Extension]],DescRef1[],2,FALSE)</f>
        <v>DT</v>
      </c>
      <c r="I24" s="101" t="s">
        <v>601</v>
      </c>
      <c r="J24" s="101" t="str">
        <f>IF(Table57458[[#This Row],[Code]]="-", Table57458[[#This Row],[Formatted]], CONCATENATE(Table57458[[#This Row],[Formatted]],"_",Table57458[[#This Row],[Code]]))</f>
        <v>Date_Approved_DT</v>
      </c>
      <c r="K24" s="101" t="s">
        <v>15</v>
      </c>
      <c r="L24" s="102"/>
      <c r="M24" s="101" t="s">
        <v>657</v>
      </c>
      <c r="O24" s="102" t="str">
        <f>CONCATENATE(VLOOKUP(Table57458[[#This Row],[Field Type]],FieldTypesRef1[],2,FALSE),IF(Table57458[[#This Row],[Mandatory]]="Yes","","?"))</f>
        <v>DateTime?</v>
      </c>
      <c r="P24" s="103" t="str">
        <f>VLOOKUP(Table57458[[#This Row],[Field Type]],FieldTypesRef1[],3,FALSE)</f>
        <v/>
      </c>
      <c r="Q24" s="102" t="str">
        <f>IF(Table57458[[#This Row],[Mandatory]]="Yes","[Required]","")</f>
        <v/>
      </c>
      <c r="R24" s="102" t="str">
        <f>IF(Table57458[[#This Row],[Max Length]]&gt;0,CONCATENATE("[MaxLength(",Table57458[[#This Row],[Max Length]],")]"),"")</f>
        <v/>
      </c>
      <c r="S24" s="102" t="str">
        <f>CONCATENATE("""",Table57458[[#This Row],[SQL Name]],""" = """,Table57458[[#This Row],[Field]],",")</f>
        <v>"Date_Approved_DT" = "Date Approved,</v>
      </c>
      <c r="T24"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public DateTime? Date_Approved_DT {get;set;}</v>
      </c>
    </row>
    <row r="25" spans="1:20" s="101" customFormat="1" ht="144" x14ac:dyDescent="0.3">
      <c r="A25" s="97" t="s">
        <v>603</v>
      </c>
      <c r="B25" s="97" t="s">
        <v>636</v>
      </c>
      <c r="C25" s="98" t="s">
        <v>642</v>
      </c>
      <c r="D25" s="99"/>
      <c r="E25" s="101" t="str">
        <f>SUBSTITUTE(SUBSTITUTE(PROPER(TRIM(CLEAN(Table57458[[#This Row],[Field]])))," ","_"),"-","")</f>
        <v>No;_It_Doesn'T_Apply_(Please_Explain)</v>
      </c>
      <c r="F25" s="101" t="s">
        <v>78</v>
      </c>
      <c r="G25" s="101" t="str">
        <f>VLOOKUP(Table57458[[#This Row],[Extension]],DescRef1[],2,FALSE)</f>
        <v>TXT</v>
      </c>
      <c r="H25" s="101">
        <v>400</v>
      </c>
      <c r="I25" s="101" t="s">
        <v>601</v>
      </c>
      <c r="J25" s="101" t="str">
        <f>IF(Table57458[[#This Row],[Code]]="-", Table57458[[#This Row],[Formatted]], CONCATENATE(Table57458[[#This Row],[Formatted]],"_",Table57458[[#This Row],[Code]]))</f>
        <v>No;_It_Doesn'T_Apply_(Please_Explain)_TXT</v>
      </c>
      <c r="K25" s="101" t="s">
        <v>78</v>
      </c>
      <c r="L25" s="102"/>
      <c r="M25" s="101" t="s">
        <v>657</v>
      </c>
      <c r="O25" s="102" t="str">
        <f>CONCATENATE(VLOOKUP(Table57458[[#This Row],[Field Type]],FieldTypesRef1[],2,FALSE),IF(Table57458[[#This Row],[Mandatory]]="Yes","","?"))</f>
        <v>string?</v>
      </c>
      <c r="P25" s="103" t="str">
        <f>VLOOKUP(Table57458[[#This Row],[Field Type]],FieldTypesRef1[],3,FALSE)</f>
        <v/>
      </c>
      <c r="Q25" s="102" t="str">
        <f>IF(Table57458[[#This Row],[Mandatory]]="Yes","[Required]","")</f>
        <v/>
      </c>
      <c r="R25" s="102" t="str">
        <f>IF(Table57458[[#This Row],[Max Length]]&gt;0,CONCATENATE("[MaxLength(",Table57458[[#This Row],[Max Length]],")]"),"")</f>
        <v>[MaxLength(400)]</v>
      </c>
      <c r="S25" s="102" t="str">
        <f>CONCATENATE("""",Table57458[[#This Row],[SQL Name]],""" = """,Table57458[[#This Row],[Field]],",")</f>
        <v>"No;_It_Doesn'T_Apply_(Please_Explain)_TXT" = "No; it doesn't apply (please explain),</v>
      </c>
      <c r="T25"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5 **/ [MaxLength(400)]public string? No;_It_Doesn'T_Apply_(Please_Explain)_TXT {get;set;}</v>
      </c>
    </row>
    <row r="26" spans="1:20" s="101" customFormat="1" ht="57.6" x14ac:dyDescent="0.3">
      <c r="A26" s="97" t="s">
        <v>658</v>
      </c>
      <c r="B26" s="97" t="s">
        <v>643</v>
      </c>
      <c r="C26" s="104" t="s">
        <v>647</v>
      </c>
      <c r="D26" s="97"/>
      <c r="E26" s="101" t="str">
        <f>SUBSTITUTE(SUBSTITUTE(PROPER(TRIM(CLEAN(Table57458[[#This Row],[Field]])))," ","_"),"-","")</f>
        <v>Does_It_Apply_(Yes/No)_Via_The_Initiative_Was_ScaledUp/Expanded_Because_It_Was_Working?</v>
      </c>
      <c r="F26" s="101" t="s">
        <v>78</v>
      </c>
      <c r="G26" s="101" t="str">
        <f>VLOOKUP(Table57458[[#This Row],[Extension]],DescRef1[],2,FALSE)</f>
        <v>TXT</v>
      </c>
      <c r="H26" s="101">
        <v>400</v>
      </c>
      <c r="I26" s="101" t="s">
        <v>601</v>
      </c>
      <c r="J26" s="101" t="str">
        <f>IF(Table57458[[#This Row],[Code]]="-", Table57458[[#This Row],[Formatted]], CONCATENATE(Table57458[[#This Row],[Formatted]],"_",Table57458[[#This Row],[Code]]))</f>
        <v>Does_It_Apply_(Yes/No)_Via_The_Initiative_Was_ScaledUp/Expanded_Because_It_Was_Working?_TXT</v>
      </c>
      <c r="K26" s="101" t="s">
        <v>78</v>
      </c>
      <c r="L26" s="102"/>
      <c r="M26" s="101" t="s">
        <v>657</v>
      </c>
      <c r="O26" s="102" t="str">
        <f>CONCATENATE(VLOOKUP(Table57458[[#This Row],[Field Type]],FieldTypesRef1[],2,FALSE),IF(Table57458[[#This Row],[Mandatory]]="Yes","","?"))</f>
        <v>string?</v>
      </c>
      <c r="P26" s="103" t="str">
        <f>VLOOKUP(Table57458[[#This Row],[Field Type]],FieldTypesRef1[],3,FALSE)</f>
        <v/>
      </c>
      <c r="Q26" s="102" t="str">
        <f>IF(Table57458[[#This Row],[Mandatory]]="Yes","[Required]","")</f>
        <v/>
      </c>
      <c r="R26" s="102" t="str">
        <f>IF(Table57458[[#This Row],[Max Length]]&gt;0,CONCATENATE("[MaxLength(",Table57458[[#This Row],[Max Length]],")]"),"")</f>
        <v>[MaxLength(400)]</v>
      </c>
      <c r="S26" s="102" t="str">
        <f>CONCATENATE("""",Table57458[[#This Row],[SQL Name]],""" = """,Table57458[[#This Row],[Field]],",")</f>
        <v>"Does_It_Apply_(Yes/No)_Via_The_Initiative_Was_ScaledUp/Expanded_Because_It_Was_Working?_TXT" = "Does it apply (Yes/No) via the initiative was scaled-up/expanded because it was working?,</v>
      </c>
      <c r="T26"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Does_It_Apply_(Yes/No)_Via_The_Initiative_Was_ScaledUp/Expanded_Because_It_Was_Working?_TXT {get;set;}</v>
      </c>
    </row>
    <row r="27" spans="1:20" s="101" customFormat="1" ht="57.6" x14ac:dyDescent="0.3">
      <c r="A27" s="97" t="s">
        <v>658</v>
      </c>
      <c r="B27" s="97" t="s">
        <v>643</v>
      </c>
      <c r="C27" s="104" t="s">
        <v>631</v>
      </c>
      <c r="D27" s="104" t="s">
        <v>638</v>
      </c>
      <c r="E27" s="101" t="str">
        <f>SUBSTITUTE(SUBSTITUTE(PROPER(TRIM(CLEAN(Table57458[[#This Row],[Field]])))," ","_"),"-","")</f>
        <v>Description_Of_Example/Experiment</v>
      </c>
      <c r="F27" s="101" t="s">
        <v>78</v>
      </c>
      <c r="G27" s="101" t="str">
        <f>VLOOKUP(Table57458[[#This Row],[Extension]],DescRef1[],2,FALSE)</f>
        <v>TXT</v>
      </c>
      <c r="H27" s="101">
        <v>100</v>
      </c>
      <c r="I27" s="101" t="s">
        <v>601</v>
      </c>
      <c r="J27" s="101" t="str">
        <f>IF(Table57458[[#This Row],[Code]]="-", Table57458[[#This Row],[Formatted]], CONCATENATE(Table57458[[#This Row],[Formatted]],"_",Table57458[[#This Row],[Code]]))</f>
        <v>Description_Of_Example/Experiment_TXT</v>
      </c>
      <c r="K27" s="101" t="s">
        <v>78</v>
      </c>
      <c r="L27" s="102"/>
      <c r="M27" s="101" t="s">
        <v>657</v>
      </c>
      <c r="O27" s="102" t="str">
        <f>CONCATENATE(VLOOKUP(Table57458[[#This Row],[Field Type]],FieldTypesRef1[],2,FALSE),IF(Table57458[[#This Row],[Mandatory]]="Yes","","?"))</f>
        <v>string?</v>
      </c>
      <c r="P27" s="103" t="str">
        <f>VLOOKUP(Table57458[[#This Row],[Field Type]],FieldTypesRef1[],3,FALSE)</f>
        <v/>
      </c>
      <c r="Q27" s="102" t="str">
        <f>IF(Table57458[[#This Row],[Mandatory]]="Yes","[Required]","")</f>
        <v/>
      </c>
      <c r="R27" s="102" t="str">
        <f>IF(Table57458[[#This Row],[Max Length]]&gt;0,CONCATENATE("[MaxLength(",Table57458[[#This Row],[Max Length]],")]"),"")</f>
        <v>[MaxLength(100)]</v>
      </c>
      <c r="S27" s="102" t="str">
        <f>CONCATENATE("""",Table57458[[#This Row],[SQL Name]],""" = """,Table57458[[#This Row],[Field]],",")</f>
        <v>"Description_Of_Example/Experiment_TXT" = "Description of example/experiment,</v>
      </c>
      <c r="T27"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[MaxLength(100)]public string? Description_Of_Example/Experiment_TXT {get;set;}</v>
      </c>
    </row>
    <row r="28" spans="1:20" s="101" customFormat="1" ht="57.6" x14ac:dyDescent="0.3">
      <c r="A28" s="97" t="s">
        <v>658</v>
      </c>
      <c r="B28" s="97" t="s">
        <v>643</v>
      </c>
      <c r="C28" s="104" t="s">
        <v>632</v>
      </c>
      <c r="D28" s="97"/>
      <c r="E28" s="101" t="str">
        <f>SUBSTITUTE(SUBSTITUTE(PROPER(TRIM(CLEAN(Table57458[[#This Row],[Field]])))," ","_"),"-","")</f>
        <v>Sector</v>
      </c>
      <c r="F28" s="101" t="s">
        <v>78</v>
      </c>
      <c r="G28" s="101" t="str">
        <f>VLOOKUP(Table57458[[#This Row],[Extension]],DescRef1[],2,FALSE)</f>
        <v>TXT</v>
      </c>
      <c r="H28" s="101">
        <v>400</v>
      </c>
      <c r="I28" s="101" t="s">
        <v>601</v>
      </c>
      <c r="J28" s="101" t="str">
        <f>IF(Table57458[[#This Row],[Code]]="-", Table57458[[#This Row],[Formatted]], CONCATENATE(Table57458[[#This Row],[Formatted]],"_",Table57458[[#This Row],[Code]]))</f>
        <v>Sector_TXT</v>
      </c>
      <c r="K28" s="101" t="s">
        <v>78</v>
      </c>
      <c r="L28" s="102"/>
      <c r="M28" s="101" t="s">
        <v>657</v>
      </c>
      <c r="O28" s="102" t="str">
        <f>CONCATENATE(VLOOKUP(Table57458[[#This Row],[Field Type]],FieldTypesRef1[],2,FALSE),IF(Table57458[[#This Row],[Mandatory]]="Yes","","?"))</f>
        <v>string?</v>
      </c>
      <c r="P28" s="103" t="str">
        <f>VLOOKUP(Table57458[[#This Row],[Field Type]],FieldTypesRef1[],3,FALSE)</f>
        <v/>
      </c>
      <c r="Q28" s="102" t="str">
        <f>IF(Table57458[[#This Row],[Mandatory]]="Yes","[Required]","")</f>
        <v/>
      </c>
      <c r="R28" s="102" t="str">
        <f>IF(Table57458[[#This Row],[Max Length]]&gt;0,CONCATENATE("[MaxLength(",Table57458[[#This Row],[Max Length]],")]"),"")</f>
        <v>[MaxLength(400)]</v>
      </c>
      <c r="S28" s="102" t="str">
        <f>CONCATENATE("""",Table57458[[#This Row],[SQL Name]],""" = """,Table57458[[#This Row],[Field]],",")</f>
        <v>"Sector_TXT" = "Sector,</v>
      </c>
      <c r="T28" s="101"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Sector_TXT {get;set;}</v>
      </c>
    </row>
    <row r="29" spans="1:20" s="101" customFormat="1" ht="57.6" x14ac:dyDescent="0.3">
      <c r="A29" s="97" t="s">
        <v>658</v>
      </c>
      <c r="B29" s="97" t="s">
        <v>643</v>
      </c>
      <c r="C29" s="104" t="s">
        <v>633</v>
      </c>
      <c r="D29" s="97"/>
      <c r="E29" s="100" t="str">
        <f>SUBSTITUTE(SUBSTITUTE(PROPER(TRIM(CLEAN(Table57458[[#This Row],[Field]])))," ","_"),"-","")</f>
        <v>Date_Approved</v>
      </c>
      <c r="F29" s="101" t="s">
        <v>15</v>
      </c>
      <c r="G29" s="100" t="str">
        <f>VLOOKUP(Table57458[[#This Row],[Extension]],DescRef1[],2,FALSE)</f>
        <v>DT</v>
      </c>
      <c r="I29" s="101" t="s">
        <v>601</v>
      </c>
      <c r="J29" s="100" t="str">
        <f>IF(Table57458[[#This Row],[Code]]="-", Table57458[[#This Row],[Formatted]], CONCATENATE(Table57458[[#This Row],[Formatted]],"_",Table57458[[#This Row],[Code]]))</f>
        <v>Date_Approved_DT</v>
      </c>
      <c r="K29" s="101" t="s">
        <v>15</v>
      </c>
      <c r="L29" s="102"/>
      <c r="M29" s="101" t="s">
        <v>657</v>
      </c>
      <c r="O29" s="103" t="str">
        <f>CONCATENATE(VLOOKUP(Table57458[[#This Row],[Field Type]],FieldTypesRef1[],2,FALSE),IF(Table57458[[#This Row],[Mandatory]]="Yes","","?"))</f>
        <v>DateTime?</v>
      </c>
      <c r="P29" s="103" t="str">
        <f>VLOOKUP(Table57458[[#This Row],[Field Type]],FieldTypesRef1[],3,FALSE)</f>
        <v/>
      </c>
      <c r="Q29" s="103" t="str">
        <f>IF(Table57458[[#This Row],[Mandatory]]="Yes","[Required]","")</f>
        <v/>
      </c>
      <c r="R29" s="103" t="str">
        <f>IF(Table57458[[#This Row],[Max Length]]&gt;0,CONCATENATE("[MaxLength(",Table57458[[#This Row],[Max Length]],")]"),"")</f>
        <v/>
      </c>
      <c r="S29" s="103" t="str">
        <f>CONCATENATE("""",Table57458[[#This Row],[SQL Name]],""" = """,Table57458[[#This Row],[Field]],",")</f>
        <v>"Date_Approved_DT" = "Date Approved,</v>
      </c>
      <c r="T29"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public DateTime? Date_Approved_DT {get;set;}</v>
      </c>
    </row>
    <row r="30" spans="1:20" s="101" customFormat="1" ht="57.6" x14ac:dyDescent="0.3">
      <c r="A30" s="97" t="s">
        <v>658</v>
      </c>
      <c r="B30" s="97" t="s">
        <v>643</v>
      </c>
      <c r="C30" s="104" t="s">
        <v>648</v>
      </c>
      <c r="D30" s="97"/>
      <c r="E30" s="100" t="str">
        <f>SUBSTITUTE(SUBSTITUTE(PROPER(TRIM(CLEAN(Table57458[[#This Row],[Field]])))," ","_"),"-","")</f>
        <v>Does_It_Apply_(Yes/No)_Via_The_Initiative_Was_Shut_Down/_Scaled_Back_Because_It_Wasn'T_Working?</v>
      </c>
      <c r="F30" s="101" t="s">
        <v>78</v>
      </c>
      <c r="G30" s="100" t="str">
        <f>VLOOKUP(Table57458[[#This Row],[Extension]],DescRef1[],2,FALSE)</f>
        <v>TXT</v>
      </c>
      <c r="H30" s="101">
        <v>400</v>
      </c>
      <c r="I30" s="101" t="s">
        <v>601</v>
      </c>
      <c r="J30" s="100" t="str">
        <f>IF(Table57458[[#This Row],[Code]]="-", Table57458[[#This Row],[Formatted]], CONCATENATE(Table57458[[#This Row],[Formatted]],"_",Table57458[[#This Row],[Code]]))</f>
        <v>Does_It_Apply_(Yes/No)_Via_The_Initiative_Was_Shut_Down/_Scaled_Back_Because_It_Wasn'T_Working?_TXT</v>
      </c>
      <c r="K30" s="101" t="s">
        <v>78</v>
      </c>
      <c r="L30" s="102"/>
      <c r="M30" s="101" t="s">
        <v>657</v>
      </c>
      <c r="O30" s="103" t="str">
        <f>CONCATENATE(VLOOKUP(Table57458[[#This Row],[Field Type]],FieldTypesRef1[],2,FALSE),IF(Table57458[[#This Row],[Mandatory]]="Yes","","?"))</f>
        <v>string?</v>
      </c>
      <c r="P30" s="103" t="str">
        <f>VLOOKUP(Table57458[[#This Row],[Field Type]],FieldTypesRef1[],3,FALSE)</f>
        <v/>
      </c>
      <c r="Q30" s="103" t="str">
        <f>IF(Table57458[[#This Row],[Mandatory]]="Yes","[Required]","")</f>
        <v/>
      </c>
      <c r="R30" s="103" t="str">
        <f>IF(Table57458[[#This Row],[Max Length]]&gt;0,CONCATENATE("[MaxLength(",Table57458[[#This Row],[Max Length]],")]"),"")</f>
        <v>[MaxLength(400)]</v>
      </c>
      <c r="S30" s="103" t="str">
        <f>CONCATENATE("""",Table57458[[#This Row],[SQL Name]],""" = """,Table57458[[#This Row],[Field]],",")</f>
        <v>"Does_It_Apply_(Yes/No)_Via_The_Initiative_Was_Shut_Down/_Scaled_Back_Because_It_Wasn'T_Working?_TXT" = "Does it apply (Yes/No) via the initiative was shut down/ scaled back because it wasn't working?,</v>
      </c>
      <c r="T30"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Does_It_Apply_(Yes/No)_Via_The_Initiative_Was_Shut_Down/_Scaled_Back_Because_It_Wasn'T_Working?_TXT {get;set;}</v>
      </c>
    </row>
    <row r="31" spans="1:20" s="101" customFormat="1" ht="57.6" x14ac:dyDescent="0.3">
      <c r="A31" s="97" t="s">
        <v>658</v>
      </c>
      <c r="B31" s="97" t="s">
        <v>643</v>
      </c>
      <c r="C31" s="104" t="s">
        <v>631</v>
      </c>
      <c r="D31" s="104" t="s">
        <v>638</v>
      </c>
      <c r="E31" s="100" t="str">
        <f>SUBSTITUTE(SUBSTITUTE(PROPER(TRIM(CLEAN(Table57458[[#This Row],[Field]])))," ","_"),"-","")</f>
        <v>Description_Of_Example/Experiment</v>
      </c>
      <c r="F31" s="101" t="s">
        <v>78</v>
      </c>
      <c r="G31" s="100" t="str">
        <f>VLOOKUP(Table57458[[#This Row],[Extension]],DescRef1[],2,FALSE)</f>
        <v>TXT</v>
      </c>
      <c r="H31" s="101">
        <v>100</v>
      </c>
      <c r="I31" s="101" t="s">
        <v>601</v>
      </c>
      <c r="J31" s="100" t="str">
        <f>IF(Table57458[[#This Row],[Code]]="-", Table57458[[#This Row],[Formatted]], CONCATENATE(Table57458[[#This Row],[Formatted]],"_",Table57458[[#This Row],[Code]]))</f>
        <v>Description_Of_Example/Experiment_TXT</v>
      </c>
      <c r="K31" s="101" t="s">
        <v>78</v>
      </c>
      <c r="L31" s="102"/>
      <c r="M31" s="101" t="s">
        <v>657</v>
      </c>
      <c r="O31" s="103" t="str">
        <f>CONCATENATE(VLOOKUP(Table57458[[#This Row],[Field Type]],FieldTypesRef1[],2,FALSE),IF(Table57458[[#This Row],[Mandatory]]="Yes","","?"))</f>
        <v>string?</v>
      </c>
      <c r="P31" s="103" t="str">
        <f>VLOOKUP(Table57458[[#This Row],[Field Type]],FieldTypesRef1[],3,FALSE)</f>
        <v/>
      </c>
      <c r="Q31" s="103" t="str">
        <f>IF(Table57458[[#This Row],[Mandatory]]="Yes","[Required]","")</f>
        <v/>
      </c>
      <c r="R31" s="103" t="str">
        <f>IF(Table57458[[#This Row],[Max Length]]&gt;0,CONCATENATE("[MaxLength(",Table57458[[#This Row],[Max Length]],")]"),"")</f>
        <v>[MaxLength(100)]</v>
      </c>
      <c r="S31" s="103" t="str">
        <f>CONCATENATE("""",Table57458[[#This Row],[SQL Name]],""" = """,Table57458[[#This Row],[Field]],",")</f>
        <v>"Description_Of_Example/Experiment_TXT" = "Description of example/experiment,</v>
      </c>
      <c r="T31"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[MaxLength(100)]public string? Description_Of_Example/Experiment_TXT {get;set;}</v>
      </c>
    </row>
    <row r="32" spans="1:20" s="101" customFormat="1" ht="57.6" x14ac:dyDescent="0.3">
      <c r="A32" s="97" t="s">
        <v>658</v>
      </c>
      <c r="B32" s="97" t="s">
        <v>643</v>
      </c>
      <c r="C32" s="104" t="s">
        <v>632</v>
      </c>
      <c r="D32" s="97"/>
      <c r="E32" s="100" t="str">
        <f>SUBSTITUTE(SUBSTITUTE(PROPER(TRIM(CLEAN(Table57458[[#This Row],[Field]])))," ","_"),"-","")</f>
        <v>Sector</v>
      </c>
      <c r="F32" s="101" t="s">
        <v>78</v>
      </c>
      <c r="G32" s="100" t="str">
        <f>VLOOKUP(Table57458[[#This Row],[Extension]],DescRef1[],2,FALSE)</f>
        <v>TXT</v>
      </c>
      <c r="H32" s="101">
        <v>400</v>
      </c>
      <c r="I32" s="101" t="s">
        <v>601</v>
      </c>
      <c r="J32" s="100" t="str">
        <f>IF(Table57458[[#This Row],[Code]]="-", Table57458[[#This Row],[Formatted]], CONCATENATE(Table57458[[#This Row],[Formatted]],"_",Table57458[[#This Row],[Code]]))</f>
        <v>Sector_TXT</v>
      </c>
      <c r="K32" s="101" t="s">
        <v>78</v>
      </c>
      <c r="L32" s="102"/>
      <c r="M32" s="101" t="s">
        <v>657</v>
      </c>
      <c r="O32" s="103" t="str">
        <f>CONCATENATE(VLOOKUP(Table57458[[#This Row],[Field Type]],FieldTypesRef1[],2,FALSE),IF(Table57458[[#This Row],[Mandatory]]="Yes","","?"))</f>
        <v>string?</v>
      </c>
      <c r="P32" s="103" t="str">
        <f>VLOOKUP(Table57458[[#This Row],[Field Type]],FieldTypesRef1[],3,FALSE)</f>
        <v/>
      </c>
      <c r="Q32" s="103" t="str">
        <f>IF(Table57458[[#This Row],[Mandatory]]="Yes","[Required]","")</f>
        <v/>
      </c>
      <c r="R32" s="103" t="str">
        <f>IF(Table57458[[#This Row],[Max Length]]&gt;0,CONCATENATE("[MaxLength(",Table57458[[#This Row],[Max Length]],")]"),"")</f>
        <v>[MaxLength(400)]</v>
      </c>
      <c r="S32" s="103" t="str">
        <f>CONCATENATE("""",Table57458[[#This Row],[SQL Name]],""" = """,Table57458[[#This Row],[Field]],",")</f>
        <v>"Sector_TXT" = "Sector,</v>
      </c>
      <c r="T32"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Sector_TXT {get;set;}</v>
      </c>
    </row>
    <row r="33" spans="1:20" s="101" customFormat="1" ht="57.6" x14ac:dyDescent="0.3">
      <c r="A33" s="97" t="s">
        <v>658</v>
      </c>
      <c r="B33" s="97" t="s">
        <v>643</v>
      </c>
      <c r="C33" s="104" t="s">
        <v>633</v>
      </c>
      <c r="D33" s="97"/>
      <c r="E33" s="100" t="str">
        <f>SUBSTITUTE(SUBSTITUTE(PROPER(TRIM(CLEAN(Table57458[[#This Row],[Field]])))," ","_"),"-","")</f>
        <v>Date_Approved</v>
      </c>
      <c r="F33" s="101" t="s">
        <v>15</v>
      </c>
      <c r="G33" s="100" t="str">
        <f>VLOOKUP(Table57458[[#This Row],[Extension]],DescRef1[],2,FALSE)</f>
        <v>DT</v>
      </c>
      <c r="I33" s="101" t="s">
        <v>601</v>
      </c>
      <c r="J33" s="100" t="str">
        <f>IF(Table57458[[#This Row],[Code]]="-", Table57458[[#This Row],[Formatted]], CONCATENATE(Table57458[[#This Row],[Formatted]],"_",Table57458[[#This Row],[Code]]))</f>
        <v>Date_Approved_DT</v>
      </c>
      <c r="K33" s="101" t="s">
        <v>15</v>
      </c>
      <c r="L33" s="102"/>
      <c r="M33" s="101" t="s">
        <v>657</v>
      </c>
      <c r="O33" s="103" t="str">
        <f>CONCATENATE(VLOOKUP(Table57458[[#This Row],[Field Type]],FieldTypesRef1[],2,FALSE),IF(Table57458[[#This Row],[Mandatory]]="Yes","","?"))</f>
        <v>DateTime?</v>
      </c>
      <c r="P33" s="103" t="str">
        <f>VLOOKUP(Table57458[[#This Row],[Field Type]],FieldTypesRef1[],3,FALSE)</f>
        <v/>
      </c>
      <c r="Q33" s="103" t="str">
        <f>IF(Table57458[[#This Row],[Mandatory]]="Yes","[Required]","")</f>
        <v/>
      </c>
      <c r="R33" s="103" t="str">
        <f>IF(Table57458[[#This Row],[Max Length]]&gt;0,CONCATENATE("[MaxLength(",Table57458[[#This Row],[Max Length]],")]"),"")</f>
        <v/>
      </c>
      <c r="S33" s="103" t="str">
        <f>CONCATENATE("""",Table57458[[#This Row],[SQL Name]],""" = """,Table57458[[#This Row],[Field]],",")</f>
        <v>"Date_Approved_DT" = "Date Approved,</v>
      </c>
      <c r="T33"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public DateTime? Date_Approved_DT {get;set;}</v>
      </c>
    </row>
    <row r="34" spans="1:20" s="101" customFormat="1" ht="57.6" x14ac:dyDescent="0.3">
      <c r="A34" s="97" t="s">
        <v>658</v>
      </c>
      <c r="B34" s="97" t="s">
        <v>643</v>
      </c>
      <c r="C34" s="104" t="s">
        <v>646</v>
      </c>
      <c r="D34" s="97"/>
      <c r="E34" s="100" t="str">
        <f>SUBSTITUTE(SUBSTITUTE(PROPER(TRIM(CLEAN(Table57458[[#This Row],[Field]])))," ","_"),"-","")</f>
        <v>Does_It_Apply_(Yes/No)_Via_The_Results_Allowed_For_CourseCorrection_(I.E._Changes_To_The_Existing_Initiative)?</v>
      </c>
      <c r="F34" s="101" t="s">
        <v>78</v>
      </c>
      <c r="G34" s="100" t="str">
        <f>VLOOKUP(Table57458[[#This Row],[Extension]],DescRef1[],2,FALSE)</f>
        <v>TXT</v>
      </c>
      <c r="H34" s="101">
        <v>400</v>
      </c>
      <c r="I34" s="101" t="s">
        <v>601</v>
      </c>
      <c r="J34" s="100" t="str">
        <f>IF(Table57458[[#This Row],[Code]]="-", Table57458[[#This Row],[Formatted]], CONCATENATE(Table57458[[#This Row],[Formatted]],"_",Table57458[[#This Row],[Code]]))</f>
        <v>Does_It_Apply_(Yes/No)_Via_The_Results_Allowed_For_CourseCorrection_(I.E._Changes_To_The_Existing_Initiative)?_TXT</v>
      </c>
      <c r="K34" s="101" t="s">
        <v>78</v>
      </c>
      <c r="L34" s="102"/>
      <c r="M34" s="101" t="s">
        <v>657</v>
      </c>
      <c r="O34" s="103" t="str">
        <f>CONCATENATE(VLOOKUP(Table57458[[#This Row],[Field Type]],FieldTypesRef1[],2,FALSE),IF(Table57458[[#This Row],[Mandatory]]="Yes","","?"))</f>
        <v>string?</v>
      </c>
      <c r="P34" s="103" t="str">
        <f>VLOOKUP(Table57458[[#This Row],[Field Type]],FieldTypesRef1[],3,FALSE)</f>
        <v/>
      </c>
      <c r="Q34" s="103" t="str">
        <f>IF(Table57458[[#This Row],[Mandatory]]="Yes","[Required]","")</f>
        <v/>
      </c>
      <c r="R34" s="103" t="str">
        <f>IF(Table57458[[#This Row],[Max Length]]&gt;0,CONCATENATE("[MaxLength(",Table57458[[#This Row],[Max Length]],")]"),"")</f>
        <v>[MaxLength(400)]</v>
      </c>
      <c r="S34" s="103" t="str">
        <f>CONCATENATE("""",Table57458[[#This Row],[SQL Name]],""" = """,Table57458[[#This Row],[Field]],",")</f>
        <v>"Does_It_Apply_(Yes/No)_Via_The_Results_Allowed_For_CourseCorrection_(I.E._Changes_To_The_Existing_Initiative)?_TXT" = "Does it apply (Yes/No) via the results allowed for course-correction (i.e. changes to the existing initiative)?,</v>
      </c>
      <c r="T34"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Does_It_Apply_(Yes/No)_Via_The_Results_Allowed_For_CourseCorrection_(I.E._Changes_To_The_Existing_Initiative)?_TXT {get;set;}</v>
      </c>
    </row>
    <row r="35" spans="1:20" s="101" customFormat="1" ht="57.6" x14ac:dyDescent="0.3">
      <c r="A35" s="97" t="s">
        <v>658</v>
      </c>
      <c r="B35" s="97" t="s">
        <v>643</v>
      </c>
      <c r="C35" s="104" t="s">
        <v>631</v>
      </c>
      <c r="D35" s="104" t="s">
        <v>638</v>
      </c>
      <c r="E35" s="100" t="str">
        <f>SUBSTITUTE(SUBSTITUTE(PROPER(TRIM(CLEAN(Table57458[[#This Row],[Field]])))," ","_"),"-","")</f>
        <v>Description_Of_Example/Experiment</v>
      </c>
      <c r="F35" s="101" t="s">
        <v>78</v>
      </c>
      <c r="G35" s="100" t="str">
        <f>VLOOKUP(Table57458[[#This Row],[Extension]],DescRef1[],2,FALSE)</f>
        <v>TXT</v>
      </c>
      <c r="H35" s="101">
        <v>100</v>
      </c>
      <c r="I35" s="101" t="s">
        <v>601</v>
      </c>
      <c r="J35" s="100" t="str">
        <f>IF(Table57458[[#This Row],[Code]]="-", Table57458[[#This Row],[Formatted]], CONCATENATE(Table57458[[#This Row],[Formatted]],"_",Table57458[[#This Row],[Code]]))</f>
        <v>Description_Of_Example/Experiment_TXT</v>
      </c>
      <c r="K35" s="101" t="s">
        <v>78</v>
      </c>
      <c r="L35" s="102"/>
      <c r="M35" s="101" t="s">
        <v>657</v>
      </c>
      <c r="O35" s="103" t="str">
        <f>CONCATENATE(VLOOKUP(Table57458[[#This Row],[Field Type]],FieldTypesRef1[],2,FALSE),IF(Table57458[[#This Row],[Mandatory]]="Yes","","?"))</f>
        <v>string?</v>
      </c>
      <c r="P35" s="103" t="str">
        <f>VLOOKUP(Table57458[[#This Row],[Field Type]],FieldTypesRef1[],3,FALSE)</f>
        <v/>
      </c>
      <c r="Q35" s="103" t="str">
        <f>IF(Table57458[[#This Row],[Mandatory]]="Yes","[Required]","")</f>
        <v/>
      </c>
      <c r="R35" s="103" t="str">
        <f>IF(Table57458[[#This Row],[Max Length]]&gt;0,CONCATENATE("[MaxLength(",Table57458[[#This Row],[Max Length]],")]"),"")</f>
        <v>[MaxLength(100)]</v>
      </c>
      <c r="S35" s="103" t="str">
        <f>CONCATENATE("""",Table57458[[#This Row],[SQL Name]],""" = """,Table57458[[#This Row],[Field]],",")</f>
        <v>"Description_Of_Example/Experiment_TXT" = "Description of example/experiment,</v>
      </c>
      <c r="T35"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[MaxLength(100)]public string? Description_Of_Example/Experiment_TXT {get;set;}</v>
      </c>
    </row>
    <row r="36" spans="1:20" s="101" customFormat="1" ht="57.6" x14ac:dyDescent="0.3">
      <c r="A36" s="97" t="s">
        <v>658</v>
      </c>
      <c r="B36" s="97" t="s">
        <v>643</v>
      </c>
      <c r="C36" s="104" t="s">
        <v>632</v>
      </c>
      <c r="D36" s="97"/>
      <c r="E36" s="100" t="str">
        <f>SUBSTITUTE(SUBSTITUTE(PROPER(TRIM(CLEAN(Table57458[[#This Row],[Field]])))," ","_"),"-","")</f>
        <v>Sector</v>
      </c>
      <c r="F36" s="101" t="s">
        <v>78</v>
      </c>
      <c r="G36" s="100" t="str">
        <f>VLOOKUP(Table57458[[#This Row],[Extension]],DescRef1[],2,FALSE)</f>
        <v>TXT</v>
      </c>
      <c r="H36" s="101">
        <v>400</v>
      </c>
      <c r="I36" s="101" t="s">
        <v>601</v>
      </c>
      <c r="J36" s="100" t="str">
        <f>IF(Table57458[[#This Row],[Code]]="-", Table57458[[#This Row],[Formatted]], CONCATENATE(Table57458[[#This Row],[Formatted]],"_",Table57458[[#This Row],[Code]]))</f>
        <v>Sector_TXT</v>
      </c>
      <c r="K36" s="101" t="s">
        <v>78</v>
      </c>
      <c r="L36" s="102"/>
      <c r="M36" s="101" t="s">
        <v>657</v>
      </c>
      <c r="O36" s="103" t="str">
        <f>CONCATENATE(VLOOKUP(Table57458[[#This Row],[Field Type]],FieldTypesRef1[],2,FALSE),IF(Table57458[[#This Row],[Mandatory]]="Yes","","?"))</f>
        <v>string?</v>
      </c>
      <c r="P36" s="103" t="str">
        <f>VLOOKUP(Table57458[[#This Row],[Field Type]],FieldTypesRef1[],3,FALSE)</f>
        <v/>
      </c>
      <c r="Q36" s="103" t="str">
        <f>IF(Table57458[[#This Row],[Mandatory]]="Yes","[Required]","")</f>
        <v/>
      </c>
      <c r="R36" s="103" t="str">
        <f>IF(Table57458[[#This Row],[Max Length]]&gt;0,CONCATENATE("[MaxLength(",Table57458[[#This Row],[Max Length]],")]"),"")</f>
        <v>[MaxLength(400)]</v>
      </c>
      <c r="S36" s="103" t="str">
        <f>CONCATENATE("""",Table57458[[#This Row],[SQL Name]],""" = """,Table57458[[#This Row],[Field]],",")</f>
        <v>"Sector_TXT" = "Sector,</v>
      </c>
      <c r="T36"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Sector_TXT {get;set;}</v>
      </c>
    </row>
    <row r="37" spans="1:20" s="101" customFormat="1" ht="57.6" x14ac:dyDescent="0.3">
      <c r="A37" s="97" t="s">
        <v>658</v>
      </c>
      <c r="B37" s="97" t="s">
        <v>643</v>
      </c>
      <c r="C37" s="104" t="s">
        <v>633</v>
      </c>
      <c r="D37" s="97"/>
      <c r="E37" s="100" t="str">
        <f>SUBSTITUTE(SUBSTITUTE(PROPER(TRIM(CLEAN(Table57458[[#This Row],[Field]])))," ","_"),"-","")</f>
        <v>Date_Approved</v>
      </c>
      <c r="F37" s="101" t="s">
        <v>15</v>
      </c>
      <c r="G37" s="100" t="str">
        <f>VLOOKUP(Table57458[[#This Row],[Extension]],DescRef1[],2,FALSE)</f>
        <v>DT</v>
      </c>
      <c r="I37" s="101" t="s">
        <v>601</v>
      </c>
      <c r="J37" s="100" t="str">
        <f>IF(Table57458[[#This Row],[Code]]="-", Table57458[[#This Row],[Formatted]], CONCATENATE(Table57458[[#This Row],[Formatted]],"_",Table57458[[#This Row],[Code]]))</f>
        <v>Date_Approved_DT</v>
      </c>
      <c r="K37" s="101" t="s">
        <v>15</v>
      </c>
      <c r="L37" s="102"/>
      <c r="M37" s="101" t="s">
        <v>657</v>
      </c>
      <c r="O37" s="103" t="str">
        <f>CONCATENATE(VLOOKUP(Table57458[[#This Row],[Field Type]],FieldTypesRef1[],2,FALSE),IF(Table57458[[#This Row],[Mandatory]]="Yes","","?"))</f>
        <v>DateTime?</v>
      </c>
      <c r="P37" s="103" t="str">
        <f>VLOOKUP(Table57458[[#This Row],[Field Type]],FieldTypesRef1[],3,FALSE)</f>
        <v/>
      </c>
      <c r="Q37" s="103" t="str">
        <f>IF(Table57458[[#This Row],[Mandatory]]="Yes","[Required]","")</f>
        <v/>
      </c>
      <c r="R37" s="103" t="str">
        <f>IF(Table57458[[#This Row],[Max Length]]&gt;0,CONCATENATE("[MaxLength(",Table57458[[#This Row],[Max Length]],")]"),"")</f>
        <v/>
      </c>
      <c r="S37" s="103" t="str">
        <f>CONCATENATE("""",Table57458[[#This Row],[SQL Name]],""" = """,Table57458[[#This Row],[Field]],",")</f>
        <v>"Date_Approved_DT" = "Date Approved,</v>
      </c>
      <c r="T37"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public DateTime? Date_Approved_DT {get;set;}</v>
      </c>
    </row>
    <row r="38" spans="1:20" s="101" customFormat="1" ht="57.6" x14ac:dyDescent="0.3">
      <c r="A38" s="97" t="s">
        <v>658</v>
      </c>
      <c r="B38" s="97" t="s">
        <v>643</v>
      </c>
      <c r="C38" s="104" t="s">
        <v>645</v>
      </c>
      <c r="D38" s="97"/>
      <c r="E38" s="100" t="str">
        <f>SUBSTITUTE(SUBSTITUTE(PROPER(TRIM(CLEAN(Table57458[[#This Row],[Field]])))," ","_"),"-","")</f>
        <v>Does_It_Apply_(Yes/No)_Via_The_Results_Were_Disseminated_(At_Least_DepartmentWide)_For_DecisionMaking_Or_Used_To_Improve_The_Design_Of_Another_Initiative?</v>
      </c>
      <c r="F38" s="101" t="s">
        <v>78</v>
      </c>
      <c r="G38" s="100" t="str">
        <f>VLOOKUP(Table57458[[#This Row],[Extension]],DescRef1[],2,FALSE)</f>
        <v>TXT</v>
      </c>
      <c r="H38" s="101">
        <v>400</v>
      </c>
      <c r="I38" s="101" t="s">
        <v>601</v>
      </c>
      <c r="J38" s="100" t="str">
        <f>IF(Table57458[[#This Row],[Code]]="-", Table57458[[#This Row],[Formatted]], CONCATENATE(Table57458[[#This Row],[Formatted]],"_",Table57458[[#This Row],[Code]]))</f>
        <v>Does_It_Apply_(Yes/No)_Via_The_Results_Were_Disseminated_(At_Least_DepartmentWide)_For_DecisionMaking_Or_Used_To_Improve_The_Design_Of_Another_Initiative?_TXT</v>
      </c>
      <c r="K38" s="101" t="s">
        <v>78</v>
      </c>
      <c r="L38" s="102"/>
      <c r="M38" s="101" t="s">
        <v>657</v>
      </c>
      <c r="O38" s="103" t="str">
        <f>CONCATENATE(VLOOKUP(Table57458[[#This Row],[Field Type]],FieldTypesRef1[],2,FALSE),IF(Table57458[[#This Row],[Mandatory]]="Yes","","?"))</f>
        <v>string?</v>
      </c>
      <c r="P38" s="103" t="str">
        <f>VLOOKUP(Table57458[[#This Row],[Field Type]],FieldTypesRef1[],3,FALSE)</f>
        <v/>
      </c>
      <c r="Q38" s="103" t="str">
        <f>IF(Table57458[[#This Row],[Mandatory]]="Yes","[Required]","")</f>
        <v/>
      </c>
      <c r="R38" s="103" t="str">
        <f>IF(Table57458[[#This Row],[Max Length]]&gt;0,CONCATENATE("[MaxLength(",Table57458[[#This Row],[Max Length]],")]"),"")</f>
        <v>[MaxLength(400)]</v>
      </c>
      <c r="S38" s="103" t="str">
        <f>CONCATENATE("""",Table57458[[#This Row],[SQL Name]],""" = """,Table57458[[#This Row],[Field]],",")</f>
        <v>"Does_It_Apply_(Yes/No)_Via_The_Results_Were_Disseminated_(At_Least_DepartmentWide)_For_DecisionMaking_Or_Used_To_Improve_The_Design_Of_Another_Initiative?_TXT" = "Does it apply (Yes/No) via the results were disseminated (at least department-wide) for decision-making or used to improve the design of another initiative?,</v>
      </c>
      <c r="T38"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Does_It_Apply_(Yes/No)_Via_The_Results_Were_Disseminated_(At_Least_DepartmentWide)_For_DecisionMaking_Or_Used_To_Improve_The_Design_Of_Another_Initiative?_TXT {get;set;}</v>
      </c>
    </row>
    <row r="39" spans="1:20" s="101" customFormat="1" ht="57.6" x14ac:dyDescent="0.3">
      <c r="A39" s="97" t="s">
        <v>658</v>
      </c>
      <c r="B39" s="97" t="s">
        <v>643</v>
      </c>
      <c r="C39" s="104" t="s">
        <v>631</v>
      </c>
      <c r="D39" s="104" t="s">
        <v>638</v>
      </c>
      <c r="E39" s="100" t="str">
        <f>SUBSTITUTE(SUBSTITUTE(PROPER(TRIM(CLEAN(Table57458[[#This Row],[Field]])))," ","_"),"-","")</f>
        <v>Description_Of_Example/Experiment</v>
      </c>
      <c r="F39" s="101" t="s">
        <v>78</v>
      </c>
      <c r="G39" s="100" t="str">
        <f>VLOOKUP(Table57458[[#This Row],[Extension]],DescRef1[],2,FALSE)</f>
        <v>TXT</v>
      </c>
      <c r="H39" s="101">
        <v>100</v>
      </c>
      <c r="I39" s="101" t="s">
        <v>601</v>
      </c>
      <c r="J39" s="100" t="str">
        <f>IF(Table57458[[#This Row],[Code]]="-", Table57458[[#This Row],[Formatted]], CONCATENATE(Table57458[[#This Row],[Formatted]],"_",Table57458[[#This Row],[Code]]))</f>
        <v>Description_Of_Example/Experiment_TXT</v>
      </c>
      <c r="K39" s="101" t="s">
        <v>78</v>
      </c>
      <c r="L39" s="102"/>
      <c r="M39" s="101" t="s">
        <v>657</v>
      </c>
      <c r="O39" s="103" t="str">
        <f>CONCATENATE(VLOOKUP(Table57458[[#This Row],[Field Type]],FieldTypesRef1[],2,FALSE),IF(Table57458[[#This Row],[Mandatory]]="Yes","","?"))</f>
        <v>string?</v>
      </c>
      <c r="P39" s="103" t="str">
        <f>VLOOKUP(Table57458[[#This Row],[Field Type]],FieldTypesRef1[],3,FALSE)</f>
        <v/>
      </c>
      <c r="Q39" s="103" t="str">
        <f>IF(Table57458[[#This Row],[Mandatory]]="Yes","[Required]","")</f>
        <v/>
      </c>
      <c r="R39" s="103" t="str">
        <f>IF(Table57458[[#This Row],[Max Length]]&gt;0,CONCATENATE("[MaxLength(",Table57458[[#This Row],[Max Length]],")]"),"")</f>
        <v>[MaxLength(100)]</v>
      </c>
      <c r="S39" s="103" t="str">
        <f>CONCATENATE("""",Table57458[[#This Row],[SQL Name]],""" = """,Table57458[[#This Row],[Field]],",")</f>
        <v>"Description_Of_Example/Experiment_TXT" = "Description of example/experiment,</v>
      </c>
      <c r="T39"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[MaxLength(100)]public string? Description_Of_Example/Experiment_TXT {get;set;}</v>
      </c>
    </row>
    <row r="40" spans="1:20" s="101" customFormat="1" ht="57.6" x14ac:dyDescent="0.3">
      <c r="A40" s="97" t="s">
        <v>658</v>
      </c>
      <c r="B40" s="97" t="s">
        <v>643</v>
      </c>
      <c r="C40" s="104" t="s">
        <v>632</v>
      </c>
      <c r="D40" s="97"/>
      <c r="E40" s="100" t="str">
        <f>SUBSTITUTE(SUBSTITUTE(PROPER(TRIM(CLEAN(Table57458[[#This Row],[Field]])))," ","_"),"-","")</f>
        <v>Sector</v>
      </c>
      <c r="F40" s="101" t="s">
        <v>78</v>
      </c>
      <c r="G40" s="100" t="str">
        <f>VLOOKUP(Table57458[[#This Row],[Extension]],DescRef1[],2,FALSE)</f>
        <v>TXT</v>
      </c>
      <c r="H40" s="101">
        <v>400</v>
      </c>
      <c r="I40" s="101" t="s">
        <v>601</v>
      </c>
      <c r="J40" s="100" t="str">
        <f>IF(Table57458[[#This Row],[Code]]="-", Table57458[[#This Row],[Formatted]], CONCATENATE(Table57458[[#This Row],[Formatted]],"_",Table57458[[#This Row],[Code]]))</f>
        <v>Sector_TXT</v>
      </c>
      <c r="K40" s="101" t="s">
        <v>78</v>
      </c>
      <c r="L40" s="102"/>
      <c r="M40" s="101" t="s">
        <v>657</v>
      </c>
      <c r="O40" s="103" t="str">
        <f>CONCATENATE(VLOOKUP(Table57458[[#This Row],[Field Type]],FieldTypesRef1[],2,FALSE),IF(Table57458[[#This Row],[Mandatory]]="Yes","","?"))</f>
        <v>string?</v>
      </c>
      <c r="P40" s="103" t="str">
        <f>VLOOKUP(Table57458[[#This Row],[Field Type]],FieldTypesRef1[],3,FALSE)</f>
        <v/>
      </c>
      <c r="Q40" s="103" t="str">
        <f>IF(Table57458[[#This Row],[Mandatory]]="Yes","[Required]","")</f>
        <v/>
      </c>
      <c r="R40" s="103" t="str">
        <f>IF(Table57458[[#This Row],[Max Length]]&gt;0,CONCATENATE("[MaxLength(",Table57458[[#This Row],[Max Length]],")]"),"")</f>
        <v>[MaxLength(400)]</v>
      </c>
      <c r="S40" s="103" t="str">
        <f>CONCATENATE("""",Table57458[[#This Row],[SQL Name]],""" = """,Table57458[[#This Row],[Field]],",")</f>
        <v>"Sector_TXT" = "Sector,</v>
      </c>
      <c r="T40"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Sector_TXT {get;set;}</v>
      </c>
    </row>
    <row r="41" spans="1:20" s="101" customFormat="1" ht="57.6" x14ac:dyDescent="0.3">
      <c r="A41" s="97" t="s">
        <v>658</v>
      </c>
      <c r="B41" s="97" t="s">
        <v>643</v>
      </c>
      <c r="C41" s="104" t="s">
        <v>633</v>
      </c>
      <c r="D41" s="97"/>
      <c r="E41" s="100" t="str">
        <f>SUBSTITUTE(SUBSTITUTE(PROPER(TRIM(CLEAN(Table57458[[#This Row],[Field]])))," ","_"),"-","")</f>
        <v>Date_Approved</v>
      </c>
      <c r="F41" s="101" t="s">
        <v>15</v>
      </c>
      <c r="G41" s="100" t="str">
        <f>VLOOKUP(Table57458[[#This Row],[Extension]],DescRef1[],2,FALSE)</f>
        <v>DT</v>
      </c>
      <c r="I41" s="101" t="s">
        <v>601</v>
      </c>
      <c r="J41" s="100" t="str">
        <f>IF(Table57458[[#This Row],[Code]]="-", Table57458[[#This Row],[Formatted]], CONCATENATE(Table57458[[#This Row],[Formatted]],"_",Table57458[[#This Row],[Code]]))</f>
        <v>Date_Approved_DT</v>
      </c>
      <c r="K41" s="101" t="s">
        <v>15</v>
      </c>
      <c r="L41" s="102"/>
      <c r="M41" s="101" t="s">
        <v>657</v>
      </c>
      <c r="O41" s="103" t="str">
        <f>CONCATENATE(VLOOKUP(Table57458[[#This Row],[Field Type]],FieldTypesRef1[],2,FALSE),IF(Table57458[[#This Row],[Mandatory]]="Yes","","?"))</f>
        <v>DateTime?</v>
      </c>
      <c r="P41" s="103" t="str">
        <f>VLOOKUP(Table57458[[#This Row],[Field Type]],FieldTypesRef1[],3,FALSE)</f>
        <v/>
      </c>
      <c r="Q41" s="103" t="str">
        <f>IF(Table57458[[#This Row],[Mandatory]]="Yes","[Required]","")</f>
        <v/>
      </c>
      <c r="R41" s="103" t="str">
        <f>IF(Table57458[[#This Row],[Max Length]]&gt;0,CONCATENATE("[MaxLength(",Table57458[[#This Row],[Max Length]],")]"),"")</f>
        <v/>
      </c>
      <c r="S41" s="103" t="str">
        <f>CONCATENATE("""",Table57458[[#This Row],[SQL Name]],""" = """,Table57458[[#This Row],[Field]],",")</f>
        <v>"Date_Approved_DT" = "Date Approved,</v>
      </c>
      <c r="T41"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public DateTime? Date_Approved_DT {get;set;}</v>
      </c>
    </row>
    <row r="42" spans="1:20" s="101" customFormat="1" ht="57.6" x14ac:dyDescent="0.3">
      <c r="A42" s="97" t="s">
        <v>658</v>
      </c>
      <c r="B42" s="97" t="s">
        <v>643</v>
      </c>
      <c r="C42" s="104" t="s">
        <v>649</v>
      </c>
      <c r="D42" s="99"/>
      <c r="E42" s="100" t="str">
        <f>SUBSTITUTE(SUBSTITUTE(PROPER(TRIM(CLEAN(Table57458[[#This Row],[Field]])))," ","_"),"-","")</f>
        <v>Does_It_Apply_(Yes/No)_Via_Other_Reasons_(Please_Specify)?</v>
      </c>
      <c r="F42" s="101" t="s">
        <v>78</v>
      </c>
      <c r="G42" s="100" t="str">
        <f>VLOOKUP(Table57458[[#This Row],[Extension]],DescRef1[],2,FALSE)</f>
        <v>TXT</v>
      </c>
      <c r="H42" s="101">
        <v>400</v>
      </c>
      <c r="I42" s="101" t="s">
        <v>601</v>
      </c>
      <c r="J42" s="100" t="str">
        <f>IF(Table57458[[#This Row],[Code]]="-", Table57458[[#This Row],[Formatted]], CONCATENATE(Table57458[[#This Row],[Formatted]],"_",Table57458[[#This Row],[Code]]))</f>
        <v>Does_It_Apply_(Yes/No)_Via_Other_Reasons_(Please_Specify)?_TXT</v>
      </c>
      <c r="K42" s="101" t="s">
        <v>78</v>
      </c>
      <c r="L42" s="102"/>
      <c r="M42" s="101" t="s">
        <v>657</v>
      </c>
      <c r="O42" s="103" t="str">
        <f>CONCATENATE(VLOOKUP(Table57458[[#This Row],[Field Type]],FieldTypesRef1[],2,FALSE),IF(Table57458[[#This Row],[Mandatory]]="Yes","","?"))</f>
        <v>string?</v>
      </c>
      <c r="P42" s="103" t="str">
        <f>VLOOKUP(Table57458[[#This Row],[Field Type]],FieldTypesRef1[],3,FALSE)</f>
        <v/>
      </c>
      <c r="Q42" s="103" t="str">
        <f>IF(Table57458[[#This Row],[Mandatory]]="Yes","[Required]","")</f>
        <v/>
      </c>
      <c r="R42" s="103" t="str">
        <f>IF(Table57458[[#This Row],[Max Length]]&gt;0,CONCATENATE("[MaxLength(",Table57458[[#This Row],[Max Length]],")]"),"")</f>
        <v>[MaxLength(400)]</v>
      </c>
      <c r="S42" s="103" t="str">
        <f>CONCATENATE("""",Table57458[[#This Row],[SQL Name]],""" = """,Table57458[[#This Row],[Field]],",")</f>
        <v>"Does_It_Apply_(Yes/No)_Via_Other_Reasons_(Please_Specify)?_TXT" = "Does it apply (Yes/No) via other reasons 
(please specify)?,</v>
      </c>
      <c r="T42"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Does_It_Apply_(Yes/No)_Via_Other_Reasons_(Please_Specify)?_TXT {get;set;}</v>
      </c>
    </row>
    <row r="43" spans="1:20" s="101" customFormat="1" ht="57.6" x14ac:dyDescent="0.3">
      <c r="A43" s="97" t="s">
        <v>658</v>
      </c>
      <c r="B43" s="97" t="s">
        <v>643</v>
      </c>
      <c r="C43" s="104" t="s">
        <v>631</v>
      </c>
      <c r="D43" s="104" t="s">
        <v>638</v>
      </c>
      <c r="E43" s="100" t="str">
        <f>SUBSTITUTE(SUBSTITUTE(PROPER(TRIM(CLEAN(Table57458[[#This Row],[Field]])))," ","_"),"-","")</f>
        <v>Description_Of_Example/Experiment</v>
      </c>
      <c r="F43" s="101" t="s">
        <v>78</v>
      </c>
      <c r="G43" s="100" t="str">
        <f>VLOOKUP(Table57458[[#This Row],[Extension]],DescRef1[],2,FALSE)</f>
        <v>TXT</v>
      </c>
      <c r="H43" s="101">
        <v>100</v>
      </c>
      <c r="I43" s="101" t="s">
        <v>601</v>
      </c>
      <c r="J43" s="100" t="str">
        <f>IF(Table57458[[#This Row],[Code]]="-", Table57458[[#This Row],[Formatted]], CONCATENATE(Table57458[[#This Row],[Formatted]],"_",Table57458[[#This Row],[Code]]))</f>
        <v>Description_Of_Example/Experiment_TXT</v>
      </c>
      <c r="K43" s="101" t="s">
        <v>78</v>
      </c>
      <c r="L43" s="102"/>
      <c r="M43" s="101" t="s">
        <v>657</v>
      </c>
      <c r="O43" s="103" t="str">
        <f>CONCATENATE(VLOOKUP(Table57458[[#This Row],[Field Type]],FieldTypesRef1[],2,FALSE),IF(Table57458[[#This Row],[Mandatory]]="Yes","","?"))</f>
        <v>string?</v>
      </c>
      <c r="P43" s="103" t="str">
        <f>VLOOKUP(Table57458[[#This Row],[Field Type]],FieldTypesRef1[],3,FALSE)</f>
        <v/>
      </c>
      <c r="Q43" s="103" t="str">
        <f>IF(Table57458[[#This Row],[Mandatory]]="Yes","[Required]","")</f>
        <v/>
      </c>
      <c r="R43" s="103" t="str">
        <f>IF(Table57458[[#This Row],[Max Length]]&gt;0,CONCATENATE("[MaxLength(",Table57458[[#This Row],[Max Length]],")]"),"")</f>
        <v>[MaxLength(100)]</v>
      </c>
      <c r="S43" s="103" t="str">
        <f>CONCATENATE("""",Table57458[[#This Row],[SQL Name]],""" = """,Table57458[[#This Row],[Field]],",")</f>
        <v>"Description_Of_Example/Experiment_TXT" = "Description of example/experiment,</v>
      </c>
      <c r="T43"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[MaxLength(100)]public string? Description_Of_Example/Experiment_TXT {get;set;}</v>
      </c>
    </row>
    <row r="44" spans="1:20" s="101" customFormat="1" ht="57.6" x14ac:dyDescent="0.3">
      <c r="A44" s="97" t="s">
        <v>658</v>
      </c>
      <c r="B44" s="97" t="s">
        <v>643</v>
      </c>
      <c r="C44" s="104" t="s">
        <v>632</v>
      </c>
      <c r="D44" s="99"/>
      <c r="E44" s="100" t="str">
        <f>SUBSTITUTE(SUBSTITUTE(PROPER(TRIM(CLEAN(Table57458[[#This Row],[Field]])))," ","_"),"-","")</f>
        <v>Sector</v>
      </c>
      <c r="F44" s="101" t="s">
        <v>78</v>
      </c>
      <c r="G44" s="100" t="str">
        <f>VLOOKUP(Table57458[[#This Row],[Extension]],DescRef1[],2,FALSE)</f>
        <v>TXT</v>
      </c>
      <c r="H44" s="101">
        <v>400</v>
      </c>
      <c r="I44" s="101" t="s">
        <v>601</v>
      </c>
      <c r="J44" s="100" t="str">
        <f>IF(Table57458[[#This Row],[Code]]="-", Table57458[[#This Row],[Formatted]], CONCATENATE(Table57458[[#This Row],[Formatted]],"_",Table57458[[#This Row],[Code]]))</f>
        <v>Sector_TXT</v>
      </c>
      <c r="K44" s="101" t="s">
        <v>78</v>
      </c>
      <c r="L44" s="102"/>
      <c r="M44" s="101" t="s">
        <v>657</v>
      </c>
      <c r="O44" s="103" t="str">
        <f>CONCATENATE(VLOOKUP(Table57458[[#This Row],[Field Type]],FieldTypesRef1[],2,FALSE),IF(Table57458[[#This Row],[Mandatory]]="Yes","","?"))</f>
        <v>string?</v>
      </c>
      <c r="P44" s="103" t="str">
        <f>VLOOKUP(Table57458[[#This Row],[Field Type]],FieldTypesRef1[],3,FALSE)</f>
        <v/>
      </c>
      <c r="Q44" s="103" t="str">
        <f>IF(Table57458[[#This Row],[Mandatory]]="Yes","[Required]","")</f>
        <v/>
      </c>
      <c r="R44" s="103" t="str">
        <f>IF(Table57458[[#This Row],[Max Length]]&gt;0,CONCATENATE("[MaxLength(",Table57458[[#This Row],[Max Length]],")]"),"")</f>
        <v>[MaxLength(400)]</v>
      </c>
      <c r="S44" s="103" t="str">
        <f>CONCATENATE("""",Table57458[[#This Row],[SQL Name]],""" = """,Table57458[[#This Row],[Field]],",")</f>
        <v>"Sector_TXT" = "Sector,</v>
      </c>
      <c r="T44"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Sector_TXT {get;set;}</v>
      </c>
    </row>
    <row r="45" spans="1:20" s="101" customFormat="1" ht="57.6" x14ac:dyDescent="0.3">
      <c r="A45" s="97" t="s">
        <v>658</v>
      </c>
      <c r="B45" s="97" t="s">
        <v>643</v>
      </c>
      <c r="C45" s="104" t="s">
        <v>633</v>
      </c>
      <c r="D45" s="99"/>
      <c r="E45" s="100" t="str">
        <f>SUBSTITUTE(SUBSTITUTE(PROPER(TRIM(CLEAN(Table57458[[#This Row],[Field]])))," ","_"),"-","")</f>
        <v>Date_Approved</v>
      </c>
      <c r="F45" s="101" t="s">
        <v>15</v>
      </c>
      <c r="G45" s="100" t="str">
        <f>VLOOKUP(Table57458[[#This Row],[Extension]],DescRef1[],2,FALSE)</f>
        <v>DT</v>
      </c>
      <c r="I45" s="101" t="s">
        <v>601</v>
      </c>
      <c r="J45" s="100" t="str">
        <f>IF(Table57458[[#This Row],[Code]]="-", Table57458[[#This Row],[Formatted]], CONCATENATE(Table57458[[#This Row],[Formatted]],"_",Table57458[[#This Row],[Code]]))</f>
        <v>Date_Approved_DT</v>
      </c>
      <c r="K45" s="101" t="s">
        <v>15</v>
      </c>
      <c r="L45" s="102"/>
      <c r="M45" s="101" t="s">
        <v>657</v>
      </c>
      <c r="O45" s="103" t="str">
        <f>CONCATENATE(VLOOKUP(Table57458[[#This Row],[Field Type]],FieldTypesRef1[],2,FALSE),IF(Table57458[[#This Row],[Mandatory]]="Yes","","?"))</f>
        <v>DateTime?</v>
      </c>
      <c r="P45" s="103" t="str">
        <f>VLOOKUP(Table57458[[#This Row],[Field Type]],FieldTypesRef1[],3,FALSE)</f>
        <v/>
      </c>
      <c r="Q45" s="103" t="str">
        <f>IF(Table57458[[#This Row],[Mandatory]]="Yes","[Required]","")</f>
        <v/>
      </c>
      <c r="R45" s="103" t="str">
        <f>IF(Table57458[[#This Row],[Max Length]]&gt;0,CONCATENATE("[MaxLength(",Table57458[[#This Row],[Max Length]],")]"),"")</f>
        <v/>
      </c>
      <c r="S45" s="103" t="str">
        <f>CONCATENATE("""",Table57458[[#This Row],[SQL Name]],""" = """,Table57458[[#This Row],[Field]],",")</f>
        <v>"Date_Approved_DT" = "Date Approved,</v>
      </c>
      <c r="T45"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public DateTime? Date_Approved_DT {get;set;}</v>
      </c>
    </row>
    <row r="46" spans="1:20" s="101" customFormat="1" ht="57.6" x14ac:dyDescent="0.3">
      <c r="A46" s="97" t="s">
        <v>658</v>
      </c>
      <c r="B46" s="97" t="s">
        <v>643</v>
      </c>
      <c r="C46" s="98" t="s">
        <v>642</v>
      </c>
      <c r="D46" s="99"/>
      <c r="E46" s="100" t="str">
        <f>SUBSTITUTE(SUBSTITUTE(PROPER(TRIM(CLEAN(Table57458[[#This Row],[Field]])))," ","_"),"-","")</f>
        <v>No;_It_Doesn'T_Apply_(Please_Explain)</v>
      </c>
      <c r="F46" s="101" t="s">
        <v>78</v>
      </c>
      <c r="G46" s="100" t="str">
        <f>VLOOKUP(Table57458[[#This Row],[Extension]],DescRef1[],2,FALSE)</f>
        <v>TXT</v>
      </c>
      <c r="H46" s="101">
        <v>400</v>
      </c>
      <c r="I46" s="101" t="s">
        <v>601</v>
      </c>
      <c r="J46" s="100" t="str">
        <f>IF(Table57458[[#This Row],[Code]]="-", Table57458[[#This Row],[Formatted]], CONCATENATE(Table57458[[#This Row],[Formatted]],"_",Table57458[[#This Row],[Code]]))</f>
        <v>No;_It_Doesn'T_Apply_(Please_Explain)_TXT</v>
      </c>
      <c r="K46" s="101" t="s">
        <v>78</v>
      </c>
      <c r="L46" s="102"/>
      <c r="M46" s="101" t="s">
        <v>657</v>
      </c>
      <c r="O46" s="103" t="str">
        <f>CONCATENATE(VLOOKUP(Table57458[[#This Row],[Field Type]],FieldTypesRef1[],2,FALSE),IF(Table57458[[#This Row],[Mandatory]]="Yes","","?"))</f>
        <v>string?</v>
      </c>
      <c r="P46" s="103" t="str">
        <f>VLOOKUP(Table57458[[#This Row],[Field Type]],FieldTypesRef1[],3,FALSE)</f>
        <v/>
      </c>
      <c r="Q46" s="103" t="str">
        <f>IF(Table57458[[#This Row],[Mandatory]]="Yes","[Required]","")</f>
        <v/>
      </c>
      <c r="R46" s="103" t="str">
        <f>IF(Table57458[[#This Row],[Max Length]]&gt;0,CONCATENATE("[MaxLength(",Table57458[[#This Row],[Max Length]],")]"),"")</f>
        <v>[MaxLength(400)]</v>
      </c>
      <c r="S46" s="103" t="str">
        <f>CONCATENATE("""",Table57458[[#This Row],[SQL Name]],""" = """,Table57458[[#This Row],[Field]],",")</f>
        <v>"No;_It_Doesn'T_Apply_(Please_Explain)_TXT" = "No; it doesn't apply (please explain),</v>
      </c>
      <c r="T46" s="100" t="str">
        <f>CONCATENATE("/** Section: ",Table57458[[#This Row],[Section]], " **/ ",Table57458[[#This Row],[EF Core Annotation1]],Table57458[[#This Row],[EF Core Annotation2]],Table57458[[#This Row],[EF Core Annotation3]],"public ",Table57458[[#This Row],[EF Type]]," ",Table57458[[#This Row],[SQL Name]]," {get;set;}")</f>
        <v>/** Section:  MAF 2019-20 (Sectors to complete 
during Mid-Year update)
Results Management AoM: Experimentation Question 6 **/ [MaxLength(400)]public string? No;_It_Doesn'T_Apply_(Please_Explain)_TXT {get;set;}</v>
      </c>
    </row>
    <row r="47" spans="1:20" x14ac:dyDescent="0.3">
      <c r="E47" s="93" t="str">
        <f>SUBSTITUTE(SUBSTITUTE(PROPER(TRIM(CLEAN(Table57458[[#This Row],[Field]])))," ","_"),"-","")</f>
        <v/>
      </c>
      <c r="G47" s="93" t="e">
        <f>VLOOKUP(Table57458[[#This Row],[Extension]],DescRef1[],2,FALSE)</f>
        <v>#N/A</v>
      </c>
      <c r="J47" s="93" t="e">
        <f>IF(Table57458[[#This Row],[Code]]="-", Table57458[[#This Row],[Formatted]], CONCATENATE(Table57458[[#This Row],[Formatted]],"_",Table57458[[#This Row],[Code]]))</f>
        <v>#N/A</v>
      </c>
      <c r="O47" s="89" t="e">
        <f>CONCATENATE(VLOOKUP(Table57458[[#This Row],[Field Type]],FieldTypesRef1[],2,FALSE),IF(Table57458[[#This Row],[Mandatory]]="Yes","","?"))</f>
        <v>#N/A</v>
      </c>
      <c r="P47" s="89" t="e">
        <f>VLOOKUP(Table57458[[#This Row],[Field Type]],FieldTypesRef1[],3,FALSE)</f>
        <v>#N/A</v>
      </c>
      <c r="Q47" s="89" t="str">
        <f>IF(Table57458[[#This Row],[Mandatory]]="Yes","[Required]","")</f>
        <v/>
      </c>
      <c r="R47" s="89" t="str">
        <f>IF(Table57458[[#This Row],[Max Length]]&gt;0,CONCATENATE("[MaxLength(",Table57458[[#This Row],[Max Length]],")]"),"")</f>
        <v/>
      </c>
      <c r="S47" s="89" t="e">
        <f>CONCATENATE("""",Table57458[[#This Row],[SQL Name]],""" = """,Table57458[[#This Row],[Field]],",")</f>
        <v>#N/A</v>
      </c>
      <c r="T47" s="93" t="e">
        <f>CONCATENATE("/** Section: ",Table57458[[#This Row],[Section]], " **/ ",Table57458[[#This Row],[EF Core Annotation1]],Table57458[[#This Row],[EF Core Annotation2]],Table57458[[#This Row],[EF Core Annotation3]],"public ",Table57458[[#This Row],[EF Type]]," ",Table57458[[#This Row],[SQL Name]]," {get;set;}")</f>
        <v>#N/A</v>
      </c>
    </row>
    <row r="48" spans="1:20" x14ac:dyDescent="0.3">
      <c r="E48" s="93" t="str">
        <f>SUBSTITUTE(SUBSTITUTE(PROPER(TRIM(CLEAN(Table57458[[#This Row],[Field]])))," ","_"),"-","")</f>
        <v/>
      </c>
      <c r="G48" s="93" t="e">
        <f>VLOOKUP(Table57458[[#This Row],[Extension]],DescRef1[],2,FALSE)</f>
        <v>#N/A</v>
      </c>
      <c r="J48" s="93" t="e">
        <f>IF(Table57458[[#This Row],[Code]]="-", Table57458[[#This Row],[Formatted]], CONCATENATE(Table57458[[#This Row],[Formatted]],"_",Table57458[[#This Row],[Code]]))</f>
        <v>#N/A</v>
      </c>
      <c r="O48" s="89" t="e">
        <f>CONCATENATE(VLOOKUP(Table57458[[#This Row],[Field Type]],FieldTypesRef1[],2,FALSE),IF(Table57458[[#This Row],[Mandatory]]="Yes","","?"))</f>
        <v>#N/A</v>
      </c>
      <c r="P48" s="89" t="e">
        <f>VLOOKUP(Table57458[[#This Row],[Field Type]],FieldTypesRef1[],3,FALSE)</f>
        <v>#N/A</v>
      </c>
      <c r="Q48" s="89" t="str">
        <f>IF(Table57458[[#This Row],[Mandatory]]="Yes","[Required]","")</f>
        <v/>
      </c>
      <c r="R48" s="89" t="str">
        <f>IF(Table57458[[#This Row],[Max Length]]&gt;0,CONCATENATE("[MaxLength(",Table57458[[#This Row],[Max Length]],")]"),"")</f>
        <v/>
      </c>
      <c r="S48" s="89" t="e">
        <f>CONCATENATE("""",Table57458[[#This Row],[SQL Name]],""" = """,Table57458[[#This Row],[Field]],",")</f>
        <v>#N/A</v>
      </c>
      <c r="T48" s="93" t="e">
        <f>CONCATENATE("/** Section: ",Table57458[[#This Row],[Section]], " **/ ",Table57458[[#This Row],[EF Core Annotation1]],Table57458[[#This Row],[EF Core Annotation2]],Table57458[[#This Row],[EF Core Annotation3]],"public ",Table57458[[#This Row],[EF Type]]," ",Table57458[[#This Row],[SQL Name]]," {get;set;}")</f>
        <v>#N/A</v>
      </c>
    </row>
    <row r="49" spans="5:20" x14ac:dyDescent="0.3">
      <c r="E49" s="93" t="str">
        <f>SUBSTITUTE(SUBSTITUTE(PROPER(TRIM(CLEAN(Table57458[[#This Row],[Field]])))," ","_"),"-","")</f>
        <v/>
      </c>
      <c r="G49" s="93" t="e">
        <f>VLOOKUP(Table57458[[#This Row],[Extension]],DescRef1[],2,FALSE)</f>
        <v>#N/A</v>
      </c>
      <c r="J49" s="93" t="e">
        <f>IF(Table57458[[#This Row],[Code]]="-", Table57458[[#This Row],[Formatted]], CONCATENATE(Table57458[[#This Row],[Formatted]],"_",Table57458[[#This Row],[Code]]))</f>
        <v>#N/A</v>
      </c>
      <c r="O49" s="89" t="e">
        <f>CONCATENATE(VLOOKUP(Table57458[[#This Row],[Field Type]],FieldTypesRef1[],2,FALSE),IF(Table57458[[#This Row],[Mandatory]]="Yes","","?"))</f>
        <v>#N/A</v>
      </c>
      <c r="P49" s="89" t="e">
        <f>VLOOKUP(Table57458[[#This Row],[Field Type]],FieldTypesRef1[],3,FALSE)</f>
        <v>#N/A</v>
      </c>
      <c r="Q49" s="89" t="str">
        <f>IF(Table57458[[#This Row],[Mandatory]]="Yes","[Required]","")</f>
        <v/>
      </c>
      <c r="R49" s="89" t="str">
        <f>IF(Table57458[[#This Row],[Max Length]]&gt;0,CONCATENATE("[MaxLength(",Table57458[[#This Row],[Max Length]],")]"),"")</f>
        <v/>
      </c>
      <c r="S49" s="89" t="e">
        <f>CONCATENATE("""",Table57458[[#This Row],[SQL Name]],""" = """,Table57458[[#This Row],[Field]],",")</f>
        <v>#N/A</v>
      </c>
      <c r="T49" s="93" t="e">
        <f>CONCATENATE("/** Section: ",Table57458[[#This Row],[Section]], " **/ ",Table57458[[#This Row],[EF Core Annotation1]],Table57458[[#This Row],[EF Core Annotation2]],Table57458[[#This Row],[EF Core Annotation3]],"public ",Table57458[[#This Row],[EF Type]]," ",Table57458[[#This Row],[SQL Name]]," {get;set;}")</f>
        <v>#N/A</v>
      </c>
    </row>
    <row r="50" spans="5:20" x14ac:dyDescent="0.3">
      <c r="E50" s="93" t="str">
        <f>SUBSTITUTE(SUBSTITUTE(PROPER(TRIM(CLEAN(Table57458[[#This Row],[Field]])))," ","_"),"-","")</f>
        <v/>
      </c>
      <c r="G50" s="93" t="e">
        <f>VLOOKUP(Table57458[[#This Row],[Extension]],DescRef1[],2,FALSE)</f>
        <v>#N/A</v>
      </c>
      <c r="J50" s="93" t="e">
        <f>IF(Table57458[[#This Row],[Code]]="-", Table57458[[#This Row],[Formatted]], CONCATENATE(Table57458[[#This Row],[Formatted]],"_",Table57458[[#This Row],[Code]]))</f>
        <v>#N/A</v>
      </c>
      <c r="O50" s="89" t="e">
        <f>CONCATENATE(VLOOKUP(Table57458[[#This Row],[Field Type]],FieldTypesRef1[],2,FALSE),IF(Table57458[[#This Row],[Mandatory]]="Yes","","?"))</f>
        <v>#N/A</v>
      </c>
      <c r="P50" s="89" t="e">
        <f>VLOOKUP(Table57458[[#This Row],[Field Type]],FieldTypesRef1[],3,FALSE)</f>
        <v>#N/A</v>
      </c>
      <c r="Q50" s="89" t="str">
        <f>IF(Table57458[[#This Row],[Mandatory]]="Yes","[Required]","")</f>
        <v/>
      </c>
      <c r="R50" s="89" t="str">
        <f>IF(Table57458[[#This Row],[Max Length]]&gt;0,CONCATENATE("[MaxLength(",Table57458[[#This Row],[Max Length]],")]"),"")</f>
        <v/>
      </c>
      <c r="S50" s="89" t="e">
        <f>CONCATENATE("""",Table57458[[#This Row],[SQL Name]],""" = """,Table57458[[#This Row],[Field]],",")</f>
        <v>#N/A</v>
      </c>
      <c r="T50" s="93" t="e">
        <f>CONCATENATE("/** Section: ",Table57458[[#This Row],[Section]], " **/ ",Table57458[[#This Row],[EF Core Annotation1]],Table57458[[#This Row],[EF Core Annotation2]],Table57458[[#This Row],[EF Core Annotation3]],"public ",Table57458[[#This Row],[EF Type]]," ",Table57458[[#This Row],[SQL Name]]," {get;set;}")</f>
        <v>#N/A</v>
      </c>
    </row>
    <row r="51" spans="5:20" x14ac:dyDescent="0.3">
      <c r="E51" s="93" t="str">
        <f>SUBSTITUTE(SUBSTITUTE(PROPER(TRIM(CLEAN(Table57458[[#This Row],[Field]])))," ","_"),"-","")</f>
        <v/>
      </c>
      <c r="G51" s="93" t="e">
        <f>VLOOKUP(Table57458[[#This Row],[Extension]],DescRef1[],2,FALSE)</f>
        <v>#N/A</v>
      </c>
      <c r="J51" s="93" t="e">
        <f>IF(Table57458[[#This Row],[Code]]="-", Table57458[[#This Row],[Formatted]], CONCATENATE(Table57458[[#This Row],[Formatted]],"_",Table57458[[#This Row],[Code]]))</f>
        <v>#N/A</v>
      </c>
      <c r="O51" s="89" t="e">
        <f>CONCATENATE(VLOOKUP(Table57458[[#This Row],[Field Type]],FieldTypesRef1[],2,FALSE),IF(Table57458[[#This Row],[Mandatory]]="Yes","","?"))</f>
        <v>#N/A</v>
      </c>
      <c r="P51" s="89" t="e">
        <f>VLOOKUP(Table57458[[#This Row],[Field Type]],FieldTypesRef1[],3,FALSE)</f>
        <v>#N/A</v>
      </c>
      <c r="Q51" s="89" t="str">
        <f>IF(Table57458[[#This Row],[Mandatory]]="Yes","[Required]","")</f>
        <v/>
      </c>
      <c r="R51" s="89" t="str">
        <f>IF(Table57458[[#This Row],[Max Length]]&gt;0,CONCATENATE("[MaxLength(",Table57458[[#This Row],[Max Length]],")]"),"")</f>
        <v/>
      </c>
      <c r="S51" s="89" t="e">
        <f>CONCATENATE("""",Table57458[[#This Row],[SQL Name]],""" = """,Table57458[[#This Row],[Field]],",")</f>
        <v>#N/A</v>
      </c>
      <c r="T51" s="93" t="e">
        <f>CONCATENATE("/** Section: ",Table57458[[#This Row],[Section]], " **/ ",Table57458[[#This Row],[EF Core Annotation1]],Table57458[[#This Row],[EF Core Annotation2]],Table57458[[#This Row],[EF Core Annotation3]],"public ",Table57458[[#This Row],[EF Type]]," ",Table57458[[#This Row],[SQL Name]]," {get;set;}")</f>
        <v>#N/A</v>
      </c>
    </row>
    <row r="52" spans="5:20" x14ac:dyDescent="0.3">
      <c r="E52" s="93" t="str">
        <f>SUBSTITUTE(SUBSTITUTE(PROPER(TRIM(CLEAN(Table57458[[#This Row],[Field]])))," ","_"),"-","")</f>
        <v/>
      </c>
      <c r="G52" s="93" t="e">
        <f>VLOOKUP(Table57458[[#This Row],[Extension]],DescRef1[],2,FALSE)</f>
        <v>#N/A</v>
      </c>
      <c r="J52" s="93" t="e">
        <f>IF(Table57458[[#This Row],[Code]]="-", Table57458[[#This Row],[Formatted]], CONCATENATE(Table57458[[#This Row],[Formatted]],"_",Table57458[[#This Row],[Code]]))</f>
        <v>#N/A</v>
      </c>
      <c r="O52" s="89" t="e">
        <f>CONCATENATE(VLOOKUP(Table57458[[#This Row],[Field Type]],FieldTypesRef1[],2,FALSE),IF(Table57458[[#This Row],[Mandatory]]="Yes","","?"))</f>
        <v>#N/A</v>
      </c>
      <c r="P52" s="89" t="e">
        <f>VLOOKUP(Table57458[[#This Row],[Field Type]],FieldTypesRef1[],3,FALSE)</f>
        <v>#N/A</v>
      </c>
      <c r="Q52" s="89" t="str">
        <f>IF(Table57458[[#This Row],[Mandatory]]="Yes","[Required]","")</f>
        <v/>
      </c>
      <c r="R52" s="89" t="str">
        <f>IF(Table57458[[#This Row],[Max Length]]&gt;0,CONCATENATE("[MaxLength(",Table57458[[#This Row],[Max Length]],")]"),"")</f>
        <v/>
      </c>
      <c r="S52" s="89" t="e">
        <f>CONCATENATE("""",Table57458[[#This Row],[SQL Name]],""" = """,Table57458[[#This Row],[Field]],",")</f>
        <v>#N/A</v>
      </c>
      <c r="T52" s="93" t="e">
        <f>CONCATENATE("/** Section: ",Table57458[[#This Row],[Section]], " **/ ",Table57458[[#This Row],[EF Core Annotation1]],Table57458[[#This Row],[EF Core Annotation2]],Table57458[[#This Row],[EF Core Annotation3]],"public ",Table57458[[#This Row],[EF Type]]," ",Table57458[[#This Row],[SQL Name]]," {get;set;}")</f>
        <v>#N/A</v>
      </c>
    </row>
    <row r="53" spans="5:20" x14ac:dyDescent="0.3">
      <c r="E53" s="93" t="str">
        <f>SUBSTITUTE(SUBSTITUTE(PROPER(TRIM(CLEAN(Table57458[[#This Row],[Field]])))," ","_"),"-","")</f>
        <v/>
      </c>
      <c r="G53" s="93" t="e">
        <f>VLOOKUP(Table57458[[#This Row],[Extension]],DescRef1[],2,FALSE)</f>
        <v>#N/A</v>
      </c>
      <c r="J53" s="93" t="e">
        <f>IF(Table57458[[#This Row],[Code]]="-", Table57458[[#This Row],[Formatted]], CONCATENATE(Table57458[[#This Row],[Formatted]],"_",Table57458[[#This Row],[Code]]))</f>
        <v>#N/A</v>
      </c>
      <c r="O53" s="89" t="e">
        <f>CONCATENATE(VLOOKUP(Table57458[[#This Row],[Field Type]],FieldTypesRef1[],2,FALSE),IF(Table57458[[#This Row],[Mandatory]]="Yes","","?"))</f>
        <v>#N/A</v>
      </c>
      <c r="P53" s="89" t="e">
        <f>VLOOKUP(Table57458[[#This Row],[Field Type]],FieldTypesRef1[],3,FALSE)</f>
        <v>#N/A</v>
      </c>
      <c r="Q53" s="89" t="str">
        <f>IF(Table57458[[#This Row],[Mandatory]]="Yes","[Required]","")</f>
        <v/>
      </c>
      <c r="R53" s="89" t="str">
        <f>IF(Table57458[[#This Row],[Max Length]]&gt;0,CONCATENATE("[MaxLength(",Table57458[[#This Row],[Max Length]],")]"),"")</f>
        <v/>
      </c>
      <c r="S53" s="89" t="e">
        <f>CONCATENATE("""",Table57458[[#This Row],[SQL Name]],""" = """,Table57458[[#This Row],[Field]],",")</f>
        <v>#N/A</v>
      </c>
      <c r="T53" s="93" t="e">
        <f>CONCATENATE("/** Section: ",Table57458[[#This Row],[Section]], " **/ ",Table57458[[#This Row],[EF Core Annotation1]],Table57458[[#This Row],[EF Core Annotation2]],Table57458[[#This Row],[EF Core Annotation3]],"public ",Table57458[[#This Row],[EF Type]]," ",Table57458[[#This Row],[SQL Name]]," {get;set;}")</f>
        <v>#N/A</v>
      </c>
    </row>
    <row r="54" spans="5:20" x14ac:dyDescent="0.3">
      <c r="E54" s="93" t="str">
        <f>SUBSTITUTE(SUBSTITUTE(PROPER(TRIM(CLEAN(Table57458[[#This Row],[Field]])))," ","_"),"-","")</f>
        <v/>
      </c>
      <c r="G54" s="93" t="e">
        <f>VLOOKUP(Table57458[[#This Row],[Extension]],DescRef1[],2,FALSE)</f>
        <v>#N/A</v>
      </c>
      <c r="J54" s="93" t="e">
        <f>IF(Table57458[[#This Row],[Code]]="-", Table57458[[#This Row],[Formatted]], CONCATENATE(Table57458[[#This Row],[Formatted]],"_",Table57458[[#This Row],[Code]]))</f>
        <v>#N/A</v>
      </c>
      <c r="O54" s="89" t="e">
        <f>CONCATENATE(VLOOKUP(Table57458[[#This Row],[Field Type]],FieldTypesRef1[],2,FALSE),IF(Table57458[[#This Row],[Mandatory]]="Yes","","?"))</f>
        <v>#N/A</v>
      </c>
      <c r="P54" s="89" t="e">
        <f>VLOOKUP(Table57458[[#This Row],[Field Type]],FieldTypesRef1[],3,FALSE)</f>
        <v>#N/A</v>
      </c>
      <c r="Q54" s="89" t="str">
        <f>IF(Table57458[[#This Row],[Mandatory]]="Yes","[Required]","")</f>
        <v/>
      </c>
      <c r="R54" s="89" t="str">
        <f>IF(Table57458[[#This Row],[Max Length]]&gt;0,CONCATENATE("[MaxLength(",Table57458[[#This Row],[Max Length]],")]"),"")</f>
        <v/>
      </c>
      <c r="S54" s="89" t="e">
        <f>CONCATENATE("""",Table57458[[#This Row],[SQL Name]],""" = """,Table57458[[#This Row],[Field]],",")</f>
        <v>#N/A</v>
      </c>
      <c r="T54" s="93" t="e">
        <f>CONCATENATE("/** Section: ",Table57458[[#This Row],[Section]], " **/ ",Table57458[[#This Row],[EF Core Annotation1]],Table57458[[#This Row],[EF Core Annotation2]],Table57458[[#This Row],[EF Core Annotation3]],"public ",Table57458[[#This Row],[EF Type]]," ",Table57458[[#This Row],[SQL Name]]," {get;set;}")</f>
        <v>#N/A</v>
      </c>
    </row>
    <row r="55" spans="5:20" x14ac:dyDescent="0.3">
      <c r="E55" s="93" t="str">
        <f>SUBSTITUTE(SUBSTITUTE(PROPER(TRIM(CLEAN(Table57458[[#This Row],[Field]])))," ","_"),"-","")</f>
        <v/>
      </c>
      <c r="G55" s="93" t="e">
        <f>VLOOKUP(Table57458[[#This Row],[Extension]],DescRef1[],2,FALSE)</f>
        <v>#N/A</v>
      </c>
      <c r="J55" s="93" t="e">
        <f>IF(Table57458[[#This Row],[Code]]="-", Table57458[[#This Row],[Formatted]], CONCATENATE(Table57458[[#This Row],[Formatted]],"_",Table57458[[#This Row],[Code]]))</f>
        <v>#N/A</v>
      </c>
      <c r="O55" s="89" t="e">
        <f>CONCATENATE(VLOOKUP(Table57458[[#This Row],[Field Type]],FieldTypesRef1[],2,FALSE),IF(Table57458[[#This Row],[Mandatory]]="Yes","","?"))</f>
        <v>#N/A</v>
      </c>
      <c r="P55" s="89" t="e">
        <f>VLOOKUP(Table57458[[#This Row],[Field Type]],FieldTypesRef1[],3,FALSE)</f>
        <v>#N/A</v>
      </c>
      <c r="Q55" s="89" t="str">
        <f>IF(Table57458[[#This Row],[Mandatory]]="Yes","[Required]","")</f>
        <v/>
      </c>
      <c r="R55" s="89" t="str">
        <f>IF(Table57458[[#This Row],[Max Length]]&gt;0,CONCATENATE("[MaxLength(",Table57458[[#This Row],[Max Length]],")]"),"")</f>
        <v/>
      </c>
      <c r="S55" s="89" t="e">
        <f>CONCATENATE("""",Table57458[[#This Row],[SQL Name]],""" = """,Table57458[[#This Row],[Field]],",")</f>
        <v>#N/A</v>
      </c>
      <c r="T55" s="93" t="e">
        <f>CONCATENATE("/** Section: ",Table57458[[#This Row],[Section]], " **/ ",Table57458[[#This Row],[EF Core Annotation1]],Table57458[[#This Row],[EF Core Annotation2]],Table57458[[#This Row],[EF Core Annotation3]],"public ",Table57458[[#This Row],[EF Type]]," ",Table57458[[#This Row],[SQL Name]]," {get;set;}")</f>
        <v>#N/A</v>
      </c>
    </row>
    <row r="56" spans="5:20" x14ac:dyDescent="0.3">
      <c r="E56" s="93" t="str">
        <f>SUBSTITUTE(SUBSTITUTE(PROPER(TRIM(CLEAN(Table57458[[#This Row],[Field]])))," ","_"),"-","")</f>
        <v/>
      </c>
      <c r="G56" s="93" t="e">
        <f>VLOOKUP(Table57458[[#This Row],[Extension]],DescRef1[],2,FALSE)</f>
        <v>#N/A</v>
      </c>
      <c r="J56" s="93" t="e">
        <f>IF(Table57458[[#This Row],[Code]]="-", Table57458[[#This Row],[Formatted]], CONCATENATE(Table57458[[#This Row],[Formatted]],"_",Table57458[[#This Row],[Code]]))</f>
        <v>#N/A</v>
      </c>
      <c r="O56" s="89" t="e">
        <f>CONCATENATE(VLOOKUP(Table57458[[#This Row],[Field Type]],FieldTypesRef1[],2,FALSE),IF(Table57458[[#This Row],[Mandatory]]="Yes","","?"))</f>
        <v>#N/A</v>
      </c>
      <c r="P56" s="89" t="e">
        <f>VLOOKUP(Table57458[[#This Row],[Field Type]],FieldTypesRef1[],3,FALSE)</f>
        <v>#N/A</v>
      </c>
      <c r="Q56" s="89" t="str">
        <f>IF(Table57458[[#This Row],[Mandatory]]="Yes","[Required]","")</f>
        <v/>
      </c>
      <c r="R56" s="89" t="str">
        <f>IF(Table57458[[#This Row],[Max Length]]&gt;0,CONCATENATE("[MaxLength(",Table57458[[#This Row],[Max Length]],")]"),"")</f>
        <v/>
      </c>
      <c r="S56" s="89" t="e">
        <f>CONCATENATE("""",Table57458[[#This Row],[SQL Name]],""" = """,Table57458[[#This Row],[Field]],",")</f>
        <v>#N/A</v>
      </c>
      <c r="T56" s="93" t="e">
        <f>CONCATENATE("/** Section: ",Table57458[[#This Row],[Section]], " **/ ",Table57458[[#This Row],[EF Core Annotation1]],Table57458[[#This Row],[EF Core Annotation2]],Table57458[[#This Row],[EF Core Annotation3]],"public ",Table57458[[#This Row],[EF Type]]," ",Table57458[[#This Row],[SQL Name]]," {get;set;}")</f>
        <v>#N/A</v>
      </c>
    </row>
    <row r="57" spans="5:20" x14ac:dyDescent="0.3">
      <c r="E57" s="93" t="str">
        <f>SUBSTITUTE(SUBSTITUTE(PROPER(TRIM(CLEAN(Table57458[[#This Row],[Field]])))," ","_"),"-","")</f>
        <v/>
      </c>
      <c r="G57" s="93" t="e">
        <f>VLOOKUP(Table57458[[#This Row],[Extension]],DescRef1[],2,FALSE)</f>
        <v>#N/A</v>
      </c>
      <c r="J57" s="93" t="e">
        <f>IF(Table57458[[#This Row],[Code]]="-", Table57458[[#This Row],[Formatted]], CONCATENATE(Table57458[[#This Row],[Formatted]],"_",Table57458[[#This Row],[Code]]))</f>
        <v>#N/A</v>
      </c>
      <c r="O57" s="89" t="e">
        <f>CONCATENATE(VLOOKUP(Table57458[[#This Row],[Field Type]],FieldTypesRef1[],2,FALSE),IF(Table57458[[#This Row],[Mandatory]]="Yes","","?"))</f>
        <v>#N/A</v>
      </c>
      <c r="P57" s="89" t="e">
        <f>VLOOKUP(Table57458[[#This Row],[Field Type]],FieldTypesRef1[],3,FALSE)</f>
        <v>#N/A</v>
      </c>
      <c r="Q57" s="89" t="str">
        <f>IF(Table57458[[#This Row],[Mandatory]]="Yes","[Required]","")</f>
        <v/>
      </c>
      <c r="R57" s="89" t="str">
        <f>IF(Table57458[[#This Row],[Max Length]]&gt;0,CONCATENATE("[MaxLength(",Table57458[[#This Row],[Max Length]],")]"),"")</f>
        <v/>
      </c>
      <c r="S57" s="89" t="e">
        <f>CONCATENATE("""",Table57458[[#This Row],[SQL Name]],""" = """,Table57458[[#This Row],[Field]],",")</f>
        <v>#N/A</v>
      </c>
      <c r="T57" s="93" t="e">
        <f>CONCATENATE("/** Section: ",Table57458[[#This Row],[Section]], " **/ ",Table57458[[#This Row],[EF Core Annotation1]],Table57458[[#This Row],[EF Core Annotation2]],Table57458[[#This Row],[EF Core Annotation3]],"public ",Table57458[[#This Row],[EF Type]]," ",Table57458[[#This Row],[SQL Name]]," {get;set;}")</f>
        <v>#N/A</v>
      </c>
    </row>
    <row r="58" spans="5:20" x14ac:dyDescent="0.3">
      <c r="E58" s="93" t="str">
        <f>SUBSTITUTE(SUBSTITUTE(PROPER(TRIM(CLEAN(Table57458[[#This Row],[Field]])))," ","_"),"-","")</f>
        <v/>
      </c>
      <c r="G58" s="93" t="e">
        <f>VLOOKUP(Table57458[[#This Row],[Extension]],DescRef1[],2,FALSE)</f>
        <v>#N/A</v>
      </c>
      <c r="J58" s="93" t="e">
        <f>IF(Table57458[[#This Row],[Code]]="-", Table57458[[#This Row],[Formatted]], CONCATENATE(Table57458[[#This Row],[Formatted]],"_",Table57458[[#This Row],[Code]]))</f>
        <v>#N/A</v>
      </c>
      <c r="O58" s="89" t="e">
        <f>CONCATENATE(VLOOKUP(Table57458[[#This Row],[Field Type]],FieldTypesRef1[],2,FALSE),IF(Table57458[[#This Row],[Mandatory]]="Yes","","?"))</f>
        <v>#N/A</v>
      </c>
      <c r="P58" s="89" t="e">
        <f>VLOOKUP(Table57458[[#This Row],[Field Type]],FieldTypesRef1[],3,FALSE)</f>
        <v>#N/A</v>
      </c>
      <c r="Q58" s="89" t="str">
        <f>IF(Table57458[[#This Row],[Mandatory]]="Yes","[Required]","")</f>
        <v/>
      </c>
      <c r="R58" s="89" t="str">
        <f>IF(Table57458[[#This Row],[Max Length]]&gt;0,CONCATENATE("[MaxLength(",Table57458[[#This Row],[Max Length]],")]"),"")</f>
        <v/>
      </c>
      <c r="S58" s="89" t="e">
        <f>CONCATENATE("""",Table57458[[#This Row],[SQL Name]],""" = """,Table57458[[#This Row],[Field]],",")</f>
        <v>#N/A</v>
      </c>
      <c r="T58" s="93" t="e">
        <f>CONCATENATE("/** Section: ",Table57458[[#This Row],[Section]], " **/ ",Table57458[[#This Row],[EF Core Annotation1]],Table57458[[#This Row],[EF Core Annotation2]],Table57458[[#This Row],[EF Core Annotation3]],"public ",Table57458[[#This Row],[EF Type]]," ",Table57458[[#This Row],[SQL Name]]," {get;set;}")</f>
        <v>#N/A</v>
      </c>
    </row>
    <row r="59" spans="5:20" x14ac:dyDescent="0.3">
      <c r="E59" s="93" t="str">
        <f>SUBSTITUTE(SUBSTITUTE(PROPER(TRIM(CLEAN(Table57458[[#This Row],[Field]])))," ","_"),"-","")</f>
        <v/>
      </c>
      <c r="G59" s="93" t="e">
        <f>VLOOKUP(Table57458[[#This Row],[Extension]],DescRef1[],2,FALSE)</f>
        <v>#N/A</v>
      </c>
      <c r="J59" s="93" t="e">
        <f>IF(Table57458[[#This Row],[Code]]="-", Table57458[[#This Row],[Formatted]], CONCATENATE(Table57458[[#This Row],[Formatted]],"_",Table57458[[#This Row],[Code]]))</f>
        <v>#N/A</v>
      </c>
      <c r="O59" s="89" t="e">
        <f>CONCATENATE(VLOOKUP(Table57458[[#This Row],[Field Type]],FieldTypesRef1[],2,FALSE),IF(Table57458[[#This Row],[Mandatory]]="Yes","","?"))</f>
        <v>#N/A</v>
      </c>
      <c r="P59" s="89" t="e">
        <f>VLOOKUP(Table57458[[#This Row],[Field Type]],FieldTypesRef1[],3,FALSE)</f>
        <v>#N/A</v>
      </c>
      <c r="Q59" s="89" t="str">
        <f>IF(Table57458[[#This Row],[Mandatory]]="Yes","[Required]","")</f>
        <v/>
      </c>
      <c r="R59" s="89" t="str">
        <f>IF(Table57458[[#This Row],[Max Length]]&gt;0,CONCATENATE("[MaxLength(",Table57458[[#This Row],[Max Length]],")]"),"")</f>
        <v/>
      </c>
      <c r="S59" s="89" t="e">
        <f>CONCATENATE("""",Table57458[[#This Row],[SQL Name]],""" = """,Table57458[[#This Row],[Field]],",")</f>
        <v>#N/A</v>
      </c>
      <c r="T59" s="93" t="e">
        <f>CONCATENATE("/** Section: ",Table57458[[#This Row],[Section]], " **/ ",Table57458[[#This Row],[EF Core Annotation1]],Table57458[[#This Row],[EF Core Annotation2]],Table57458[[#This Row],[EF Core Annotation3]],"public ",Table57458[[#This Row],[EF Type]]," ",Table57458[[#This Row],[SQL Name]]," {get;set;}")</f>
        <v>#N/A</v>
      </c>
    </row>
    <row r="60" spans="5:20" x14ac:dyDescent="0.3">
      <c r="E60" s="93" t="str">
        <f>SUBSTITUTE(SUBSTITUTE(PROPER(TRIM(CLEAN(Table57458[[#This Row],[Field]])))," ","_"),"-","")</f>
        <v/>
      </c>
      <c r="G60" s="93" t="e">
        <f>VLOOKUP(Table57458[[#This Row],[Extension]],DescRef1[],2,FALSE)</f>
        <v>#N/A</v>
      </c>
      <c r="J60" s="93" t="e">
        <f>IF(Table57458[[#This Row],[Code]]="-", Table57458[[#This Row],[Formatted]], CONCATENATE(Table57458[[#This Row],[Formatted]],"_",Table57458[[#This Row],[Code]]))</f>
        <v>#N/A</v>
      </c>
      <c r="O60" s="89" t="e">
        <f>CONCATENATE(VLOOKUP(Table57458[[#This Row],[Field Type]],FieldTypesRef1[],2,FALSE),IF(Table57458[[#This Row],[Mandatory]]="Yes","","?"))</f>
        <v>#N/A</v>
      </c>
      <c r="P60" s="89" t="e">
        <f>VLOOKUP(Table57458[[#This Row],[Field Type]],FieldTypesRef1[],3,FALSE)</f>
        <v>#N/A</v>
      </c>
      <c r="Q60" s="89" t="str">
        <f>IF(Table57458[[#This Row],[Mandatory]]="Yes","[Required]","")</f>
        <v/>
      </c>
      <c r="R60" s="89" t="str">
        <f>IF(Table57458[[#This Row],[Max Length]]&gt;0,CONCATENATE("[MaxLength(",Table57458[[#This Row],[Max Length]],")]"),"")</f>
        <v/>
      </c>
      <c r="S60" s="89" t="e">
        <f>CONCATENATE("""",Table57458[[#This Row],[SQL Name]],""" = """,Table57458[[#This Row],[Field]],",")</f>
        <v>#N/A</v>
      </c>
      <c r="T60" s="93" t="e">
        <f>CONCATENATE("/** Section: ",Table57458[[#This Row],[Section]], " **/ ",Table57458[[#This Row],[EF Core Annotation1]],Table57458[[#This Row],[EF Core Annotation2]],Table57458[[#This Row],[EF Core Annotation3]],"public ",Table57458[[#This Row],[EF Type]]," ",Table57458[[#This Row],[SQL Name]]," {get;set;}")</f>
        <v>#N/A</v>
      </c>
    </row>
    <row r="61" spans="5:20" x14ac:dyDescent="0.3">
      <c r="E61" s="93" t="str">
        <f>SUBSTITUTE(SUBSTITUTE(PROPER(TRIM(CLEAN(Table57458[[#This Row],[Field]])))," ","_"),"-","")</f>
        <v/>
      </c>
      <c r="G61" s="93" t="e">
        <f>VLOOKUP(Table57458[[#This Row],[Extension]],DescRef1[],2,FALSE)</f>
        <v>#N/A</v>
      </c>
      <c r="J61" s="93" t="e">
        <f>IF(Table57458[[#This Row],[Code]]="-", Table57458[[#This Row],[Formatted]], CONCATENATE(Table57458[[#This Row],[Formatted]],"_",Table57458[[#This Row],[Code]]))</f>
        <v>#N/A</v>
      </c>
      <c r="O61" s="89" t="e">
        <f>CONCATENATE(VLOOKUP(Table57458[[#This Row],[Field Type]],FieldTypesRef1[],2,FALSE),IF(Table57458[[#This Row],[Mandatory]]="Yes","","?"))</f>
        <v>#N/A</v>
      </c>
      <c r="P61" s="89" t="e">
        <f>VLOOKUP(Table57458[[#This Row],[Field Type]],FieldTypesRef1[],3,FALSE)</f>
        <v>#N/A</v>
      </c>
      <c r="Q61" s="89" t="str">
        <f>IF(Table57458[[#This Row],[Mandatory]]="Yes","[Required]","")</f>
        <v/>
      </c>
      <c r="R61" s="89" t="str">
        <f>IF(Table57458[[#This Row],[Max Length]]&gt;0,CONCATENATE("[MaxLength(",Table57458[[#This Row],[Max Length]],")]"),"")</f>
        <v/>
      </c>
      <c r="S61" s="89" t="e">
        <f>CONCATENATE("""",Table57458[[#This Row],[SQL Name]],""" = """,Table57458[[#This Row],[Field]],",")</f>
        <v>#N/A</v>
      </c>
      <c r="T61" s="93" t="e">
        <f>CONCATENATE("/** Section: ",Table57458[[#This Row],[Section]], " **/ ",Table57458[[#This Row],[EF Core Annotation1]],Table57458[[#This Row],[EF Core Annotation2]],Table57458[[#This Row],[EF Core Annotation3]],"public ",Table57458[[#This Row],[EF Type]]," ",Table57458[[#This Row],[SQL Name]]," {get;set;}")</f>
        <v>#N/A</v>
      </c>
    </row>
    <row r="62" spans="5:20" x14ac:dyDescent="0.3">
      <c r="E62" s="71" t="str">
        <f>SUBSTITUTE(SUBSTITUTE(PROPER(TRIM(CLEAN(Table57458[[#This Row],[Field]])))," ","_"),"-","")</f>
        <v/>
      </c>
      <c r="G62" s="71" t="e">
        <f>VLOOKUP(Table57458[[#This Row],[Extension]],DescRef1[],2,FALSE)</f>
        <v>#N/A</v>
      </c>
      <c r="J62" s="71" t="e">
        <f>IF(Table57458[[#This Row],[Code]]="-", Table57458[[#This Row],[Formatted]], CONCATENATE(Table57458[[#This Row],[Formatted]],"_",Table57458[[#This Row],[Code]]))</f>
        <v>#N/A</v>
      </c>
      <c r="O62" s="3" t="e">
        <f>CONCATENATE(VLOOKUP(Table57458[[#This Row],[Field Type]],FieldTypesRef1[],2,FALSE),IF(Table57458[[#This Row],[Mandatory]]="Yes","","?"))</f>
        <v>#N/A</v>
      </c>
      <c r="P62" s="89" t="e">
        <f>VLOOKUP(Table57458[[#This Row],[Field Type]],FieldTypesRef1[],3,FALSE)</f>
        <v>#N/A</v>
      </c>
      <c r="Q62" s="3" t="str">
        <f>IF(Table57458[[#This Row],[Mandatory]]="Yes","[Required]","")</f>
        <v/>
      </c>
      <c r="R62" s="3" t="str">
        <f>IF(Table57458[[#This Row],[Max Length]]&gt;0,CONCATENATE("[MaxLength(",Table57458[[#This Row],[Max Length]],")]"),"")</f>
        <v/>
      </c>
      <c r="S62" s="3" t="e">
        <f>CONCATENATE("""",Table57458[[#This Row],[SQL Name]],""" = """,Table57458[[#This Row],[Field]],",")</f>
        <v>#N/A</v>
      </c>
      <c r="T62" s="71" t="e">
        <f>CONCATENATE("/** Section: ",Table57458[[#This Row],[Section]], " **/ ",Table57458[[#This Row],[EF Core Annotation1]],Table57458[[#This Row],[EF Core Annotation2]],Table57458[[#This Row],[EF Core Annotation3]],"public ",Table57458[[#This Row],[EF Type]]," ",Table57458[[#This Row],[SQL Name]]," {get;set;}")</f>
        <v>#N/A</v>
      </c>
    </row>
    <row r="63" spans="5:20" x14ac:dyDescent="0.3">
      <c r="E63" s="93" t="str">
        <f>SUBSTITUTE(SUBSTITUTE(PROPER(TRIM(CLEAN(Table57458[[#This Row],[Field]])))," ","_"),"-","")</f>
        <v/>
      </c>
      <c r="G63" s="93" t="e">
        <f>VLOOKUP(Table57458[[#This Row],[Extension]],DescRef1[],2,FALSE)</f>
        <v>#N/A</v>
      </c>
      <c r="J63" s="93" t="e">
        <f>IF(Table57458[[#This Row],[Code]]="-", Table57458[[#This Row],[Formatted]], CONCATENATE(Table57458[[#This Row],[Formatted]],"_",Table57458[[#This Row],[Code]]))</f>
        <v>#N/A</v>
      </c>
      <c r="O63" s="89" t="e">
        <f>CONCATENATE(VLOOKUP(Table57458[[#This Row],[Field Type]],FieldTypesRef1[],2,FALSE),IF(Table57458[[#This Row],[Mandatory]]="Yes","","?"))</f>
        <v>#N/A</v>
      </c>
      <c r="P63" s="89" t="e">
        <f>VLOOKUP(Table57458[[#This Row],[Field Type]],FieldTypesRef1[],3,FALSE)</f>
        <v>#N/A</v>
      </c>
      <c r="Q63" s="89" t="str">
        <f>IF(Table57458[[#This Row],[Mandatory]]="Yes","[Required]","")</f>
        <v/>
      </c>
      <c r="R63" s="89" t="str">
        <f>IF(Table57458[[#This Row],[Max Length]]&gt;0,CONCATENATE("[MaxLength(",Table57458[[#This Row],[Max Length]],")]"),"")</f>
        <v/>
      </c>
      <c r="S63" s="89" t="e">
        <f>CONCATENATE("""",Table57458[[#This Row],[SQL Name]],""" = """,Table57458[[#This Row],[Field]],",")</f>
        <v>#N/A</v>
      </c>
      <c r="T63" s="93" t="e">
        <f>CONCATENATE("/** Section: ",Table57458[[#This Row],[Section]], " **/ ",Table57458[[#This Row],[EF Core Annotation1]],Table57458[[#This Row],[EF Core Annotation2]],Table57458[[#This Row],[EF Core Annotation3]],"public ",Table57458[[#This Row],[EF Type]]," ",Table57458[[#This Row],[SQL Name]]," {get;set;}")</f>
        <v>#N/A</v>
      </c>
    </row>
    <row r="64" spans="5:20" x14ac:dyDescent="0.3">
      <c r="E64" s="93" t="str">
        <f>SUBSTITUTE(SUBSTITUTE(PROPER(TRIM(CLEAN(Table57458[[#This Row],[Field]])))," ","_"),"-","")</f>
        <v/>
      </c>
      <c r="G64" s="93" t="e">
        <f>VLOOKUP(Table57458[[#This Row],[Extension]],DescRef1[],2,FALSE)</f>
        <v>#N/A</v>
      </c>
      <c r="J64" s="93" t="e">
        <f>IF(Table57458[[#This Row],[Code]]="-", Table57458[[#This Row],[Formatted]], CONCATENATE(Table57458[[#This Row],[Formatted]],"_",Table57458[[#This Row],[Code]]))</f>
        <v>#N/A</v>
      </c>
      <c r="O64" s="89" t="e">
        <f>CONCATENATE(VLOOKUP(Table57458[[#This Row],[Field Type]],FieldTypesRef1[],2,FALSE),IF(Table57458[[#This Row],[Mandatory]]="Yes","","?"))</f>
        <v>#N/A</v>
      </c>
      <c r="P64" s="89" t="e">
        <f>VLOOKUP(Table57458[[#This Row],[Field Type]],FieldTypesRef1[],3,FALSE)</f>
        <v>#N/A</v>
      </c>
      <c r="Q64" s="89" t="str">
        <f>IF(Table57458[[#This Row],[Mandatory]]="Yes","[Required]","")</f>
        <v/>
      </c>
      <c r="R64" s="89" t="str">
        <f>IF(Table57458[[#This Row],[Max Length]]&gt;0,CONCATENATE("[MaxLength(",Table57458[[#This Row],[Max Length]],")]"),"")</f>
        <v/>
      </c>
      <c r="S64" s="89" t="e">
        <f>CONCATENATE("""",Table57458[[#This Row],[SQL Name]],""" = """,Table57458[[#This Row],[Field]],",")</f>
        <v>#N/A</v>
      </c>
      <c r="T64" s="93" t="e">
        <f>CONCATENATE("/** Section: ",Table57458[[#This Row],[Section]], " **/ ",Table57458[[#This Row],[EF Core Annotation1]],Table57458[[#This Row],[EF Core Annotation2]],Table57458[[#This Row],[EF Core Annotation3]],"public ",Table57458[[#This Row],[EF Type]]," ",Table57458[[#This Row],[SQL Name]]," {get;set;}")</f>
        <v>#N/A</v>
      </c>
    </row>
    <row r="65" spans="5:20" x14ac:dyDescent="0.3">
      <c r="E65" s="93" t="str">
        <f>SUBSTITUTE(SUBSTITUTE(PROPER(TRIM(CLEAN(Table57458[[#This Row],[Field]])))," ","_"),"-","")</f>
        <v/>
      </c>
      <c r="G65" s="93" t="e">
        <f>VLOOKUP(Table57458[[#This Row],[Extension]],DescRef1[],2,FALSE)</f>
        <v>#N/A</v>
      </c>
      <c r="J65" s="93" t="e">
        <f>IF(Table57458[[#This Row],[Code]]="-", Table57458[[#This Row],[Formatted]], CONCATENATE(Table57458[[#This Row],[Formatted]],"_",Table57458[[#This Row],[Code]]))</f>
        <v>#N/A</v>
      </c>
      <c r="O65" s="89" t="e">
        <f>CONCATENATE(VLOOKUP(Table57458[[#This Row],[Field Type]],FieldTypesRef1[],2,FALSE),IF(Table57458[[#This Row],[Mandatory]]="Yes","","?"))</f>
        <v>#N/A</v>
      </c>
      <c r="P65" s="89" t="e">
        <f>VLOOKUP(Table57458[[#This Row],[Field Type]],FieldTypesRef1[],3,FALSE)</f>
        <v>#N/A</v>
      </c>
      <c r="Q65" s="89" t="str">
        <f>IF(Table57458[[#This Row],[Mandatory]]="Yes","[Required]","")</f>
        <v/>
      </c>
      <c r="R65" s="89" t="str">
        <f>IF(Table57458[[#This Row],[Max Length]]&gt;0,CONCATENATE("[MaxLength(",Table57458[[#This Row],[Max Length]],")]"),"")</f>
        <v/>
      </c>
      <c r="S65" s="89" t="e">
        <f>CONCATENATE("""",Table57458[[#This Row],[SQL Name]],""" = """,Table57458[[#This Row],[Field]],",")</f>
        <v>#N/A</v>
      </c>
      <c r="T65" s="93" t="e">
        <f>CONCATENATE("/** Section: ",Table57458[[#This Row],[Section]], " **/ ",Table57458[[#This Row],[EF Core Annotation1]],Table57458[[#This Row],[EF Core Annotation2]],Table57458[[#This Row],[EF Core Annotation3]],"public ",Table57458[[#This Row],[EF Type]]," ",Table57458[[#This Row],[SQL Name]]," {get;set;}")</f>
        <v>#N/A</v>
      </c>
    </row>
    <row r="66" spans="5:20" x14ac:dyDescent="0.3">
      <c r="E66" s="93" t="str">
        <f>SUBSTITUTE(SUBSTITUTE(PROPER(TRIM(CLEAN(Table57458[[#This Row],[Field]])))," ","_"),"-","")</f>
        <v/>
      </c>
      <c r="G66" s="93" t="e">
        <f>VLOOKUP(Table57458[[#This Row],[Extension]],DescRef1[],2,FALSE)</f>
        <v>#N/A</v>
      </c>
      <c r="J66" s="93" t="e">
        <f>IF(Table57458[[#This Row],[Code]]="-", Table57458[[#This Row],[Formatted]], CONCATENATE(Table57458[[#This Row],[Formatted]],"_",Table57458[[#This Row],[Code]]))</f>
        <v>#N/A</v>
      </c>
      <c r="O66" s="89" t="e">
        <f>CONCATENATE(VLOOKUP(Table57458[[#This Row],[Field Type]],FieldTypesRef1[],2,FALSE),IF(Table57458[[#This Row],[Mandatory]]="Yes","","?"))</f>
        <v>#N/A</v>
      </c>
      <c r="P66" s="89" t="e">
        <f>VLOOKUP(Table57458[[#This Row],[Field Type]],FieldTypesRef1[],3,FALSE)</f>
        <v>#N/A</v>
      </c>
      <c r="Q66" s="89" t="str">
        <f>IF(Table57458[[#This Row],[Mandatory]]="Yes","[Required]","")</f>
        <v/>
      </c>
      <c r="R66" s="89" t="str">
        <f>IF(Table57458[[#This Row],[Max Length]]&gt;0,CONCATENATE("[MaxLength(",Table57458[[#This Row],[Max Length]],")]"),"")</f>
        <v/>
      </c>
      <c r="S66" s="89" t="e">
        <f>CONCATENATE("""",Table57458[[#This Row],[SQL Name]],""" = """,Table57458[[#This Row],[Field]],",")</f>
        <v>#N/A</v>
      </c>
      <c r="T66" s="93" t="e">
        <f>CONCATENATE("/** Section: ",Table57458[[#This Row],[Section]], " **/ ",Table57458[[#This Row],[EF Core Annotation1]],Table57458[[#This Row],[EF Core Annotation2]],Table57458[[#This Row],[EF Core Annotation3]],"public ",Table57458[[#This Row],[EF Type]]," ",Table57458[[#This Row],[SQL Name]]," {get;set;}")</f>
        <v>#N/A</v>
      </c>
    </row>
    <row r="67" spans="5:20" x14ac:dyDescent="0.3">
      <c r="E67" s="93"/>
      <c r="G67" s="93"/>
      <c r="J67" s="93"/>
      <c r="O67" s="89"/>
      <c r="P67" s="89"/>
      <c r="Q67" s="89"/>
      <c r="R67" s="89"/>
      <c r="S67" s="89"/>
      <c r="T67" s="93"/>
    </row>
    <row r="68" spans="5:20" x14ac:dyDescent="0.3">
      <c r="E68" s="71" t="str">
        <f>SUBSTITUTE(SUBSTITUTE(PROPER(TRIM(CLEAN(Table57458[[#This Row],[Field]])))," ","_"),"-","")</f>
        <v/>
      </c>
      <c r="G68" s="71" t="e">
        <f>VLOOKUP(Table57458[[#This Row],[Extension]],DescRef1[],2,FALSE)</f>
        <v>#N/A</v>
      </c>
      <c r="J68" s="71" t="e">
        <f>IF(Table57458[[#This Row],[Code]]="-", Table57458[[#This Row],[Formatted]], CONCATENATE(Table57458[[#This Row],[Formatted]],"_",Table57458[[#This Row],[Code]]))</f>
        <v>#N/A</v>
      </c>
      <c r="O68" s="3" t="e">
        <f>CONCATENATE(VLOOKUP(Table57458[[#This Row],[Field Type]],FieldTypesRef1[],2,FALSE),IF(Table57458[[#This Row],[Mandatory]]="Yes","","?"))</f>
        <v>#N/A</v>
      </c>
      <c r="P68" s="89" t="e">
        <f>VLOOKUP(Table57458[[#This Row],[Field Type]],FieldTypesRef1[],3,FALSE)</f>
        <v>#N/A</v>
      </c>
      <c r="Q68" s="3" t="str">
        <f>IF(Table57458[[#This Row],[Mandatory]]="Yes","[Required]","")</f>
        <v/>
      </c>
      <c r="R68" s="3" t="str">
        <f>IF(Table57458[[#This Row],[Max Length]]&gt;0,CONCATENATE("[MaxLength(",Table57458[[#This Row],[Max Length]],")]"),"")</f>
        <v/>
      </c>
      <c r="S68" s="3" t="e">
        <f>CONCATENATE("""",Table57458[[#This Row],[SQL Name]],""" = """,Table57458[[#This Row],[Field]],",")</f>
        <v>#N/A</v>
      </c>
      <c r="T68" s="71" t="e">
        <f>CONCATENATE("/** Section: ",Table57458[[#This Row],[Section]], " **/ ",Table57458[[#This Row],[EF Core Annotation1]],Table57458[[#This Row],[EF Core Annotation2]],Table57458[[#This Row],[EF Core Annotation3]],"public ",Table57458[[#This Row],[EF Type]]," ",Table57458[[#This Row],[SQL Name]]," {get;set;}")</f>
        <v>#N/A</v>
      </c>
    </row>
    <row r="69" spans="5:20" x14ac:dyDescent="0.3">
      <c r="E69" s="71" t="str">
        <f>SUBSTITUTE(SUBSTITUTE(PROPER(TRIM(CLEAN(Table57458[[#This Row],[Field]])))," ","_"),"-","")</f>
        <v/>
      </c>
      <c r="G69" s="71" t="e">
        <f>VLOOKUP(Table57458[[#This Row],[Extension]],DescRef1[],2,FALSE)</f>
        <v>#N/A</v>
      </c>
      <c r="J69" s="71" t="e">
        <f>IF(Table57458[[#This Row],[Code]]="-", Table57458[[#This Row],[Formatted]], CONCATENATE(Table57458[[#This Row],[Formatted]],"_",Table57458[[#This Row],[Code]]))</f>
        <v>#N/A</v>
      </c>
      <c r="O69" s="3" t="e">
        <f>CONCATENATE(VLOOKUP(Table57458[[#This Row],[Field Type]],FieldTypesRef1[],2,FALSE),IF(Table57458[[#This Row],[Mandatory]]="Yes","","?"))</f>
        <v>#N/A</v>
      </c>
      <c r="P69" s="89" t="e">
        <f>VLOOKUP(Table57458[[#This Row],[Field Type]],FieldTypesRef1[],3,FALSE)</f>
        <v>#N/A</v>
      </c>
      <c r="Q69" s="3" t="str">
        <f>IF(Table57458[[#This Row],[Mandatory]]="Yes","[Required]","")</f>
        <v/>
      </c>
      <c r="R69" s="3" t="str">
        <f>IF(Table57458[[#This Row],[Max Length]]&gt;0,CONCATENATE("[MaxLength(",Table57458[[#This Row],[Max Length]],")]"),"")</f>
        <v/>
      </c>
      <c r="S69" s="3" t="e">
        <f>CONCATENATE("""",Table57458[[#This Row],[SQL Name]],""" = """,Table57458[[#This Row],[Field]],",")</f>
        <v>#N/A</v>
      </c>
      <c r="T69" s="71" t="e">
        <f>CONCATENATE("/** Section: ",Table57458[[#This Row],[Section]], " **/ ",Table57458[[#This Row],[EF Core Annotation1]],Table57458[[#This Row],[EF Core Annotation2]],Table57458[[#This Row],[EF Core Annotation3]],"public ",Table57458[[#This Row],[EF Type]]," ",Table57458[[#This Row],[SQL Name]]," {get;set;}")</f>
        <v>#N/A</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Sheet2!$C$2:$C$10</xm:f>
          </x14:formula1>
          <xm:sqref>O70:R333 N2:N333</xm:sqref>
        </x14:dataValidation>
        <x14:dataValidation type="list" allowBlank="1" showInputMessage="1" showErrorMessage="1">
          <x14:formula1>
            <xm:f>'Datahub Reference'!$A$3:$A$30</xm:f>
          </x14:formula1>
          <xm:sqref>F1:F1048576</xm:sqref>
        </x14:dataValidation>
        <x14:dataValidation type="list" allowBlank="1" showInputMessage="1" showErrorMessage="1">
          <x14:formula1>
            <xm:f>'Datahub Reference'!$A$33:$A$40</xm:f>
          </x14:formula1>
          <xm:sqref>K2:K69</xm:sqref>
        </x14:dataValidation>
        <x14:dataValidation type="list" allowBlank="1" showInputMessage="1" showErrorMessage="1">
          <x14:formula1>
            <xm:f>Sheet2!$A$2:A$9</xm:f>
          </x14:formula1>
          <xm:sqref>K70:K200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zoomScaleNormal="100" workbookViewId="0">
      <selection activeCell="C12" sqref="C12"/>
    </sheetView>
  </sheetViews>
  <sheetFormatPr defaultColWidth="9.21875" defaultRowHeight="14.4" x14ac:dyDescent="0.3"/>
  <cols>
    <col min="1" max="1" width="35.44140625" style="85" customWidth="1"/>
    <col min="2" max="2" width="19.21875" style="85" customWidth="1"/>
    <col min="3" max="3" width="51.21875" style="85" customWidth="1"/>
    <col min="4" max="4" width="14" style="71" customWidth="1"/>
    <col min="5" max="5" width="28" style="71" customWidth="1"/>
    <col min="6" max="8" width="16.21875" style="71" customWidth="1"/>
    <col min="9" max="9" width="65.21875" style="71" customWidth="1"/>
    <col min="10" max="10" width="21.77734375" style="71" bestFit="1" customWidth="1"/>
    <col min="11" max="11" width="33.44140625" style="3" customWidth="1"/>
    <col min="12" max="12" width="36.21875" style="71" customWidth="1"/>
    <col min="13" max="14" width="21" style="71" customWidth="1"/>
    <col min="15" max="15" width="21" style="84" customWidth="1"/>
    <col min="16" max="17" width="21" style="71" customWidth="1"/>
    <col min="18" max="18" width="15.21875" style="71" customWidth="1"/>
    <col min="19" max="19" width="14.5546875" style="71" customWidth="1"/>
    <col min="20" max="16384" width="9.21875" style="71"/>
  </cols>
  <sheetData>
    <row r="1" spans="1:19" s="3" customFormat="1" ht="35.25" customHeight="1" x14ac:dyDescent="0.3">
      <c r="A1" s="87" t="s">
        <v>550</v>
      </c>
      <c r="B1" s="87" t="s">
        <v>630</v>
      </c>
      <c r="C1" s="87" t="s">
        <v>0</v>
      </c>
      <c r="D1" s="3" t="s">
        <v>551</v>
      </c>
      <c r="E1" s="87" t="s">
        <v>469</v>
      </c>
      <c r="F1" s="3" t="s">
        <v>482</v>
      </c>
      <c r="G1" s="87" t="s">
        <v>549</v>
      </c>
      <c r="H1" s="87" t="s">
        <v>544</v>
      </c>
      <c r="I1" s="3" t="s">
        <v>470</v>
      </c>
      <c r="J1" s="87" t="s">
        <v>85</v>
      </c>
      <c r="K1" s="87" t="s">
        <v>461</v>
      </c>
      <c r="L1" s="3" t="s">
        <v>2</v>
      </c>
      <c r="M1" s="3" t="s">
        <v>3</v>
      </c>
      <c r="N1" s="3" t="s">
        <v>559</v>
      </c>
      <c r="O1" s="3" t="s">
        <v>590</v>
      </c>
      <c r="P1" s="3" t="s">
        <v>591</v>
      </c>
      <c r="Q1" s="3" t="s">
        <v>592</v>
      </c>
      <c r="R1" s="3" t="s">
        <v>594</v>
      </c>
      <c r="S1" s="3" t="s">
        <v>593</v>
      </c>
    </row>
    <row r="2" spans="1:19" ht="13.95" customHeight="1" x14ac:dyDescent="0.3">
      <c r="A2" s="85" t="s">
        <v>71</v>
      </c>
      <c r="B2" s="92" t="s">
        <v>709</v>
      </c>
      <c r="C2" s="85" t="s">
        <v>710</v>
      </c>
      <c r="D2" s="71" t="str">
        <f>SUBSTITUTE(SUBSTITUTE(PROPER(TRIM(CLEAN(Table57459[[#This Row],[Field]])))," ","_"),"-","")</f>
        <v>Tpp_Program_For_A)</v>
      </c>
      <c r="E2" s="71" t="s">
        <v>78</v>
      </c>
      <c r="F2" s="71" t="str">
        <f>VLOOKUP(Table57459[[#This Row],[Extension]],DescRef1[],2,FALSE)</f>
        <v>TXT</v>
      </c>
      <c r="G2" s="71">
        <v>100</v>
      </c>
      <c r="H2" s="83" t="s">
        <v>568</v>
      </c>
      <c r="I2" s="71" t="str">
        <f>IF(Table57459[[#This Row],[Code]]="-", Table57459[[#This Row],[Formatted]], CONCATENATE(Table57459[[#This Row],[Formatted]],"_",Table57459[[#This Row],[Code]]))</f>
        <v>Tpp_Program_For_A)_TXT</v>
      </c>
      <c r="J2" s="71" t="s">
        <v>78</v>
      </c>
      <c r="N2" s="3" t="str">
        <f>CONCATENATE(VLOOKUP(Table57459[[#This Row],[Field Type]],FieldTypesRef1[],2,FALSE),IF(Table57459[[#This Row],[Mandatory]]="Yes","","?"))</f>
        <v>string</v>
      </c>
      <c r="O2" s="3" t="str">
        <f>VLOOKUP(Table57459[[#This Row],[Field Type]],FieldTypesRef1[],3,FALSE)</f>
        <v/>
      </c>
      <c r="P2" s="3" t="str">
        <f>IF(Table57459[[#This Row],[Mandatory]]="Yes","[Required]","")</f>
        <v>[Required]</v>
      </c>
      <c r="Q2" s="3" t="str">
        <f>IF(Table57459[[#This Row],[Max Length]]&gt;0,CONCATENATE("[MaxLength(",Table57459[[#This Row],[Max Length]],")]"),"")</f>
        <v>[MaxLength(100)]</v>
      </c>
      <c r="R2" s="3" t="str">
        <f>CONCATENATE("""",Table57459[[#This Row],[SQL Name]],""" = """,Table57459[[#This Row],[Field]],",")</f>
        <v>"Tpp_Program_For_A)_TXT" = "TPP Program for a),</v>
      </c>
      <c r="S2"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[Required][MaxLength(100)]public string Tpp_Program_For_A)_TXT {get;set;}</v>
      </c>
    </row>
    <row r="3" spans="1:19" ht="15.45" customHeight="1" x14ac:dyDescent="0.3">
      <c r="A3" s="85" t="s">
        <v>71</v>
      </c>
      <c r="B3" s="92" t="s">
        <v>709</v>
      </c>
      <c r="C3" s="85" t="s">
        <v>711</v>
      </c>
      <c r="D3" s="71" t="str">
        <f>SUBSTITUTE(SUBSTITUTE(PROPER(TRIM(CLEAN(Table57459[[#This Row],[Field]])))," ","_"),"-","")</f>
        <v>Year_For_A)</v>
      </c>
      <c r="E3" s="71" t="s">
        <v>15</v>
      </c>
      <c r="F3" s="71" t="str">
        <f>VLOOKUP(Table57459[[#This Row],[Extension]],DescRef1[],2,FALSE)</f>
        <v>DT</v>
      </c>
      <c r="H3" s="83" t="s">
        <v>601</v>
      </c>
      <c r="I3" s="71" t="str">
        <f>IF(Table57459[[#This Row],[Code]]="-", Table57459[[#This Row],[Formatted]], CONCATENATE(Table57459[[#This Row],[Formatted]],"_",Table57459[[#This Row],[Code]]))</f>
        <v>Year_For_A)_DT</v>
      </c>
      <c r="J3" s="71" t="s">
        <v>15</v>
      </c>
      <c r="N3" s="3" t="str">
        <f>CONCATENATE(VLOOKUP(Table57459[[#This Row],[Field Type]],FieldTypesRef1[],2,FALSE),IF(Table57459[[#This Row],[Mandatory]]="Yes","","?"))</f>
        <v>DateTime?</v>
      </c>
      <c r="O3" s="89" t="str">
        <f>VLOOKUP(Table57459[[#This Row],[Field Type]],FieldTypesRef1[],3,FALSE)</f>
        <v/>
      </c>
      <c r="P3" s="3" t="str">
        <f>IF(Table57459[[#This Row],[Mandatory]]="Yes","[Required]","")</f>
        <v/>
      </c>
      <c r="Q3" s="3" t="str">
        <f>IF(Table57459[[#This Row],[Max Length]]&gt;0,CONCATENATE("[MaxLength(",Table57459[[#This Row],[Max Length]],")]"),"")</f>
        <v/>
      </c>
      <c r="R3" s="3" t="str">
        <f>CONCATENATE("""",Table57459[[#This Row],[SQL Name]],""" = """,Table57459[[#This Row],[Field]],",")</f>
        <v>"Year_For_A)_DT" = "Year for a),</v>
      </c>
      <c r="S3"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DateTime? Year_For_A)_DT {get;set;}</v>
      </c>
    </row>
    <row r="4" spans="1:19" ht="13.95" customHeight="1" x14ac:dyDescent="0.3">
      <c r="A4" s="85" t="s">
        <v>71</v>
      </c>
      <c r="B4" s="92" t="s">
        <v>709</v>
      </c>
      <c r="C4" s="85" t="s">
        <v>712</v>
      </c>
      <c r="D4" s="71" t="str">
        <f>SUBSTITUTE(SUBSTITUTE(PROPER(TRIM(CLEAN(Table57459[[#This Row],[Field]])))," ","_"),"-","")</f>
        <v>Gcdocs_Link_For_A)</v>
      </c>
      <c r="E4" s="71" t="s">
        <v>468</v>
      </c>
      <c r="F4" s="71" t="str">
        <f>VLOOKUP(Table57459[[#This Row],[Extension]],DescRef1[],2,FALSE)</f>
        <v>URL</v>
      </c>
      <c r="H4" s="83" t="s">
        <v>601</v>
      </c>
      <c r="I4" s="71" t="str">
        <f>IF(Table57459[[#This Row],[Code]]="-", Table57459[[#This Row],[Formatted]], CONCATENATE(Table57459[[#This Row],[Formatted]],"_",Table57459[[#This Row],[Code]]))</f>
        <v>Gcdocs_Link_For_A)_URL</v>
      </c>
      <c r="J4" s="71" t="s">
        <v>78</v>
      </c>
      <c r="K4" s="17"/>
      <c r="L4" s="72"/>
      <c r="N4" s="3" t="str">
        <f>CONCATENATE(VLOOKUP(Table57459[[#This Row],[Field Type]],FieldTypesRef1[],2,FALSE),IF(Table57459[[#This Row],[Mandatory]]="Yes","","?"))</f>
        <v>string?</v>
      </c>
      <c r="O4" s="89" t="str">
        <f>VLOOKUP(Table57459[[#This Row],[Field Type]],FieldTypesRef1[],3,FALSE)</f>
        <v/>
      </c>
      <c r="P4" s="3" t="str">
        <f>IF(Table57459[[#This Row],[Mandatory]]="Yes","[Required]","")</f>
        <v/>
      </c>
      <c r="Q4" s="3" t="str">
        <f>IF(Table57459[[#This Row],[Max Length]]&gt;0,CONCATENATE("[MaxLength(",Table57459[[#This Row],[Max Length]],")]"),"")</f>
        <v/>
      </c>
      <c r="R4" s="3" t="str">
        <f>CONCATENATE("""",Table57459[[#This Row],[SQL Name]],""" = """,Table57459[[#This Row],[Field]],",")</f>
        <v>"Gcdocs_Link_For_A)_URL" = "GCDocs link for a),</v>
      </c>
      <c r="S4"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string? Gcdocs_Link_For_A)_URL {get;set;}</v>
      </c>
    </row>
    <row r="5" spans="1:19" ht="16.05" customHeight="1" x14ac:dyDescent="0.3">
      <c r="A5" s="85" t="s">
        <v>71</v>
      </c>
      <c r="B5" s="92" t="s">
        <v>709</v>
      </c>
      <c r="C5" s="85" t="s">
        <v>713</v>
      </c>
      <c r="D5" s="71" t="str">
        <f>SUBSTITUTE(SUBSTITUTE(PROPER(TRIM(CLEAN(Table57459[[#This Row],[Field]])))," ","_"),"-","")</f>
        <v>Tpp_Program_For_B)</v>
      </c>
      <c r="E5" s="71" t="s">
        <v>78</v>
      </c>
      <c r="F5" s="71" t="str">
        <f>VLOOKUP(Table57459[[#This Row],[Extension]],DescRef1[],2,FALSE)</f>
        <v>TXT</v>
      </c>
      <c r="G5" s="71">
        <v>100</v>
      </c>
      <c r="H5" s="83" t="s">
        <v>568</v>
      </c>
      <c r="I5" s="71" t="str">
        <f>IF(Table57459[[#This Row],[Code]]="-", Table57459[[#This Row],[Formatted]], CONCATENATE(Table57459[[#This Row],[Formatted]],"_",Table57459[[#This Row],[Code]]))</f>
        <v>Tpp_Program_For_B)_TXT</v>
      </c>
      <c r="J5" s="71" t="s">
        <v>78</v>
      </c>
      <c r="K5" s="17"/>
      <c r="L5" s="72"/>
      <c r="N5" s="3" t="str">
        <f>CONCATENATE(VLOOKUP(Table57459[[#This Row],[Field Type]],FieldTypesRef1[],2,FALSE),IF(Table57459[[#This Row],[Mandatory]]="Yes","","?"))</f>
        <v>string</v>
      </c>
      <c r="O5" s="89" t="str">
        <f>VLOOKUP(Table57459[[#This Row],[Field Type]],FieldTypesRef1[],3,FALSE)</f>
        <v/>
      </c>
      <c r="P5" s="3" t="str">
        <f>IF(Table57459[[#This Row],[Mandatory]]="Yes","[Required]","")</f>
        <v>[Required]</v>
      </c>
      <c r="Q5" s="3" t="str">
        <f>IF(Table57459[[#This Row],[Max Length]]&gt;0,CONCATENATE("[MaxLength(",Table57459[[#This Row],[Max Length]],")]"),"")</f>
        <v>[MaxLength(100)]</v>
      </c>
      <c r="R5" s="3" t="str">
        <f>CONCATENATE("""",Table57459[[#This Row],[SQL Name]],""" = """,Table57459[[#This Row],[Field]],",")</f>
        <v>"Tpp_Program_For_B)_TXT" = "TPP Program for b),</v>
      </c>
      <c r="S5"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[Required][MaxLength(100)]public string Tpp_Program_For_B)_TXT {get;set;}</v>
      </c>
    </row>
    <row r="6" spans="1:19" ht="15.45" customHeight="1" x14ac:dyDescent="0.3">
      <c r="A6" s="85" t="s">
        <v>71</v>
      </c>
      <c r="B6" s="92" t="s">
        <v>709</v>
      </c>
      <c r="C6" s="85" t="s">
        <v>714</v>
      </c>
      <c r="D6" s="71" t="str">
        <f>SUBSTITUTE(SUBSTITUTE(PROPER(TRIM(CLEAN(Table57459[[#This Row],[Field]])))," ","_"),"-","")</f>
        <v>Year_For_B)</v>
      </c>
      <c r="E6" s="71" t="s">
        <v>15</v>
      </c>
      <c r="F6" s="71" t="str">
        <f>VLOOKUP(Table57459[[#This Row],[Extension]],DescRef1[],2,FALSE)</f>
        <v>DT</v>
      </c>
      <c r="H6" s="83" t="s">
        <v>601</v>
      </c>
      <c r="I6" s="71" t="str">
        <f>IF(Table57459[[#This Row],[Code]]="-", Table57459[[#This Row],[Formatted]], CONCATENATE(Table57459[[#This Row],[Formatted]],"_",Table57459[[#This Row],[Code]]))</f>
        <v>Year_For_B)_DT</v>
      </c>
      <c r="J6" s="71" t="s">
        <v>15</v>
      </c>
      <c r="K6" s="17"/>
      <c r="L6" s="72"/>
      <c r="N6" s="3" t="str">
        <f>CONCATENATE(VLOOKUP(Table57459[[#This Row],[Field Type]],FieldTypesRef1[],2,FALSE),IF(Table57459[[#This Row],[Mandatory]]="Yes","","?"))</f>
        <v>DateTime?</v>
      </c>
      <c r="O6" s="89" t="str">
        <f>VLOOKUP(Table57459[[#This Row],[Field Type]],FieldTypesRef1[],3,FALSE)</f>
        <v/>
      </c>
      <c r="P6" s="3" t="str">
        <f>IF(Table57459[[#This Row],[Mandatory]]="Yes","[Required]","")</f>
        <v/>
      </c>
      <c r="Q6" s="3" t="str">
        <f>IF(Table57459[[#This Row],[Max Length]]&gt;0,CONCATENATE("[MaxLength(",Table57459[[#This Row],[Max Length]],")]"),"")</f>
        <v/>
      </c>
      <c r="R6" s="3" t="str">
        <f>CONCATENATE("""",Table57459[[#This Row],[SQL Name]],""" = """,Table57459[[#This Row],[Field]],",")</f>
        <v>"Year_For_B)_DT" = "Year for b),</v>
      </c>
      <c r="S6"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DateTime? Year_For_B)_DT {get;set;}</v>
      </c>
    </row>
    <row r="7" spans="1:19" ht="14.55" customHeight="1" x14ac:dyDescent="0.3">
      <c r="A7" s="85" t="s">
        <v>71</v>
      </c>
      <c r="B7" s="92" t="s">
        <v>709</v>
      </c>
      <c r="C7" s="85" t="s">
        <v>715</v>
      </c>
      <c r="D7" s="71" t="str">
        <f>SUBSTITUTE(SUBSTITUTE(PROPER(TRIM(CLEAN(Table57459[[#This Row],[Field]])))," ","_"),"-","")</f>
        <v>Gcdocs_Link_For_B)</v>
      </c>
      <c r="E7" s="71" t="s">
        <v>468</v>
      </c>
      <c r="F7" s="71" t="str">
        <f>VLOOKUP(Table57459[[#This Row],[Extension]],DescRef1[],2,FALSE)</f>
        <v>URL</v>
      </c>
      <c r="H7" s="83" t="s">
        <v>601</v>
      </c>
      <c r="I7" s="71" t="str">
        <f>IF(Table57459[[#This Row],[Code]]="-", Table57459[[#This Row],[Formatted]], CONCATENATE(Table57459[[#This Row],[Formatted]],"_",Table57459[[#This Row],[Code]]))</f>
        <v>Gcdocs_Link_For_B)_URL</v>
      </c>
      <c r="J7" s="71" t="s">
        <v>78</v>
      </c>
      <c r="K7" s="17"/>
      <c r="L7" s="72"/>
      <c r="N7" s="3" t="str">
        <f>CONCATENATE(VLOOKUP(Table57459[[#This Row],[Field Type]],FieldTypesRef1[],2,FALSE),IF(Table57459[[#This Row],[Mandatory]]="Yes","","?"))</f>
        <v>string?</v>
      </c>
      <c r="O7" s="89" t="str">
        <f>VLOOKUP(Table57459[[#This Row],[Field Type]],FieldTypesRef1[],3,FALSE)</f>
        <v/>
      </c>
      <c r="P7" s="3" t="str">
        <f>IF(Table57459[[#This Row],[Mandatory]]="Yes","[Required]","")</f>
        <v/>
      </c>
      <c r="Q7" s="3" t="str">
        <f>IF(Table57459[[#This Row],[Max Length]]&gt;0,CONCATENATE("[MaxLength(",Table57459[[#This Row],[Max Length]],")]"),"")</f>
        <v/>
      </c>
      <c r="R7" s="3" t="str">
        <f>CONCATENATE("""",Table57459[[#This Row],[SQL Name]],""" = """,Table57459[[#This Row],[Field]],",")</f>
        <v>"Gcdocs_Link_For_B)_URL" = "GCDocs link for b),</v>
      </c>
      <c r="S7"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string? Gcdocs_Link_For_B)_URL {get;set;}</v>
      </c>
    </row>
    <row r="8" spans="1:19" ht="16.5" customHeight="1" x14ac:dyDescent="0.3">
      <c r="A8" s="85" t="s">
        <v>71</v>
      </c>
      <c r="B8" s="92" t="s">
        <v>709</v>
      </c>
      <c r="C8" s="85" t="s">
        <v>716</v>
      </c>
      <c r="D8" s="71" t="str">
        <f>SUBSTITUTE(SUBSTITUTE(PROPER(TRIM(CLEAN(Table57459[[#This Row],[Field]])))," ","_"),"-","")</f>
        <v>Tpp_Program_For_C)</v>
      </c>
      <c r="E8" s="71" t="s">
        <v>78</v>
      </c>
      <c r="F8" s="71" t="str">
        <f>VLOOKUP(Table57459[[#This Row],[Extension]],DescRef1[],2,FALSE)</f>
        <v>TXT</v>
      </c>
      <c r="G8" s="71">
        <v>100</v>
      </c>
      <c r="H8" s="83" t="s">
        <v>568</v>
      </c>
      <c r="I8" s="71" t="str">
        <f>IF(Table57459[[#This Row],[Code]]="-", Table57459[[#This Row],[Formatted]], CONCATENATE(Table57459[[#This Row],[Formatted]],"_",Table57459[[#This Row],[Code]]))</f>
        <v>Tpp_Program_For_C)_TXT</v>
      </c>
      <c r="J8" s="71" t="s">
        <v>78</v>
      </c>
      <c r="K8" s="17"/>
      <c r="L8" s="72"/>
      <c r="N8" s="3" t="str">
        <f>CONCATENATE(VLOOKUP(Table57459[[#This Row],[Field Type]],FieldTypesRef1[],2,FALSE),IF(Table57459[[#This Row],[Mandatory]]="Yes","","?"))</f>
        <v>string</v>
      </c>
      <c r="O8" s="89" t="str">
        <f>VLOOKUP(Table57459[[#This Row],[Field Type]],FieldTypesRef1[],3,FALSE)</f>
        <v/>
      </c>
      <c r="P8" s="3" t="str">
        <f>IF(Table57459[[#This Row],[Mandatory]]="Yes","[Required]","")</f>
        <v>[Required]</v>
      </c>
      <c r="Q8" s="3" t="str">
        <f>IF(Table57459[[#This Row],[Max Length]]&gt;0,CONCATENATE("[MaxLength(",Table57459[[#This Row],[Max Length]],")]"),"")</f>
        <v>[MaxLength(100)]</v>
      </c>
      <c r="R8" s="3" t="str">
        <f>CONCATENATE("""",Table57459[[#This Row],[SQL Name]],""" = """,Table57459[[#This Row],[Field]],",")</f>
        <v>"Tpp_Program_For_C)_TXT" = "TPP Program for c),</v>
      </c>
      <c r="S8"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[Required][MaxLength(100)]public string Tpp_Program_For_C)_TXT {get;set;}</v>
      </c>
    </row>
    <row r="9" spans="1:19" ht="15" customHeight="1" x14ac:dyDescent="0.3">
      <c r="A9" s="85" t="s">
        <v>71</v>
      </c>
      <c r="B9" s="92" t="s">
        <v>709</v>
      </c>
      <c r="C9" s="85" t="s">
        <v>717</v>
      </c>
      <c r="D9" s="71" t="str">
        <f>SUBSTITUTE(SUBSTITUTE(PROPER(TRIM(CLEAN(Table57459[[#This Row],[Field]])))," ","_"),"-","")</f>
        <v>Year_For_C)</v>
      </c>
      <c r="E9" s="71" t="s">
        <v>15</v>
      </c>
      <c r="F9" s="71" t="str">
        <f>VLOOKUP(Table57459[[#This Row],[Extension]],DescRef1[],2,FALSE)</f>
        <v>DT</v>
      </c>
      <c r="H9" s="83" t="s">
        <v>601</v>
      </c>
      <c r="I9" s="71" t="str">
        <f>IF(Table57459[[#This Row],[Code]]="-", Table57459[[#This Row],[Formatted]], CONCATENATE(Table57459[[#This Row],[Formatted]],"_",Table57459[[#This Row],[Code]]))</f>
        <v>Year_For_C)_DT</v>
      </c>
      <c r="J9" s="71" t="s">
        <v>15</v>
      </c>
      <c r="K9" s="17"/>
      <c r="L9" s="72"/>
      <c r="N9" s="3" t="str">
        <f>CONCATENATE(VLOOKUP(Table57459[[#This Row],[Field Type]],FieldTypesRef1[],2,FALSE),IF(Table57459[[#This Row],[Mandatory]]="Yes","","?"))</f>
        <v>DateTime?</v>
      </c>
      <c r="O9" s="89" t="str">
        <f>VLOOKUP(Table57459[[#This Row],[Field Type]],FieldTypesRef1[],3,FALSE)</f>
        <v/>
      </c>
      <c r="P9" s="3" t="str">
        <f>IF(Table57459[[#This Row],[Mandatory]]="Yes","[Required]","")</f>
        <v/>
      </c>
      <c r="Q9" s="3" t="str">
        <f>IF(Table57459[[#This Row],[Max Length]]&gt;0,CONCATENATE("[MaxLength(",Table57459[[#This Row],[Max Length]],")]"),"")</f>
        <v/>
      </c>
      <c r="R9" s="3" t="str">
        <f>CONCATENATE("""",Table57459[[#This Row],[SQL Name]],""" = """,Table57459[[#This Row],[Field]],",")</f>
        <v>"Year_For_C)_DT" = "Year for c),</v>
      </c>
      <c r="S9"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DateTime? Year_For_C)_DT {get;set;}</v>
      </c>
    </row>
    <row r="10" spans="1:19" ht="15.45" customHeight="1" x14ac:dyDescent="0.3">
      <c r="A10" s="85" t="s">
        <v>71</v>
      </c>
      <c r="B10" s="92" t="s">
        <v>709</v>
      </c>
      <c r="C10" s="85" t="s">
        <v>718</v>
      </c>
      <c r="D10" s="71" t="str">
        <f>SUBSTITUTE(SUBSTITUTE(PROPER(TRIM(CLEAN(Table57459[[#This Row],[Field]])))," ","_"),"-","")</f>
        <v>Gcdocs_Link_For_C)</v>
      </c>
      <c r="E10" s="71" t="s">
        <v>468</v>
      </c>
      <c r="F10" s="71" t="str">
        <f>VLOOKUP(Table57459[[#This Row],[Extension]],DescRef1[],2,FALSE)</f>
        <v>URL</v>
      </c>
      <c r="H10" s="83" t="s">
        <v>601</v>
      </c>
      <c r="I10" s="71" t="str">
        <f>IF(Table57459[[#This Row],[Code]]="-", Table57459[[#This Row],[Formatted]], CONCATENATE(Table57459[[#This Row],[Formatted]],"_",Table57459[[#This Row],[Code]]))</f>
        <v>Gcdocs_Link_For_C)_URL</v>
      </c>
      <c r="J10" s="71" t="s">
        <v>78</v>
      </c>
      <c r="K10" s="17"/>
      <c r="L10" s="72"/>
      <c r="N10" s="3" t="str">
        <f>CONCATENATE(VLOOKUP(Table57459[[#This Row],[Field Type]],FieldTypesRef1[],2,FALSE),IF(Table57459[[#This Row],[Mandatory]]="Yes","","?"))</f>
        <v>string?</v>
      </c>
      <c r="O10" s="89" t="str">
        <f>VLOOKUP(Table57459[[#This Row],[Field Type]],FieldTypesRef1[],3,FALSE)</f>
        <v/>
      </c>
      <c r="P10" s="3" t="str">
        <f>IF(Table57459[[#This Row],[Mandatory]]="Yes","[Required]","")</f>
        <v/>
      </c>
      <c r="Q10" s="3" t="str">
        <f>IF(Table57459[[#This Row],[Max Length]]&gt;0,CONCATENATE("[MaxLength(",Table57459[[#This Row],[Max Length]],")]"),"")</f>
        <v/>
      </c>
      <c r="R10" s="3" t="str">
        <f>CONCATENATE("""",Table57459[[#This Row],[SQL Name]],""" = """,Table57459[[#This Row],[Field]],",")</f>
        <v>"Gcdocs_Link_For_C)_URL" = "GCDocs link for c),</v>
      </c>
      <c r="S10"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string? Gcdocs_Link_For_C)_URL {get;set;}</v>
      </c>
    </row>
    <row r="11" spans="1:19" ht="16.95" customHeight="1" x14ac:dyDescent="0.3">
      <c r="A11" s="85" t="s">
        <v>71</v>
      </c>
      <c r="B11" s="92" t="s">
        <v>709</v>
      </c>
      <c r="C11" s="85" t="s">
        <v>719</v>
      </c>
      <c r="D11" s="71" t="str">
        <f>SUBSTITUTE(SUBSTITUTE(PROPER(TRIM(CLEAN(Table57459[[#This Row],[Field]])))," ","_"),"-","")</f>
        <v>Tpp_Program_For_D)</v>
      </c>
      <c r="E11" s="71" t="s">
        <v>78</v>
      </c>
      <c r="F11" s="71" t="str">
        <f>VLOOKUP(Table57459[[#This Row],[Extension]],DescRef1[],2,FALSE)</f>
        <v>TXT</v>
      </c>
      <c r="G11" s="71">
        <v>100</v>
      </c>
      <c r="H11" s="83" t="s">
        <v>568</v>
      </c>
      <c r="I11" s="71" t="str">
        <f>IF(Table57459[[#This Row],[Code]]="-", Table57459[[#This Row],[Formatted]], CONCATENATE(Table57459[[#This Row],[Formatted]],"_",Table57459[[#This Row],[Code]]))</f>
        <v>Tpp_Program_For_D)_TXT</v>
      </c>
      <c r="J11" s="71" t="s">
        <v>78</v>
      </c>
      <c r="K11" s="17"/>
      <c r="L11" s="72"/>
      <c r="N11" s="3" t="str">
        <f>CONCATENATE(VLOOKUP(Table57459[[#This Row],[Field Type]],FieldTypesRef1[],2,FALSE),IF(Table57459[[#This Row],[Mandatory]]="Yes","","?"))</f>
        <v>string</v>
      </c>
      <c r="O11" s="89" t="str">
        <f>VLOOKUP(Table57459[[#This Row],[Field Type]],FieldTypesRef1[],3,FALSE)</f>
        <v/>
      </c>
      <c r="P11" s="3" t="str">
        <f>IF(Table57459[[#This Row],[Mandatory]]="Yes","[Required]","")</f>
        <v>[Required]</v>
      </c>
      <c r="Q11" s="3" t="str">
        <f>IF(Table57459[[#This Row],[Max Length]]&gt;0,CONCATENATE("[MaxLength(",Table57459[[#This Row],[Max Length]],")]"),"")</f>
        <v>[MaxLength(100)]</v>
      </c>
      <c r="R11" s="3" t="str">
        <f>CONCATENATE("""",Table57459[[#This Row],[SQL Name]],""" = """,Table57459[[#This Row],[Field]],",")</f>
        <v>"Tpp_Program_For_D)_TXT" = "TPP Program for d),</v>
      </c>
      <c r="S11"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[Required][MaxLength(100)]public string Tpp_Program_For_D)_TXT {get;set;}</v>
      </c>
    </row>
    <row r="12" spans="1:19" ht="15.45" customHeight="1" x14ac:dyDescent="0.3">
      <c r="A12" s="85" t="s">
        <v>71</v>
      </c>
      <c r="B12" s="92" t="s">
        <v>709</v>
      </c>
      <c r="C12" s="85" t="s">
        <v>720</v>
      </c>
      <c r="D12" s="71" t="str">
        <f>SUBSTITUTE(SUBSTITUTE(PROPER(TRIM(CLEAN(Table57459[[#This Row],[Field]])))," ","_"),"-","")</f>
        <v>Year_For_D)</v>
      </c>
      <c r="E12" s="71" t="s">
        <v>15</v>
      </c>
      <c r="F12" s="71" t="str">
        <f>VLOOKUP(Table57459[[#This Row],[Extension]],DescRef1[],2,FALSE)</f>
        <v>DT</v>
      </c>
      <c r="H12" s="83" t="s">
        <v>601</v>
      </c>
      <c r="I12" s="71" t="str">
        <f>IF(Table57459[[#This Row],[Code]]="-", Table57459[[#This Row],[Formatted]], CONCATENATE(Table57459[[#This Row],[Formatted]],"_",Table57459[[#This Row],[Code]]))</f>
        <v>Year_For_D)_DT</v>
      </c>
      <c r="J12" s="71" t="s">
        <v>15</v>
      </c>
      <c r="K12" s="17"/>
      <c r="L12" s="72"/>
      <c r="N12" s="3" t="str">
        <f>CONCATENATE(VLOOKUP(Table57459[[#This Row],[Field Type]],FieldTypesRef1[],2,FALSE),IF(Table57459[[#This Row],[Mandatory]]="Yes","","?"))</f>
        <v>DateTime?</v>
      </c>
      <c r="O12" s="89" t="str">
        <f>VLOOKUP(Table57459[[#This Row],[Field Type]],FieldTypesRef1[],3,FALSE)</f>
        <v/>
      </c>
      <c r="P12" s="3" t="str">
        <f>IF(Table57459[[#This Row],[Mandatory]]="Yes","[Required]","")</f>
        <v/>
      </c>
      <c r="Q12" s="3" t="str">
        <f>IF(Table57459[[#This Row],[Max Length]]&gt;0,CONCATENATE("[MaxLength(",Table57459[[#This Row],[Max Length]],")]"),"")</f>
        <v/>
      </c>
      <c r="R12" s="3" t="str">
        <f>CONCATENATE("""",Table57459[[#This Row],[SQL Name]],""" = """,Table57459[[#This Row],[Field]],",")</f>
        <v>"Year_For_D)_DT" = "Year for d),</v>
      </c>
      <c r="S12"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DateTime? Year_For_D)_DT {get;set;}</v>
      </c>
    </row>
    <row r="13" spans="1:19" ht="17.55" customHeight="1" x14ac:dyDescent="0.3">
      <c r="A13" s="85" t="s">
        <v>71</v>
      </c>
      <c r="B13" s="92" t="s">
        <v>709</v>
      </c>
      <c r="C13" s="85" t="s">
        <v>721</v>
      </c>
      <c r="D13" s="71" t="str">
        <f>SUBSTITUTE(SUBSTITUTE(PROPER(TRIM(CLEAN(Table57459[[#This Row],[Field]])))," ","_"),"-","")</f>
        <v>Gcdocs_Link_For_D)</v>
      </c>
      <c r="E13" s="71" t="s">
        <v>468</v>
      </c>
      <c r="F13" s="71" t="str">
        <f>VLOOKUP(Table57459[[#This Row],[Extension]],DescRef1[],2,FALSE)</f>
        <v>URL</v>
      </c>
      <c r="H13" s="83" t="s">
        <v>601</v>
      </c>
      <c r="I13" s="71" t="str">
        <f>IF(Table57459[[#This Row],[Code]]="-", Table57459[[#This Row],[Formatted]], CONCATENATE(Table57459[[#This Row],[Formatted]],"_",Table57459[[#This Row],[Code]]))</f>
        <v>Gcdocs_Link_For_D)_URL</v>
      </c>
      <c r="J13" s="71" t="s">
        <v>78</v>
      </c>
      <c r="K13" s="17"/>
      <c r="L13" s="72"/>
      <c r="N13" s="3" t="str">
        <f>CONCATENATE(VLOOKUP(Table57459[[#This Row],[Field Type]],FieldTypesRef1[],2,FALSE),IF(Table57459[[#This Row],[Mandatory]]="Yes","","?"))</f>
        <v>string?</v>
      </c>
      <c r="O13" s="89" t="str">
        <f>VLOOKUP(Table57459[[#This Row],[Field Type]],FieldTypesRef1[],3,FALSE)</f>
        <v/>
      </c>
      <c r="P13" s="3" t="str">
        <f>IF(Table57459[[#This Row],[Mandatory]]="Yes","[Required]","")</f>
        <v/>
      </c>
      <c r="Q13" s="3" t="str">
        <f>IF(Table57459[[#This Row],[Max Length]]&gt;0,CONCATENATE("[MaxLength(",Table57459[[#This Row],[Max Length]],")]"),"")</f>
        <v/>
      </c>
      <c r="R13" s="3" t="str">
        <f>CONCATENATE("""",Table57459[[#This Row],[SQL Name]],""" = """,Table57459[[#This Row],[Field]],",")</f>
        <v>"Gcdocs_Link_For_D)_URL" = "GCDocs link for d),</v>
      </c>
      <c r="S13"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string? Gcdocs_Link_For_D)_URL {get;set;}</v>
      </c>
    </row>
    <row r="14" spans="1:19" ht="16.95" customHeight="1" x14ac:dyDescent="0.3">
      <c r="A14" s="85" t="s">
        <v>71</v>
      </c>
      <c r="B14" s="92" t="s">
        <v>709</v>
      </c>
      <c r="C14" s="85" t="s">
        <v>722</v>
      </c>
      <c r="D14" s="71" t="str">
        <f>SUBSTITUTE(SUBSTITUTE(PROPER(TRIM(CLEAN(Table57459[[#This Row],[Field]])))," ","_"),"-","")</f>
        <v>Tpp_Program_For_E)</v>
      </c>
      <c r="E14" s="71" t="s">
        <v>78</v>
      </c>
      <c r="F14" s="71" t="str">
        <f>VLOOKUP(Table57459[[#This Row],[Extension]],DescRef1[],2,FALSE)</f>
        <v>TXT</v>
      </c>
      <c r="G14" s="71">
        <v>100</v>
      </c>
      <c r="H14" s="83" t="s">
        <v>568</v>
      </c>
      <c r="I14" s="71" t="str">
        <f>IF(Table57459[[#This Row],[Code]]="-", Table57459[[#This Row],[Formatted]], CONCATENATE(Table57459[[#This Row],[Formatted]],"_",Table57459[[#This Row],[Code]]))</f>
        <v>Tpp_Program_For_E)_TXT</v>
      </c>
      <c r="J14" s="71" t="s">
        <v>78</v>
      </c>
      <c r="K14" s="17"/>
      <c r="L14" s="72"/>
      <c r="N14" s="3" t="str">
        <f>CONCATENATE(VLOOKUP(Table57459[[#This Row],[Field Type]],FieldTypesRef1[],2,FALSE),IF(Table57459[[#This Row],[Mandatory]]="Yes","","?"))</f>
        <v>string</v>
      </c>
      <c r="O14" s="89" t="str">
        <f>VLOOKUP(Table57459[[#This Row],[Field Type]],FieldTypesRef1[],3,FALSE)</f>
        <v/>
      </c>
      <c r="P14" s="3" t="str">
        <f>IF(Table57459[[#This Row],[Mandatory]]="Yes","[Required]","")</f>
        <v>[Required]</v>
      </c>
      <c r="Q14" s="3" t="str">
        <f>IF(Table57459[[#This Row],[Max Length]]&gt;0,CONCATENATE("[MaxLength(",Table57459[[#This Row],[Max Length]],")]"),"")</f>
        <v>[MaxLength(100)]</v>
      </c>
      <c r="R14" s="3" t="str">
        <f>CONCATENATE("""",Table57459[[#This Row],[SQL Name]],""" = """,Table57459[[#This Row],[Field]],",")</f>
        <v>"Tpp_Program_For_E)_TXT" = "TPP Program for e),</v>
      </c>
      <c r="S14"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[Required][MaxLength(100)]public string Tpp_Program_For_E)_TXT {get;set;}</v>
      </c>
    </row>
    <row r="15" spans="1:19" ht="15" customHeight="1" x14ac:dyDescent="0.3">
      <c r="A15" s="85" t="s">
        <v>71</v>
      </c>
      <c r="B15" s="92" t="s">
        <v>709</v>
      </c>
      <c r="C15" s="85" t="s">
        <v>723</v>
      </c>
      <c r="D15" s="71" t="str">
        <f>SUBSTITUTE(SUBSTITUTE(PROPER(TRIM(CLEAN(Table57459[[#This Row],[Field]])))," ","_"),"-","")</f>
        <v>Year_For_E)</v>
      </c>
      <c r="E15" s="71" t="s">
        <v>15</v>
      </c>
      <c r="F15" s="71" t="str">
        <f>VLOOKUP(Table57459[[#This Row],[Extension]],DescRef1[],2,FALSE)</f>
        <v>DT</v>
      </c>
      <c r="H15" s="83" t="s">
        <v>601</v>
      </c>
      <c r="I15" s="71" t="str">
        <f>IF(Table57459[[#This Row],[Code]]="-", Table57459[[#This Row],[Formatted]], CONCATENATE(Table57459[[#This Row],[Formatted]],"_",Table57459[[#This Row],[Code]]))</f>
        <v>Year_For_E)_DT</v>
      </c>
      <c r="J15" s="71" t="s">
        <v>15</v>
      </c>
      <c r="K15" s="17"/>
      <c r="L15" s="72"/>
      <c r="N15" s="3" t="str">
        <f>CONCATENATE(VLOOKUP(Table57459[[#This Row],[Field Type]],FieldTypesRef1[],2,FALSE),IF(Table57459[[#This Row],[Mandatory]]="Yes","","?"))</f>
        <v>DateTime?</v>
      </c>
      <c r="O15" s="89" t="str">
        <f>VLOOKUP(Table57459[[#This Row],[Field Type]],FieldTypesRef1[],3,FALSE)</f>
        <v/>
      </c>
      <c r="P15" s="3" t="str">
        <f>IF(Table57459[[#This Row],[Mandatory]]="Yes","[Required]","")</f>
        <v/>
      </c>
      <c r="Q15" s="3" t="str">
        <f>IF(Table57459[[#This Row],[Max Length]]&gt;0,CONCATENATE("[MaxLength(",Table57459[[#This Row],[Max Length]],")]"),"")</f>
        <v/>
      </c>
      <c r="R15" s="3" t="str">
        <f>CONCATENATE("""",Table57459[[#This Row],[SQL Name]],""" = """,Table57459[[#This Row],[Field]],",")</f>
        <v>"Year_For_E)_DT" = "Year for e),</v>
      </c>
      <c r="S15"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DateTime? Year_For_E)_DT {get;set;}</v>
      </c>
    </row>
    <row r="16" spans="1:19" ht="19.05" customHeight="1" x14ac:dyDescent="0.3">
      <c r="A16" s="85" t="s">
        <v>71</v>
      </c>
      <c r="B16" s="92" t="s">
        <v>709</v>
      </c>
      <c r="C16" s="85" t="s">
        <v>724</v>
      </c>
      <c r="D16" s="71" t="str">
        <f>SUBSTITUTE(SUBSTITUTE(PROPER(TRIM(CLEAN(Table57459[[#This Row],[Field]])))," ","_"),"-","")</f>
        <v>Gcdocs_Link_For_E)</v>
      </c>
      <c r="E16" s="71" t="s">
        <v>468</v>
      </c>
      <c r="F16" s="71" t="str">
        <f>VLOOKUP(Table57459[[#This Row],[Extension]],DescRef1[],2,FALSE)</f>
        <v>URL</v>
      </c>
      <c r="H16" s="83" t="s">
        <v>601</v>
      </c>
      <c r="I16" s="71" t="str">
        <f>IF(Table57459[[#This Row],[Code]]="-", Table57459[[#This Row],[Formatted]], CONCATENATE(Table57459[[#This Row],[Formatted]],"_",Table57459[[#This Row],[Code]]))</f>
        <v>Gcdocs_Link_For_E)_URL</v>
      </c>
      <c r="J16" s="71" t="s">
        <v>78</v>
      </c>
      <c r="K16" s="17"/>
      <c r="L16" s="72"/>
      <c r="N16" s="3" t="str">
        <f>CONCATENATE(VLOOKUP(Table57459[[#This Row],[Field Type]],FieldTypesRef1[],2,FALSE),IF(Table57459[[#This Row],[Mandatory]]="Yes","","?"))</f>
        <v>string?</v>
      </c>
      <c r="O16" s="89" t="str">
        <f>VLOOKUP(Table57459[[#This Row],[Field Type]],FieldTypesRef1[],3,FALSE)</f>
        <v/>
      </c>
      <c r="P16" s="3" t="str">
        <f>IF(Table57459[[#This Row],[Mandatory]]="Yes","[Required]","")</f>
        <v/>
      </c>
      <c r="Q16" s="3" t="str">
        <f>IF(Table57459[[#This Row],[Max Length]]&gt;0,CONCATENATE("[MaxLength(",Table57459[[#This Row],[Max Length]],")]"),"")</f>
        <v/>
      </c>
      <c r="R16" s="3" t="str">
        <f>CONCATENATE("""",Table57459[[#This Row],[SQL Name]],""" = """,Table57459[[#This Row],[Field]],",")</f>
        <v>"Gcdocs_Link_For_E)_URL" = "GCDocs link for e),</v>
      </c>
      <c r="S16"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string? Gcdocs_Link_For_E)_URL {get;set;}</v>
      </c>
    </row>
    <row r="17" spans="1:19" ht="16.95" customHeight="1" x14ac:dyDescent="0.3">
      <c r="A17" s="85" t="s">
        <v>71</v>
      </c>
      <c r="B17" s="92" t="s">
        <v>709</v>
      </c>
      <c r="C17" s="85" t="s">
        <v>725</v>
      </c>
      <c r="D17" s="71" t="str">
        <f>SUBSTITUTE(SUBSTITUTE(PROPER(TRIM(CLEAN(Table57459[[#This Row],[Field]])))," ","_"),"-","")</f>
        <v>Tpp_Program_For_F)</v>
      </c>
      <c r="E17" s="71" t="s">
        <v>78</v>
      </c>
      <c r="F17" s="71" t="str">
        <f>VLOOKUP(Table57459[[#This Row],[Extension]],DescRef1[],2,FALSE)</f>
        <v>TXT</v>
      </c>
      <c r="G17" s="71">
        <v>100</v>
      </c>
      <c r="H17" s="83" t="s">
        <v>568</v>
      </c>
      <c r="I17" s="71" t="str">
        <f>IF(Table57459[[#This Row],[Code]]="-", Table57459[[#This Row],[Formatted]], CONCATENATE(Table57459[[#This Row],[Formatted]],"_",Table57459[[#This Row],[Code]]))</f>
        <v>Tpp_Program_For_F)_TXT</v>
      </c>
      <c r="J17" s="71" t="s">
        <v>78</v>
      </c>
      <c r="K17" s="17"/>
      <c r="L17" s="72"/>
      <c r="N17" s="3" t="str">
        <f>CONCATENATE(VLOOKUP(Table57459[[#This Row],[Field Type]],FieldTypesRef1[],2,FALSE),IF(Table57459[[#This Row],[Mandatory]]="Yes","","?"))</f>
        <v>string</v>
      </c>
      <c r="O17" s="89" t="str">
        <f>VLOOKUP(Table57459[[#This Row],[Field Type]],FieldTypesRef1[],3,FALSE)</f>
        <v/>
      </c>
      <c r="P17" s="3" t="str">
        <f>IF(Table57459[[#This Row],[Mandatory]]="Yes","[Required]","")</f>
        <v>[Required]</v>
      </c>
      <c r="Q17" s="3" t="str">
        <f>IF(Table57459[[#This Row],[Max Length]]&gt;0,CONCATENATE("[MaxLength(",Table57459[[#This Row],[Max Length]],")]"),"")</f>
        <v>[MaxLength(100)]</v>
      </c>
      <c r="R17" s="3" t="str">
        <f>CONCATENATE("""",Table57459[[#This Row],[SQL Name]],""" = """,Table57459[[#This Row],[Field]],",")</f>
        <v>"Tpp_Program_For_F)_TXT" = "TPP Program for f),</v>
      </c>
      <c r="S17"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[Required][MaxLength(100)]public string Tpp_Program_For_F)_TXT {get;set;}</v>
      </c>
    </row>
    <row r="18" spans="1:19" ht="17.55" customHeight="1" x14ac:dyDescent="0.3">
      <c r="A18" s="85" t="s">
        <v>71</v>
      </c>
      <c r="B18" s="92" t="s">
        <v>709</v>
      </c>
      <c r="C18" s="85" t="s">
        <v>726</v>
      </c>
      <c r="D18" s="71" t="str">
        <f>SUBSTITUTE(SUBSTITUTE(PROPER(TRIM(CLEAN(Table57459[[#This Row],[Field]])))," ","_"),"-","")</f>
        <v>Year_For_F)</v>
      </c>
      <c r="E18" s="71" t="s">
        <v>15</v>
      </c>
      <c r="F18" s="71" t="str">
        <f>VLOOKUP(Table57459[[#This Row],[Extension]],DescRef1[],2,FALSE)</f>
        <v>DT</v>
      </c>
      <c r="H18" s="83" t="s">
        <v>601</v>
      </c>
      <c r="I18" s="71" t="str">
        <f>IF(Table57459[[#This Row],[Code]]="-", Table57459[[#This Row],[Formatted]], CONCATENATE(Table57459[[#This Row],[Formatted]],"_",Table57459[[#This Row],[Code]]))</f>
        <v>Year_For_F)_DT</v>
      </c>
      <c r="J18" s="71" t="s">
        <v>15</v>
      </c>
      <c r="K18" s="17"/>
      <c r="L18" s="72"/>
      <c r="N18" s="3" t="str">
        <f>CONCATENATE(VLOOKUP(Table57459[[#This Row],[Field Type]],FieldTypesRef1[],2,FALSE),IF(Table57459[[#This Row],[Mandatory]]="Yes","","?"))</f>
        <v>DateTime?</v>
      </c>
      <c r="O18" s="89" t="str">
        <f>VLOOKUP(Table57459[[#This Row],[Field Type]],FieldTypesRef1[],3,FALSE)</f>
        <v/>
      </c>
      <c r="P18" s="3" t="str">
        <f>IF(Table57459[[#This Row],[Mandatory]]="Yes","[Required]","")</f>
        <v/>
      </c>
      <c r="Q18" s="3" t="str">
        <f>IF(Table57459[[#This Row],[Max Length]]&gt;0,CONCATENATE("[MaxLength(",Table57459[[#This Row],[Max Length]],")]"),"")</f>
        <v/>
      </c>
      <c r="R18" s="3" t="str">
        <f>CONCATENATE("""",Table57459[[#This Row],[SQL Name]],""" = """,Table57459[[#This Row],[Field]],",")</f>
        <v>"Year_For_F)_DT" = "Year for f),</v>
      </c>
      <c r="S18"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DateTime? Year_For_F)_DT {get;set;}</v>
      </c>
    </row>
    <row r="19" spans="1:19" ht="16.95" customHeight="1" x14ac:dyDescent="0.3">
      <c r="A19" s="85" t="s">
        <v>71</v>
      </c>
      <c r="B19" s="92" t="s">
        <v>709</v>
      </c>
      <c r="C19" s="85" t="s">
        <v>727</v>
      </c>
      <c r="D19" s="71" t="str">
        <f>SUBSTITUTE(SUBSTITUTE(PROPER(TRIM(CLEAN(Table57459[[#This Row],[Field]])))," ","_"),"-","")</f>
        <v>Gcdocs_Link_For_F)</v>
      </c>
      <c r="E19" s="71" t="s">
        <v>468</v>
      </c>
      <c r="F19" s="71" t="str">
        <f>VLOOKUP(Table57459[[#This Row],[Extension]],DescRef1[],2,FALSE)</f>
        <v>URL</v>
      </c>
      <c r="H19" s="83" t="s">
        <v>601</v>
      </c>
      <c r="I19" s="71" t="str">
        <f>IF(Table57459[[#This Row],[Code]]="-", Table57459[[#This Row],[Formatted]], CONCATENATE(Table57459[[#This Row],[Formatted]],"_",Table57459[[#This Row],[Code]]))</f>
        <v>Gcdocs_Link_For_F)_URL</v>
      </c>
      <c r="J19" s="71" t="s">
        <v>78</v>
      </c>
      <c r="K19" s="17"/>
      <c r="L19" s="72"/>
      <c r="N19" s="3" t="str">
        <f>CONCATENATE(VLOOKUP(Table57459[[#This Row],[Field Type]],FieldTypesRef1[],2,FALSE),IF(Table57459[[#This Row],[Mandatory]]="Yes","","?"))</f>
        <v>string?</v>
      </c>
      <c r="O19" s="89" t="str">
        <f>VLOOKUP(Table57459[[#This Row],[Field Type]],FieldTypesRef1[],3,FALSE)</f>
        <v/>
      </c>
      <c r="P19" s="3" t="str">
        <f>IF(Table57459[[#This Row],[Mandatory]]="Yes","[Required]","")</f>
        <v/>
      </c>
      <c r="Q19" s="3" t="str">
        <f>IF(Table57459[[#This Row],[Max Length]]&gt;0,CONCATENATE("[MaxLength(",Table57459[[#This Row],[Max Length]],")]"),"")</f>
        <v/>
      </c>
      <c r="R19" s="3" t="str">
        <f>CONCATENATE("""",Table57459[[#This Row],[SQL Name]],""" = """,Table57459[[#This Row],[Field]],",")</f>
        <v>"Gcdocs_Link_For_F)_URL" = "GCDocs link for f),</v>
      </c>
      <c r="S19" s="71" t="str">
        <f>CONCATENATE("/** Section: ",Table57459[[#This Row],[Section]], " **/ ",Table57459[[#This Row],[EF Core Annotation1]],Table57459[[#This Row],[EF Core Annotation2]],Table57459[[#This Row],[EF Core Annotation3]],"public ",Table57459[[#This Row],[EF Type]]," ",Table57459[[#This Row],[SQL Name]]," {get;set;}")</f>
        <v>/** Section: Supplementary Information Tables (SITs) **/ public string? Gcdocs_Link_For_F)_URL {get;set;}</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Sheet2!$C$2:$C$10</xm:f>
          </x14:formula1>
          <xm:sqref>N20:Q283 M2:M283</xm:sqref>
        </x14:dataValidation>
        <x14:dataValidation type="list" allowBlank="1" showInputMessage="1" showErrorMessage="1">
          <x14:formula1>
            <xm:f>'Datahub Reference'!$A$33:$A$40</xm:f>
          </x14:formula1>
          <xm:sqref>J2:J19</xm:sqref>
        </x14:dataValidation>
        <x14:dataValidation type="list" allowBlank="1" showInputMessage="1" showErrorMessage="1">
          <x14:formula1>
            <xm:f>'Datahub Reference'!$A$3:$A$30</xm:f>
          </x14:formula1>
          <xm:sqref>E1:E1048576</xm:sqref>
        </x14:dataValidation>
        <x14:dataValidation type="list" allowBlank="1" showInputMessage="1" showErrorMessage="1">
          <x14:formula1>
            <xm:f>Sheet2!$A$2:A$9</xm:f>
          </x14:formula1>
          <xm:sqref>J20:J150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zoomScale="80" zoomScaleNormal="80" workbookViewId="0">
      <selection activeCell="A2" sqref="A2"/>
    </sheetView>
  </sheetViews>
  <sheetFormatPr defaultColWidth="9.21875" defaultRowHeight="14.4" x14ac:dyDescent="0.3"/>
  <cols>
    <col min="1" max="1" width="22.6640625" style="85" customWidth="1"/>
    <col min="2" max="2" width="19.44140625" style="85" customWidth="1"/>
    <col min="3" max="3" width="57" style="85" customWidth="1"/>
    <col min="4" max="4" width="28.88671875" style="71" customWidth="1"/>
    <col min="5" max="5" width="28" style="71" customWidth="1"/>
    <col min="6" max="8" width="16.21875" style="71" customWidth="1"/>
    <col min="9" max="9" width="65.21875" style="71" customWidth="1"/>
    <col min="10" max="10" width="21.77734375" style="71" customWidth="1"/>
    <col min="11" max="11" width="33.44140625" style="3" customWidth="1"/>
    <col min="12" max="12" width="31.6640625" style="71" customWidth="1"/>
    <col min="13" max="14" width="21" style="71" customWidth="1"/>
    <col min="15" max="15" width="21" style="84" customWidth="1"/>
    <col min="16" max="17" width="21" style="71" customWidth="1"/>
    <col min="18" max="18" width="15.21875" style="71" customWidth="1"/>
    <col min="19" max="19" width="14.5546875" style="71" customWidth="1"/>
    <col min="20" max="16384" width="9.21875" style="71"/>
  </cols>
  <sheetData>
    <row r="1" spans="1:20" s="3" customFormat="1" ht="35.25" customHeight="1" x14ac:dyDescent="0.3">
      <c r="A1" s="87" t="s">
        <v>550</v>
      </c>
      <c r="B1" s="87" t="s">
        <v>630</v>
      </c>
      <c r="C1" s="87" t="s">
        <v>0</v>
      </c>
      <c r="D1" s="87" t="s">
        <v>634</v>
      </c>
      <c r="E1" s="3" t="s">
        <v>551</v>
      </c>
      <c r="F1" s="87" t="s">
        <v>469</v>
      </c>
      <c r="G1" s="3" t="s">
        <v>482</v>
      </c>
      <c r="H1" s="87" t="s">
        <v>549</v>
      </c>
      <c r="I1" s="87" t="s">
        <v>544</v>
      </c>
      <c r="J1" s="3" t="s">
        <v>470</v>
      </c>
      <c r="K1" s="87" t="s">
        <v>85</v>
      </c>
      <c r="L1" s="87" t="s">
        <v>461</v>
      </c>
      <c r="M1" s="3" t="s">
        <v>2</v>
      </c>
      <c r="N1" s="3" t="s">
        <v>3</v>
      </c>
      <c r="O1" s="3" t="s">
        <v>559</v>
      </c>
      <c r="P1" s="3" t="s">
        <v>590</v>
      </c>
      <c r="Q1" s="3" t="s">
        <v>591</v>
      </c>
      <c r="R1" s="3" t="s">
        <v>592</v>
      </c>
      <c r="S1" s="3" t="s">
        <v>594</v>
      </c>
      <c r="T1" s="3" t="s">
        <v>593</v>
      </c>
    </row>
    <row r="2" spans="1:20" s="83" customFormat="1" ht="15.45" customHeight="1" x14ac:dyDescent="0.3">
      <c r="A2" s="95" t="s">
        <v>605</v>
      </c>
      <c r="B2" s="95"/>
      <c r="C2" s="95" t="s">
        <v>604</v>
      </c>
      <c r="D2" s="95" t="s">
        <v>624</v>
      </c>
      <c r="E2" s="83" t="str">
        <f>SUBSTITUTE(SUBSTITUTE(PROPER(TRIM(CLEAN(Table57451011[[#This Row],[Field]])))," ","_"),"-","")</f>
        <v>Program_Title_And_Descriptionin_The_Text_Box_Below,_Please_Clearly_Identify_The_Program_Title_And_Include_A_Brief_Description.</v>
      </c>
      <c r="F2" s="83" t="s">
        <v>78</v>
      </c>
      <c r="G2" s="83" t="str">
        <f>VLOOKUP(Table57451011[[#This Row],[Extension]],DescRef1[],2,FALSE)</f>
        <v>TXT</v>
      </c>
      <c r="H2" s="83">
        <v>2000</v>
      </c>
      <c r="I2" s="83" t="s">
        <v>601</v>
      </c>
      <c r="J2" s="83" t="str">
        <f>IF(Table57451011[[#This Row],[Code]]="-", Table57451011[[#This Row],[Formatted]], CONCATENATE(Table57451011[[#This Row],[Formatted]],"_",Table57451011[[#This Row],[Code]]))</f>
        <v>Program_Title_And_Descriptionin_The_Text_Box_Below,_Please_Clearly_Identify_The_Program_Title_And_Include_A_Brief_Description._TXT</v>
      </c>
      <c r="K2" s="83" t="s">
        <v>556</v>
      </c>
      <c r="L2" s="120">
        <v>2</v>
      </c>
      <c r="M2" s="83" t="s">
        <v>680</v>
      </c>
      <c r="O2" s="120" t="str">
        <f>CONCATENATE(VLOOKUP(Table57451011[[#This Row],[Field Type]],FieldTypesRef1[],2,FALSE),IF(Table57451011[[#This Row],[Mandatory]]="Yes","","?"))</f>
        <v>string?</v>
      </c>
      <c r="P2" s="120" t="str">
        <f>VLOOKUP(Table57451011[[#This Row],[Field Type]],FieldTypesRef1[],3,FALSE)</f>
        <v/>
      </c>
      <c r="Q2" s="120" t="str">
        <f>IF(Table57451011[[#This Row],[Mandatory]]="Yes","[Required]","")</f>
        <v/>
      </c>
      <c r="R2" s="120" t="str">
        <f>IF(Table57451011[[#This Row],[Max Length]]&gt;0,CONCATENATE("[MaxLength(",Table57451011[[#This Row],[Max Length]],")]"),"")</f>
        <v>[MaxLength(2000)]</v>
      </c>
      <c r="S2" s="120" t="str">
        <f>CONCATENATE("""",Table57451011[[#This Row],[SQL Name]],""" = """,Table57451011[[#This Row],[Field]],",")</f>
        <v>"Program_Title_And_Descriptionin_The_Text_Box_Below,_Please_Clearly_Identify_The_Program_Title_And_Include_A_Brief_Description._TXT" = "Program title and description
In the text box below, please clearly identify the program title and include a brief description. ,</v>
      </c>
      <c r="T2" s="83" t="str">
        <f>CONCATENATE("/** Section: ",Table57451011[[#This Row],[Section]], " **/ ",Table57451011[[#This Row],[EF Core Annotation1]],Table57451011[[#This Row],[EF Core Annotation2]],Table57451011[[#This Row],[EF Core Annotation3]],"public ",Table57451011[[#This Row],[EF Type]]," ",Table57451011[[#This Row],[SQL Name]]," {get;set;}")</f>
        <v>/** Section: Gender Based Analysis (GBA) + **/ [MaxLength(2000)]public string? Program_Title_And_Descriptionin_The_Text_Box_Below,_Please_Clearly_Identify_The_Program_Title_And_Include_A_Brief_Description._TXT {get;set;}</v>
      </c>
    </row>
    <row r="3" spans="1:20" s="83" customFormat="1" ht="14.55" customHeight="1" x14ac:dyDescent="0.3">
      <c r="A3" s="95" t="s">
        <v>650</v>
      </c>
      <c r="B3" s="95" t="s">
        <v>682</v>
      </c>
      <c r="C3" s="91" t="s">
        <v>668</v>
      </c>
      <c r="D3" s="91"/>
      <c r="E3" s="83" t="str">
        <f>SUBSTITUTE(SUBSTITUTE(PROPER(TRIM(CLEAN(Table57451011[[#This Row],[Field]])))," ","_"),"-","")</f>
        <v>Does_A)_Apply_[Y/N]?</v>
      </c>
      <c r="F3" s="83" t="s">
        <v>507</v>
      </c>
      <c r="G3" s="83" t="str">
        <f>VLOOKUP(Table57451011[[#This Row],[Extension]],DescRef1[],2,FALSE)</f>
        <v>FLAG</v>
      </c>
      <c r="H3" s="83">
        <v>10</v>
      </c>
      <c r="I3" s="83" t="s">
        <v>601</v>
      </c>
      <c r="J3" s="83" t="str">
        <f>IF(Table57451011[[#This Row],[Code]]="-", Table57451011[[#This Row],[Formatted]], CONCATENATE(Table57451011[[#This Row],[Formatted]],"_",Table57451011[[#This Row],[Code]]))</f>
        <v>Does_A)_Apply_[Y/N]?_FLAG</v>
      </c>
      <c r="K3" s="83" t="s">
        <v>556</v>
      </c>
      <c r="L3" s="120">
        <v>2</v>
      </c>
      <c r="M3" s="83" t="s">
        <v>680</v>
      </c>
      <c r="O3" s="120" t="str">
        <f>CONCATENATE(VLOOKUP(Table57451011[[#This Row],[Field Type]],FieldTypesRef1[],2,FALSE),IF(Table57451011[[#This Row],[Mandatory]]="Yes","","?"))</f>
        <v>string?</v>
      </c>
      <c r="P3" s="120" t="str">
        <f>VLOOKUP(Table57451011[[#This Row],[Field Type]],FieldTypesRef1[],3,FALSE)</f>
        <v/>
      </c>
      <c r="Q3" s="120" t="str">
        <f>IF(Table57451011[[#This Row],[Mandatory]]="Yes","[Required]","")</f>
        <v/>
      </c>
      <c r="R3" s="120" t="str">
        <f>IF(Table57451011[[#This Row],[Max Length]]&gt;0,CONCATENATE("[MaxLength(",Table57451011[[#This Row],[Max Length]],")]"),"")</f>
        <v>[MaxLength(10)]</v>
      </c>
      <c r="S3" s="120" t="str">
        <f>CONCATENATE("""",Table57451011[[#This Row],[SQL Name]],""" = """,Table57451011[[#This Row],[Field]],",")</f>
        <v>"Does_A)_Apply_[Y/N]?_FLAG" = "Does a) apply [Y/N]?,</v>
      </c>
      <c r="T3"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Does_A)_Apply_[Y/N]?_FLAG {get;set;}</v>
      </c>
    </row>
    <row r="4" spans="1:20" s="83" customFormat="1" ht="14.55" customHeight="1" x14ac:dyDescent="0.3">
      <c r="A4" s="95" t="s">
        <v>650</v>
      </c>
      <c r="B4" s="95" t="s">
        <v>667</v>
      </c>
      <c r="C4" s="91" t="s">
        <v>669</v>
      </c>
      <c r="D4" s="91"/>
      <c r="E4" s="83" t="str">
        <f>SUBSTITUTE(SUBSTITUTE(PROPER(TRIM(CLEAN(Table57451011[[#This Row],[Field]])))," ","_"),"-","")</f>
        <v>Does_B)_Apply_[Y/N]?</v>
      </c>
      <c r="F4" s="83" t="s">
        <v>507</v>
      </c>
      <c r="G4" s="83" t="str">
        <f>VLOOKUP(Table57451011[[#This Row],[Extension]],DescRef1[],2,FALSE)</f>
        <v>FLAG</v>
      </c>
      <c r="H4" s="83">
        <v>10</v>
      </c>
      <c r="I4" s="83" t="s">
        <v>601</v>
      </c>
      <c r="J4" s="83" t="str">
        <f>IF(Table57451011[[#This Row],[Code]]="-", Table57451011[[#This Row],[Formatted]], CONCATENATE(Table57451011[[#This Row],[Formatted]],"_",Table57451011[[#This Row],[Code]]))</f>
        <v>Does_B)_Apply_[Y/N]?_FLAG</v>
      </c>
      <c r="K4" s="83" t="s">
        <v>556</v>
      </c>
      <c r="L4" s="120">
        <v>2</v>
      </c>
      <c r="M4" s="83" t="s">
        <v>680</v>
      </c>
      <c r="O4" s="120" t="str">
        <f>CONCATENATE(VLOOKUP(Table57451011[[#This Row],[Field Type]],FieldTypesRef1[],2,FALSE),IF(Table57451011[[#This Row],[Mandatory]]="Yes","","?"))</f>
        <v>string?</v>
      </c>
      <c r="P4" s="120" t="str">
        <f>VLOOKUP(Table57451011[[#This Row],[Field Type]],FieldTypesRef1[],3,FALSE)</f>
        <v/>
      </c>
      <c r="Q4" s="120" t="str">
        <f>IF(Table57451011[[#This Row],[Mandatory]]="Yes","[Required]","")</f>
        <v/>
      </c>
      <c r="R4" s="120" t="str">
        <f>IF(Table57451011[[#This Row],[Max Length]]&gt;0,CONCATENATE("[MaxLength(",Table57451011[[#This Row],[Max Length]],")]"),"")</f>
        <v>[MaxLength(10)]</v>
      </c>
      <c r="S4" s="120" t="str">
        <f>CONCATENATE("""",Table57451011[[#This Row],[SQL Name]],""" = """,Table57451011[[#This Row],[Field]],",")</f>
        <v>"Does_B)_Apply_[Y/N]?_FLAG" = "Does b) apply [Y/N]?,</v>
      </c>
      <c r="T4"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Does_B)_Apply_[Y/N]?_FLAG {get;set;}</v>
      </c>
    </row>
    <row r="5" spans="1:20" s="83" customFormat="1" ht="14.55" customHeight="1" x14ac:dyDescent="0.3">
      <c r="A5" s="95" t="s">
        <v>650</v>
      </c>
      <c r="B5" s="95" t="s">
        <v>667</v>
      </c>
      <c r="C5" s="91" t="s">
        <v>670</v>
      </c>
      <c r="D5" s="91"/>
      <c r="E5" s="83" t="str">
        <f>SUBSTITUTE(SUBSTITUTE(PROPER(TRIM(CLEAN(Table57451011[[#This Row],[Field]])))," ","_"),"-","")</f>
        <v>Does_C)_Apply_[Y/N]?</v>
      </c>
      <c r="F5" s="83" t="s">
        <v>507</v>
      </c>
      <c r="G5" s="83" t="str">
        <f>VLOOKUP(Table57451011[[#This Row],[Extension]],DescRef1[],2,FALSE)</f>
        <v>FLAG</v>
      </c>
      <c r="H5" s="83">
        <v>10</v>
      </c>
      <c r="I5" s="83" t="s">
        <v>601</v>
      </c>
      <c r="J5" s="83" t="str">
        <f>IF(Table57451011[[#This Row],[Code]]="-", Table57451011[[#This Row],[Formatted]], CONCATENATE(Table57451011[[#This Row],[Formatted]],"_",Table57451011[[#This Row],[Code]]))</f>
        <v>Does_C)_Apply_[Y/N]?_FLAG</v>
      </c>
      <c r="K5" s="83" t="s">
        <v>556</v>
      </c>
      <c r="L5" s="120">
        <v>2</v>
      </c>
      <c r="M5" s="83" t="s">
        <v>680</v>
      </c>
      <c r="O5" s="120" t="str">
        <f>CONCATENATE(VLOOKUP(Table57451011[[#This Row],[Field Type]],FieldTypesRef1[],2,FALSE),IF(Table57451011[[#This Row],[Mandatory]]="Yes","","?"))</f>
        <v>string?</v>
      </c>
      <c r="P5" s="120" t="str">
        <f>VLOOKUP(Table57451011[[#This Row],[Field Type]],FieldTypesRef1[],3,FALSE)</f>
        <v/>
      </c>
      <c r="Q5" s="120" t="str">
        <f>IF(Table57451011[[#This Row],[Mandatory]]="Yes","[Required]","")</f>
        <v/>
      </c>
      <c r="R5" s="120" t="str">
        <f>IF(Table57451011[[#This Row],[Max Length]]&gt;0,CONCATENATE("[MaxLength(",Table57451011[[#This Row],[Max Length]],")]"),"")</f>
        <v>[MaxLength(10)]</v>
      </c>
      <c r="S5" s="120" t="str">
        <f>CONCATENATE("""",Table57451011[[#This Row],[SQL Name]],""" = """,Table57451011[[#This Row],[Field]],",")</f>
        <v>"Does_C)_Apply_[Y/N]?_FLAG" = "Does c) apply [Y/N]?,</v>
      </c>
      <c r="T5"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Does_C)_Apply_[Y/N]?_FLAG {get;set;}</v>
      </c>
    </row>
    <row r="6" spans="1:20" s="83" customFormat="1" ht="14.55" customHeight="1" x14ac:dyDescent="0.3">
      <c r="A6" s="95" t="s">
        <v>650</v>
      </c>
      <c r="B6" s="95" t="s">
        <v>667</v>
      </c>
      <c r="C6" s="91" t="s">
        <v>671</v>
      </c>
      <c r="D6" s="91"/>
      <c r="E6" s="83" t="str">
        <f>SUBSTITUTE(SUBSTITUTE(PROPER(TRIM(CLEAN(Table57451011[[#This Row],[Field]])))," ","_"),"-","")</f>
        <v>Does_D)_Apply_[Y/N]?</v>
      </c>
      <c r="F6" s="83" t="s">
        <v>507</v>
      </c>
      <c r="G6" s="83" t="str">
        <f>VLOOKUP(Table57451011[[#This Row],[Extension]],DescRef1[],2,FALSE)</f>
        <v>FLAG</v>
      </c>
      <c r="H6" s="83">
        <v>10</v>
      </c>
      <c r="I6" s="83" t="s">
        <v>601</v>
      </c>
      <c r="J6" s="83" t="str">
        <f>IF(Table57451011[[#This Row],[Code]]="-", Table57451011[[#This Row],[Formatted]], CONCATENATE(Table57451011[[#This Row],[Formatted]],"_",Table57451011[[#This Row],[Code]]))</f>
        <v>Does_D)_Apply_[Y/N]?_FLAG</v>
      </c>
      <c r="K6" s="83" t="s">
        <v>556</v>
      </c>
      <c r="L6" s="120">
        <v>2</v>
      </c>
      <c r="M6" s="83" t="s">
        <v>680</v>
      </c>
      <c r="O6" s="120" t="str">
        <f>CONCATENATE(VLOOKUP(Table57451011[[#This Row],[Field Type]],FieldTypesRef1[],2,FALSE),IF(Table57451011[[#This Row],[Mandatory]]="Yes","","?"))</f>
        <v>string?</v>
      </c>
      <c r="P6" s="120" t="str">
        <f>VLOOKUP(Table57451011[[#This Row],[Field Type]],FieldTypesRef1[],3,FALSE)</f>
        <v/>
      </c>
      <c r="Q6" s="120" t="str">
        <f>IF(Table57451011[[#This Row],[Mandatory]]="Yes","[Required]","")</f>
        <v/>
      </c>
      <c r="R6" s="120" t="str">
        <f>IF(Table57451011[[#This Row],[Max Length]]&gt;0,CONCATENATE("[MaxLength(",Table57451011[[#This Row],[Max Length]],")]"),"")</f>
        <v>[MaxLength(10)]</v>
      </c>
      <c r="S6" s="120" t="str">
        <f>CONCATENATE("""",Table57451011[[#This Row],[SQL Name]],""" = """,Table57451011[[#This Row],[Field]],",")</f>
        <v>"Does_D)_Apply_[Y/N]?_FLAG" = "Does d) apply [Y/N]?,</v>
      </c>
      <c r="T6"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Does_D)_Apply_[Y/N]?_FLAG {get;set;}</v>
      </c>
    </row>
    <row r="7" spans="1:20" s="83" customFormat="1" ht="14.55" customHeight="1" x14ac:dyDescent="0.3">
      <c r="A7" s="95" t="s">
        <v>650</v>
      </c>
      <c r="B7" s="95" t="s">
        <v>667</v>
      </c>
      <c r="C7" s="91" t="s">
        <v>672</v>
      </c>
      <c r="D7" s="91"/>
      <c r="E7" s="83" t="str">
        <f>SUBSTITUTE(SUBSTITUTE(PROPER(TRIM(CLEAN(Table57451011[[#This Row],[Field]])))," ","_"),"-","")</f>
        <v>Does_E)_Apply_[Y/N]?</v>
      </c>
      <c r="F7" s="83" t="s">
        <v>507</v>
      </c>
      <c r="G7" s="83" t="str">
        <f>VLOOKUP(Table57451011[[#This Row],[Extension]],DescRef1[],2,FALSE)</f>
        <v>FLAG</v>
      </c>
      <c r="H7" s="83">
        <v>10</v>
      </c>
      <c r="I7" s="83" t="s">
        <v>601</v>
      </c>
      <c r="J7" s="83" t="str">
        <f>IF(Table57451011[[#This Row],[Code]]="-", Table57451011[[#This Row],[Formatted]], CONCATENATE(Table57451011[[#This Row],[Formatted]],"_",Table57451011[[#This Row],[Code]]))</f>
        <v>Does_E)_Apply_[Y/N]?_FLAG</v>
      </c>
      <c r="K7" s="83" t="s">
        <v>556</v>
      </c>
      <c r="L7" s="120">
        <v>2</v>
      </c>
      <c r="M7" s="83" t="s">
        <v>680</v>
      </c>
      <c r="O7" s="120" t="str">
        <f>CONCATENATE(VLOOKUP(Table57451011[[#This Row],[Field Type]],FieldTypesRef1[],2,FALSE),IF(Table57451011[[#This Row],[Mandatory]]="Yes","","?"))</f>
        <v>string?</v>
      </c>
      <c r="P7" s="120" t="str">
        <f>VLOOKUP(Table57451011[[#This Row],[Field Type]],FieldTypesRef1[],3,FALSE)</f>
        <v/>
      </c>
      <c r="Q7" s="120" t="str">
        <f>IF(Table57451011[[#This Row],[Mandatory]]="Yes","[Required]","")</f>
        <v/>
      </c>
      <c r="R7" s="120" t="str">
        <f>IF(Table57451011[[#This Row],[Max Length]]&gt;0,CONCATENATE("[MaxLength(",Table57451011[[#This Row],[Max Length]],")]"),"")</f>
        <v>[MaxLength(10)]</v>
      </c>
      <c r="S7" s="120" t="str">
        <f>CONCATENATE("""",Table57451011[[#This Row],[SQL Name]],""" = """,Table57451011[[#This Row],[Field]],",")</f>
        <v>"Does_E)_Apply_[Y/N]?_FLAG" = "Does e) apply [Y/N]?,</v>
      </c>
      <c r="T7"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Does_E)_Apply_[Y/N]?_FLAG {get;set;}</v>
      </c>
    </row>
    <row r="8" spans="1:20" s="83" customFormat="1" ht="14.55" customHeight="1" x14ac:dyDescent="0.3">
      <c r="A8" s="95" t="s">
        <v>650</v>
      </c>
      <c r="B8" s="95" t="s">
        <v>667</v>
      </c>
      <c r="C8" s="91" t="s">
        <v>673</v>
      </c>
      <c r="D8" s="91"/>
      <c r="E8" s="83" t="str">
        <f>SUBSTITUTE(SUBSTITUTE(PROPER(TRIM(CLEAN(Table57451011[[#This Row],[Field]])))," ","_"),"-","")</f>
        <v>Does_F)_Apply_[Y/N]?</v>
      </c>
      <c r="F8" s="83" t="s">
        <v>507</v>
      </c>
      <c r="G8" s="83" t="str">
        <f>VLOOKUP(Table57451011[[#This Row],[Extension]],DescRef1[],2,FALSE)</f>
        <v>FLAG</v>
      </c>
      <c r="H8" s="83">
        <v>10</v>
      </c>
      <c r="I8" s="83" t="s">
        <v>601</v>
      </c>
      <c r="J8" s="83" t="str">
        <f>IF(Table57451011[[#This Row],[Code]]="-", Table57451011[[#This Row],[Formatted]], CONCATENATE(Table57451011[[#This Row],[Formatted]],"_",Table57451011[[#This Row],[Code]]))</f>
        <v>Does_F)_Apply_[Y/N]?_FLAG</v>
      </c>
      <c r="K8" s="83" t="s">
        <v>556</v>
      </c>
      <c r="L8" s="120">
        <v>2</v>
      </c>
      <c r="M8" s="83" t="s">
        <v>680</v>
      </c>
      <c r="O8" s="120" t="str">
        <f>CONCATENATE(VLOOKUP(Table57451011[[#This Row],[Field Type]],FieldTypesRef1[],2,FALSE),IF(Table57451011[[#This Row],[Mandatory]]="Yes","","?"))</f>
        <v>string?</v>
      </c>
      <c r="P8" s="120" t="str">
        <f>VLOOKUP(Table57451011[[#This Row],[Field Type]],FieldTypesRef1[],3,FALSE)</f>
        <v/>
      </c>
      <c r="Q8" s="120" t="str">
        <f>IF(Table57451011[[#This Row],[Mandatory]]="Yes","[Required]","")</f>
        <v/>
      </c>
      <c r="R8" s="120" t="str">
        <f>IF(Table57451011[[#This Row],[Max Length]]&gt;0,CONCATENATE("[MaxLength(",Table57451011[[#This Row],[Max Length]],")]"),"")</f>
        <v>[MaxLength(10)]</v>
      </c>
      <c r="S8" s="120" t="str">
        <f>CONCATENATE("""",Table57451011[[#This Row],[SQL Name]],""" = """,Table57451011[[#This Row],[Field]],",")</f>
        <v>"Does_F)_Apply_[Y/N]?_FLAG" = "Does f) apply [Y/N]?,</v>
      </c>
      <c r="T8"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Does_F)_Apply_[Y/N]?_FLAG {get;set;}</v>
      </c>
    </row>
    <row r="9" spans="1:20" s="83" customFormat="1" ht="14.55" customHeight="1" x14ac:dyDescent="0.3">
      <c r="A9" s="95" t="s">
        <v>650</v>
      </c>
      <c r="B9" s="95" t="s">
        <v>667</v>
      </c>
      <c r="C9" s="91" t="s">
        <v>674</v>
      </c>
      <c r="D9" s="91"/>
      <c r="E9" s="117" t="str">
        <f>SUBSTITUTE(SUBSTITUTE(PROPER(TRIM(CLEAN(Table57451011[[#This Row],[Field]])))," ","_"),"-","")</f>
        <v>Does_G)_Apply_[Y/N]?</v>
      </c>
      <c r="F9" s="83" t="s">
        <v>507</v>
      </c>
      <c r="G9" s="117" t="str">
        <f>VLOOKUP(Table57451011[[#This Row],[Extension]],DescRef1[],2,FALSE)</f>
        <v>FLAG</v>
      </c>
      <c r="H9" s="83">
        <v>10</v>
      </c>
      <c r="I9" s="83" t="s">
        <v>601</v>
      </c>
      <c r="J9" s="117" t="str">
        <f>IF(Table57451011[[#This Row],[Code]]="-", Table57451011[[#This Row],[Formatted]], CONCATENATE(Table57451011[[#This Row],[Formatted]],"_",Table57451011[[#This Row],[Code]]))</f>
        <v>Does_G)_Apply_[Y/N]?_FLAG</v>
      </c>
      <c r="K9" s="83" t="s">
        <v>556</v>
      </c>
      <c r="L9" s="120">
        <v>2</v>
      </c>
      <c r="M9" s="83" t="s">
        <v>680</v>
      </c>
      <c r="O9" s="119" t="str">
        <f>CONCATENATE(VLOOKUP(Table57451011[[#This Row],[Field Type]],FieldTypesRef1[],2,FALSE),IF(Table57451011[[#This Row],[Mandatory]]="Yes","","?"))</f>
        <v>string?</v>
      </c>
      <c r="P9" s="120" t="str">
        <f>VLOOKUP(Table57451011[[#This Row],[Field Type]],FieldTypesRef1[],3,FALSE)</f>
        <v/>
      </c>
      <c r="Q9" s="120" t="str">
        <f>IF(Table57451011[[#This Row],[Mandatory]]="Yes","[Required]","")</f>
        <v/>
      </c>
      <c r="R9" s="119" t="str">
        <f>IF(Table57451011[[#This Row],[Max Length]]&gt;0,CONCATENATE("[MaxLength(",Table57451011[[#This Row],[Max Length]],")]"),"")</f>
        <v>[MaxLength(10)]</v>
      </c>
      <c r="S9" s="120" t="str">
        <f>CONCATENATE("""",Table57451011[[#This Row],[SQL Name]],""" = """,Table57451011[[#This Row],[Field]],",")</f>
        <v>"Does_G)_Apply_[Y/N]?_FLAG" = "Does g) apply [Y/N]?,</v>
      </c>
      <c r="T9"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Does_G)_Apply_[Y/N]?_FLAG {get;set;}</v>
      </c>
    </row>
    <row r="10" spans="1:20" s="83" customFormat="1" ht="14.55" customHeight="1" x14ac:dyDescent="0.3">
      <c r="A10" s="95" t="s">
        <v>650</v>
      </c>
      <c r="B10" s="95" t="s">
        <v>667</v>
      </c>
      <c r="C10" s="91" t="s">
        <v>675</v>
      </c>
      <c r="D10" s="91"/>
      <c r="E10" s="117" t="str">
        <f>SUBSTITUTE(SUBSTITUTE(PROPER(TRIM(CLEAN(Table57451011[[#This Row],[Field]])))," ","_"),"-","")</f>
        <v>Does_H)_Apply_[Y/N]?</v>
      </c>
      <c r="F10" s="83" t="s">
        <v>507</v>
      </c>
      <c r="G10" s="117" t="str">
        <f>VLOOKUP(Table57451011[[#This Row],[Extension]],DescRef1[],2,FALSE)</f>
        <v>FLAG</v>
      </c>
      <c r="H10" s="83">
        <v>10</v>
      </c>
      <c r="I10" s="83" t="s">
        <v>601</v>
      </c>
      <c r="J10" s="117" t="str">
        <f>IF(Table57451011[[#This Row],[Code]]="-", Table57451011[[#This Row],[Formatted]], CONCATENATE(Table57451011[[#This Row],[Formatted]],"_",Table57451011[[#This Row],[Code]]))</f>
        <v>Does_H)_Apply_[Y/N]?_FLAG</v>
      </c>
      <c r="K10" s="83" t="s">
        <v>556</v>
      </c>
      <c r="L10" s="120">
        <v>2</v>
      </c>
      <c r="M10" s="83" t="s">
        <v>680</v>
      </c>
      <c r="O10" s="119" t="str">
        <f>CONCATENATE(VLOOKUP(Table57451011[[#This Row],[Field Type]],FieldTypesRef1[],2,FALSE),IF(Table57451011[[#This Row],[Mandatory]]="Yes","","?"))</f>
        <v>string?</v>
      </c>
      <c r="P10" s="120" t="str">
        <f>VLOOKUP(Table57451011[[#This Row],[Field Type]],FieldTypesRef1[],3,FALSE)</f>
        <v/>
      </c>
      <c r="Q10" s="120" t="str">
        <f>IF(Table57451011[[#This Row],[Mandatory]]="Yes","[Required]","")</f>
        <v/>
      </c>
      <c r="R10" s="119" t="str">
        <f>IF(Table57451011[[#This Row],[Max Length]]&gt;0,CONCATENATE("[MaxLength(",Table57451011[[#This Row],[Max Length]],")]"),"")</f>
        <v>[MaxLength(10)]</v>
      </c>
      <c r="S10" s="120" t="str">
        <f>CONCATENATE("""",Table57451011[[#This Row],[SQL Name]],""" = """,Table57451011[[#This Row],[Field]],",")</f>
        <v>"Does_H)_Apply_[Y/N]?_FLAG" = "Does h) apply [Y/N]?,</v>
      </c>
      <c r="T10"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Does_H)_Apply_[Y/N]?_FLAG {get;set;}</v>
      </c>
    </row>
    <row r="11" spans="1:20" s="83" customFormat="1" ht="14.55" customHeight="1" x14ac:dyDescent="0.3">
      <c r="A11" s="95" t="s">
        <v>650</v>
      </c>
      <c r="B11" s="95" t="s">
        <v>667</v>
      </c>
      <c r="C11" s="91" t="s">
        <v>676</v>
      </c>
      <c r="D11" s="91"/>
      <c r="E11" s="117" t="str">
        <f>SUBSTITUTE(SUBSTITUTE(PROPER(TRIM(CLEAN(Table57451011[[#This Row],[Field]])))," ","_"),"-","")</f>
        <v>Does_I)_Apply_[Y/N]?</v>
      </c>
      <c r="F11" s="83" t="s">
        <v>507</v>
      </c>
      <c r="G11" s="117" t="str">
        <f>VLOOKUP(Table57451011[[#This Row],[Extension]],DescRef1[],2,FALSE)</f>
        <v>FLAG</v>
      </c>
      <c r="H11" s="83">
        <v>10</v>
      </c>
      <c r="I11" s="83" t="s">
        <v>601</v>
      </c>
      <c r="J11" s="117" t="str">
        <f>IF(Table57451011[[#This Row],[Code]]="-", Table57451011[[#This Row],[Formatted]], CONCATENATE(Table57451011[[#This Row],[Formatted]],"_",Table57451011[[#This Row],[Code]]))</f>
        <v>Does_I)_Apply_[Y/N]?_FLAG</v>
      </c>
      <c r="K11" s="83" t="s">
        <v>556</v>
      </c>
      <c r="L11" s="120">
        <v>2</v>
      </c>
      <c r="M11" s="83" t="s">
        <v>680</v>
      </c>
      <c r="O11" s="119" t="str">
        <f>CONCATENATE(VLOOKUP(Table57451011[[#This Row],[Field Type]],FieldTypesRef1[],2,FALSE),IF(Table57451011[[#This Row],[Mandatory]]="Yes","","?"))</f>
        <v>string?</v>
      </c>
      <c r="P11" s="120" t="str">
        <f>VLOOKUP(Table57451011[[#This Row],[Field Type]],FieldTypesRef1[],3,FALSE)</f>
        <v/>
      </c>
      <c r="Q11" s="120" t="str">
        <f>IF(Table57451011[[#This Row],[Mandatory]]="Yes","[Required]","")</f>
        <v/>
      </c>
      <c r="R11" s="119" t="str">
        <f>IF(Table57451011[[#This Row],[Max Length]]&gt;0,CONCATENATE("[MaxLength(",Table57451011[[#This Row],[Max Length]],")]"),"")</f>
        <v>[MaxLength(10)]</v>
      </c>
      <c r="S11" s="120" t="str">
        <f>CONCATENATE("""",Table57451011[[#This Row],[SQL Name]],""" = """,Table57451011[[#This Row],[Field]],",")</f>
        <v>"Does_I)_Apply_[Y/N]?_FLAG" = "Does i) apply [Y/N]?,</v>
      </c>
      <c r="T11"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Does_I)_Apply_[Y/N]?_FLAG {get;set;}</v>
      </c>
    </row>
    <row r="12" spans="1:20" s="83" customFormat="1" ht="14.55" customHeight="1" x14ac:dyDescent="0.3">
      <c r="A12" s="95" t="s">
        <v>650</v>
      </c>
      <c r="B12" s="95" t="s">
        <v>667</v>
      </c>
      <c r="C12" s="91" t="s">
        <v>677</v>
      </c>
      <c r="D12" s="91"/>
      <c r="E12" s="117" t="str">
        <f>SUBSTITUTE(SUBSTITUTE(PROPER(TRIM(CLEAN(Table57451011[[#This Row],[Field]])))," ","_"),"-","")</f>
        <v>Does_J)_Apply_[Y/N]?</v>
      </c>
      <c r="F12" s="83" t="s">
        <v>507</v>
      </c>
      <c r="G12" s="117" t="str">
        <f>VLOOKUP(Table57451011[[#This Row],[Extension]],DescRef1[],2,FALSE)</f>
        <v>FLAG</v>
      </c>
      <c r="H12" s="83">
        <v>10</v>
      </c>
      <c r="I12" s="83" t="s">
        <v>601</v>
      </c>
      <c r="J12" s="117" t="str">
        <f>IF(Table57451011[[#This Row],[Code]]="-", Table57451011[[#This Row],[Formatted]], CONCATENATE(Table57451011[[#This Row],[Formatted]],"_",Table57451011[[#This Row],[Code]]))</f>
        <v>Does_J)_Apply_[Y/N]?_FLAG</v>
      </c>
      <c r="K12" s="83" t="s">
        <v>556</v>
      </c>
      <c r="L12" s="120">
        <v>2</v>
      </c>
      <c r="M12" s="83" t="s">
        <v>680</v>
      </c>
      <c r="O12" s="119" t="str">
        <f>CONCATENATE(VLOOKUP(Table57451011[[#This Row],[Field Type]],FieldTypesRef1[],2,FALSE),IF(Table57451011[[#This Row],[Mandatory]]="Yes","","?"))</f>
        <v>string?</v>
      </c>
      <c r="P12" s="120" t="str">
        <f>VLOOKUP(Table57451011[[#This Row],[Field Type]],FieldTypesRef1[],3,FALSE)</f>
        <v/>
      </c>
      <c r="Q12" s="120" t="str">
        <f>IF(Table57451011[[#This Row],[Mandatory]]="Yes","[Required]","")</f>
        <v/>
      </c>
      <c r="R12" s="119" t="str">
        <f>IF(Table57451011[[#This Row],[Max Length]]&gt;0,CONCATENATE("[MaxLength(",Table57451011[[#This Row],[Max Length]],")]"),"")</f>
        <v>[MaxLength(10)]</v>
      </c>
      <c r="S12" s="119" t="str">
        <f>CONCATENATE("""",Table57451011[[#This Row],[SQL Name]],""" = """,Table57451011[[#This Row],[Field]],",")</f>
        <v>"Does_J)_Apply_[Y/N]?_FLAG" = "Does j) apply [Y/N]?,</v>
      </c>
      <c r="T12"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Does_J)_Apply_[Y/N]?_FLAG {get;set;}</v>
      </c>
    </row>
    <row r="13" spans="1:20" s="83" customFormat="1" ht="14.55" customHeight="1" x14ac:dyDescent="0.3">
      <c r="A13" s="95" t="s">
        <v>650</v>
      </c>
      <c r="B13" s="95" t="s">
        <v>667</v>
      </c>
      <c r="C13" s="91" t="s">
        <v>678</v>
      </c>
      <c r="D13" s="91"/>
      <c r="E13" s="117" t="str">
        <f>SUBSTITUTE(SUBSTITUTE(PROPER(TRIM(CLEAN(Table57451011[[#This Row],[Field]])))," ","_"),"-","")</f>
        <v>Does_K)_Apply_[Y/N]?</v>
      </c>
      <c r="F13" s="83" t="s">
        <v>507</v>
      </c>
      <c r="G13" s="117" t="str">
        <f>VLOOKUP(Table57451011[[#This Row],[Extension]],DescRef1[],2,FALSE)</f>
        <v>FLAG</v>
      </c>
      <c r="H13" s="83">
        <v>10</v>
      </c>
      <c r="I13" s="83" t="s">
        <v>601</v>
      </c>
      <c r="J13" s="117" t="str">
        <f>IF(Table57451011[[#This Row],[Code]]="-", Table57451011[[#This Row],[Formatted]], CONCATENATE(Table57451011[[#This Row],[Formatted]],"_",Table57451011[[#This Row],[Code]]))</f>
        <v>Does_K)_Apply_[Y/N]?_FLAG</v>
      </c>
      <c r="K13" s="83" t="s">
        <v>556</v>
      </c>
      <c r="L13" s="120">
        <v>2</v>
      </c>
      <c r="M13" s="83" t="s">
        <v>680</v>
      </c>
      <c r="O13" s="119" t="str">
        <f>CONCATENATE(VLOOKUP(Table57451011[[#This Row],[Field Type]],FieldTypesRef1[],2,FALSE),IF(Table57451011[[#This Row],[Mandatory]]="Yes","","?"))</f>
        <v>string?</v>
      </c>
      <c r="P13" s="120" t="str">
        <f>VLOOKUP(Table57451011[[#This Row],[Field Type]],FieldTypesRef1[],3,FALSE)</f>
        <v/>
      </c>
      <c r="Q13" s="120" t="str">
        <f>IF(Table57451011[[#This Row],[Mandatory]]="Yes","[Required]","")</f>
        <v/>
      </c>
      <c r="R13" s="119" t="str">
        <f>IF(Table57451011[[#This Row],[Max Length]]&gt;0,CONCATENATE("[MaxLength(",Table57451011[[#This Row],[Max Length]],")]"),"")</f>
        <v>[MaxLength(10)]</v>
      </c>
      <c r="S13" s="119" t="str">
        <f>CONCATENATE("""",Table57451011[[#This Row],[SQL Name]],""" = """,Table57451011[[#This Row],[Field]],",")</f>
        <v>"Does_K)_Apply_[Y/N]?_FLAG" = "Does k) apply [Y/N]?,</v>
      </c>
      <c r="T13"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Does_K)_Apply_[Y/N]?_FLAG {get;set;}</v>
      </c>
    </row>
    <row r="14" spans="1:20" s="83" customFormat="1" ht="14.55" customHeight="1" x14ac:dyDescent="0.3">
      <c r="A14" s="95" t="s">
        <v>650</v>
      </c>
      <c r="B14" s="95" t="s">
        <v>667</v>
      </c>
      <c r="C14" s="91" t="s">
        <v>679</v>
      </c>
      <c r="D14" s="91"/>
      <c r="E14" s="117" t="str">
        <f>SUBSTITUTE(SUBSTITUTE(PROPER(TRIM(CLEAN(Table57451011[[#This Row],[Field]])))," ","_"),"-","")</f>
        <v>Does_L)_Apply_[Y/N]?</v>
      </c>
      <c r="F14" s="83" t="s">
        <v>507</v>
      </c>
      <c r="G14" s="117" t="str">
        <f>VLOOKUP(Table57451011[[#This Row],[Extension]],DescRef1[],2,FALSE)</f>
        <v>FLAG</v>
      </c>
      <c r="H14" s="83">
        <v>10</v>
      </c>
      <c r="I14" s="83" t="s">
        <v>601</v>
      </c>
      <c r="J14" s="117" t="str">
        <f>IF(Table57451011[[#This Row],[Code]]="-", Table57451011[[#This Row],[Formatted]], CONCATENATE(Table57451011[[#This Row],[Formatted]],"_",Table57451011[[#This Row],[Code]]))</f>
        <v>Does_L)_Apply_[Y/N]?_FLAG</v>
      </c>
      <c r="K14" s="83" t="s">
        <v>556</v>
      </c>
      <c r="L14" s="120">
        <v>2</v>
      </c>
      <c r="M14" s="83" t="s">
        <v>680</v>
      </c>
      <c r="O14" s="119" t="str">
        <f>CONCATENATE(VLOOKUP(Table57451011[[#This Row],[Field Type]],FieldTypesRef1[],2,FALSE),IF(Table57451011[[#This Row],[Mandatory]]="Yes","","?"))</f>
        <v>string?</v>
      </c>
      <c r="P14" s="120" t="str">
        <f>VLOOKUP(Table57451011[[#This Row],[Field Type]],FieldTypesRef1[],3,FALSE)</f>
        <v/>
      </c>
      <c r="Q14" s="120" t="str">
        <f>IF(Table57451011[[#This Row],[Mandatory]]="Yes","[Required]","")</f>
        <v/>
      </c>
      <c r="R14" s="119" t="str">
        <f>IF(Table57451011[[#This Row],[Max Length]]&gt;0,CONCATENATE("[MaxLength(",Table57451011[[#This Row],[Max Length]],")]"),"")</f>
        <v>[MaxLength(10)]</v>
      </c>
      <c r="S14" s="119" t="str">
        <f>CONCATENATE("""",Table57451011[[#This Row],[SQL Name]],""" = """,Table57451011[[#This Row],[Field]],",")</f>
        <v>"Does_L)_Apply_[Y/N]?_FLAG" = "Does l) apply [Y/N]?,</v>
      </c>
      <c r="T14"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[MaxLength(10)]public string? Does_L)_Apply_[Y/N]?_FLAG {get;set;}</v>
      </c>
    </row>
    <row r="15" spans="1:20" s="83" customFormat="1" ht="14.55" customHeight="1" x14ac:dyDescent="0.3">
      <c r="A15" s="95" t="s">
        <v>650</v>
      </c>
      <c r="B15" s="95" t="s">
        <v>667</v>
      </c>
      <c r="C15" s="91" t="s">
        <v>700</v>
      </c>
      <c r="D15" s="106" t="s">
        <v>681</v>
      </c>
      <c r="E15" s="117" t="str">
        <f>SUBSTITUTE(SUBSTITUTE(PROPER(TRIM(CLEAN(Table57451011[[#This Row],[Field]])))," ","_"),"-","")</f>
        <v>Please_Provide_A_Brief_Explaination_For_All_Of_The_Items_That_Apply.</v>
      </c>
      <c r="F15" s="83" t="s">
        <v>78</v>
      </c>
      <c r="G15" s="117" t="str">
        <f>VLOOKUP(Table57451011[[#This Row],[Extension]],DescRef1[],2,FALSE)</f>
        <v>TXT</v>
      </c>
      <c r="H15" s="83">
        <v>7500</v>
      </c>
      <c r="I15" s="83" t="s">
        <v>601</v>
      </c>
      <c r="J15" s="117" t="str">
        <f>IF(Table57451011[[#This Row],[Code]]="-", Table57451011[[#This Row],[Formatted]], CONCATENATE(Table57451011[[#This Row],[Formatted]],"_",Table57451011[[#This Row],[Code]]))</f>
        <v>Please_Provide_A_Brief_Explaination_For_All_Of_The_Items_That_Apply._TXT</v>
      </c>
      <c r="K15" s="83" t="s">
        <v>78</v>
      </c>
      <c r="L15" s="120"/>
      <c r="O15" s="119" t="str">
        <f>CONCATENATE(VLOOKUP(Table57451011[[#This Row],[Field Type]],FieldTypesRef1[],2,FALSE),IF(Table57451011[[#This Row],[Mandatory]]="Yes","","?"))</f>
        <v>string?</v>
      </c>
      <c r="P15" s="119" t="str">
        <f>VLOOKUP(Table57451011[[#This Row],[Field Type]],FieldTypesRef1[],3,FALSE)</f>
        <v/>
      </c>
      <c r="Q15" s="120" t="str">
        <f>IF(Table57451011[[#This Row],[Mandatory]]="Yes","[Required]","")</f>
        <v/>
      </c>
      <c r="R15" s="119" t="str">
        <f>IF(Table57451011[[#This Row],[Max Length]]&gt;0,CONCATENATE("[MaxLength(",Table57451011[[#This Row],[Max Length]],")]"),"")</f>
        <v>[MaxLength(7500)]</v>
      </c>
      <c r="S15" s="119" t="str">
        <f>CONCATENATE("""",Table57451011[[#This Row],[SQL Name]],""" = """,Table57451011[[#This Row],[Field]],",")</f>
        <v>"Please_Provide_A_Brief_Explaination_For_All_Of_The_Items_That_Apply._TXT" = "Please provide a brief explaination for all of the items that apply.,</v>
      </c>
      <c r="T15" s="83" t="str">
        <f>CONCATENATE("/** Section: ",Table57451011[[#This Row],[Section]], " **/ ",Table57451011[[#This Row],[EF Core Annotation1]],Table57451011[[#This Row],[EF Core Annotation2]],Table57451011[[#This Row],[EF Core Annotation3]],"public ",Table57451011[[#This Row],[EF Type]]," ",Table57451011[[#This Row],[SQL Name]]," {get;set;}")</f>
        <v>/** Section: Section 1. (A) Monitoring and Evaluating GBA+ Implementation **/ [MaxLength(7500)]public string? Please_Provide_A_Brief_Explaination_For_All_Of_The_Items_That_Apply._TXT {get;set;}</v>
      </c>
    </row>
    <row r="16" spans="1:20" s="83" customFormat="1" ht="29.55" customHeight="1" x14ac:dyDescent="0.3">
      <c r="A16" s="95" t="s">
        <v>651</v>
      </c>
      <c r="B16" s="95" t="s">
        <v>683</v>
      </c>
      <c r="C16" s="91" t="s">
        <v>668</v>
      </c>
      <c r="D16" s="106"/>
      <c r="E16" s="117" t="str">
        <f>SUBSTITUTE(SUBSTITUTE(PROPER(TRIM(CLEAN(Table57451011[[#This Row],[Field]])))," ","_"),"-","")</f>
        <v>Does_A)_Apply_[Y/N]?</v>
      </c>
      <c r="F16" s="83" t="s">
        <v>507</v>
      </c>
      <c r="G16" s="117" t="str">
        <f>VLOOKUP(Table57451011[[#This Row],[Extension]],DescRef1[],2,FALSE)</f>
        <v>FLAG</v>
      </c>
      <c r="H16" s="83">
        <v>10</v>
      </c>
      <c r="I16" s="83" t="s">
        <v>601</v>
      </c>
      <c r="J16" s="117" t="str">
        <f>IF(Table57451011[[#This Row],[Code]]="-", Table57451011[[#This Row],[Formatted]], CONCATENATE(Table57451011[[#This Row],[Formatted]],"_",Table57451011[[#This Row],[Code]]))</f>
        <v>Does_A)_Apply_[Y/N]?_FLAG</v>
      </c>
      <c r="K16" s="83" t="s">
        <v>556</v>
      </c>
      <c r="L16" s="17">
        <v>2</v>
      </c>
      <c r="M16" s="83" t="s">
        <v>680</v>
      </c>
      <c r="O16" s="119" t="str">
        <f>CONCATENATE(VLOOKUP(Table57451011[[#This Row],[Field Type]],FieldTypesRef1[],2,FALSE),IF(Table57451011[[#This Row],[Mandatory]]="Yes","","?"))</f>
        <v>string?</v>
      </c>
      <c r="P16" s="119" t="str">
        <f>VLOOKUP(Table57451011[[#This Row],[Field Type]],FieldTypesRef1[],3,FALSE)</f>
        <v/>
      </c>
      <c r="Q16" s="120" t="str">
        <f>IF(Table57451011[[#This Row],[Mandatory]]="Yes","[Required]","")</f>
        <v/>
      </c>
      <c r="R16" s="119" t="str">
        <f>IF(Table57451011[[#This Row],[Max Length]]&gt;0,CONCATENATE("[MaxLength(",Table57451011[[#This Row],[Max Length]],")]"),"")</f>
        <v>[MaxLength(10)]</v>
      </c>
      <c r="S16" s="119" t="str">
        <f>CONCATENATE("""",Table57451011[[#This Row],[SQL Name]],""" = """,Table57451011[[#This Row],[Field]],",")</f>
        <v>"Does_A)_Apply_[Y/N]?_FLAG" = "Does a) apply [Y/N]?,</v>
      </c>
      <c r="T16" s="117" t="str">
        <f>CONCATENATE("/** Section: ",Table57451011[[#This Row],[Section]], " **/ ",Table57451011[[#This Row],[EF Core Annotation1]],Table57451011[[#This Row],[EF Core Annotation2]],Table57451011[[#This Row],[EF Core Annotation3]],"public ",Table57451011[[#This Row],[EF Type]]," ",Table57451011[[#This Row],[SQL Name]]," {get;set;}")</f>
        <v>/** Section: Section 1. (B) Monitoring and Evaluating GBA+ Implementation - Planned Initiatives **/ [MaxLength(10)]public string? Does_A)_Apply_[Y/N]?_FLAG {get;set;}</v>
      </c>
    </row>
    <row r="17" spans="1:20" s="83" customFormat="1" ht="70.95" customHeight="1" x14ac:dyDescent="0.3">
      <c r="A17" s="95" t="s">
        <v>651</v>
      </c>
      <c r="B17" s="95" t="s">
        <v>683</v>
      </c>
      <c r="C17" s="91" t="s">
        <v>669</v>
      </c>
      <c r="D17" s="106"/>
      <c r="E17" s="117" t="str">
        <f>SUBSTITUTE(SUBSTITUTE(PROPER(TRIM(CLEAN(Table57451011[[#This Row],[Field]])))," ","_"),"-","")</f>
        <v>Does_B)_Apply_[Y/N]?</v>
      </c>
      <c r="F17" s="83" t="s">
        <v>507</v>
      </c>
      <c r="G17" s="117" t="str">
        <f>VLOOKUP(Table57451011[[#This Row],[Extension]],DescRef1[],2,FALSE)</f>
        <v>FLAG</v>
      </c>
      <c r="H17" s="83">
        <v>10</v>
      </c>
      <c r="I17" s="83" t="s">
        <v>601</v>
      </c>
      <c r="J17" s="117" t="str">
        <f>IF(Table57451011[[#This Row],[Code]]="-", Table57451011[[#This Row],[Formatted]], CONCATENATE(Table57451011[[#This Row],[Formatted]],"_",Table57451011[[#This Row],[Code]]))</f>
        <v>Does_B)_Apply_[Y/N]?_FLAG</v>
      </c>
      <c r="K17" s="83" t="s">
        <v>556</v>
      </c>
      <c r="L17" s="17">
        <v>2</v>
      </c>
      <c r="M17" s="83" t="s">
        <v>680</v>
      </c>
      <c r="O17" s="119" t="str">
        <f>CONCATENATE(VLOOKUP(Table57451011[[#This Row],[Field Type]],FieldTypesRef1[],2,FALSE),IF(Table57451011[[#This Row],[Mandatory]]="Yes","","?"))</f>
        <v>string?</v>
      </c>
      <c r="P17" s="119" t="str">
        <f>VLOOKUP(Table57451011[[#This Row],[Field Type]],FieldTypesRef1[],3,FALSE)</f>
        <v/>
      </c>
      <c r="Q17" s="119" t="str">
        <f>IF(Table57451011[[#This Row],[Mandatory]]="Yes","[Required]","")</f>
        <v/>
      </c>
      <c r="R17" s="119" t="str">
        <f>IF(Table57451011[[#This Row],[Max Length]]&gt;0,CONCATENATE("[MaxLength(",Table57451011[[#This Row],[Max Length]],")]"),"")</f>
        <v>[MaxLength(10)]</v>
      </c>
      <c r="S17" s="119" t="str">
        <f>CONCATENATE("""",Table57451011[[#This Row],[SQL Name]],""" = """,Table57451011[[#This Row],[Field]],",")</f>
        <v>"Does_B)_Apply_[Y/N]?_FLAG" = "Does b) apply [Y/N]?,</v>
      </c>
      <c r="T17" s="117" t="str">
        <f>CONCATENATE("/** Section: ",Table57451011[[#This Row],[Section]], " **/ ",Table57451011[[#This Row],[EF Core Annotation1]],Table57451011[[#This Row],[EF Core Annotation2]],Table57451011[[#This Row],[EF Core Annotation3]],"public ",Table57451011[[#This Row],[EF Type]]," ",Table57451011[[#This Row],[SQL Name]]," {get;set;}")</f>
        <v>/** Section: Section 1. (B) Monitoring and Evaluating GBA+ Implementation - Planned Initiatives **/ [MaxLength(10)]public string? Does_B)_Apply_[Y/N]?_FLAG {get;set;}</v>
      </c>
    </row>
    <row r="18" spans="1:20" s="83" customFormat="1" ht="46.95" customHeight="1" x14ac:dyDescent="0.3">
      <c r="A18" s="95" t="s">
        <v>651</v>
      </c>
      <c r="B18" s="95" t="s">
        <v>683</v>
      </c>
      <c r="C18" s="91" t="s">
        <v>670</v>
      </c>
      <c r="D18" s="106"/>
      <c r="E18" s="117" t="str">
        <f>SUBSTITUTE(SUBSTITUTE(PROPER(TRIM(CLEAN(Table57451011[[#This Row],[Field]])))," ","_"),"-","")</f>
        <v>Does_C)_Apply_[Y/N]?</v>
      </c>
      <c r="F18" s="83" t="s">
        <v>507</v>
      </c>
      <c r="G18" s="117" t="str">
        <f>VLOOKUP(Table57451011[[#This Row],[Extension]],DescRef1[],2,FALSE)</f>
        <v>FLAG</v>
      </c>
      <c r="H18" s="83">
        <v>10</v>
      </c>
      <c r="I18" s="83" t="s">
        <v>601</v>
      </c>
      <c r="J18" s="117" t="str">
        <f>IF(Table57451011[[#This Row],[Code]]="-", Table57451011[[#This Row],[Formatted]], CONCATENATE(Table57451011[[#This Row],[Formatted]],"_",Table57451011[[#This Row],[Code]]))</f>
        <v>Does_C)_Apply_[Y/N]?_FLAG</v>
      </c>
      <c r="K18" s="83" t="s">
        <v>556</v>
      </c>
      <c r="L18" s="17">
        <v>2</v>
      </c>
      <c r="M18" s="83" t="s">
        <v>680</v>
      </c>
      <c r="O18" s="119" t="str">
        <f>CONCATENATE(VLOOKUP(Table57451011[[#This Row],[Field Type]],FieldTypesRef1[],2,FALSE),IF(Table57451011[[#This Row],[Mandatory]]="Yes","","?"))</f>
        <v>string?</v>
      </c>
      <c r="P18" s="119" t="str">
        <f>VLOOKUP(Table57451011[[#This Row],[Field Type]],FieldTypesRef1[],3,FALSE)</f>
        <v/>
      </c>
      <c r="Q18" s="119" t="str">
        <f>IF(Table57451011[[#This Row],[Mandatory]]="Yes","[Required]","")</f>
        <v/>
      </c>
      <c r="R18" s="119" t="str">
        <f>IF(Table57451011[[#This Row],[Max Length]]&gt;0,CONCATENATE("[MaxLength(",Table57451011[[#This Row],[Max Length]],")]"),"")</f>
        <v>[MaxLength(10)]</v>
      </c>
      <c r="S18" s="119" t="str">
        <f>CONCATENATE("""",Table57451011[[#This Row],[SQL Name]],""" = """,Table57451011[[#This Row],[Field]],",")</f>
        <v>"Does_C)_Apply_[Y/N]?_FLAG" = "Does c) apply [Y/N]?,</v>
      </c>
      <c r="T18" s="117" t="str">
        <f>CONCATENATE("/** Section: ",Table57451011[[#This Row],[Section]], " **/ ",Table57451011[[#This Row],[EF Core Annotation1]],Table57451011[[#This Row],[EF Core Annotation2]],Table57451011[[#This Row],[EF Core Annotation3]],"public ",Table57451011[[#This Row],[EF Type]]," ",Table57451011[[#This Row],[SQL Name]]," {get;set;}")</f>
        <v>/** Section: Section 1. (B) Monitoring and Evaluating GBA+ Implementation - Planned Initiatives **/ [MaxLength(10)]public string? Does_C)_Apply_[Y/N]?_FLAG {get;set;}</v>
      </c>
    </row>
    <row r="19" spans="1:20" s="83" customFormat="1" ht="46.95" customHeight="1" x14ac:dyDescent="0.3">
      <c r="A19" s="95" t="s">
        <v>651</v>
      </c>
      <c r="B19" s="95" t="s">
        <v>683</v>
      </c>
      <c r="C19" s="91" t="s">
        <v>700</v>
      </c>
      <c r="D19" s="106" t="s">
        <v>681</v>
      </c>
      <c r="E19" s="117" t="str">
        <f>SUBSTITUTE(SUBSTITUTE(PROPER(TRIM(CLEAN(Table57451011[[#This Row],[Field]])))," ","_"),"-","")</f>
        <v>Please_Provide_A_Brief_Explaination_For_All_Of_The_Items_That_Apply.</v>
      </c>
      <c r="F19" s="83" t="s">
        <v>78</v>
      </c>
      <c r="G19" s="117" t="str">
        <f>VLOOKUP(Table57451011[[#This Row],[Extension]],DescRef1[],2,FALSE)</f>
        <v>TXT</v>
      </c>
      <c r="H19" s="83">
        <v>7500</v>
      </c>
      <c r="I19" s="83" t="s">
        <v>601</v>
      </c>
      <c r="J19" s="117" t="str">
        <f>IF(Table57451011[[#This Row],[Code]]="-", Table57451011[[#This Row],[Formatted]], CONCATENATE(Table57451011[[#This Row],[Formatted]],"_",Table57451011[[#This Row],[Code]]))</f>
        <v>Please_Provide_A_Brief_Explaination_For_All_Of_The_Items_That_Apply._TXT</v>
      </c>
      <c r="K19" s="83" t="s">
        <v>78</v>
      </c>
      <c r="L19" s="17"/>
      <c r="O19" s="119" t="str">
        <f>CONCATENATE(VLOOKUP(Table57451011[[#This Row],[Field Type]],FieldTypesRef1[],2,FALSE),IF(Table57451011[[#This Row],[Mandatory]]="Yes","","?"))</f>
        <v>string?</v>
      </c>
      <c r="P19" s="119" t="str">
        <f>VLOOKUP(Table57451011[[#This Row],[Field Type]],FieldTypesRef1[],3,FALSE)</f>
        <v/>
      </c>
      <c r="Q19" s="119" t="str">
        <f>IF(Table57451011[[#This Row],[Mandatory]]="Yes","[Required]","")</f>
        <v/>
      </c>
      <c r="R19" s="119" t="str">
        <f>IF(Table57451011[[#This Row],[Max Length]]&gt;0,CONCATENATE("[MaxLength(",Table57451011[[#This Row],[Max Length]],")]"),"")</f>
        <v>[MaxLength(7500)]</v>
      </c>
      <c r="S19" s="119" t="str">
        <f>CONCATENATE("""",Table57451011[[#This Row],[SQL Name]],""" = """,Table57451011[[#This Row],[Field]],",")</f>
        <v>"Please_Provide_A_Brief_Explaination_For_All_Of_The_Items_That_Apply._TXT" = "Please provide a brief explaination for all of the items that apply.,</v>
      </c>
      <c r="T19" s="117" t="str">
        <f>CONCATENATE("/** Section: ",Table57451011[[#This Row],[Section]], " **/ ",Table57451011[[#This Row],[EF Core Annotation1]],Table57451011[[#This Row],[EF Core Annotation2]],Table57451011[[#This Row],[EF Core Annotation3]],"public ",Table57451011[[#This Row],[EF Type]]," ",Table57451011[[#This Row],[SQL Name]]," {get;set;}")</f>
        <v>/** Section: Section 1. (B) Monitoring and Evaluating GBA+ Implementation - Planned Initiatives **/ [MaxLength(7500)]public string? Please_Provide_A_Brief_Explaination_For_All_Of_The_Items_That_Apply._TXT {get;set;}</v>
      </c>
    </row>
    <row r="20" spans="1:20" s="83" customFormat="1" ht="30" customHeight="1" x14ac:dyDescent="0.3">
      <c r="A20" s="95" t="s">
        <v>652</v>
      </c>
      <c r="B20" s="95" t="s">
        <v>653</v>
      </c>
      <c r="C20" s="95" t="s">
        <v>708</v>
      </c>
      <c r="D20" s="106" t="s">
        <v>684</v>
      </c>
      <c r="E20" s="117" t="str">
        <f>SUBSTITUTE(SUBSTITUTE(PROPER(TRIM(CLEAN(Table57451011[[#This Row],[Field]])))," ","_"),"-","")</f>
        <v>Please_Identify_The_Key_Findings_Of_The_Gba+_For_The_Program.</v>
      </c>
      <c r="F20" s="83" t="s">
        <v>78</v>
      </c>
      <c r="G20" s="117" t="str">
        <f>VLOOKUP(Table57451011[[#This Row],[Extension]],DescRef1[],2,FALSE)</f>
        <v>TXT</v>
      </c>
      <c r="H20" s="83">
        <v>7500</v>
      </c>
      <c r="I20" s="83" t="s">
        <v>601</v>
      </c>
      <c r="J20" s="117" t="str">
        <f>IF(Table57451011[[#This Row],[Code]]="-", Table57451011[[#This Row],[Formatted]], CONCATENATE(Table57451011[[#This Row],[Formatted]],"_",Table57451011[[#This Row],[Code]]))</f>
        <v>Please_Identify_The_Key_Findings_Of_The_Gba+_For_The_Program._TXT</v>
      </c>
      <c r="K20" s="83" t="s">
        <v>78</v>
      </c>
      <c r="L20" s="17"/>
      <c r="O20" s="119" t="str">
        <f>CONCATENATE(VLOOKUP(Table57451011[[#This Row],[Field Type]],FieldTypesRef1[],2,FALSE),IF(Table57451011[[#This Row],[Mandatory]]="Yes","","?"))</f>
        <v>string?</v>
      </c>
      <c r="P20" s="119" t="str">
        <f>VLOOKUP(Table57451011[[#This Row],[Field Type]],FieldTypesRef1[],3,FALSE)</f>
        <v/>
      </c>
      <c r="Q20" s="119" t="str">
        <f>IF(Table57451011[[#This Row],[Mandatory]]="Yes","[Required]","")</f>
        <v/>
      </c>
      <c r="R20" s="119" t="str">
        <f>IF(Table57451011[[#This Row],[Max Length]]&gt;0,CONCATENATE("[MaxLength(",Table57451011[[#This Row],[Max Length]],")]"),"")</f>
        <v>[MaxLength(7500)]</v>
      </c>
      <c r="S20" s="119" t="str">
        <f>CONCATENATE("""",Table57451011[[#This Row],[SQL Name]],""" = """,Table57451011[[#This Row],[Field]],",")</f>
        <v>"Please_Identify_The_Key_Findings_Of_The_Gba+_For_The_Program._TXT" = "Please identify the key findings of the GBA+ for the 
program.,</v>
      </c>
      <c r="T20" s="117" t="str">
        <f>CONCATENATE("/** Section: ",Table57451011[[#This Row],[Section]], " **/ ",Table57451011[[#This Row],[EF Core Annotation1]],Table57451011[[#This Row],[EF Core Annotation2]],Table57451011[[#This Row],[EF Core Annotation3]],"public ",Table57451011[[#This Row],[EF Type]]," ",Table57451011[[#This Row],[SQL Name]]," {get;set;}")</f>
        <v>/** Section: Section 2. Expected Outcomes and Results as identified by the GBA+ Analysis of the Program **/ [MaxLength(7500)]public string? Please_Identify_The_Key_Findings_Of_The_Gba+_For_The_Program._TXT {get;set;}</v>
      </c>
    </row>
    <row r="21" spans="1:20" s="83" customFormat="1" ht="45" customHeight="1" x14ac:dyDescent="0.3">
      <c r="A21" s="95" t="s">
        <v>654</v>
      </c>
      <c r="B21" s="95" t="s">
        <v>685</v>
      </c>
      <c r="C21" s="95" t="s">
        <v>686</v>
      </c>
      <c r="D21" s="106"/>
      <c r="E21" s="117" t="str">
        <f>SUBSTITUTE(SUBSTITUTE(PROPER(TRIM(CLEAN(Table57451011[[#This Row],[Field]])))," ","_"),"-","")</f>
        <v>Develop_Relevant_Gba+_Performance_Metrics_For_A)_If_Applicable</v>
      </c>
      <c r="F21" s="83" t="s">
        <v>78</v>
      </c>
      <c r="G21" s="117" t="str">
        <f>VLOOKUP(Table57451011[[#This Row],[Extension]],DescRef1[],2,FALSE)</f>
        <v>TXT</v>
      </c>
      <c r="H21" s="83">
        <v>7500</v>
      </c>
      <c r="I21" s="83" t="s">
        <v>601</v>
      </c>
      <c r="J21" s="117" t="str">
        <f>IF(Table57451011[[#This Row],[Code]]="-", Table57451011[[#This Row],[Formatted]], CONCATENATE(Table57451011[[#This Row],[Formatted]],"_",Table57451011[[#This Row],[Code]]))</f>
        <v>Develop_Relevant_Gba+_Performance_Metrics_For_A)_If_Applicable_TXT</v>
      </c>
      <c r="K21" s="83" t="s">
        <v>78</v>
      </c>
      <c r="L21" s="17"/>
      <c r="O21" s="119" t="str">
        <f>CONCATENATE(VLOOKUP(Table57451011[[#This Row],[Field Type]],FieldTypesRef1[],2,FALSE),IF(Table57451011[[#This Row],[Mandatory]]="Yes","","?"))</f>
        <v>string?</v>
      </c>
      <c r="P21" s="119" t="str">
        <f>VLOOKUP(Table57451011[[#This Row],[Field Type]],FieldTypesRef1[],3,FALSE)</f>
        <v/>
      </c>
      <c r="Q21" s="119" t="str">
        <f>IF(Table57451011[[#This Row],[Mandatory]]="Yes","[Required]","")</f>
        <v/>
      </c>
      <c r="R21" s="119" t="str">
        <f>IF(Table57451011[[#This Row],[Max Length]]&gt;0,CONCATENATE("[MaxLength(",Table57451011[[#This Row],[Max Length]],")]"),"")</f>
        <v>[MaxLength(7500)]</v>
      </c>
      <c r="S21" s="119" t="str">
        <f>CONCATENATE("""",Table57451011[[#This Row],[SQL Name]],""" = """,Table57451011[[#This Row],[Field]],",")</f>
        <v>"Develop_Relevant_Gba+_Performance_Metrics_For_A)_If_Applicable_TXT" = "Develop relevant GBA+ performance metrics for a) if applicable ,</v>
      </c>
      <c r="T21" s="117" t="str">
        <f>CONCATENATE("/** Section: ",Table57451011[[#This Row],[Section]], " **/ ",Table57451011[[#This Row],[EF Core Annotation1]],Table57451011[[#This Row],[EF Core Annotation2]],Table57451011[[#This Row],[EF Core Annotation3]],"public ",Table57451011[[#This Row],[EF Type]]," ",Table57451011[[#This Row],[SQL Name]]," {get;set;}")</f>
        <v>/** Section: Section 3. GBA+ Performance Measurement: Tracking, monitoring, and evaluation of GBA+ Impacts 
 **/ [MaxLength(7500)]public string? Develop_Relevant_Gba+_Performance_Metrics_For_A)_If_Applicable_TXT {get;set;}</v>
      </c>
    </row>
    <row r="22" spans="1:20" s="83" customFormat="1" ht="61.05" customHeight="1" x14ac:dyDescent="0.3">
      <c r="A22" s="95" t="s">
        <v>654</v>
      </c>
      <c r="B22" s="95" t="s">
        <v>685</v>
      </c>
      <c r="C22" s="95" t="s">
        <v>687</v>
      </c>
      <c r="D22" s="106"/>
      <c r="E22" s="117" t="str">
        <f>SUBSTITUTE(SUBSTITUTE(PROPER(TRIM(CLEAN(Table57451011[[#This Row],[Field]])))," ","_"),"-","")</f>
        <v>Consider_Modifying_Relevant_Pip_Indicators_That_Will_Enable_To_The_Department_To_Do_A)_If_Applicable</v>
      </c>
      <c r="F22" s="83" t="s">
        <v>78</v>
      </c>
      <c r="G22" s="117" t="str">
        <f>VLOOKUP(Table57451011[[#This Row],[Extension]],DescRef1[],2,FALSE)</f>
        <v>TXT</v>
      </c>
      <c r="H22" s="83">
        <v>7500</v>
      </c>
      <c r="I22" s="83" t="s">
        <v>601</v>
      </c>
      <c r="J22" s="117" t="str">
        <f>IF(Table57451011[[#This Row],[Code]]="-", Table57451011[[#This Row],[Formatted]], CONCATENATE(Table57451011[[#This Row],[Formatted]],"_",Table57451011[[#This Row],[Code]]))</f>
        <v>Consider_Modifying_Relevant_Pip_Indicators_That_Will_Enable_To_The_Department_To_Do_A)_If_Applicable_TXT</v>
      </c>
      <c r="K22" s="83" t="s">
        <v>78</v>
      </c>
      <c r="L22" s="17"/>
      <c r="O22" s="119" t="str">
        <f>CONCATENATE(VLOOKUP(Table57451011[[#This Row],[Field Type]],FieldTypesRef1[],2,FALSE),IF(Table57451011[[#This Row],[Mandatory]]="Yes","","?"))</f>
        <v>string?</v>
      </c>
      <c r="P22" s="119" t="str">
        <f>VLOOKUP(Table57451011[[#This Row],[Field Type]],FieldTypesRef1[],3,FALSE)</f>
        <v/>
      </c>
      <c r="Q22" s="119" t="str">
        <f>IF(Table57451011[[#This Row],[Mandatory]]="Yes","[Required]","")</f>
        <v/>
      </c>
      <c r="R22" s="119" t="str">
        <f>IF(Table57451011[[#This Row],[Max Length]]&gt;0,CONCATENATE("[MaxLength(",Table57451011[[#This Row],[Max Length]],")]"),"")</f>
        <v>[MaxLength(7500)]</v>
      </c>
      <c r="S22" s="119" t="str">
        <f>CONCATENATE("""",Table57451011[[#This Row],[SQL Name]],""" = """,Table57451011[[#This Row],[Field]],",")</f>
        <v>"Consider_Modifying_Relevant_Pip_Indicators_That_Will_Enable_To_The_Department_To_Do_A)_If_Applicable_TXT" = "Consider modifying relevant PIP indicators that will enable to the Department to do a) if applicable ,</v>
      </c>
      <c r="T22" s="117" t="str">
        <f>CONCATENATE("/** Section: ",Table57451011[[#This Row],[Section]], " **/ ",Table57451011[[#This Row],[EF Core Annotation1]],Table57451011[[#This Row],[EF Core Annotation2]],Table57451011[[#This Row],[EF Core Annotation3]],"public ",Table57451011[[#This Row],[EF Type]]," ",Table57451011[[#This Row],[SQL Name]]," {get;set;}")</f>
        <v>/** Section: Section 3. GBA+ Performance Measurement: Tracking, monitoring, and evaluation of GBA+ Impacts 
 **/ [MaxLength(7500)]public string? Consider_Modifying_Relevant_Pip_Indicators_That_Will_Enable_To_The_Department_To_Do_A)_If_Applicable_TXT {get;set;}</v>
      </c>
    </row>
    <row r="23" spans="1:20" s="83" customFormat="1" ht="30.45" customHeight="1" x14ac:dyDescent="0.3">
      <c r="A23" s="95" t="s">
        <v>654</v>
      </c>
      <c r="B23" s="95" t="s">
        <v>685</v>
      </c>
      <c r="C23" s="95" t="s">
        <v>688</v>
      </c>
      <c r="D23" s="106"/>
      <c r="E23" s="117" t="str">
        <f>SUBSTITUTE(SUBSTITUTE(PROPER(TRIM(CLEAN(Table57451011[[#This Row],[Field]])))," ","_"),"-","")</f>
        <v>Develop_Relevant_Gba+_Performance_Metrics_For_B)_If_Applicable</v>
      </c>
      <c r="F23" s="83" t="s">
        <v>78</v>
      </c>
      <c r="G23" s="117" t="str">
        <f>VLOOKUP(Table57451011[[#This Row],[Extension]],DescRef1[],2,FALSE)</f>
        <v>TXT</v>
      </c>
      <c r="H23" s="83">
        <v>7500</v>
      </c>
      <c r="I23" s="83" t="s">
        <v>601</v>
      </c>
      <c r="J23" s="117" t="str">
        <f>IF(Table57451011[[#This Row],[Code]]="-", Table57451011[[#This Row],[Formatted]], CONCATENATE(Table57451011[[#This Row],[Formatted]],"_",Table57451011[[#This Row],[Code]]))</f>
        <v>Develop_Relevant_Gba+_Performance_Metrics_For_B)_If_Applicable_TXT</v>
      </c>
      <c r="K23" s="83" t="s">
        <v>78</v>
      </c>
      <c r="L23" s="17"/>
      <c r="O23" s="119" t="str">
        <f>CONCATENATE(VLOOKUP(Table57451011[[#This Row],[Field Type]],FieldTypesRef1[],2,FALSE),IF(Table57451011[[#This Row],[Mandatory]]="Yes","","?"))</f>
        <v>string?</v>
      </c>
      <c r="P23" s="119" t="str">
        <f>VLOOKUP(Table57451011[[#This Row],[Field Type]],FieldTypesRef1[],3,FALSE)</f>
        <v/>
      </c>
      <c r="Q23" s="119" t="str">
        <f>IF(Table57451011[[#This Row],[Mandatory]]="Yes","[Required]","")</f>
        <v/>
      </c>
      <c r="R23" s="119" t="str">
        <f>IF(Table57451011[[#This Row],[Max Length]]&gt;0,CONCATENATE("[MaxLength(",Table57451011[[#This Row],[Max Length]],")]"),"")</f>
        <v>[MaxLength(7500)]</v>
      </c>
      <c r="S23" s="119" t="str">
        <f>CONCATENATE("""",Table57451011[[#This Row],[SQL Name]],""" = """,Table57451011[[#This Row],[Field]],",")</f>
        <v>"Develop_Relevant_Gba+_Performance_Metrics_For_B)_If_Applicable_TXT" = "Develop relevant GBA+ performance metrics for b) if applicable ,</v>
      </c>
      <c r="T23" s="117" t="str">
        <f>CONCATENATE("/** Section: ",Table57451011[[#This Row],[Section]], " **/ ",Table57451011[[#This Row],[EF Core Annotation1]],Table57451011[[#This Row],[EF Core Annotation2]],Table57451011[[#This Row],[EF Core Annotation3]],"public ",Table57451011[[#This Row],[EF Type]]," ",Table57451011[[#This Row],[SQL Name]]," {get;set;}")</f>
        <v>/** Section: Section 3. GBA+ Performance Measurement: Tracking, monitoring, and evaluation of GBA+ Impacts 
 **/ [MaxLength(7500)]public string? Develop_Relevant_Gba+_Performance_Metrics_For_B)_If_Applicable_TXT {get;set;}</v>
      </c>
    </row>
    <row r="24" spans="1:20" s="83" customFormat="1" ht="30.45" customHeight="1" x14ac:dyDescent="0.3">
      <c r="A24" s="95" t="s">
        <v>654</v>
      </c>
      <c r="B24" s="95" t="s">
        <v>685</v>
      </c>
      <c r="C24" s="95" t="s">
        <v>689</v>
      </c>
      <c r="D24" s="106"/>
      <c r="E24" s="117" t="str">
        <f>SUBSTITUTE(SUBSTITUTE(PROPER(TRIM(CLEAN(Table57451011[[#This Row],[Field]])))," ","_"),"-","")</f>
        <v>Consider_Modifying_Relevant_Pip_Indicators_That_Will_Enable_To_The_Department_To_Do_B)_If_Applicable</v>
      </c>
      <c r="F24" s="83" t="s">
        <v>78</v>
      </c>
      <c r="G24" s="117" t="str">
        <f>VLOOKUP(Table57451011[[#This Row],[Extension]],DescRef1[],2,FALSE)</f>
        <v>TXT</v>
      </c>
      <c r="H24" s="83">
        <v>7500</v>
      </c>
      <c r="I24" s="83" t="s">
        <v>601</v>
      </c>
      <c r="J24" s="117" t="str">
        <f>IF(Table57451011[[#This Row],[Code]]="-", Table57451011[[#This Row],[Formatted]], CONCATENATE(Table57451011[[#This Row],[Formatted]],"_",Table57451011[[#This Row],[Code]]))</f>
        <v>Consider_Modifying_Relevant_Pip_Indicators_That_Will_Enable_To_The_Department_To_Do_B)_If_Applicable_TXT</v>
      </c>
      <c r="K24" s="83" t="s">
        <v>78</v>
      </c>
      <c r="L24" s="17"/>
      <c r="M24" s="118"/>
      <c r="O24" s="119" t="str">
        <f>CONCATENATE(VLOOKUP(Table57451011[[#This Row],[Field Type]],FieldTypesRef1[],2,FALSE),IF(Table57451011[[#This Row],[Mandatory]]="Yes","","?"))</f>
        <v>string?</v>
      </c>
      <c r="P24" s="119" t="str">
        <f>VLOOKUP(Table57451011[[#This Row],[Field Type]],FieldTypesRef1[],3,FALSE)</f>
        <v/>
      </c>
      <c r="Q24" s="119" t="str">
        <f>IF(Table57451011[[#This Row],[Mandatory]]="Yes","[Required]","")</f>
        <v/>
      </c>
      <c r="R24" s="119" t="str">
        <f>IF(Table57451011[[#This Row],[Max Length]]&gt;0,CONCATENATE("[MaxLength(",Table57451011[[#This Row],[Max Length]],")]"),"")</f>
        <v>[MaxLength(7500)]</v>
      </c>
      <c r="S24" s="119" t="str">
        <f>CONCATENATE("""",Table57451011[[#This Row],[SQL Name]],""" = """,Table57451011[[#This Row],[Field]],",")</f>
        <v>"Consider_Modifying_Relevant_Pip_Indicators_That_Will_Enable_To_The_Department_To_Do_B)_If_Applicable_TXT" = "Consider modifying relevant PIP indicators that will enable to the Department to do b) if applicable ,</v>
      </c>
      <c r="T24" s="117" t="str">
        <f>CONCATENATE("/** Section: ",Table57451011[[#This Row],[Section]], " **/ ",Table57451011[[#This Row],[EF Core Annotation1]],Table57451011[[#This Row],[EF Core Annotation2]],Table57451011[[#This Row],[EF Core Annotation3]],"public ",Table57451011[[#This Row],[EF Type]]," ",Table57451011[[#This Row],[SQL Name]]," {get;set;}")</f>
        <v>/** Section: Section 3. GBA+ Performance Measurement: Tracking, monitoring, and evaluation of GBA+ Impacts 
 **/ [MaxLength(7500)]public string? Consider_Modifying_Relevant_Pip_Indicators_That_Will_Enable_To_The_Department_To_Do_B)_If_Applicable_TXT {get;set;}</v>
      </c>
    </row>
    <row r="25" spans="1:20" s="83" customFormat="1" ht="30.45" customHeight="1" x14ac:dyDescent="0.3">
      <c r="A25" s="95" t="s">
        <v>654</v>
      </c>
      <c r="B25" s="95" t="s">
        <v>685</v>
      </c>
      <c r="C25" s="95" t="s">
        <v>690</v>
      </c>
      <c r="D25" s="116"/>
      <c r="E25" s="117" t="str">
        <f>SUBSTITUTE(SUBSTITUTE(PROPER(TRIM(CLEAN(Table57451011[[#This Row],[Field]])))," ","_"),"-","")</f>
        <v>Develop_Relevant_Gba+_Performance_Metrics_For_C)_If_Applicable</v>
      </c>
      <c r="F25" s="83" t="s">
        <v>78</v>
      </c>
      <c r="G25" s="117" t="str">
        <f>VLOOKUP(Table57451011[[#This Row],[Extension]],DescRef1[],2,FALSE)</f>
        <v>TXT</v>
      </c>
      <c r="H25" s="83">
        <v>7500</v>
      </c>
      <c r="I25" s="83" t="s">
        <v>601</v>
      </c>
      <c r="J25" s="117" t="str">
        <f>IF(Table57451011[[#This Row],[Code]]="-", Table57451011[[#This Row],[Formatted]], CONCATENATE(Table57451011[[#This Row],[Formatted]],"_",Table57451011[[#This Row],[Code]]))</f>
        <v>Develop_Relevant_Gba+_Performance_Metrics_For_C)_If_Applicable_TXT</v>
      </c>
      <c r="K25" s="83" t="s">
        <v>78</v>
      </c>
      <c r="L25" s="17"/>
      <c r="O25" s="119" t="str">
        <f>CONCATENATE(VLOOKUP(Table57451011[[#This Row],[Field Type]],FieldTypesRef1[],2,FALSE),IF(Table57451011[[#This Row],[Mandatory]]="Yes","","?"))</f>
        <v>string?</v>
      </c>
      <c r="P25" s="119" t="str">
        <f>VLOOKUP(Table57451011[[#This Row],[Field Type]],FieldTypesRef1[],3,FALSE)</f>
        <v/>
      </c>
      <c r="Q25" s="119" t="str">
        <f>IF(Table57451011[[#This Row],[Mandatory]]="Yes","[Required]","")</f>
        <v/>
      </c>
      <c r="R25" s="119" t="str">
        <f>IF(Table57451011[[#This Row],[Max Length]]&gt;0,CONCATENATE("[MaxLength(",Table57451011[[#This Row],[Max Length]],")]"),"")</f>
        <v>[MaxLength(7500)]</v>
      </c>
      <c r="S25" s="119" t="str">
        <f>CONCATENATE("""",Table57451011[[#This Row],[SQL Name]],""" = """,Table57451011[[#This Row],[Field]],",")</f>
        <v>"Develop_Relevant_Gba+_Performance_Metrics_For_C)_If_Applicable_TXT" = "Develop relevant GBA+ performance metrics for c) if applicable ,</v>
      </c>
      <c r="T25" s="117" t="str">
        <f>CONCATENATE("/** Section: ",Table57451011[[#This Row],[Section]], " **/ ",Table57451011[[#This Row],[EF Core Annotation1]],Table57451011[[#This Row],[EF Core Annotation2]],Table57451011[[#This Row],[EF Core Annotation3]],"public ",Table57451011[[#This Row],[EF Type]]," ",Table57451011[[#This Row],[SQL Name]]," {get;set;}")</f>
        <v>/** Section: Section 3. GBA+ Performance Measurement: Tracking, monitoring, and evaluation of GBA+ Impacts 
 **/ [MaxLength(7500)]public string? Develop_Relevant_Gba+_Performance_Metrics_For_C)_If_Applicable_TXT {get;set;}</v>
      </c>
    </row>
    <row r="26" spans="1:20" s="83" customFormat="1" ht="30.45" customHeight="1" x14ac:dyDescent="0.3">
      <c r="A26" s="95" t="s">
        <v>654</v>
      </c>
      <c r="B26" s="95" t="s">
        <v>685</v>
      </c>
      <c r="C26" s="95" t="s">
        <v>691</v>
      </c>
      <c r="D26" s="116"/>
      <c r="E26" s="117" t="str">
        <f>SUBSTITUTE(SUBSTITUTE(PROPER(TRIM(CLEAN(Table57451011[[#This Row],[Field]])))," ","_"),"-","")</f>
        <v>Consider_Modifying_Relevant_Pip_Indicators_That_Will_Enable_To_The_Department_To_Do_C)_If_Applicable</v>
      </c>
      <c r="F26" s="83" t="s">
        <v>78</v>
      </c>
      <c r="G26" s="117" t="str">
        <f>VLOOKUP(Table57451011[[#This Row],[Extension]],DescRef1[],2,FALSE)</f>
        <v>TXT</v>
      </c>
      <c r="H26" s="83">
        <v>7500</v>
      </c>
      <c r="I26" s="83" t="s">
        <v>601</v>
      </c>
      <c r="J26" s="117" t="str">
        <f>IF(Table57451011[[#This Row],[Code]]="-", Table57451011[[#This Row],[Formatted]], CONCATENATE(Table57451011[[#This Row],[Formatted]],"_",Table57451011[[#This Row],[Code]]))</f>
        <v>Consider_Modifying_Relevant_Pip_Indicators_That_Will_Enable_To_The_Department_To_Do_C)_If_Applicable_TXT</v>
      </c>
      <c r="K26" s="83" t="s">
        <v>78</v>
      </c>
      <c r="L26" s="17"/>
      <c r="O26" s="119" t="str">
        <f>CONCATENATE(VLOOKUP(Table57451011[[#This Row],[Field Type]],FieldTypesRef1[],2,FALSE),IF(Table57451011[[#This Row],[Mandatory]]="Yes","","?"))</f>
        <v>string?</v>
      </c>
      <c r="P26" s="119" t="str">
        <f>VLOOKUP(Table57451011[[#This Row],[Field Type]],FieldTypesRef1[],3,FALSE)</f>
        <v/>
      </c>
      <c r="Q26" s="119" t="str">
        <f>IF(Table57451011[[#This Row],[Mandatory]]="Yes","[Required]","")</f>
        <v/>
      </c>
      <c r="R26" s="119" t="str">
        <f>IF(Table57451011[[#This Row],[Max Length]]&gt;0,CONCATENATE("[MaxLength(",Table57451011[[#This Row],[Max Length]],")]"),"")</f>
        <v>[MaxLength(7500)]</v>
      </c>
      <c r="S26" s="119" t="str">
        <f>CONCATENATE("""",Table57451011[[#This Row],[SQL Name]],""" = """,Table57451011[[#This Row],[Field]],",")</f>
        <v>"Consider_Modifying_Relevant_Pip_Indicators_That_Will_Enable_To_The_Department_To_Do_C)_If_Applicable_TXT" = "Consider modifying relevant PIP indicators that will enable to the Department to do c) if applicable ,</v>
      </c>
      <c r="T26" s="117" t="str">
        <f>CONCATENATE("/** Section: ",Table57451011[[#This Row],[Section]], " **/ ",Table57451011[[#This Row],[EF Core Annotation1]],Table57451011[[#This Row],[EF Core Annotation2]],Table57451011[[#This Row],[EF Core Annotation3]],"public ",Table57451011[[#This Row],[EF Type]]," ",Table57451011[[#This Row],[SQL Name]]," {get;set;}")</f>
        <v>/** Section: Section 3. GBA+ Performance Measurement: Tracking, monitoring, and evaluation of GBA+ Impacts 
 **/ [MaxLength(7500)]public string? Consider_Modifying_Relevant_Pip_Indicators_That_Will_Enable_To_The_Department_To_Do_C)_If_Applicable_TXT {get;set;}</v>
      </c>
    </row>
    <row r="27" spans="1:20" s="83" customFormat="1" ht="30.45" customHeight="1" x14ac:dyDescent="0.3">
      <c r="A27" s="95" t="s">
        <v>654</v>
      </c>
      <c r="B27" s="95" t="s">
        <v>685</v>
      </c>
      <c r="C27" s="95" t="s">
        <v>692</v>
      </c>
      <c r="D27" s="116"/>
      <c r="E27" s="117" t="str">
        <f>SUBSTITUTE(SUBSTITUTE(PROPER(TRIM(CLEAN(Table57451011[[#This Row],[Field]])))," ","_"),"-","")</f>
        <v>Develop_Relevant_Gba+_Performance_Metrics_For_D)_If_Applicable</v>
      </c>
      <c r="F27" s="83" t="s">
        <v>78</v>
      </c>
      <c r="G27" s="117" t="str">
        <f>VLOOKUP(Table57451011[[#This Row],[Extension]],DescRef1[],2,FALSE)</f>
        <v>TXT</v>
      </c>
      <c r="H27" s="83">
        <v>7500</v>
      </c>
      <c r="I27" s="83" t="s">
        <v>601</v>
      </c>
      <c r="J27" s="117" t="str">
        <f>IF(Table57451011[[#This Row],[Code]]="-", Table57451011[[#This Row],[Formatted]], CONCATENATE(Table57451011[[#This Row],[Formatted]],"_",Table57451011[[#This Row],[Code]]))</f>
        <v>Develop_Relevant_Gba+_Performance_Metrics_For_D)_If_Applicable_TXT</v>
      </c>
      <c r="K27" s="83" t="s">
        <v>78</v>
      </c>
      <c r="L27" s="17"/>
      <c r="O27" s="119" t="str">
        <f>CONCATENATE(VLOOKUP(Table57451011[[#This Row],[Field Type]],FieldTypesRef1[],2,FALSE),IF(Table57451011[[#This Row],[Mandatory]]="Yes","","?"))</f>
        <v>string?</v>
      </c>
      <c r="P27" s="119" t="str">
        <f>VLOOKUP(Table57451011[[#This Row],[Field Type]],FieldTypesRef1[],3,FALSE)</f>
        <v/>
      </c>
      <c r="Q27" s="119" t="str">
        <f>IF(Table57451011[[#This Row],[Mandatory]]="Yes","[Required]","")</f>
        <v/>
      </c>
      <c r="R27" s="119" t="str">
        <f>IF(Table57451011[[#This Row],[Max Length]]&gt;0,CONCATENATE("[MaxLength(",Table57451011[[#This Row],[Max Length]],")]"),"")</f>
        <v>[MaxLength(7500)]</v>
      </c>
      <c r="S27" s="119" t="str">
        <f>CONCATENATE("""",Table57451011[[#This Row],[SQL Name]],""" = """,Table57451011[[#This Row],[Field]],",")</f>
        <v>"Develop_Relevant_Gba+_Performance_Metrics_For_D)_If_Applicable_TXT" = "Develop relevant GBA+ performance metrics for d) if applicable ,</v>
      </c>
      <c r="T27" s="117" t="str">
        <f>CONCATENATE("/** Section: ",Table57451011[[#This Row],[Section]], " **/ ",Table57451011[[#This Row],[EF Core Annotation1]],Table57451011[[#This Row],[EF Core Annotation2]],Table57451011[[#This Row],[EF Core Annotation3]],"public ",Table57451011[[#This Row],[EF Type]]," ",Table57451011[[#This Row],[SQL Name]]," {get;set;}")</f>
        <v>/** Section: Section 3. GBA+ Performance Measurement: Tracking, monitoring, and evaluation of GBA+ Impacts 
 **/ [MaxLength(7500)]public string? Develop_Relevant_Gba+_Performance_Metrics_For_D)_If_Applicable_TXT {get;set;}</v>
      </c>
    </row>
    <row r="28" spans="1:20" s="83" customFormat="1" ht="30.45" customHeight="1" x14ac:dyDescent="0.3">
      <c r="A28" s="95" t="s">
        <v>654</v>
      </c>
      <c r="B28" s="95" t="s">
        <v>685</v>
      </c>
      <c r="C28" s="95" t="s">
        <v>693</v>
      </c>
      <c r="D28" s="116"/>
      <c r="E28" s="117" t="str">
        <f>SUBSTITUTE(SUBSTITUTE(PROPER(TRIM(CLEAN(Table57451011[[#This Row],[Field]])))," ","_"),"-","")</f>
        <v>Consider_Modifying_Relevant_Pip_Indicators_That_Will_Enable_To_The_Department_To_Do_D)_If_Applicable</v>
      </c>
      <c r="F28" s="83" t="s">
        <v>78</v>
      </c>
      <c r="G28" s="117" t="str">
        <f>VLOOKUP(Table57451011[[#This Row],[Extension]],DescRef1[],2,FALSE)</f>
        <v>TXT</v>
      </c>
      <c r="H28" s="83">
        <v>7500</v>
      </c>
      <c r="I28" s="83" t="s">
        <v>601</v>
      </c>
      <c r="J28" s="117" t="str">
        <f>IF(Table57451011[[#This Row],[Code]]="-", Table57451011[[#This Row],[Formatted]], CONCATENATE(Table57451011[[#This Row],[Formatted]],"_",Table57451011[[#This Row],[Code]]))</f>
        <v>Consider_Modifying_Relevant_Pip_Indicators_That_Will_Enable_To_The_Department_To_Do_D)_If_Applicable_TXT</v>
      </c>
      <c r="K28" s="83" t="s">
        <v>78</v>
      </c>
      <c r="L28" s="17"/>
      <c r="O28" s="119" t="str">
        <f>CONCATENATE(VLOOKUP(Table57451011[[#This Row],[Field Type]],FieldTypesRef1[],2,FALSE),IF(Table57451011[[#This Row],[Mandatory]]="Yes","","?"))</f>
        <v>string?</v>
      </c>
      <c r="P28" s="119" t="str">
        <f>VLOOKUP(Table57451011[[#This Row],[Field Type]],FieldTypesRef1[],3,FALSE)</f>
        <v/>
      </c>
      <c r="Q28" s="119" t="str">
        <f>IF(Table57451011[[#This Row],[Mandatory]]="Yes","[Required]","")</f>
        <v/>
      </c>
      <c r="R28" s="119" t="str">
        <f>IF(Table57451011[[#This Row],[Max Length]]&gt;0,CONCATENATE("[MaxLength(",Table57451011[[#This Row],[Max Length]],")]"),"")</f>
        <v>[MaxLength(7500)]</v>
      </c>
      <c r="S28" s="119" t="str">
        <f>CONCATENATE("""",Table57451011[[#This Row],[SQL Name]],""" = """,Table57451011[[#This Row],[Field]],",")</f>
        <v>"Consider_Modifying_Relevant_Pip_Indicators_That_Will_Enable_To_The_Department_To_Do_D)_If_Applicable_TXT" = "Consider modifying relevant PIP indicators that will enable to the Department to do d) if applicable ,</v>
      </c>
      <c r="T28" s="117" t="str">
        <f>CONCATENATE("/** Section: ",Table57451011[[#This Row],[Section]], " **/ ",Table57451011[[#This Row],[EF Core Annotation1]],Table57451011[[#This Row],[EF Core Annotation2]],Table57451011[[#This Row],[EF Core Annotation3]],"public ",Table57451011[[#This Row],[EF Type]]," ",Table57451011[[#This Row],[SQL Name]]," {get;set;}")</f>
        <v>/** Section: Section 3. GBA+ Performance Measurement: Tracking, monitoring, and evaluation of GBA+ Impacts 
 **/ [MaxLength(7500)]public string? Consider_Modifying_Relevant_Pip_Indicators_That_Will_Enable_To_The_Department_To_Do_D)_If_Applicable_TXT {get;set;}</v>
      </c>
    </row>
    <row r="29" spans="1:20" s="83" customFormat="1" ht="154.05000000000001" customHeight="1" x14ac:dyDescent="0.3">
      <c r="A29" s="95" t="s">
        <v>655</v>
      </c>
      <c r="B29" s="95" t="s">
        <v>695</v>
      </c>
      <c r="C29" s="95" t="s">
        <v>668</v>
      </c>
      <c r="D29" s="95"/>
      <c r="E29" s="117" t="str">
        <f>SUBSTITUTE(SUBSTITUTE(PROPER(TRIM(CLEAN(Table57451011[[#This Row],[Field]])))," ","_"),"-","")</f>
        <v>Does_A)_Apply_[Y/N]?</v>
      </c>
      <c r="F29" s="83" t="s">
        <v>507</v>
      </c>
      <c r="G29" s="117" t="str">
        <f>VLOOKUP(Table57451011[[#This Row],[Extension]],DescRef1[],2,FALSE)</f>
        <v>FLAG</v>
      </c>
      <c r="H29" s="83">
        <v>10</v>
      </c>
      <c r="I29" s="83" t="s">
        <v>601</v>
      </c>
      <c r="J29" s="117" t="str">
        <f>IF(Table57451011[[#This Row],[Code]]="-", Table57451011[[#This Row],[Formatted]], CONCATENATE(Table57451011[[#This Row],[Formatted]],"_",Table57451011[[#This Row],[Code]]))</f>
        <v>Does_A)_Apply_[Y/N]?_FLAG</v>
      </c>
      <c r="K29" s="83" t="s">
        <v>556</v>
      </c>
      <c r="L29" s="17">
        <v>2</v>
      </c>
      <c r="M29" s="83" t="s">
        <v>680</v>
      </c>
      <c r="O29" s="119" t="str">
        <f>CONCATENATE(VLOOKUP(Table57451011[[#This Row],[Field Type]],FieldTypesRef1[],2,FALSE),IF(Table57451011[[#This Row],[Mandatory]]="Yes","","?"))</f>
        <v>string?</v>
      </c>
      <c r="P29" s="119" t="str">
        <f>VLOOKUP(Table57451011[[#This Row],[Field Type]],FieldTypesRef1[],3,FALSE)</f>
        <v/>
      </c>
      <c r="Q29" s="119" t="str">
        <f>IF(Table57451011[[#This Row],[Mandatory]]="Yes","[Required]","")</f>
        <v/>
      </c>
      <c r="R29" s="119" t="str">
        <f>IF(Table57451011[[#This Row],[Max Length]]&gt;0,CONCATENATE("[MaxLength(",Table57451011[[#This Row],[Max Length]],")]"),"")</f>
        <v>[MaxLength(10)]</v>
      </c>
      <c r="S29" s="119" t="str">
        <f>CONCATENATE("""",Table57451011[[#This Row],[SQL Name]],""" = """,Table57451011[[#This Row],[Field]],",")</f>
        <v>"Does_A)_Apply_[Y/N]?_FLAG" = "Does a) apply [Y/N]?,</v>
      </c>
      <c r="T29"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[MaxLength(10)]public string? Does_A)_Apply_[Y/N]?_FLAG {get;set;}</v>
      </c>
    </row>
    <row r="30" spans="1:20" s="83" customFormat="1" ht="61.5" customHeight="1" x14ac:dyDescent="0.3">
      <c r="A30" s="95" t="s">
        <v>655</v>
      </c>
      <c r="B30" s="95" t="s">
        <v>695</v>
      </c>
      <c r="C30" s="95" t="s">
        <v>696</v>
      </c>
      <c r="D30" s="106"/>
      <c r="E30" s="117" t="str">
        <f>SUBSTITUTE(SUBSTITUTE(PROPER(TRIM(CLEAN(Table57451011[[#This Row],[Field]])))," ","_"),"-","")</f>
        <v>Please_Specify_Which_Pillar_For_A)</v>
      </c>
      <c r="F30" s="83" t="s">
        <v>78</v>
      </c>
      <c r="G30" s="117" t="str">
        <f>VLOOKUP(Table57451011[[#This Row],[Extension]],DescRef1[],2,FALSE)</f>
        <v>TXT</v>
      </c>
      <c r="H30" s="83">
        <v>300</v>
      </c>
      <c r="I30" s="83" t="s">
        <v>601</v>
      </c>
      <c r="J30" s="117" t="str">
        <f>IF(Table57451011[[#This Row],[Code]]="-", Table57451011[[#This Row],[Formatted]], CONCATENATE(Table57451011[[#This Row],[Formatted]],"_",Table57451011[[#This Row],[Code]]))</f>
        <v>Please_Specify_Which_Pillar_For_A)_TXT</v>
      </c>
      <c r="K30" s="83" t="s">
        <v>556</v>
      </c>
      <c r="L30" s="17">
        <v>6</v>
      </c>
      <c r="M30" s="118" t="s">
        <v>702</v>
      </c>
      <c r="O30" s="119" t="str">
        <f>CONCATENATE(VLOOKUP(Table57451011[[#This Row],[Field Type]],FieldTypesRef1[],2,FALSE),IF(Table57451011[[#This Row],[Mandatory]]="Yes","","?"))</f>
        <v>string?</v>
      </c>
      <c r="P30" s="119" t="str">
        <f>VLOOKUP(Table57451011[[#This Row],[Field Type]],FieldTypesRef1[],3,FALSE)</f>
        <v/>
      </c>
      <c r="Q30" s="119" t="str">
        <f>IF(Table57451011[[#This Row],[Mandatory]]="Yes","[Required]","")</f>
        <v/>
      </c>
      <c r="R30" s="119" t="str">
        <f>IF(Table57451011[[#This Row],[Max Length]]&gt;0,CONCATENATE("[MaxLength(",Table57451011[[#This Row],[Max Length]],")]"),"")</f>
        <v>[MaxLength(300)]</v>
      </c>
      <c r="S30" s="119" t="str">
        <f>CONCATENATE("""",Table57451011[[#This Row],[SQL Name]],""" = """,Table57451011[[#This Row],[Field]],",")</f>
        <v>"Please_Specify_Which_Pillar_For_A)_TXT" = "Please specify which pillar for a),</v>
      </c>
      <c r="T30"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[MaxLength(300)]public string? Please_Specify_Which_Pillar_For_A)_TXT {get;set;}</v>
      </c>
    </row>
    <row r="31" spans="1:20" s="83" customFormat="1" ht="60.45" customHeight="1" x14ac:dyDescent="0.3">
      <c r="A31" s="95" t="s">
        <v>655</v>
      </c>
      <c r="B31" s="95" t="s">
        <v>695</v>
      </c>
      <c r="C31" s="95" t="s">
        <v>669</v>
      </c>
      <c r="D31" s="106"/>
      <c r="E31" s="117" t="str">
        <f>SUBSTITUTE(SUBSTITUTE(PROPER(TRIM(CLEAN(Table57451011[[#This Row],[Field]])))," ","_"),"-","")</f>
        <v>Does_B)_Apply_[Y/N]?</v>
      </c>
      <c r="F31" s="83" t="s">
        <v>507</v>
      </c>
      <c r="G31" s="117" t="str">
        <f>VLOOKUP(Table57451011[[#This Row],[Extension]],DescRef1[],2,FALSE)</f>
        <v>FLAG</v>
      </c>
      <c r="H31" s="83">
        <v>10</v>
      </c>
      <c r="I31" s="83" t="s">
        <v>601</v>
      </c>
      <c r="J31" s="117" t="str">
        <f>IF(Table57451011[[#This Row],[Code]]="-", Table57451011[[#This Row],[Formatted]], CONCATENATE(Table57451011[[#This Row],[Formatted]],"_",Table57451011[[#This Row],[Code]]))</f>
        <v>Does_B)_Apply_[Y/N]?_FLAG</v>
      </c>
      <c r="K31" s="83" t="s">
        <v>556</v>
      </c>
      <c r="L31" s="17">
        <v>2</v>
      </c>
      <c r="M31" s="83" t="s">
        <v>680</v>
      </c>
      <c r="O31" s="119" t="str">
        <f>CONCATENATE(VLOOKUP(Table57451011[[#This Row],[Field Type]],FieldTypesRef1[],2,FALSE),IF(Table57451011[[#This Row],[Mandatory]]="Yes","","?"))</f>
        <v>string?</v>
      </c>
      <c r="P31" s="119" t="str">
        <f>VLOOKUP(Table57451011[[#This Row],[Field Type]],FieldTypesRef1[],3,FALSE)</f>
        <v/>
      </c>
      <c r="Q31" s="119" t="str">
        <f>IF(Table57451011[[#This Row],[Mandatory]]="Yes","[Required]","")</f>
        <v/>
      </c>
      <c r="R31" s="119" t="str">
        <f>IF(Table57451011[[#This Row],[Max Length]]&gt;0,CONCATENATE("[MaxLength(",Table57451011[[#This Row],[Max Length]],")]"),"")</f>
        <v>[MaxLength(10)]</v>
      </c>
      <c r="S31" s="119" t="str">
        <f>CONCATENATE("""",Table57451011[[#This Row],[SQL Name]],""" = """,Table57451011[[#This Row],[Field]],",")</f>
        <v>"Does_B)_Apply_[Y/N]?_FLAG" = "Does b) apply [Y/N]?,</v>
      </c>
      <c r="T31"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[MaxLength(10)]public string? Does_B)_Apply_[Y/N]?_FLAG {get;set;}</v>
      </c>
    </row>
    <row r="32" spans="1:20" s="83" customFormat="1" ht="60.45" customHeight="1" x14ac:dyDescent="0.3">
      <c r="A32" s="95" t="s">
        <v>655</v>
      </c>
      <c r="B32" s="95" t="s">
        <v>695</v>
      </c>
      <c r="C32" s="95" t="s">
        <v>697</v>
      </c>
      <c r="D32" s="106"/>
      <c r="E32" s="117" t="str">
        <f>SUBSTITUTE(SUBSTITUTE(PROPER(TRIM(CLEAN(Table57451011[[#This Row],[Field]])))," ","_"),"-","")</f>
        <v>Please_Specify_Which_Pillar_For_B)</v>
      </c>
      <c r="F32" s="83" t="s">
        <v>78</v>
      </c>
      <c r="G32" s="117" t="str">
        <f>VLOOKUP(Table57451011[[#This Row],[Extension]],DescRef1[],2,FALSE)</f>
        <v>TXT</v>
      </c>
      <c r="H32" s="83">
        <v>300</v>
      </c>
      <c r="I32" s="83" t="s">
        <v>601</v>
      </c>
      <c r="J32" s="117" t="str">
        <f>IF(Table57451011[[#This Row],[Code]]="-", Table57451011[[#This Row],[Formatted]], CONCATENATE(Table57451011[[#This Row],[Formatted]],"_",Table57451011[[#This Row],[Code]]))</f>
        <v>Please_Specify_Which_Pillar_For_B)_TXT</v>
      </c>
      <c r="K32" s="83" t="s">
        <v>556</v>
      </c>
      <c r="L32" s="17">
        <v>6</v>
      </c>
      <c r="M32" s="118" t="s">
        <v>701</v>
      </c>
      <c r="O32" s="119" t="str">
        <f>CONCATENATE(VLOOKUP(Table57451011[[#This Row],[Field Type]],FieldTypesRef1[],2,FALSE),IF(Table57451011[[#This Row],[Mandatory]]="Yes","","?"))</f>
        <v>string?</v>
      </c>
      <c r="P32" s="119" t="str">
        <f>VLOOKUP(Table57451011[[#This Row],[Field Type]],FieldTypesRef1[],3,FALSE)</f>
        <v/>
      </c>
      <c r="Q32" s="119" t="str">
        <f>IF(Table57451011[[#This Row],[Mandatory]]="Yes","[Required]","")</f>
        <v/>
      </c>
      <c r="R32" s="119" t="str">
        <f>IF(Table57451011[[#This Row],[Max Length]]&gt;0,CONCATENATE("[MaxLength(",Table57451011[[#This Row],[Max Length]],")]"),"")</f>
        <v>[MaxLength(300)]</v>
      </c>
      <c r="S32" s="119" t="str">
        <f>CONCATENATE("""",Table57451011[[#This Row],[SQL Name]],""" = """,Table57451011[[#This Row],[Field]],",")</f>
        <v>"Please_Specify_Which_Pillar_For_B)_TXT" = "Please specify which pillar for b),</v>
      </c>
      <c r="T32"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[MaxLength(300)]public string? Please_Specify_Which_Pillar_For_B)_TXT {get;set;}</v>
      </c>
    </row>
    <row r="33" spans="1:20" s="83" customFormat="1" ht="60.45" customHeight="1" x14ac:dyDescent="0.3">
      <c r="A33" s="95" t="s">
        <v>655</v>
      </c>
      <c r="B33" s="95" t="s">
        <v>695</v>
      </c>
      <c r="C33" s="95" t="s">
        <v>670</v>
      </c>
      <c r="D33" s="116"/>
      <c r="E33" s="117" t="str">
        <f>SUBSTITUTE(SUBSTITUTE(PROPER(TRIM(CLEAN(Table57451011[[#This Row],[Field]])))," ","_"),"-","")</f>
        <v>Does_C)_Apply_[Y/N]?</v>
      </c>
      <c r="F33" s="83" t="s">
        <v>507</v>
      </c>
      <c r="G33" s="117" t="str">
        <f>VLOOKUP(Table57451011[[#This Row],[Extension]],DescRef1[],2,FALSE)</f>
        <v>FLAG</v>
      </c>
      <c r="H33" s="83">
        <v>10</v>
      </c>
      <c r="I33" s="83" t="s">
        <v>601</v>
      </c>
      <c r="J33" s="117" t="str">
        <f>IF(Table57451011[[#This Row],[Code]]="-", Table57451011[[#This Row],[Formatted]], CONCATENATE(Table57451011[[#This Row],[Formatted]],"_",Table57451011[[#This Row],[Code]]))</f>
        <v>Does_C)_Apply_[Y/N]?_FLAG</v>
      </c>
      <c r="K33" s="83" t="s">
        <v>556</v>
      </c>
      <c r="L33" s="17">
        <v>2</v>
      </c>
      <c r="M33" s="83" t="s">
        <v>680</v>
      </c>
      <c r="O33" s="119" t="str">
        <f>CONCATENATE(VLOOKUP(Table57451011[[#This Row],[Field Type]],FieldTypesRef1[],2,FALSE),IF(Table57451011[[#This Row],[Mandatory]]="Yes","","?"))</f>
        <v>string?</v>
      </c>
      <c r="P33" s="119" t="str">
        <f>VLOOKUP(Table57451011[[#This Row],[Field Type]],FieldTypesRef1[],3,FALSE)</f>
        <v/>
      </c>
      <c r="Q33" s="119" t="str">
        <f>IF(Table57451011[[#This Row],[Mandatory]]="Yes","[Required]","")</f>
        <v/>
      </c>
      <c r="R33" s="119" t="str">
        <f>IF(Table57451011[[#This Row],[Max Length]]&gt;0,CONCATENATE("[MaxLength(",Table57451011[[#This Row],[Max Length]],")]"),"")</f>
        <v>[MaxLength(10)]</v>
      </c>
      <c r="S33" s="119" t="str">
        <f>CONCATENATE("""",Table57451011[[#This Row],[SQL Name]],""" = """,Table57451011[[#This Row],[Field]],",")</f>
        <v>"Does_C)_Apply_[Y/N]?_FLAG" = "Does c) apply [Y/N]?,</v>
      </c>
      <c r="T33"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[MaxLength(10)]public string? Does_C)_Apply_[Y/N]?_FLAG {get;set;}</v>
      </c>
    </row>
    <row r="34" spans="1:20" s="83" customFormat="1" ht="60.45" customHeight="1" x14ac:dyDescent="0.3">
      <c r="A34" s="95" t="s">
        <v>655</v>
      </c>
      <c r="B34" s="95" t="s">
        <v>695</v>
      </c>
      <c r="C34" s="95" t="s">
        <v>698</v>
      </c>
      <c r="D34" s="116"/>
      <c r="E34" s="117" t="str">
        <f>SUBSTITUTE(SUBSTITUTE(PROPER(TRIM(CLEAN(Table57451011[[#This Row],[Field]])))," ","_"),"-","")</f>
        <v>Please_Specify_Which_Pillar_For_C)</v>
      </c>
      <c r="F34" s="83" t="s">
        <v>78</v>
      </c>
      <c r="G34" s="117" t="str">
        <f>VLOOKUP(Table57451011[[#This Row],[Extension]],DescRef1[],2,FALSE)</f>
        <v>TXT</v>
      </c>
      <c r="H34" s="83">
        <v>300</v>
      </c>
      <c r="I34" s="83" t="s">
        <v>601</v>
      </c>
      <c r="J34" s="117" t="str">
        <f>IF(Table57451011[[#This Row],[Code]]="-", Table57451011[[#This Row],[Formatted]], CONCATENATE(Table57451011[[#This Row],[Formatted]],"_",Table57451011[[#This Row],[Code]]))</f>
        <v>Please_Specify_Which_Pillar_For_C)_TXT</v>
      </c>
      <c r="K34" s="83" t="s">
        <v>556</v>
      </c>
      <c r="L34" s="17">
        <v>6</v>
      </c>
      <c r="M34" s="118" t="s">
        <v>701</v>
      </c>
      <c r="O34" s="119" t="str">
        <f>CONCATENATE(VLOOKUP(Table57451011[[#This Row],[Field Type]],FieldTypesRef1[],2,FALSE),IF(Table57451011[[#This Row],[Mandatory]]="Yes","","?"))</f>
        <v>string?</v>
      </c>
      <c r="P34" s="119" t="str">
        <f>VLOOKUP(Table57451011[[#This Row],[Field Type]],FieldTypesRef1[],3,FALSE)</f>
        <v/>
      </c>
      <c r="Q34" s="119" t="str">
        <f>IF(Table57451011[[#This Row],[Mandatory]]="Yes","[Required]","")</f>
        <v/>
      </c>
      <c r="R34" s="119" t="str">
        <f>IF(Table57451011[[#This Row],[Max Length]]&gt;0,CONCATENATE("[MaxLength(",Table57451011[[#This Row],[Max Length]],")]"),"")</f>
        <v>[MaxLength(300)]</v>
      </c>
      <c r="S34" s="119" t="str">
        <f>CONCATENATE("""",Table57451011[[#This Row],[SQL Name]],""" = """,Table57451011[[#This Row],[Field]],",")</f>
        <v>"Please_Specify_Which_Pillar_For_C)_TXT" = "Please specify which pillar for c),</v>
      </c>
      <c r="T34"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[MaxLength(300)]public string? Please_Specify_Which_Pillar_For_C)_TXT {get;set;}</v>
      </c>
    </row>
    <row r="35" spans="1:20" s="83" customFormat="1" ht="60.45" customHeight="1" x14ac:dyDescent="0.3">
      <c r="A35" s="95" t="s">
        <v>655</v>
      </c>
      <c r="B35" s="95" t="s">
        <v>695</v>
      </c>
      <c r="C35" s="95" t="s">
        <v>671</v>
      </c>
      <c r="D35" s="116"/>
      <c r="E35" s="117" t="str">
        <f>SUBSTITUTE(SUBSTITUTE(PROPER(TRIM(CLEAN(Table57451011[[#This Row],[Field]])))," ","_"),"-","")</f>
        <v>Does_D)_Apply_[Y/N]?</v>
      </c>
      <c r="F35" s="83" t="s">
        <v>507</v>
      </c>
      <c r="G35" s="117" t="str">
        <f>VLOOKUP(Table57451011[[#This Row],[Extension]],DescRef1[],2,FALSE)</f>
        <v>FLAG</v>
      </c>
      <c r="H35" s="83">
        <v>10</v>
      </c>
      <c r="I35" s="83" t="s">
        <v>601</v>
      </c>
      <c r="J35" s="117" t="str">
        <f>IF(Table57451011[[#This Row],[Code]]="-", Table57451011[[#This Row],[Formatted]], CONCATENATE(Table57451011[[#This Row],[Formatted]],"_",Table57451011[[#This Row],[Code]]))</f>
        <v>Does_D)_Apply_[Y/N]?_FLAG</v>
      </c>
      <c r="K35" s="83" t="s">
        <v>556</v>
      </c>
      <c r="L35" s="17">
        <v>2</v>
      </c>
      <c r="M35" s="83" t="s">
        <v>680</v>
      </c>
      <c r="O35" s="119" t="str">
        <f>CONCATENATE(VLOOKUP(Table57451011[[#This Row],[Field Type]],FieldTypesRef1[],2,FALSE),IF(Table57451011[[#This Row],[Mandatory]]="Yes","","?"))</f>
        <v>string?</v>
      </c>
      <c r="P35" s="119" t="str">
        <f>VLOOKUP(Table57451011[[#This Row],[Field Type]],FieldTypesRef1[],3,FALSE)</f>
        <v/>
      </c>
      <c r="Q35" s="119" t="str">
        <f>IF(Table57451011[[#This Row],[Mandatory]]="Yes","[Required]","")</f>
        <v/>
      </c>
      <c r="R35" s="119" t="str">
        <f>IF(Table57451011[[#This Row],[Max Length]]&gt;0,CONCATENATE("[MaxLength(",Table57451011[[#This Row],[Max Length]],")]"),"")</f>
        <v>[MaxLength(10)]</v>
      </c>
      <c r="S35" s="119" t="str">
        <f>CONCATENATE("""",Table57451011[[#This Row],[SQL Name]],""" = """,Table57451011[[#This Row],[Field]],",")</f>
        <v>"Does_D)_Apply_[Y/N]?_FLAG" = "Does d) apply [Y/N]?,</v>
      </c>
      <c r="T35"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[MaxLength(10)]public string? Does_D)_Apply_[Y/N]?_FLAG {get;set;}</v>
      </c>
    </row>
    <row r="36" spans="1:20" s="83" customFormat="1" ht="60.45" customHeight="1" x14ac:dyDescent="0.3">
      <c r="A36" s="95" t="s">
        <v>655</v>
      </c>
      <c r="B36" s="95" t="s">
        <v>695</v>
      </c>
      <c r="C36" s="95" t="s">
        <v>699</v>
      </c>
      <c r="D36" s="116"/>
      <c r="E36" s="117" t="str">
        <f>SUBSTITUTE(SUBSTITUTE(PROPER(TRIM(CLEAN(Table57451011[[#This Row],[Field]])))," ","_"),"-","")</f>
        <v>Please_Specify_Which_Pillar_For_D)</v>
      </c>
      <c r="F36" s="83" t="s">
        <v>78</v>
      </c>
      <c r="G36" s="117" t="str">
        <f>VLOOKUP(Table57451011[[#This Row],[Extension]],DescRef1[],2,FALSE)</f>
        <v>TXT</v>
      </c>
      <c r="H36" s="83">
        <v>300</v>
      </c>
      <c r="I36" s="83" t="s">
        <v>601</v>
      </c>
      <c r="J36" s="117" t="str">
        <f>IF(Table57451011[[#This Row],[Code]]="-", Table57451011[[#This Row],[Formatted]], CONCATENATE(Table57451011[[#This Row],[Formatted]],"_",Table57451011[[#This Row],[Code]]))</f>
        <v>Please_Specify_Which_Pillar_For_D)_TXT</v>
      </c>
      <c r="K36" s="83" t="s">
        <v>556</v>
      </c>
      <c r="L36" s="17">
        <v>6</v>
      </c>
      <c r="M36" s="118" t="s">
        <v>701</v>
      </c>
      <c r="O36" s="119" t="str">
        <f>CONCATENATE(VLOOKUP(Table57451011[[#This Row],[Field Type]],FieldTypesRef1[],2,FALSE),IF(Table57451011[[#This Row],[Mandatory]]="Yes","","?"))</f>
        <v>string?</v>
      </c>
      <c r="P36" s="119" t="str">
        <f>VLOOKUP(Table57451011[[#This Row],[Field Type]],FieldTypesRef1[],3,FALSE)</f>
        <v/>
      </c>
      <c r="Q36" s="119" t="str">
        <f>IF(Table57451011[[#This Row],[Mandatory]]="Yes","[Required]","")</f>
        <v/>
      </c>
      <c r="R36" s="119" t="str">
        <f>IF(Table57451011[[#This Row],[Max Length]]&gt;0,CONCATENATE("[MaxLength(",Table57451011[[#This Row],[Max Length]],")]"),"")</f>
        <v>[MaxLength(300)]</v>
      </c>
      <c r="S36" s="119" t="str">
        <f>CONCATENATE("""",Table57451011[[#This Row],[SQL Name]],""" = """,Table57451011[[#This Row],[Field]],",")</f>
        <v>"Please_Specify_Which_Pillar_For_D)_TXT" = "Please specify which pillar for d),</v>
      </c>
      <c r="T36"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[MaxLength(300)]public string? Please_Specify_Which_Pillar_For_D)_TXT {get;set;}</v>
      </c>
    </row>
    <row r="37" spans="1:20" s="83" customFormat="1" ht="60.45" customHeight="1" x14ac:dyDescent="0.3">
      <c r="A37" s="95" t="s">
        <v>655</v>
      </c>
      <c r="B37" s="95" t="s">
        <v>695</v>
      </c>
      <c r="C37" s="91" t="s">
        <v>700</v>
      </c>
      <c r="D37" s="95" t="s">
        <v>694</v>
      </c>
      <c r="E37" s="117" t="str">
        <f>SUBSTITUTE(SUBSTITUTE(PROPER(TRIM(CLEAN(Table57451011[[#This Row],[Field]])))," ","_"),"-","")</f>
        <v>Please_Provide_A_Brief_Explaination_For_All_Of_The_Items_That_Apply.</v>
      </c>
      <c r="F37" s="83" t="s">
        <v>78</v>
      </c>
      <c r="G37" s="117" t="str">
        <f>VLOOKUP(Table57451011[[#This Row],[Extension]],DescRef1[],2,FALSE)</f>
        <v>TXT</v>
      </c>
      <c r="H37" s="83">
        <v>7500</v>
      </c>
      <c r="I37" s="83" t="s">
        <v>601</v>
      </c>
      <c r="J37" s="117" t="str">
        <f>IF(Table57451011[[#This Row],[Code]]="-", Table57451011[[#This Row],[Formatted]], CONCATENATE(Table57451011[[#This Row],[Formatted]],"_",Table57451011[[#This Row],[Code]]))</f>
        <v>Please_Provide_A_Brief_Explaination_For_All_Of_The_Items_That_Apply._TXT</v>
      </c>
      <c r="K37" s="83" t="s">
        <v>78</v>
      </c>
      <c r="L37" s="17"/>
      <c r="O37" s="119" t="str">
        <f>CONCATENATE(VLOOKUP(Table57451011[[#This Row],[Field Type]],FieldTypesRef1[],2,FALSE),IF(Table57451011[[#This Row],[Mandatory]]="Yes","","?"))</f>
        <v>string?</v>
      </c>
      <c r="P37" s="119" t="str">
        <f>VLOOKUP(Table57451011[[#This Row],[Field Type]],FieldTypesRef1[],3,FALSE)</f>
        <v/>
      </c>
      <c r="Q37" s="119" t="str">
        <f>IF(Table57451011[[#This Row],[Mandatory]]="Yes","[Required]","")</f>
        <v/>
      </c>
      <c r="R37" s="119" t="str">
        <f>IF(Table57451011[[#This Row],[Max Length]]&gt;0,CONCATENATE("[MaxLength(",Table57451011[[#This Row],[Max Length]],")]"),"")</f>
        <v>[MaxLength(7500)]</v>
      </c>
      <c r="S37" s="119" t="str">
        <f>CONCATENATE("""",Table57451011[[#This Row],[SQL Name]],""" = """,Table57451011[[#This Row],[Field]],",")</f>
        <v>"Please_Provide_A_Brief_Explaination_For_All_Of_The_Items_That_Apply._TXT" = "Please provide a brief explaination for all of the items that apply.,</v>
      </c>
      <c r="T37" s="117" t="str">
        <f>CONCATENATE("/** Section: ",Table57451011[[#This Row],[Section]], " **/ ",Table57451011[[#This Row],[EF Core Annotation1]],Table57451011[[#This Row],[EF Core Annotation2]],Table57451011[[#This Row],[EF Core Annotation3]],"public ",Table57451011[[#This Row],[EF Type]]," ",Table57451011[[#This Row],[SQL Name]]," {get;set;}")</f>
        <v>/** Section: Section 4. Government of Canada Gender Results Framework (GRF) **/ [MaxLength(7500)]public string? Please_Provide_A_Brief_Explaination_For_All_Of_The_Items_That_Apply._TXT {get;set;}</v>
      </c>
    </row>
    <row r="38" spans="1:20" s="83" customFormat="1" ht="57" customHeight="1" x14ac:dyDescent="0.3">
      <c r="A38" s="95" t="s">
        <v>656</v>
      </c>
      <c r="B38" s="95" t="s">
        <v>704</v>
      </c>
      <c r="C38" s="95" t="s">
        <v>705</v>
      </c>
      <c r="D38" s="106"/>
      <c r="E38" s="117" t="str">
        <f>SUBSTITUTE(SUBSTITUTE(PROPER(TRIM(CLEAN(Table57451011[[#This Row],[Field]])))," ","_"),"-","")</f>
        <v>Please_Indicate_Results_Achieved_Over_The_Previous_Fiscal_Period_Against_A)</v>
      </c>
      <c r="F38" s="83" t="s">
        <v>78</v>
      </c>
      <c r="G38" s="117" t="str">
        <f>VLOOKUP(Table57451011[[#This Row],[Extension]],DescRef1[],2,FALSE)</f>
        <v>TXT</v>
      </c>
      <c r="H38" s="83">
        <v>7500</v>
      </c>
      <c r="I38" s="83" t="s">
        <v>601</v>
      </c>
      <c r="J38" s="117" t="str">
        <f>IF(Table57451011[[#This Row],[Code]]="-", Table57451011[[#This Row],[Formatted]], CONCATENATE(Table57451011[[#This Row],[Formatted]],"_",Table57451011[[#This Row],[Code]]))</f>
        <v>Please_Indicate_Results_Achieved_Over_The_Previous_Fiscal_Period_Against_A)_TXT</v>
      </c>
      <c r="K38" s="83" t="s">
        <v>78</v>
      </c>
      <c r="L38" s="17"/>
      <c r="O38" s="119" t="str">
        <f>CONCATENATE(VLOOKUP(Table57451011[[#This Row],[Field Type]],FieldTypesRef1[],2,FALSE),IF(Table57451011[[#This Row],[Mandatory]]="Yes","","?"))</f>
        <v>string?</v>
      </c>
      <c r="P38" s="119" t="str">
        <f>VLOOKUP(Table57451011[[#This Row],[Field Type]],FieldTypesRef1[],3,FALSE)</f>
        <v/>
      </c>
      <c r="Q38" s="119" t="str">
        <f>IF(Table57451011[[#This Row],[Mandatory]]="Yes","[Required]","")</f>
        <v/>
      </c>
      <c r="R38" s="119" t="str">
        <f>IF(Table57451011[[#This Row],[Max Length]]&gt;0,CONCATENATE("[MaxLength(",Table57451011[[#This Row],[Max Length]],")]"),"")</f>
        <v>[MaxLength(7500)]</v>
      </c>
      <c r="S38" s="119" t="str">
        <f>CONCATENATE("""",Table57451011[[#This Row],[SQL Name]],""" = """,Table57451011[[#This Row],[Field]],",")</f>
        <v>"Please_Indicate_Results_Achieved_Over_The_Previous_Fiscal_Period_Against_A)_TXT" = "Please indicate results achieved over the previous fiscal period against a),</v>
      </c>
      <c r="T38" s="117" t="str">
        <f>CONCATENATE("/** Section: ",Table57451011[[#This Row],[Section]], " **/ ",Table57451011[[#This Row],[EF Core Annotation1]],Table57451011[[#This Row],[EF Core Annotation2]],Table57451011[[#This Row],[EF Core Annotation3]],"public ",Table57451011[[#This Row],[EF Type]]," ",Table57451011[[#This Row],[SQL Name]]," {get;set;}")</f>
        <v>/** Section: Section 5. Results achieved over the Previous Fiscal Period **/ [MaxLength(7500)]public string? Please_Indicate_Results_Achieved_Over_The_Previous_Fiscal_Period_Against_A)_TXT {get;set;}</v>
      </c>
    </row>
    <row r="39" spans="1:20" s="83" customFormat="1" ht="30.45" customHeight="1" x14ac:dyDescent="0.3">
      <c r="A39" s="95" t="s">
        <v>656</v>
      </c>
      <c r="B39" s="95" t="s">
        <v>703</v>
      </c>
      <c r="C39" s="95" t="s">
        <v>706</v>
      </c>
      <c r="D39" s="106"/>
      <c r="E39" s="117" t="str">
        <f>SUBSTITUTE(SUBSTITUTE(PROPER(TRIM(CLEAN(Table57451011[[#This Row],[Field]])))," ","_"),"-","")</f>
        <v>Please_Indicate_Results_Achieved_Over_The_Previous_Fiscal_Period_Against_B)</v>
      </c>
      <c r="F39" s="83" t="s">
        <v>78</v>
      </c>
      <c r="G39" s="117" t="str">
        <f>VLOOKUP(Table57451011[[#This Row],[Extension]],DescRef1[],2,FALSE)</f>
        <v>TXT</v>
      </c>
      <c r="H39" s="83">
        <v>7500</v>
      </c>
      <c r="I39" s="83" t="s">
        <v>601</v>
      </c>
      <c r="J39" s="117" t="str">
        <f>IF(Table57451011[[#This Row],[Code]]="-", Table57451011[[#This Row],[Formatted]], CONCATENATE(Table57451011[[#This Row],[Formatted]],"_",Table57451011[[#This Row],[Code]]))</f>
        <v>Please_Indicate_Results_Achieved_Over_The_Previous_Fiscal_Period_Against_B)_TXT</v>
      </c>
      <c r="K39" s="83" t="s">
        <v>78</v>
      </c>
      <c r="L39" s="17"/>
      <c r="O39" s="119" t="str">
        <f>CONCATENATE(VLOOKUP(Table57451011[[#This Row],[Field Type]],FieldTypesRef1[],2,FALSE),IF(Table57451011[[#This Row],[Mandatory]]="Yes","","?"))</f>
        <v>string?</v>
      </c>
      <c r="P39" s="119" t="str">
        <f>VLOOKUP(Table57451011[[#This Row],[Field Type]],FieldTypesRef1[],3,FALSE)</f>
        <v/>
      </c>
      <c r="Q39" s="119" t="str">
        <f>IF(Table57451011[[#This Row],[Mandatory]]="Yes","[Required]","")</f>
        <v/>
      </c>
      <c r="R39" s="119" t="str">
        <f>IF(Table57451011[[#This Row],[Max Length]]&gt;0,CONCATENATE("[MaxLength(",Table57451011[[#This Row],[Max Length]],")]"),"")</f>
        <v>[MaxLength(7500)]</v>
      </c>
      <c r="S39" s="119" t="str">
        <f>CONCATENATE("""",Table57451011[[#This Row],[SQL Name]],""" = """,Table57451011[[#This Row],[Field]],",")</f>
        <v>"Please_Indicate_Results_Achieved_Over_The_Previous_Fiscal_Period_Against_B)_TXT" = "Please indicate results achieved over the previous fiscal period against b),</v>
      </c>
      <c r="T39" s="117" t="str">
        <f>CONCATENATE("/** Section: ",Table57451011[[#This Row],[Section]], " **/ ",Table57451011[[#This Row],[EF Core Annotation1]],Table57451011[[#This Row],[EF Core Annotation2]],Table57451011[[#This Row],[EF Core Annotation3]],"public ",Table57451011[[#This Row],[EF Type]]," ",Table57451011[[#This Row],[SQL Name]]," {get;set;}")</f>
        <v>/** Section: Section 5. Results achieved over the Previous Fiscal Period **/ [MaxLength(7500)]public string? Please_Indicate_Results_Achieved_Over_The_Previous_Fiscal_Period_Against_B)_TXT {get;set;}</v>
      </c>
    </row>
    <row r="40" spans="1:20" s="83" customFormat="1" ht="31.5" customHeight="1" x14ac:dyDescent="0.3">
      <c r="A40" s="95" t="s">
        <v>656</v>
      </c>
      <c r="B40" s="95" t="s">
        <v>703</v>
      </c>
      <c r="C40" s="95" t="s">
        <v>707</v>
      </c>
      <c r="D40" s="106"/>
      <c r="E40" s="117" t="str">
        <f>SUBSTITUTE(SUBSTITUTE(PROPER(TRIM(CLEAN(Table57451011[[#This Row],[Field]])))," ","_"),"-","")</f>
        <v>Please_Indicate_Results_Achieved_Over_The_Previous_Fiscal_Period_Against_C)</v>
      </c>
      <c r="F40" s="83" t="s">
        <v>78</v>
      </c>
      <c r="G40" s="117" t="str">
        <f>VLOOKUP(Table57451011[[#This Row],[Extension]],DescRef1[],2,FALSE)</f>
        <v>TXT</v>
      </c>
      <c r="H40" s="83">
        <v>7500</v>
      </c>
      <c r="I40" s="83" t="s">
        <v>601</v>
      </c>
      <c r="J40" s="117" t="str">
        <f>IF(Table57451011[[#This Row],[Code]]="-", Table57451011[[#This Row],[Formatted]], CONCATENATE(Table57451011[[#This Row],[Formatted]],"_",Table57451011[[#This Row],[Code]]))</f>
        <v>Please_Indicate_Results_Achieved_Over_The_Previous_Fiscal_Period_Against_C)_TXT</v>
      </c>
      <c r="K40" s="83" t="s">
        <v>78</v>
      </c>
      <c r="L40" s="17"/>
      <c r="O40" s="119" t="str">
        <f>CONCATENATE(VLOOKUP(Table57451011[[#This Row],[Field Type]],FieldTypesRef1[],2,FALSE),IF(Table57451011[[#This Row],[Mandatory]]="Yes","","?"))</f>
        <v>string?</v>
      </c>
      <c r="P40" s="119" t="str">
        <f>VLOOKUP(Table57451011[[#This Row],[Field Type]],FieldTypesRef1[],3,FALSE)</f>
        <v/>
      </c>
      <c r="Q40" s="119" t="str">
        <f>IF(Table57451011[[#This Row],[Mandatory]]="Yes","[Required]","")</f>
        <v/>
      </c>
      <c r="R40" s="119" t="str">
        <f>IF(Table57451011[[#This Row],[Max Length]]&gt;0,CONCATENATE("[MaxLength(",Table57451011[[#This Row],[Max Length]],")]"),"")</f>
        <v>[MaxLength(7500)]</v>
      </c>
      <c r="S40" s="119" t="str">
        <f>CONCATENATE("""",Table57451011[[#This Row],[SQL Name]],""" = """,Table57451011[[#This Row],[Field]],",")</f>
        <v>"Please_Indicate_Results_Achieved_Over_The_Previous_Fiscal_Period_Against_C)_TXT" = "Please indicate results achieved over the previous fiscal period against c),</v>
      </c>
      <c r="T40" s="117" t="str">
        <f>CONCATENATE("/** Section: ",Table57451011[[#This Row],[Section]], " **/ ",Table57451011[[#This Row],[EF Core Annotation1]],Table57451011[[#This Row],[EF Core Annotation2]],Table57451011[[#This Row],[EF Core Annotation3]],"public ",Table57451011[[#This Row],[EF Type]]," ",Table57451011[[#This Row],[SQL Name]]," {get;set;}")</f>
        <v>/** Section: Section 5. Results achieved over the Previous Fiscal Period **/ [MaxLength(7500)]public string? Please_Indicate_Results_Achieved_Over_The_Previous_Fiscal_Period_Against_C)_TXT {get;set;}</v>
      </c>
    </row>
    <row r="41" spans="1:20" ht="14.55" customHeight="1" x14ac:dyDescent="0.3">
      <c r="A41" s="92"/>
      <c r="B41" s="92"/>
      <c r="C41" s="92"/>
      <c r="K41" s="17"/>
      <c r="N41" s="3"/>
      <c r="O41" s="89"/>
      <c r="P41" s="3"/>
      <c r="Q41" s="3"/>
      <c r="R41" s="3"/>
    </row>
    <row r="44" spans="1:20" ht="15.6" x14ac:dyDescent="0.3">
      <c r="A44" s="94"/>
      <c r="B44" s="95"/>
      <c r="C44" s="95"/>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Sheet2!$C$2:$C$10</xm:f>
          </x14:formula1>
          <xm:sqref>N42:Q304 M41:M304 N2:N40</xm:sqref>
        </x14:dataValidation>
        <x14:dataValidation type="list" allowBlank="1" showInputMessage="1" showErrorMessage="1">
          <x14:formula1>
            <xm:f>'Datahub Reference'!$A$3:$A$30</xm:f>
          </x14:formula1>
          <xm:sqref>E41:E1048576 F1:F40</xm:sqref>
        </x14:dataValidation>
        <x14:dataValidation type="list" allowBlank="1" showInputMessage="1" showErrorMessage="1">
          <x14:formula1>
            <xm:f>'Datahub Reference'!$A$33:$A$40</xm:f>
          </x14:formula1>
          <xm:sqref>J41 K2:K40</xm:sqref>
        </x14:dataValidation>
        <x14:dataValidation type="list" allowBlank="1" showInputMessage="1" showErrorMessage="1">
          <x14:formula1>
            <xm:f>Sheet2!$A$2:A$9</xm:f>
          </x14:formula1>
          <xm:sqref>J42:J171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Normal="100" workbookViewId="0">
      <selection activeCell="Q10" sqref="Q10"/>
    </sheetView>
  </sheetViews>
  <sheetFormatPr defaultColWidth="9.21875" defaultRowHeight="14.4" x14ac:dyDescent="0.3"/>
  <cols>
    <col min="1" max="1" width="32.21875" style="85" customWidth="1"/>
    <col min="2" max="2" width="53.6640625" style="85" customWidth="1"/>
    <col min="3" max="3" width="56.5546875" style="71" customWidth="1"/>
    <col min="4" max="4" width="28" style="71" customWidth="1"/>
    <col min="5" max="7" width="16.21875" style="71" customWidth="1"/>
    <col min="8" max="8" width="65.21875" style="71" customWidth="1"/>
    <col min="9" max="9" width="21.77734375" style="71" bestFit="1" customWidth="1"/>
    <col min="10" max="10" width="33.44140625" style="3" customWidth="1"/>
    <col min="11" max="11" width="31.77734375" style="71" customWidth="1"/>
    <col min="12" max="13" width="21" style="71" customWidth="1"/>
    <col min="14" max="14" width="21" style="84" customWidth="1"/>
    <col min="15" max="16" width="21" style="71" customWidth="1"/>
    <col min="17" max="17" width="15.21875" style="71" customWidth="1"/>
    <col min="18" max="18" width="14.5546875" style="71" customWidth="1"/>
    <col min="19" max="16384" width="9.21875" style="71"/>
  </cols>
  <sheetData>
    <row r="1" spans="1:18" s="3" customFormat="1" ht="35.25" customHeight="1" x14ac:dyDescent="0.3">
      <c r="A1" s="87" t="s">
        <v>550</v>
      </c>
      <c r="B1" s="87" t="s">
        <v>0</v>
      </c>
      <c r="C1" s="3" t="s">
        <v>551</v>
      </c>
      <c r="D1" s="87" t="s">
        <v>469</v>
      </c>
      <c r="E1" s="3" t="s">
        <v>482</v>
      </c>
      <c r="F1" s="87" t="s">
        <v>549</v>
      </c>
      <c r="G1" s="87" t="s">
        <v>544</v>
      </c>
      <c r="H1" s="3" t="s">
        <v>470</v>
      </c>
      <c r="I1" s="87" t="s">
        <v>85</v>
      </c>
      <c r="J1" s="87" t="s">
        <v>461</v>
      </c>
      <c r="K1" s="3" t="s">
        <v>2</v>
      </c>
      <c r="L1" s="3" t="s">
        <v>3</v>
      </c>
      <c r="M1" s="3" t="s">
        <v>559</v>
      </c>
      <c r="N1" s="3" t="s">
        <v>590</v>
      </c>
      <c r="O1" s="3" t="s">
        <v>591</v>
      </c>
      <c r="P1" s="3" t="s">
        <v>592</v>
      </c>
      <c r="Q1" s="3" t="s">
        <v>594</v>
      </c>
      <c r="R1" s="3" t="s">
        <v>593</v>
      </c>
    </row>
    <row r="2" spans="1:18" x14ac:dyDescent="0.3">
      <c r="A2" s="85" t="s">
        <v>606</v>
      </c>
      <c r="B2" s="85" t="s">
        <v>607</v>
      </c>
      <c r="D2" s="71" t="s">
        <v>489</v>
      </c>
      <c r="F2" s="71">
        <v>100</v>
      </c>
      <c r="G2" s="71" t="s">
        <v>568</v>
      </c>
      <c r="H2" s="71" t="str">
        <f>IF(Table5745[[#This Row],[Code]]="-", Table5745[[#This Row],[Formatted]], CONCATENATE(Table5745[[#This Row],[Formatted]],"_",Table5745[[#This Row],[Code]]))</f>
        <v>_</v>
      </c>
      <c r="I2" s="71" t="s">
        <v>78</v>
      </c>
      <c r="M2" s="3" t="str">
        <f>CONCATENATE(VLOOKUP(Table5745[[#This Row],[Field Type]],FieldTypesRef1[],2,FALSE),IF(Table5745[[#This Row],[Mandatory]]="Yes","","?"))</f>
        <v>string</v>
      </c>
      <c r="N2" s="3" t="str">
        <f>VLOOKUP(Table5745[[#This Row],[Field Type]],FieldTypesRef1[],3,FALSE)</f>
        <v/>
      </c>
      <c r="O2" s="3" t="str">
        <f>IF(Table5745[[#This Row],[Mandatory]]="Yes","[Required]","")</f>
        <v>[Required]</v>
      </c>
      <c r="P2" s="3" t="str">
        <f>IF(Table5745[[#This Row],[Max Length]]&gt;0,CONCATENATE("[MaxLength(",Table5745[[#This Row],[Max Length]],")]"),"")</f>
        <v>[MaxLength(100)]</v>
      </c>
      <c r="Q2" s="3" t="str">
        <f>CONCATENATE("""",Table5745[[#This Row],[SQL Name]],""" = """,Table5745[[#This Row],[Field]],",")</f>
        <v>"_" = "Core responsibility,</v>
      </c>
      <c r="R2" s="71" t="str">
        <f>CONCATENATE("/** Section: ",Table5745[[#This Row],[Section]], " **/ ",Table5745[[#This Row],[EF Core Annotation1]],Table5745[[#This Row],[EF Core Annotation2]],Table5745[[#This Row],[EF Core Annotation3]],"public ",Table5745[[#This Row],[EF Type]]," ",Table5745[[#This Row],[SQL Name]]," {get;set;}")</f>
        <v>/** Section: Current 2020-21 Indicator Information  **/ [Required][MaxLength(100)]public string _ {get;set;}</v>
      </c>
    </row>
    <row r="3" spans="1:18" x14ac:dyDescent="0.3">
      <c r="A3" s="85" t="s">
        <v>606</v>
      </c>
      <c r="B3" s="85" t="s">
        <v>608</v>
      </c>
      <c r="D3" s="71" t="s">
        <v>489</v>
      </c>
      <c r="E3" s="71" t="str">
        <f>VLOOKUP(Table5745[[#This Row],[Extension]],DescRef1[],2,FALSE)</f>
        <v>DESC</v>
      </c>
      <c r="F3" s="71">
        <v>100</v>
      </c>
      <c r="G3" s="71" t="s">
        <v>568</v>
      </c>
      <c r="H3" s="71" t="str">
        <f>IF(Table5745[[#This Row],[Code]]="-", Table5745[[#This Row],[Formatted]], CONCATENATE(Table5745[[#This Row],[Formatted]],"_",Table5745[[#This Row],[Code]]))</f>
        <v>_DESC</v>
      </c>
      <c r="I3" s="71" t="s">
        <v>78</v>
      </c>
      <c r="M3" s="3" t="str">
        <f>CONCATENATE(VLOOKUP(Table5745[[#This Row],[Field Type]],FieldTypesRef1[],2,FALSE),IF(Table5745[[#This Row],[Mandatory]]="Yes","","?"))</f>
        <v>string</v>
      </c>
      <c r="N3" s="89" t="str">
        <f>VLOOKUP(Table5745[[#This Row],[Field Type]],FieldTypesRef1[],3,FALSE)</f>
        <v/>
      </c>
      <c r="O3" s="3" t="str">
        <f>IF(Table5745[[#This Row],[Mandatory]]="Yes","[Required]","")</f>
        <v>[Required]</v>
      </c>
      <c r="P3" s="3" t="str">
        <f>IF(Table5745[[#This Row],[Max Length]]&gt;0,CONCATENATE("[MaxLength(",Table5745[[#This Row],[Max Length]],")]"),"")</f>
        <v>[MaxLength(100)]</v>
      </c>
      <c r="Q3" s="3" t="str">
        <f>CONCATENATE("""",Table5745[[#This Row],[SQL Name]],""" = """,Table5745[[#This Row],[Field]],",")</f>
        <v>"_DESC" = "Indicator title,</v>
      </c>
      <c r="R3" s="71" t="str">
        <f>CONCATENATE("/** Section: ",Table5745[[#This Row],[Section]], " **/ ",Table5745[[#This Row],[EF Core Annotation1]],Table5745[[#This Row],[EF Core Annotation2]],Table5745[[#This Row],[EF Core Annotation3]],"public ",Table5745[[#This Row],[EF Type]]," ",Table5745[[#This Row],[SQL Name]]," {get;set;}")</f>
        <v>/** Section: Current 2020-21 Indicator Information  **/ [Required][MaxLength(100)]public string _DESC {get;set;}</v>
      </c>
    </row>
    <row r="4" spans="1:18" x14ac:dyDescent="0.3">
      <c r="A4" s="85" t="s">
        <v>606</v>
      </c>
      <c r="B4" s="86" t="s">
        <v>609</v>
      </c>
      <c r="D4" s="71" t="s">
        <v>489</v>
      </c>
      <c r="E4" s="71" t="str">
        <f>VLOOKUP(Table5745[[#This Row],[Extension]],DescRef1[],2,FALSE)</f>
        <v>DESC</v>
      </c>
      <c r="F4" s="71">
        <v>100</v>
      </c>
      <c r="G4" s="71" t="s">
        <v>568</v>
      </c>
      <c r="H4" s="71" t="str">
        <f>IF(Table5745[[#This Row],[Code]]="-", Table5745[[#This Row],[Formatted]], CONCATENATE(Table5745[[#This Row],[Formatted]],"_",Table5745[[#This Row],[Code]]))</f>
        <v>_DESC</v>
      </c>
      <c r="I4" s="71" t="s">
        <v>78</v>
      </c>
      <c r="J4" s="17"/>
      <c r="K4" s="72"/>
      <c r="M4" s="3" t="str">
        <f>CONCATENATE(VLOOKUP(Table5745[[#This Row],[Field Type]],FieldTypesRef1[],2,FALSE),IF(Table5745[[#This Row],[Mandatory]]="Yes","","?"))</f>
        <v>string</v>
      </c>
      <c r="N4" s="89" t="str">
        <f>VLOOKUP(Table5745[[#This Row],[Field Type]],FieldTypesRef1[],3,FALSE)</f>
        <v/>
      </c>
      <c r="O4" s="3" t="str">
        <f>IF(Table5745[[#This Row],[Mandatory]]="Yes","[Required]","")</f>
        <v>[Required]</v>
      </c>
      <c r="P4" s="3" t="str">
        <f>IF(Table5745[[#This Row],[Max Length]]&gt;0,CONCATENATE("[MaxLength(",Table5745[[#This Row],[Max Length]],")]"),"")</f>
        <v>[MaxLength(100)]</v>
      </c>
      <c r="Q4" s="3" t="str">
        <f>CONCATENATE("""",Table5745[[#This Row],[SQL Name]],""" = """,Table5745[[#This Row],[Field]],",")</f>
        <v>"_DESC" = "Lead Sector,</v>
      </c>
      <c r="R4" s="71" t="str">
        <f>CONCATENATE("/** Section: ",Table5745[[#This Row],[Section]], " **/ ",Table5745[[#This Row],[EF Core Annotation1]],Table5745[[#This Row],[EF Core Annotation2]],Table5745[[#This Row],[EF Core Annotation3]],"public ",Table5745[[#This Row],[EF Type]]," ",Table5745[[#This Row],[SQL Name]]," {get;set;}")</f>
        <v>/** Section: Current 2020-21 Indicator Information  **/ [Required][MaxLength(100)]public string _DESC {get;set;}</v>
      </c>
    </row>
    <row r="5" spans="1:18" x14ac:dyDescent="0.3">
      <c r="A5" s="85" t="s">
        <v>606</v>
      </c>
      <c r="B5" s="86" t="s">
        <v>610</v>
      </c>
      <c r="D5" s="71" t="s">
        <v>489</v>
      </c>
      <c r="E5" s="71" t="str">
        <f>VLOOKUP(Table5745[[#This Row],[Extension]],DescRef1[],2,FALSE)</f>
        <v>DESC</v>
      </c>
      <c r="F5" s="71">
        <v>100</v>
      </c>
      <c r="G5" s="71" t="s">
        <v>568</v>
      </c>
      <c r="H5" s="71" t="str">
        <f>IF(Table5745[[#This Row],[Code]]="-", Table5745[[#This Row],[Formatted]], CONCATENATE(Table5745[[#This Row],[Formatted]],"_",Table5745[[#This Row],[Code]]))</f>
        <v>_DESC</v>
      </c>
      <c r="I5" s="71" t="s">
        <v>78</v>
      </c>
      <c r="J5" s="17"/>
      <c r="K5" s="72"/>
      <c r="M5" s="3" t="str">
        <f>CONCATENATE(VLOOKUP(Table5745[[#This Row],[Field Type]],FieldTypesRef1[],2,FALSE),IF(Table5745[[#This Row],[Mandatory]]="Yes","","?"))</f>
        <v>string</v>
      </c>
      <c r="N5" s="89" t="str">
        <f>VLOOKUP(Table5745[[#This Row],[Field Type]],FieldTypesRef1[],3,FALSE)</f>
        <v/>
      </c>
      <c r="O5" s="3" t="str">
        <f>IF(Table5745[[#This Row],[Mandatory]]="Yes","[Required]","")</f>
        <v>[Required]</v>
      </c>
      <c r="P5" s="3" t="str">
        <f>IF(Table5745[[#This Row],[Max Length]]&gt;0,CONCATENATE("[MaxLength(",Table5745[[#This Row],[Max Length]],")]"),"")</f>
        <v>[MaxLength(100)]</v>
      </c>
      <c r="Q5" s="3" t="str">
        <f>CONCATENATE("""",Table5745[[#This Row],[SQL Name]],""" = """,Table5745[[#This Row],[Field]],",")</f>
        <v>"_DESC" = "Contributing Sectors,</v>
      </c>
      <c r="R5" s="71" t="str">
        <f>CONCATENATE("/** Section: ",Table5745[[#This Row],[Section]], " **/ ",Table5745[[#This Row],[EF Core Annotation1]],Table5745[[#This Row],[EF Core Annotation2]],Table5745[[#This Row],[EF Core Annotation3]],"public ",Table5745[[#This Row],[EF Type]]," ",Table5745[[#This Row],[SQL Name]]," {get;set;}")</f>
        <v>/** Section: Current 2020-21 Indicator Information  **/ [Required][MaxLength(100)]public string _DESC {get;set;}</v>
      </c>
    </row>
    <row r="6" spans="1:18" x14ac:dyDescent="0.3">
      <c r="A6" s="85" t="s">
        <v>606</v>
      </c>
      <c r="B6" s="86" t="s">
        <v>611</v>
      </c>
      <c r="D6" s="71" t="s">
        <v>489</v>
      </c>
      <c r="E6" s="71" t="str">
        <f>VLOOKUP(Table5745[[#This Row],[Extension]],DescRef1[],2,FALSE)</f>
        <v>DESC</v>
      </c>
      <c r="F6" s="71">
        <v>100</v>
      </c>
      <c r="G6" s="71" t="s">
        <v>568</v>
      </c>
      <c r="H6" s="71" t="str">
        <f>IF(Table5745[[#This Row],[Code]]="-", Table5745[[#This Row],[Formatted]], CONCATENATE(Table5745[[#This Row],[Formatted]],"_",Table5745[[#This Row],[Code]]))</f>
        <v>_DESC</v>
      </c>
      <c r="I6" s="71" t="s">
        <v>78</v>
      </c>
      <c r="J6" s="17"/>
      <c r="K6" s="72"/>
      <c r="M6" s="3" t="str">
        <f>CONCATENATE(VLOOKUP(Table5745[[#This Row],[Field Type]],FieldTypesRef1[],2,FALSE),IF(Table5745[[#This Row],[Mandatory]]="Yes","","?"))</f>
        <v>string</v>
      </c>
      <c r="N6" s="89" t="str">
        <f>VLOOKUP(Table5745[[#This Row],[Field Type]],FieldTypesRef1[],3,FALSE)</f>
        <v/>
      </c>
      <c r="O6" s="3" t="str">
        <f>IF(Table5745[[#This Row],[Mandatory]]="Yes","[Required]","")</f>
        <v>[Required]</v>
      </c>
      <c r="P6" s="3" t="str">
        <f>IF(Table5745[[#This Row],[Max Length]]&gt;0,CONCATENATE("[MaxLength(",Table5745[[#This Row],[Max Length]],")]"),"")</f>
        <v>[MaxLength(100)]</v>
      </c>
      <c r="Q6" s="3" t="str">
        <f>CONCATENATE("""",Table5745[[#This Row],[SQL Name]],""" = """,Table5745[[#This Row],[Field]],",")</f>
        <v>"_DESC" = "Target (2020-21),</v>
      </c>
      <c r="R6" s="71" t="str">
        <f>CONCATENATE("/** Section: ",Table5745[[#This Row],[Section]], " **/ ",Table5745[[#This Row],[EF Core Annotation1]],Table5745[[#This Row],[EF Core Annotation2]],Table5745[[#This Row],[EF Core Annotation3]],"public ",Table5745[[#This Row],[EF Type]]," ",Table5745[[#This Row],[SQL Name]]," {get;set;}")</f>
        <v>/** Section: Current 2020-21 Indicator Information  **/ [Required][MaxLength(100)]public string _DESC {get;set;}</v>
      </c>
    </row>
    <row r="7" spans="1:18" x14ac:dyDescent="0.3">
      <c r="A7" s="85" t="s">
        <v>606</v>
      </c>
      <c r="B7" s="86" t="s">
        <v>612</v>
      </c>
      <c r="D7" s="71" t="s">
        <v>489</v>
      </c>
      <c r="E7" s="71" t="str">
        <f>VLOOKUP(Table5745[[#This Row],[Extension]],DescRef1[],2,FALSE)</f>
        <v>DESC</v>
      </c>
      <c r="F7" s="71">
        <v>100</v>
      </c>
      <c r="G7" s="71" t="s">
        <v>568</v>
      </c>
      <c r="H7" s="71" t="str">
        <f>IF(Table5745[[#This Row],[Code]]="-", Table5745[[#This Row],[Formatted]], CONCATENATE(Table5745[[#This Row],[Formatted]],"_",Table5745[[#This Row],[Code]]))</f>
        <v>_DESC</v>
      </c>
      <c r="I7" s="71" t="s">
        <v>78</v>
      </c>
      <c r="J7" s="17"/>
      <c r="K7" s="72"/>
      <c r="M7" s="3" t="str">
        <f>CONCATENATE(VLOOKUP(Table5745[[#This Row],[Field Type]],FieldTypesRef1[],2,FALSE),IF(Table5745[[#This Row],[Mandatory]]="Yes","","?"))</f>
        <v>string</v>
      </c>
      <c r="N7" s="89" t="str">
        <f>VLOOKUP(Table5745[[#This Row],[Field Type]],FieldTypesRef1[],3,FALSE)</f>
        <v/>
      </c>
      <c r="O7" s="3" t="str">
        <f>IF(Table5745[[#This Row],[Mandatory]]="Yes","[Required]","")</f>
        <v>[Required]</v>
      </c>
      <c r="P7" s="3" t="str">
        <f>IF(Table5745[[#This Row],[Max Length]]&gt;0,CONCATENATE("[MaxLength(",Table5745[[#This Row],[Max Length]],")]"),"")</f>
        <v>[MaxLength(100)]</v>
      </c>
      <c r="Q7" s="3" t="str">
        <f>CONCATENATE("""",Table5745[[#This Row],[SQL Name]],""" = """,Table5745[[#This Row],[Field]],",")</f>
        <v>"_DESC" = "Date to achieve target,</v>
      </c>
      <c r="R7" s="71" t="str">
        <f>CONCATENATE("/** Section: ",Table5745[[#This Row],[Section]], " **/ ",Table5745[[#This Row],[EF Core Annotation1]],Table5745[[#This Row],[EF Core Annotation2]],Table5745[[#This Row],[EF Core Annotation3]],"public ",Table5745[[#This Row],[EF Type]]," ",Table5745[[#This Row],[SQL Name]]," {get;set;}")</f>
        <v>/** Section: Current 2020-21 Indicator Information  **/ [Required][MaxLength(100)]public string _DESC {get;set;}</v>
      </c>
    </row>
    <row r="8" spans="1:18" x14ac:dyDescent="0.3">
      <c r="A8" s="85" t="s">
        <v>613</v>
      </c>
      <c r="B8" s="85" t="s">
        <v>614</v>
      </c>
      <c r="C8" s="71" t="str">
        <f>SUBSTITUTE(SUBSTITUTE(PROPER(TRIM(CLEAN(Table5745[[#This Row],[Field]])))," ","_"),"-","")</f>
        <v>MidYear_Actual_Results_(Apr_1__Sept_30,_2020)</v>
      </c>
      <c r="D8" s="71" t="s">
        <v>489</v>
      </c>
      <c r="E8" s="71" t="str">
        <f>VLOOKUP(Table5745[[#This Row],[Extension]],DescRef1[],2,FALSE)</f>
        <v>DESC</v>
      </c>
      <c r="F8" s="71">
        <v>100</v>
      </c>
      <c r="G8" s="71" t="s">
        <v>568</v>
      </c>
      <c r="H8" s="71" t="str">
        <f>IF(Table5745[[#This Row],[Code]]="-", Table5745[[#This Row],[Formatted]], CONCATENATE(Table5745[[#This Row],[Formatted]],"_",Table5745[[#This Row],[Code]]))</f>
        <v>MidYear_Actual_Results_(Apr_1__Sept_30,_2020)_DESC</v>
      </c>
      <c r="I8" s="71" t="s">
        <v>78</v>
      </c>
      <c r="J8" s="17"/>
      <c r="M8" s="3" t="str">
        <f>CONCATENATE(VLOOKUP(Table5745[[#This Row],[Field Type]],FieldTypesRef1[],2,FALSE),IF(Table5745[[#This Row],[Mandatory]]="Yes","","?"))</f>
        <v>string</v>
      </c>
      <c r="N8" s="89" t="str">
        <f>VLOOKUP(Table5745[[#This Row],[Field Type]],FieldTypesRef1[],3,FALSE)</f>
        <v/>
      </c>
      <c r="O8" s="3" t="str">
        <f>IF(Table5745[[#This Row],[Mandatory]]="Yes","[Required]","")</f>
        <v>[Required]</v>
      </c>
      <c r="P8" s="3" t="str">
        <f>IF(Table5745[[#This Row],[Max Length]]&gt;0,CONCATENATE("[MaxLength(",Table5745[[#This Row],[Max Length]],")]"),"")</f>
        <v>[MaxLength(100)]</v>
      </c>
      <c r="Q8" s="3" t="str">
        <f>CONCATENATE("""",Table5745[[#This Row],[SQL Name]],""" = """,Table5745[[#This Row],[Field]],",")</f>
        <v>"MidYear_Actual_Results_(Apr_1__Sept_30,_2020)_DESC" = "Mid-year Actual results (Apr 1 - Sept 30, 2020),</v>
      </c>
      <c r="R8" s="71" t="str">
        <f>CONCATENATE("/** Section: ",Table5745[[#This Row],[Section]], " **/ ",Table5745[[#This Row],[EF Core Annotation1]],Table5745[[#This Row],[EF Core Annotation2]],Table5745[[#This Row],[EF Core Annotation3]],"public ",Table5745[[#This Row],[EF Type]]," ",Table5745[[#This Row],[SQL Name]]," {get;set;}")</f>
        <v>/** Section: Mid-year Actual Results 2020-21 **/ [Required][MaxLength(100)]public string MidYear_Actual_Results_(Apr_1__Sept_30,_2020)_DESC {get;set;}</v>
      </c>
    </row>
    <row r="9" spans="1:18" x14ac:dyDescent="0.3">
      <c r="A9" s="85" t="s">
        <v>613</v>
      </c>
      <c r="B9" s="85" t="s">
        <v>615</v>
      </c>
      <c r="C9" s="71" t="str">
        <f>SUBSTITUTE(SUBSTITUTE(PROPER(TRIM(CLEAN(Table5745[[#This Row],[Field]])))," ","_"),"-","")</f>
        <v>If_MidYear_Actuals_Are_Not_Available,_Please_Provide_A_Rationale</v>
      </c>
      <c r="D9" s="71" t="s">
        <v>489</v>
      </c>
      <c r="E9" s="71" t="str">
        <f>VLOOKUP(Table5745[[#This Row],[Extension]],DescRef1[],2,FALSE)</f>
        <v>DESC</v>
      </c>
      <c r="F9" s="71">
        <v>400</v>
      </c>
      <c r="G9" s="71" t="s">
        <v>568</v>
      </c>
      <c r="H9" s="71" t="str">
        <f>IF(Table5745[[#This Row],[Code]]="-", Table5745[[#This Row],[Formatted]], CONCATENATE(Table5745[[#This Row],[Formatted]],"_",Table5745[[#This Row],[Code]]))</f>
        <v>If_MidYear_Actuals_Are_Not_Available,_Please_Provide_A_Rationale_DESC</v>
      </c>
      <c r="I9" s="71" t="s">
        <v>78</v>
      </c>
      <c r="J9" s="17"/>
      <c r="M9" s="3" t="str">
        <f>CONCATENATE(VLOOKUP(Table5745[[#This Row],[Field Type]],FieldTypesRef1[],2,FALSE),IF(Table5745[[#This Row],[Mandatory]]="Yes","","?"))</f>
        <v>string</v>
      </c>
      <c r="N9" s="89" t="str">
        <f>VLOOKUP(Table5745[[#This Row],[Field Type]],FieldTypesRef1[],3,FALSE)</f>
        <v/>
      </c>
      <c r="O9" s="3" t="str">
        <f>IF(Table5745[[#This Row],[Mandatory]]="Yes","[Required]","")</f>
        <v>[Required]</v>
      </c>
      <c r="P9" s="3" t="str">
        <f>IF(Table5745[[#This Row],[Max Length]]&gt;0,CONCATENATE("[MaxLength(",Table5745[[#This Row],[Max Length]],")]"),"")</f>
        <v>[MaxLength(400)]</v>
      </c>
      <c r="Q9" s="3" t="str">
        <f>CONCATENATE("""",Table5745[[#This Row],[SQL Name]],""" = """,Table5745[[#This Row],[Field]],",")</f>
        <v>"If_MidYear_Actuals_Are_Not_Available,_Please_Provide_A_Rationale_DESC" = "If mid-year actuals are not available, please provide a rationale,</v>
      </c>
      <c r="R9" s="71" t="str">
        <f>CONCATENATE("/** Section: ",Table5745[[#This Row],[Section]], " **/ ",Table5745[[#This Row],[EF Core Annotation1]],Table5745[[#This Row],[EF Core Annotation2]],Table5745[[#This Row],[EF Core Annotation3]],"public ",Table5745[[#This Row],[EF Type]]," ",Table5745[[#This Row],[SQL Name]]," {get;set;}")</f>
        <v>/** Section: Mid-year Actual Results 2020-21 **/ [Required][MaxLength(400)]public string If_MidYear_Actuals_Are_Not_Available,_Please_Provide_A_Rationale_DESC {get;set;}</v>
      </c>
    </row>
    <row r="10" spans="1:18" ht="28.8" x14ac:dyDescent="0.3">
      <c r="A10" s="85" t="s">
        <v>613</v>
      </c>
      <c r="B10" s="92" t="s">
        <v>729</v>
      </c>
      <c r="C10" s="71" t="str">
        <f>SUBSTITUTE(SUBSTITUTE(PROPER(TRIM(CLEAN(Table5745[[#This Row],[Field]])))," ","_"),"-","")</f>
        <v>Based_On_The_Mru,_Is_The_Program_"On_Track"_To_Meet_The_202021_Target?</v>
      </c>
      <c r="D10" s="71" t="s">
        <v>507</v>
      </c>
      <c r="E10" s="71" t="str">
        <f>VLOOKUP(Table5745[[#This Row],[Extension]],DescRef1[],2,FALSE)</f>
        <v>FLAG</v>
      </c>
      <c r="F10" s="71">
        <v>10</v>
      </c>
      <c r="G10" s="71" t="s">
        <v>568</v>
      </c>
      <c r="H10" s="71" t="str">
        <f>IF(Table5745[[#This Row],[Code]]="-", Table5745[[#This Row],[Formatted]], CONCATENATE(Table5745[[#This Row],[Formatted]],"_",Table5745[[#This Row],[Code]]))</f>
        <v>Based_On_The_Mru,_Is_The_Program_"On_Track"_To_Meet_The_202021_Target?_FLAG</v>
      </c>
      <c r="I10" s="71" t="s">
        <v>556</v>
      </c>
      <c r="J10" s="17">
        <v>2</v>
      </c>
      <c r="K10" s="83" t="s">
        <v>680</v>
      </c>
      <c r="M10" s="3" t="str">
        <f>CONCATENATE(VLOOKUP(Table5745[[#This Row],[Field Type]],FieldTypesRef1[],2,FALSE),IF(Table5745[[#This Row],[Mandatory]]="Yes","","?"))</f>
        <v>string</v>
      </c>
      <c r="N10" s="89" t="str">
        <f>VLOOKUP(Table5745[[#This Row],[Field Type]],FieldTypesRef1[],3,FALSE)</f>
        <v/>
      </c>
      <c r="O10" s="3" t="str">
        <f>IF(Table5745[[#This Row],[Mandatory]]="Yes","[Required]","")</f>
        <v>[Required]</v>
      </c>
      <c r="P10" s="3" t="str">
        <f>IF(Table5745[[#This Row],[Max Length]]&gt;0,CONCATENATE("[MaxLength(",Table5745[[#This Row],[Max Length]],")]"),"")</f>
        <v>[MaxLength(10)]</v>
      </c>
      <c r="Q10" s="3" t="str">
        <f>CONCATENATE("""",Table5745[[#This Row],[SQL Name]],""" = """,Table5745[[#This Row],[Field]],",")</f>
        <v>"Based_On_The_Mru,_Is_The_Program_"On_Track"_To_Meet_The_202021_Target?_FLAG" = "Based on the MRU, is the program "on track" to meet the
 2020-21 target? ,</v>
      </c>
      <c r="R10" s="71" t="str">
        <f>CONCATENATE("/** Section: ",Table5745[[#This Row],[Section]], " **/ ",Table5745[[#This Row],[EF Core Annotation1]],Table5745[[#This Row],[EF Core Annotation2]],Table5745[[#This Row],[EF Core Annotation3]],"public ",Table5745[[#This Row],[EF Type]]," ",Table5745[[#This Row],[SQL Name]]," {get;set;}")</f>
        <v>/** Section: Mid-year Actual Results 2020-21 **/ [Required][MaxLength(10)]public string Based_On_The_Mru,_Is_The_Program_"On_Track"_To_Meet_The_202021_Target?_FLAG {get;set;}</v>
      </c>
    </row>
    <row r="11" spans="1:18" x14ac:dyDescent="0.3">
      <c r="A11" s="85" t="s">
        <v>613</v>
      </c>
      <c r="B11" s="85" t="s">
        <v>616</v>
      </c>
      <c r="D11" s="71" t="s">
        <v>489</v>
      </c>
      <c r="E11" s="71" t="str">
        <f>VLOOKUP(Table5745[[#This Row],[Extension]],DescRef1[],2,FALSE)</f>
        <v>DESC</v>
      </c>
      <c r="F11" s="71">
        <v>5000</v>
      </c>
      <c r="G11" s="71" t="s">
        <v>568</v>
      </c>
      <c r="H11" s="71" t="str">
        <f>IF(Table5745[[#This Row],[Code]]="-", Table5745[[#This Row],[Formatted]], CONCATENATE(Table5745[[#This Row],[Formatted]],"_",Table5745[[#This Row],[Code]]))</f>
        <v>_DESC</v>
      </c>
      <c r="I11" s="71" t="s">
        <v>78</v>
      </c>
      <c r="J11" s="17"/>
      <c r="M11" s="3" t="str">
        <f>CONCATENATE(VLOOKUP(Table5745[[#This Row],[Field Type]],FieldTypesRef1[],2,FALSE),IF(Table5745[[#This Row],[Mandatory]]="Yes","","?"))</f>
        <v>string</v>
      </c>
      <c r="N11" s="89" t="str">
        <f>VLOOKUP(Table5745[[#This Row],[Field Type]],FieldTypesRef1[],3,FALSE)</f>
        <v/>
      </c>
      <c r="O11" s="3" t="str">
        <f>IF(Table5745[[#This Row],[Mandatory]]="Yes","[Required]","")</f>
        <v>[Required]</v>
      </c>
      <c r="P11" s="3" t="str">
        <f>IF(Table5745[[#This Row],[Max Length]]&gt;0,CONCATENATE("[MaxLength(",Table5745[[#This Row],[Max Length]],")]"),"")</f>
        <v>[MaxLength(5000)]</v>
      </c>
      <c r="Q11" s="3" t="str">
        <f>CONCATENATE("""",Table5745[[#This Row],[SQL Name]],""" = """,Table5745[[#This Row],[Field]],",")</f>
        <v>"_DESC" = "Please provide a rationale for this assessment ,</v>
      </c>
      <c r="R11" s="71" t="str">
        <f>CONCATENATE("/** Section: ",Table5745[[#This Row],[Section]], " **/ ",Table5745[[#This Row],[EF Core Annotation1]],Table5745[[#This Row],[EF Core Annotation2]],Table5745[[#This Row],[EF Core Annotation3]],"public ",Table5745[[#This Row],[EF Type]]," ",Table5745[[#This Row],[SQL Name]]," {get;set;}")</f>
        <v>/** Section: Mid-year Actual Results 2020-21 **/ [Required][MaxLength(5000)]public string _DESC {get;set;}</v>
      </c>
    </row>
    <row r="12" spans="1:18" x14ac:dyDescent="0.3">
      <c r="A12" s="85" t="s">
        <v>617</v>
      </c>
      <c r="B12" s="85" t="s">
        <v>618</v>
      </c>
      <c r="D12" s="71" t="s">
        <v>489</v>
      </c>
      <c r="E12" s="71" t="str">
        <f>VLOOKUP(Table5745[[#This Row],[Extension]],DescRef1[],2,FALSE)</f>
        <v>DESC</v>
      </c>
      <c r="F12" s="71">
        <v>5000</v>
      </c>
      <c r="G12" s="71" t="s">
        <v>568</v>
      </c>
      <c r="H12" s="71" t="str">
        <f>IF(Table5745[[#This Row],[Code]]="-", Table5745[[#This Row],[Formatted]], CONCATENATE(Table5745[[#This Row],[Formatted]],"_",Table5745[[#This Row],[Code]]))</f>
        <v>_DESC</v>
      </c>
      <c r="I12" s="71" t="s">
        <v>78</v>
      </c>
      <c r="J12" s="17"/>
      <c r="M12" s="3" t="str">
        <f>CONCATENATE(VLOOKUP(Table5745[[#This Row],[Field Type]],FieldTypesRef1[],2,FALSE),IF(Table5745[[#This Row],[Mandatory]]="Yes","","?"))</f>
        <v>string</v>
      </c>
      <c r="N12" s="89" t="str">
        <f>VLOOKUP(Table5745[[#This Row],[Field Type]],FieldTypesRef1[],3,FALSE)</f>
        <v/>
      </c>
      <c r="O12" s="3" t="str">
        <f>IF(Table5745[[#This Row],[Mandatory]]="Yes","[Required]","")</f>
        <v>[Required]</v>
      </c>
      <c r="P12" s="3" t="str">
        <f>IF(Table5745[[#This Row],[Max Length]]&gt;0,CONCATENATE("[MaxLength(",Table5745[[#This Row],[Max Length]],")]"),"")</f>
        <v>[MaxLength(5000)]</v>
      </c>
      <c r="Q12" s="3" t="str">
        <f>CONCATENATE("""",Table5745[[#This Row],[SQL Name]],""" = """,Table5745[[#This Row],[Field]],",")</f>
        <v>"_DESC" = "PDR comments for consideration when establishing target: ,</v>
      </c>
      <c r="R12" s="71" t="str">
        <f>CONCATENATE("/** Section: ",Table5745[[#This Row],[Section]], " **/ ",Table5745[[#This Row],[EF Core Annotation1]],Table5745[[#This Row],[EF Core Annotation2]],Table5745[[#This Row],[EF Core Annotation3]],"public ",Table5745[[#This Row],[EF Type]]," ",Table5745[[#This Row],[SQL Name]]," {get;set;}")</f>
        <v>/** Section: Establishing 2021-22 target **/ [Required][MaxLength(5000)]public string _DESC {get;set;}</v>
      </c>
    </row>
    <row r="13" spans="1:18" x14ac:dyDescent="0.3">
      <c r="A13" s="85" t="s">
        <v>617</v>
      </c>
      <c r="B13" s="85" t="s">
        <v>619</v>
      </c>
      <c r="D13" s="71" t="s">
        <v>489</v>
      </c>
      <c r="E13" s="71" t="str">
        <f>VLOOKUP(Table5745[[#This Row],[Extension]],DescRef1[],2,FALSE)</f>
        <v>DESC</v>
      </c>
      <c r="F13" s="71">
        <v>100</v>
      </c>
      <c r="G13" s="83" t="s">
        <v>568</v>
      </c>
      <c r="H13" s="71" t="str">
        <f>IF(Table5745[[#This Row],[Code]]="-", Table5745[[#This Row],[Formatted]], CONCATENATE(Table5745[[#This Row],[Formatted]],"_",Table5745[[#This Row],[Code]]))</f>
        <v>_DESC</v>
      </c>
      <c r="I13" s="71" t="s">
        <v>78</v>
      </c>
      <c r="J13" s="17"/>
      <c r="M13" s="3" t="str">
        <f>CONCATENATE(VLOOKUP(Table5745[[#This Row],[Field Type]],FieldTypesRef1[],2,FALSE),IF(Table5745[[#This Row],[Mandatory]]="Yes","","?"))</f>
        <v>string</v>
      </c>
      <c r="N13" s="89" t="str">
        <f>VLOOKUP(Table5745[[#This Row],[Field Type]],FieldTypesRef1[],3,FALSE)</f>
        <v/>
      </c>
      <c r="O13" s="3" t="str">
        <f>IF(Table5745[[#This Row],[Mandatory]]="Yes","[Required]","")</f>
        <v>[Required]</v>
      </c>
      <c r="P13" s="3" t="str">
        <f>IF(Table5745[[#This Row],[Max Length]]&gt;0,CONCATENATE("[MaxLength(",Table5745[[#This Row],[Max Length]],")]"),"")</f>
        <v>[MaxLength(100)]</v>
      </c>
      <c r="Q13" s="3" t="str">
        <f>CONCATENATE("""",Table5745[[#This Row],[SQL Name]],""" = """,Table5745[[#This Row],[Field]],",")</f>
        <v>"_DESC" = "Target for 2021-22 Departmental Plan,</v>
      </c>
      <c r="R13" s="71" t="str">
        <f>CONCATENATE("/** Section: ",Table5745[[#This Row],[Section]], " **/ ",Table5745[[#This Row],[EF Core Annotation1]],Table5745[[#This Row],[EF Core Annotation2]],Table5745[[#This Row],[EF Core Annotation3]],"public ",Table5745[[#This Row],[EF Type]]," ",Table5745[[#This Row],[SQL Name]]," {get;set;}")</f>
        <v>/** Section: Establishing 2021-22 target **/ [Required][MaxLength(100)]public string _DESC {get;set;}</v>
      </c>
    </row>
    <row r="14" spans="1:18" x14ac:dyDescent="0.3">
      <c r="A14" s="85" t="s">
        <v>617</v>
      </c>
      <c r="B14" s="85" t="s">
        <v>612</v>
      </c>
      <c r="D14" s="71" t="s">
        <v>15</v>
      </c>
      <c r="E14" s="71" t="str">
        <f>VLOOKUP(Table5745[[#This Row],[Extension]],DescRef1[],2,FALSE)</f>
        <v>DT</v>
      </c>
      <c r="G14" s="83" t="s">
        <v>568</v>
      </c>
      <c r="H14" s="71" t="str">
        <f>IF(Table5745[[#This Row],[Code]]="-", Table5745[[#This Row],[Formatted]], CONCATENATE(Table5745[[#This Row],[Formatted]],"_",Table5745[[#This Row],[Code]]))</f>
        <v>_DT</v>
      </c>
      <c r="I14" s="71" t="s">
        <v>15</v>
      </c>
      <c r="K14" s="83"/>
      <c r="M14" s="3" t="str">
        <f>CONCATENATE(VLOOKUP(Table5745[[#This Row],[Field Type]],FieldTypesRef1[],2,FALSE),IF(Table5745[[#This Row],[Mandatory]]="Yes","","?"))</f>
        <v>DateTime</v>
      </c>
      <c r="N14" s="89" t="str">
        <f>VLOOKUP(Table5745[[#This Row],[Field Type]],FieldTypesRef1[],3,FALSE)</f>
        <v/>
      </c>
      <c r="O14" s="3" t="str">
        <f>IF(Table5745[[#This Row],[Mandatory]]="Yes","[Required]","")</f>
        <v>[Required]</v>
      </c>
      <c r="P14" s="3" t="str">
        <f>IF(Table5745[[#This Row],[Max Length]]&gt;0,CONCATENATE("[MaxLength(",Table5745[[#This Row],[Max Length]],")]"),"")</f>
        <v/>
      </c>
      <c r="Q14" s="3" t="str">
        <f>CONCATENATE("""",Table5745[[#This Row],[SQL Name]],""" = """,Table5745[[#This Row],[Field]],",")</f>
        <v>"_DT" = "Date to achieve target,</v>
      </c>
      <c r="R14" s="71" t="str">
        <f>CONCATENATE("/** Section: ",Table5745[[#This Row],[Section]], " **/ ",Table5745[[#This Row],[EF Core Annotation1]],Table5745[[#This Row],[EF Core Annotation2]],Table5745[[#This Row],[EF Core Annotation3]],"public ",Table5745[[#This Row],[EF Type]]," ",Table5745[[#This Row],[SQL Name]]," {get;set;}")</f>
        <v>/** Section: Establishing 2021-22 target **/ [Required]public DateTime _DT {get;set;}</v>
      </c>
    </row>
    <row r="15" spans="1:18" ht="28.8" x14ac:dyDescent="0.3">
      <c r="A15" s="85" t="s">
        <v>617</v>
      </c>
      <c r="B15" s="92" t="s">
        <v>728</v>
      </c>
      <c r="D15" s="71" t="s">
        <v>489</v>
      </c>
      <c r="F15" s="71">
        <v>5000</v>
      </c>
      <c r="G15" s="71" t="s">
        <v>568</v>
      </c>
      <c r="H15" s="71" t="str">
        <f>IF(Table5745[[#This Row],[Code]]="-", Table5745[[#This Row],[Formatted]], CONCATENATE(Table5745[[#This Row],[Formatted]],"_",Table5745[[#This Row],[Code]]))</f>
        <v>_</v>
      </c>
      <c r="I15" s="71" t="s">
        <v>15</v>
      </c>
      <c r="K15" s="83"/>
      <c r="M15" s="3" t="str">
        <f>CONCATENATE(VLOOKUP(Table5745[[#This Row],[Field Type]],FieldTypesRef1[],2,FALSE),IF(Table5745[[#This Row],[Mandatory]]="Yes","","?"))</f>
        <v>DateTime</v>
      </c>
      <c r="N15" s="89" t="str">
        <f>VLOOKUP(Table5745[[#This Row],[Field Type]],FieldTypesRef1[],3,FALSE)</f>
        <v/>
      </c>
      <c r="O15" s="3" t="str">
        <f>IF(Table5745[[#This Row],[Mandatory]]="Yes","[Required]","")</f>
        <v>[Required]</v>
      </c>
      <c r="P15" s="3" t="str">
        <f>IF(Table5745[[#This Row],[Max Length]]&gt;0,CONCATENATE("[MaxLength(",Table5745[[#This Row],[Max Length]],")]"),"")</f>
        <v>[MaxLength(5000)]</v>
      </c>
      <c r="Q15" s="3" t="str">
        <f>CONCATENATE("""",Table5745[[#This Row],[SQL Name]],""" = """,Table5745[[#This Row],[Field]],",")</f>
        <v>"_" = "Please provide justification for the proposed target if it is 
less ambitious than the previous years` actuals,</v>
      </c>
      <c r="R15" s="71" t="str">
        <f>CONCATENATE("/** Section: ",Table5745[[#This Row],[Section]], " **/ ",Table5745[[#This Row],[EF Core Annotation1]],Table5745[[#This Row],[EF Core Annotation2]],Table5745[[#This Row],[EF Core Annotation3]],"public ",Table5745[[#This Row],[EF Type]]," ",Table5745[[#This Row],[SQL Name]]," {get;set;}")</f>
        <v>/** Section: Establishing 2021-22 target **/ [Required][MaxLength(5000)]public DateTime _ {get;set;}</v>
      </c>
    </row>
    <row r="16" spans="1:18" x14ac:dyDescent="0.3">
      <c r="A16" s="85" t="s">
        <v>620</v>
      </c>
      <c r="B16" s="85" t="s">
        <v>621</v>
      </c>
      <c r="C16" s="71" t="str">
        <f>SUBSTITUTE(SUBSTITUTE(PROPER(TRIM(CLEAN(Table5745[[#This Row],[Field]])))," ","_"),"-","")</f>
        <v>Methodology_(Insert_Image)</v>
      </c>
      <c r="D16" s="88" t="s">
        <v>78</v>
      </c>
      <c r="E16" s="71" t="str">
        <f>VLOOKUP(Table5745[[#This Row],[Extension]],DescRef1[],2,FALSE)</f>
        <v>TXT</v>
      </c>
      <c r="G16" s="83" t="s">
        <v>568</v>
      </c>
      <c r="H16" s="71" t="str">
        <f>IF(Table5745[[#This Row],[Code]]="-", Table5745[[#This Row],[Formatted]], CONCATENATE(Table5745[[#This Row],[Formatted]],"_",Table5745[[#This Row],[Code]]))</f>
        <v>Methodology_(Insert_Image)_TXT</v>
      </c>
      <c r="I16" s="88" t="s">
        <v>78</v>
      </c>
      <c r="K16" s="83" t="s">
        <v>666</v>
      </c>
      <c r="M16" s="3" t="str">
        <f>CONCATENATE(VLOOKUP(Table5745[[#This Row],[Field Type]],FieldTypesRef1[],2,FALSE),IF(Table5745[[#This Row],[Mandatory]]="Yes","","?"))</f>
        <v>string</v>
      </c>
      <c r="N16" s="89" t="str">
        <f>VLOOKUP(Table5745[[#This Row],[Field Type]],FieldTypesRef1[],3,FALSE)</f>
        <v/>
      </c>
      <c r="O16" s="3" t="str">
        <f>IF(Table5745[[#This Row],[Mandatory]]="Yes","[Required]","")</f>
        <v>[Required]</v>
      </c>
      <c r="P16" s="3" t="str">
        <f>IF(Table5745[[#This Row],[Max Length]]&gt;0,CONCATENATE("[MaxLength(",Table5745[[#This Row],[Max Length]],")]"),"")</f>
        <v/>
      </c>
      <c r="Q16" s="3" t="str">
        <f>CONCATENATE("""",Table5745[[#This Row],[SQL Name]],""" = """,Table5745[[#This Row],[Field]],",")</f>
        <v>"Methodology_(Insert_Image)_TXT" = "Methodology (Insert Image),</v>
      </c>
      <c r="R16" s="71" t="str">
        <f>CONCATENATE("/** Section: ",Table5745[[#This Row],[Section]], " **/ ",Table5745[[#This Row],[EF Core Annotation1]],Table5745[[#This Row],[EF Core Annotation2]],Table5745[[#This Row],[EF Core Annotation3]],"public ",Table5745[[#This Row],[EF Type]]," ",Table5745[[#This Row],[SQL Name]]," {get;set;}")</f>
        <v>/** Section: Current 2020-21 Indicator Methodology (as per GCInfoBase) **/ [Required]public string Methodology_(Insert_Image)_TXT {get;set;}</v>
      </c>
    </row>
    <row r="19" spans="1:2" ht="124.8" x14ac:dyDescent="0.3">
      <c r="A19" s="94" t="s">
        <v>622</v>
      </c>
      <c r="B19" s="92" t="s">
        <v>623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'Datahub Reference'!$A$33:$A$40</xm:f>
          </x14:formula1>
          <xm:sqref>I2:I16</xm:sqref>
        </x14:dataValidation>
        <x14:dataValidation type="list" allowBlank="1" showInputMessage="1" showErrorMessage="1">
          <x14:formula1>
            <xm:f>Sheet2!$C$2:$C$10</xm:f>
          </x14:formula1>
          <xm:sqref>M17:P280 L2:L280</xm:sqref>
        </x14:dataValidation>
        <x14:dataValidation type="list" allowBlank="1" showInputMessage="1" showErrorMessage="1">
          <x14:formula1>
            <xm:f>'Datahub Reference'!$A$3:$A$30</xm:f>
          </x14:formula1>
          <xm:sqref>D1:D1048576</xm:sqref>
        </x14:dataValidation>
        <x14:dataValidation type="list" allowBlank="1" showInputMessage="1" showErrorMessage="1">
          <x14:formula1>
            <xm:f>Sheet2!$A$2:A$9</xm:f>
          </x14:formula1>
          <xm:sqref>I17:I147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topLeftCell="A4" workbookViewId="0">
      <selection activeCell="A17" sqref="A17"/>
    </sheetView>
  </sheetViews>
  <sheetFormatPr defaultRowHeight="14.4" x14ac:dyDescent="0.3"/>
  <cols>
    <col min="1" max="1" width="56.21875" customWidth="1"/>
    <col min="2" max="2" width="16.21875" style="63" customWidth="1"/>
    <col min="3" max="3" width="168.21875" customWidth="1"/>
  </cols>
  <sheetData>
    <row r="2" spans="1:3" s="3" customFormat="1" x14ac:dyDescent="0.3">
      <c r="A2" s="3" t="s">
        <v>472</v>
      </c>
      <c r="B2" s="3" t="s">
        <v>473</v>
      </c>
      <c r="C2" s="3" t="s">
        <v>474</v>
      </c>
    </row>
    <row r="3" spans="1:3" s="3" customFormat="1" x14ac:dyDescent="0.3">
      <c r="A3" s="81" t="s">
        <v>545</v>
      </c>
      <c r="B3" s="82" t="s">
        <v>546</v>
      </c>
      <c r="C3" s="81"/>
    </row>
    <row r="4" spans="1:3" ht="28.8" x14ac:dyDescent="0.3">
      <c r="A4" s="81" t="s">
        <v>475</v>
      </c>
      <c r="B4" s="82" t="s">
        <v>476</v>
      </c>
      <c r="C4" s="81" t="s">
        <v>477</v>
      </c>
    </row>
    <row r="5" spans="1:3" x14ac:dyDescent="0.3">
      <c r="A5" s="81" t="s">
        <v>547</v>
      </c>
      <c r="B5" s="82" t="s">
        <v>478</v>
      </c>
      <c r="C5" s="81" t="s">
        <v>479</v>
      </c>
    </row>
    <row r="6" spans="1:3" x14ac:dyDescent="0.3">
      <c r="A6" s="81" t="s">
        <v>548</v>
      </c>
      <c r="B6" s="82" t="s">
        <v>480</v>
      </c>
      <c r="C6" s="81" t="s">
        <v>481</v>
      </c>
    </row>
    <row r="7" spans="1:3" ht="28.8" x14ac:dyDescent="0.3">
      <c r="A7" s="81" t="s">
        <v>543</v>
      </c>
      <c r="B7" s="82" t="s">
        <v>483</v>
      </c>
      <c r="C7" s="81" t="s">
        <v>484</v>
      </c>
    </row>
    <row r="8" spans="1:3" x14ac:dyDescent="0.3">
      <c r="A8" s="81" t="s">
        <v>485</v>
      </c>
      <c r="B8" s="82" t="s">
        <v>486</v>
      </c>
      <c r="C8" s="81" t="s">
        <v>487</v>
      </c>
    </row>
    <row r="9" spans="1:3" x14ac:dyDescent="0.3">
      <c r="A9" s="81" t="s">
        <v>15</v>
      </c>
      <c r="B9" s="82" t="s">
        <v>467</v>
      </c>
      <c r="C9" s="81" t="s">
        <v>488</v>
      </c>
    </row>
    <row r="10" spans="1:3" x14ac:dyDescent="0.3">
      <c r="A10" s="81" t="s">
        <v>489</v>
      </c>
      <c r="B10" s="82" t="s">
        <v>490</v>
      </c>
      <c r="C10" s="81" t="s">
        <v>491</v>
      </c>
    </row>
    <row r="11" spans="1:3" x14ac:dyDescent="0.3">
      <c r="A11" s="81" t="s">
        <v>492</v>
      </c>
      <c r="B11" s="82" t="s">
        <v>493</v>
      </c>
      <c r="C11" s="81" t="s">
        <v>494</v>
      </c>
    </row>
    <row r="12" spans="1:3" x14ac:dyDescent="0.3">
      <c r="A12" s="81" t="s">
        <v>468</v>
      </c>
      <c r="B12" s="82" t="s">
        <v>468</v>
      </c>
      <c r="C12" s="81" t="s">
        <v>495</v>
      </c>
    </row>
    <row r="13" spans="1:3" x14ac:dyDescent="0.3">
      <c r="A13" s="81" t="s">
        <v>496</v>
      </c>
      <c r="B13" s="82" t="s">
        <v>497</v>
      </c>
      <c r="C13" s="81" t="s">
        <v>498</v>
      </c>
    </row>
    <row r="14" spans="1:3" x14ac:dyDescent="0.3">
      <c r="A14" s="81" t="s">
        <v>2</v>
      </c>
      <c r="B14" s="82" t="s">
        <v>499</v>
      </c>
      <c r="C14" s="81" t="s">
        <v>500</v>
      </c>
    </row>
    <row r="15" spans="1:3" x14ac:dyDescent="0.3">
      <c r="A15" s="81" t="s">
        <v>501</v>
      </c>
      <c r="B15" s="82" t="s">
        <v>502</v>
      </c>
      <c r="C15" s="81" t="s">
        <v>503</v>
      </c>
    </row>
    <row r="16" spans="1:3" ht="28.8" x14ac:dyDescent="0.3">
      <c r="A16" s="81" t="s">
        <v>504</v>
      </c>
      <c r="B16" s="82" t="s">
        <v>505</v>
      </c>
      <c r="C16" s="81" t="s">
        <v>506</v>
      </c>
    </row>
    <row r="17" spans="1:3" x14ac:dyDescent="0.3">
      <c r="A17" s="81" t="s">
        <v>507</v>
      </c>
      <c r="B17" s="82" t="s">
        <v>508</v>
      </c>
      <c r="C17" s="81" t="s">
        <v>509</v>
      </c>
    </row>
    <row r="18" spans="1:3" x14ac:dyDescent="0.3">
      <c r="A18" s="81" t="s">
        <v>510</v>
      </c>
      <c r="B18" s="82" t="s">
        <v>511</v>
      </c>
      <c r="C18" s="81" t="s">
        <v>512</v>
      </c>
    </row>
    <row r="19" spans="1:3" ht="28.8" x14ac:dyDescent="0.3">
      <c r="A19" s="81" t="s">
        <v>265</v>
      </c>
      <c r="B19" s="82" t="s">
        <v>513</v>
      </c>
      <c r="C19" s="81" t="s">
        <v>514</v>
      </c>
    </row>
    <row r="20" spans="1:3" ht="28.8" x14ac:dyDescent="0.3">
      <c r="A20" s="81" t="s">
        <v>151</v>
      </c>
      <c r="B20" s="82" t="s">
        <v>515</v>
      </c>
      <c r="C20" s="81" t="s">
        <v>516</v>
      </c>
    </row>
    <row r="21" spans="1:3" x14ac:dyDescent="0.3">
      <c r="A21" s="81" t="s">
        <v>157</v>
      </c>
      <c r="B21" s="82" t="s">
        <v>517</v>
      </c>
      <c r="C21" s="81" t="s">
        <v>518</v>
      </c>
    </row>
    <row r="22" spans="1:3" x14ac:dyDescent="0.3">
      <c r="A22" s="81" t="s">
        <v>519</v>
      </c>
      <c r="B22" s="82" t="s">
        <v>520</v>
      </c>
      <c r="C22" s="81" t="s">
        <v>521</v>
      </c>
    </row>
    <row r="23" spans="1:3" x14ac:dyDescent="0.3">
      <c r="A23" s="81" t="s">
        <v>522</v>
      </c>
      <c r="B23" s="82" t="s">
        <v>523</v>
      </c>
      <c r="C23" s="81" t="s">
        <v>524</v>
      </c>
    </row>
    <row r="24" spans="1:3" x14ac:dyDescent="0.3">
      <c r="A24" s="81" t="s">
        <v>525</v>
      </c>
      <c r="B24" s="82" t="s">
        <v>526</v>
      </c>
      <c r="C24" s="81" t="s">
        <v>527</v>
      </c>
    </row>
    <row r="25" spans="1:3" x14ac:dyDescent="0.3">
      <c r="A25" s="81" t="s">
        <v>528</v>
      </c>
      <c r="B25" s="82" t="s">
        <v>529</v>
      </c>
      <c r="C25" s="81" t="s">
        <v>530</v>
      </c>
    </row>
    <row r="26" spans="1:3" x14ac:dyDescent="0.3">
      <c r="A26" s="81" t="s">
        <v>78</v>
      </c>
      <c r="B26" s="82" t="s">
        <v>531</v>
      </c>
      <c r="C26" s="81" t="s">
        <v>532</v>
      </c>
    </row>
    <row r="27" spans="1:3" x14ac:dyDescent="0.3">
      <c r="A27" s="81" t="s">
        <v>507</v>
      </c>
      <c r="B27" s="82" t="s">
        <v>466</v>
      </c>
      <c r="C27" s="81" t="s">
        <v>533</v>
      </c>
    </row>
    <row r="28" spans="1:3" ht="28.8" x14ac:dyDescent="0.3">
      <c r="A28" s="81" t="s">
        <v>534</v>
      </c>
      <c r="B28" s="82" t="s">
        <v>535</v>
      </c>
      <c r="C28" s="81" t="s">
        <v>536</v>
      </c>
    </row>
    <row r="29" spans="1:3" x14ac:dyDescent="0.3">
      <c r="A29" s="81" t="s">
        <v>537</v>
      </c>
      <c r="B29" s="82" t="s">
        <v>538</v>
      </c>
      <c r="C29" s="81" t="s">
        <v>539</v>
      </c>
    </row>
    <row r="30" spans="1:3" x14ac:dyDescent="0.3">
      <c r="A30" s="81" t="s">
        <v>540</v>
      </c>
      <c r="B30" s="82" t="s">
        <v>541</v>
      </c>
      <c r="C30" s="81" t="s">
        <v>542</v>
      </c>
    </row>
    <row r="32" spans="1:3" x14ac:dyDescent="0.3">
      <c r="A32" t="s">
        <v>85</v>
      </c>
      <c r="B32" s="63" t="s">
        <v>559</v>
      </c>
      <c r="C32" t="s">
        <v>565</v>
      </c>
    </row>
    <row r="33" spans="1:3" x14ac:dyDescent="0.3">
      <c r="A33" t="s">
        <v>78</v>
      </c>
      <c r="B33" s="63" t="s">
        <v>560</v>
      </c>
      <c r="C33" t="str">
        <f>""</f>
        <v/>
      </c>
    </row>
    <row r="34" spans="1:3" x14ac:dyDescent="0.3">
      <c r="A34" t="s">
        <v>553</v>
      </c>
      <c r="B34" s="63" t="s">
        <v>561</v>
      </c>
      <c r="C34" s="3" t="str">
        <f>""</f>
        <v/>
      </c>
    </row>
    <row r="35" spans="1:3" x14ac:dyDescent="0.3">
      <c r="A35" t="s">
        <v>554</v>
      </c>
      <c r="B35" s="63" t="s">
        <v>562</v>
      </c>
      <c r="C35" s="3" t="str">
        <f>""</f>
        <v/>
      </c>
    </row>
    <row r="36" spans="1:3" x14ac:dyDescent="0.3">
      <c r="A36" t="s">
        <v>555</v>
      </c>
      <c r="B36" s="63" t="s">
        <v>563</v>
      </c>
      <c r="C36" s="3" t="str">
        <f>""</f>
        <v/>
      </c>
    </row>
    <row r="37" spans="1:3" x14ac:dyDescent="0.3">
      <c r="A37" t="s">
        <v>556</v>
      </c>
      <c r="B37" s="63" t="s">
        <v>560</v>
      </c>
      <c r="C37" s="3" t="str">
        <f>""</f>
        <v/>
      </c>
    </row>
    <row r="38" spans="1:3" x14ac:dyDescent="0.3">
      <c r="A38" t="s">
        <v>15</v>
      </c>
      <c r="B38" s="63" t="s">
        <v>564</v>
      </c>
      <c r="C38" s="3" t="str">
        <f>""</f>
        <v/>
      </c>
    </row>
    <row r="39" spans="1:3" x14ac:dyDescent="0.3">
      <c r="A39" t="s">
        <v>534</v>
      </c>
      <c r="B39" s="63" t="s">
        <v>564</v>
      </c>
      <c r="C39" s="3" t="str">
        <f>""</f>
        <v/>
      </c>
    </row>
    <row r="40" spans="1:3" x14ac:dyDescent="0.3">
      <c r="A40" t="s">
        <v>557</v>
      </c>
      <c r="B40" s="63" t="s">
        <v>562</v>
      </c>
      <c r="C40" t="s">
        <v>566</v>
      </c>
    </row>
  </sheetData>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defaultColWidth="9.21875" defaultRowHeight="14.4" x14ac:dyDescent="0.3"/>
  <cols>
    <col min="1" max="1" width="80.77734375" style="72" bestFit="1" customWidth="1"/>
    <col min="2" max="2" width="21.44140625" style="71" customWidth="1"/>
    <col min="3" max="3" width="21" style="71" bestFit="1" customWidth="1"/>
    <col min="4" max="4" width="16.5546875" style="71" bestFit="1" customWidth="1"/>
    <col min="5" max="16384" width="9.21875" style="71"/>
  </cols>
  <sheetData>
    <row r="1" spans="1:4" s="2" customFormat="1" ht="16.8" thickTop="1" thickBot="1" x14ac:dyDescent="0.35">
      <c r="A1" s="73" t="s">
        <v>0</v>
      </c>
      <c r="B1" s="1" t="s">
        <v>1</v>
      </c>
      <c r="C1" s="1" t="s">
        <v>2</v>
      </c>
      <c r="D1" s="1" t="s">
        <v>3</v>
      </c>
    </row>
    <row r="2" spans="1:4" ht="15" thickTop="1" x14ac:dyDescent="0.3">
      <c r="A2" s="72" t="s">
        <v>29</v>
      </c>
      <c r="B2" s="71" t="s">
        <v>9</v>
      </c>
      <c r="C2" s="71" t="s">
        <v>30</v>
      </c>
    </row>
    <row r="3" spans="1:4" x14ac:dyDescent="0.3">
      <c r="A3" s="72" t="s">
        <v>31</v>
      </c>
      <c r="B3" s="71" t="s">
        <v>7</v>
      </c>
    </row>
    <row r="4" spans="1:4" x14ac:dyDescent="0.3">
      <c r="A4" s="72" t="s">
        <v>32</v>
      </c>
      <c r="B4" s="71" t="s">
        <v>7</v>
      </c>
    </row>
    <row r="5" spans="1:4" x14ac:dyDescent="0.3">
      <c r="A5" s="72" t="s">
        <v>33</v>
      </c>
      <c r="B5" s="71" t="s">
        <v>7</v>
      </c>
    </row>
    <row r="6" spans="1:4" x14ac:dyDescent="0.3">
      <c r="A6" s="72" t="s">
        <v>34</v>
      </c>
      <c r="B6" s="71" t="s">
        <v>7</v>
      </c>
    </row>
    <row r="7" spans="1:4" x14ac:dyDescent="0.3">
      <c r="A7" s="72" t="s">
        <v>35</v>
      </c>
      <c r="B7" s="71" t="s">
        <v>9</v>
      </c>
      <c r="C7" s="71" t="s">
        <v>36</v>
      </c>
    </row>
    <row r="8" spans="1:4" x14ac:dyDescent="0.3">
      <c r="A8" s="72" t="s">
        <v>37</v>
      </c>
      <c r="B8" s="71" t="s">
        <v>7</v>
      </c>
    </row>
    <row r="9" spans="1:4" ht="72" x14ac:dyDescent="0.3">
      <c r="A9" s="72" t="s">
        <v>38</v>
      </c>
      <c r="B9" s="71" t="s">
        <v>9</v>
      </c>
      <c r="C9" s="72" t="s">
        <v>39</v>
      </c>
    </row>
    <row r="10" spans="1:4" ht="72" x14ac:dyDescent="0.3">
      <c r="A10" s="72" t="s">
        <v>40</v>
      </c>
      <c r="B10" s="71" t="s">
        <v>9</v>
      </c>
      <c r="C10" s="72" t="s">
        <v>41</v>
      </c>
    </row>
    <row r="11" spans="1:4" ht="57.6" x14ac:dyDescent="0.3">
      <c r="A11" s="72" t="s">
        <v>42</v>
      </c>
      <c r="B11" s="71" t="s">
        <v>9</v>
      </c>
      <c r="C11" s="72" t="s">
        <v>43</v>
      </c>
    </row>
    <row r="12" spans="1:4" x14ac:dyDescent="0.3">
      <c r="A12" s="72" t="s">
        <v>44</v>
      </c>
      <c r="B12" s="71" t="s">
        <v>7</v>
      </c>
    </row>
    <row r="13" spans="1:4" x14ac:dyDescent="0.3">
      <c r="A13" s="72" t="s">
        <v>45</v>
      </c>
      <c r="B13" s="71" t="s">
        <v>7</v>
      </c>
    </row>
    <row r="14" spans="1:4" x14ac:dyDescent="0.3">
      <c r="A14" s="72" t="s">
        <v>46</v>
      </c>
      <c r="B14" s="71" t="s">
        <v>7</v>
      </c>
    </row>
    <row r="15" spans="1:4" x14ac:dyDescent="0.3">
      <c r="A15" s="72" t="s">
        <v>47</v>
      </c>
      <c r="B15" s="71" t="s">
        <v>9</v>
      </c>
      <c r="C15" s="71" t="s">
        <v>36</v>
      </c>
    </row>
    <row r="16" spans="1:4" ht="72" x14ac:dyDescent="0.3">
      <c r="A16" s="72" t="s">
        <v>48</v>
      </c>
      <c r="B16" s="71" t="s">
        <v>9</v>
      </c>
      <c r="C16" s="72" t="s">
        <v>49</v>
      </c>
    </row>
    <row r="17" spans="1:3" x14ac:dyDescent="0.3">
      <c r="A17" s="72" t="s">
        <v>50</v>
      </c>
      <c r="B17" s="71" t="s">
        <v>7</v>
      </c>
    </row>
    <row r="18" spans="1:3" ht="28.8" x14ac:dyDescent="0.3">
      <c r="A18" s="72" t="s">
        <v>51</v>
      </c>
      <c r="B18" s="71" t="s">
        <v>15</v>
      </c>
      <c r="C18" s="74" t="s">
        <v>52</v>
      </c>
    </row>
    <row r="19" spans="1:3" ht="28.8" x14ac:dyDescent="0.3">
      <c r="A19" s="72" t="s">
        <v>53</v>
      </c>
      <c r="B19" s="71" t="s">
        <v>54</v>
      </c>
      <c r="C19" s="72" t="s">
        <v>55</v>
      </c>
    </row>
    <row r="20" spans="1:3" ht="28.8" x14ac:dyDescent="0.3">
      <c r="A20" s="72" t="s">
        <v>56</v>
      </c>
      <c r="B20" s="71" t="s">
        <v>54</v>
      </c>
      <c r="C20" s="72" t="s">
        <v>55</v>
      </c>
    </row>
    <row r="21" spans="1:3" x14ac:dyDescent="0.3">
      <c r="A21" s="72" t="s">
        <v>57</v>
      </c>
      <c r="B21" s="71" t="s">
        <v>7</v>
      </c>
    </row>
    <row r="22" spans="1:3" ht="115.2" x14ac:dyDescent="0.3">
      <c r="A22" s="72" t="s">
        <v>58</v>
      </c>
      <c r="B22" s="71" t="s">
        <v>9</v>
      </c>
      <c r="C22" s="72" t="s">
        <v>59</v>
      </c>
    </row>
    <row r="23" spans="1:3" x14ac:dyDescent="0.3">
      <c r="A23" s="72" t="s">
        <v>60</v>
      </c>
      <c r="B23" s="71" t="s">
        <v>7</v>
      </c>
    </row>
    <row r="24" spans="1:3" ht="28.8" x14ac:dyDescent="0.3">
      <c r="A24" s="72" t="s">
        <v>61</v>
      </c>
      <c r="B24" s="71" t="s">
        <v>15</v>
      </c>
      <c r="C24" s="74" t="s">
        <v>52</v>
      </c>
    </row>
    <row r="25" spans="1:3" ht="28.8" x14ac:dyDescent="0.3">
      <c r="A25" s="72" t="s">
        <v>62</v>
      </c>
      <c r="B25" s="71" t="s">
        <v>15</v>
      </c>
      <c r="C25" s="74" t="s">
        <v>52</v>
      </c>
    </row>
    <row r="26" spans="1:3" x14ac:dyDescent="0.3">
      <c r="A26" s="72" t="s">
        <v>63</v>
      </c>
      <c r="B26" s="71" t="s">
        <v>7</v>
      </c>
    </row>
    <row r="27" spans="1:3" x14ac:dyDescent="0.3">
      <c r="A27" s="72" t="s">
        <v>64</v>
      </c>
      <c r="B27" s="71" t="s">
        <v>7</v>
      </c>
    </row>
    <row r="28" spans="1:3" x14ac:dyDescent="0.3">
      <c r="A28" s="72" t="s">
        <v>65</v>
      </c>
      <c r="B28" s="71" t="s">
        <v>7</v>
      </c>
    </row>
    <row r="29" spans="1:3" x14ac:dyDescent="0.3">
      <c r="A29" s="72" t="s">
        <v>66</v>
      </c>
      <c r="B29" s="71" t="s">
        <v>9</v>
      </c>
      <c r="C29" s="71" t="s">
        <v>67</v>
      </c>
    </row>
    <row r="30" spans="1:3" x14ac:dyDescent="0.3">
      <c r="A30" s="72" t="s">
        <v>68</v>
      </c>
      <c r="B30" s="71" t="s">
        <v>7</v>
      </c>
    </row>
    <row r="31" spans="1:3" ht="100.8" x14ac:dyDescent="0.3">
      <c r="A31" s="72" t="s">
        <v>69</v>
      </c>
      <c r="B31" s="71" t="s">
        <v>7</v>
      </c>
      <c r="C31" s="72" t="s">
        <v>70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Sheet2!$C$2:$C$10</xm:f>
          </x14:formula1>
          <xm:sqref>D2:D300</xm:sqref>
        </x14:dataValidation>
        <x14:dataValidation type="list" allowBlank="1" showInputMessage="1" showErrorMessage="1">
          <x14:formula1>
            <xm:f>Sheet2!$A$2:A$9</xm:f>
          </x14:formula1>
          <xm:sqref>B2:B175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249977111117893"/>
  </sheetPr>
  <dimension ref="A1:D15"/>
  <sheetViews>
    <sheetView zoomScaleNormal="100" workbookViewId="0">
      <selection activeCell="B18" sqref="B18"/>
    </sheetView>
  </sheetViews>
  <sheetFormatPr defaultColWidth="9.21875" defaultRowHeight="14.4" x14ac:dyDescent="0.3"/>
  <cols>
    <col min="1" max="1" width="58.77734375" style="3" customWidth="1"/>
    <col min="2" max="2" width="30.77734375" style="3" customWidth="1"/>
    <col min="3" max="4" width="14.77734375" style="3" customWidth="1"/>
    <col min="5" max="8" width="15" style="3" customWidth="1"/>
    <col min="9" max="9" width="19.77734375" style="3" customWidth="1"/>
    <col min="10" max="14" width="19.44140625" style="3" customWidth="1"/>
    <col min="15" max="16384" width="9.21875" style="3"/>
  </cols>
  <sheetData>
    <row r="1" spans="1:4" x14ac:dyDescent="0.3">
      <c r="A1" s="122" t="s">
        <v>71</v>
      </c>
      <c r="B1" s="122"/>
      <c r="C1" s="122"/>
      <c r="D1" s="122"/>
    </row>
    <row r="2" spans="1:4" x14ac:dyDescent="0.3">
      <c r="A2" s="75" t="s">
        <v>72</v>
      </c>
      <c r="B2" s="75"/>
      <c r="C2" s="75"/>
      <c r="D2" s="75"/>
    </row>
    <row r="3" spans="1:4" x14ac:dyDescent="0.3">
      <c r="A3" s="76" t="s">
        <v>73</v>
      </c>
      <c r="B3" s="76" t="s">
        <v>74</v>
      </c>
      <c r="C3" s="76" t="s">
        <v>75</v>
      </c>
      <c r="D3" s="76" t="s">
        <v>76</v>
      </c>
    </row>
    <row r="4" spans="1:4" x14ac:dyDescent="0.3">
      <c r="A4" s="77" t="s">
        <v>77</v>
      </c>
      <c r="B4" s="77" t="s">
        <v>78</v>
      </c>
      <c r="C4" s="77" t="s">
        <v>15</v>
      </c>
      <c r="D4" s="78" t="s">
        <v>79</v>
      </c>
    </row>
    <row r="5" spans="1:4" x14ac:dyDescent="0.3">
      <c r="A5" s="77" t="s">
        <v>80</v>
      </c>
      <c r="B5" s="77"/>
      <c r="C5" s="77"/>
      <c r="D5" s="77"/>
    </row>
    <row r="6" spans="1:4" x14ac:dyDescent="0.3">
      <c r="A6" s="77" t="s">
        <v>81</v>
      </c>
      <c r="B6" s="79"/>
      <c r="C6" s="77"/>
      <c r="D6" s="77"/>
    </row>
    <row r="7" spans="1:4" x14ac:dyDescent="0.3">
      <c r="A7" s="77" t="s">
        <v>82</v>
      </c>
      <c r="B7" s="79"/>
      <c r="C7" s="77"/>
      <c r="D7" s="77"/>
    </row>
    <row r="8" spans="1:4" x14ac:dyDescent="0.3">
      <c r="A8" s="77" t="s">
        <v>83</v>
      </c>
      <c r="B8" s="77"/>
      <c r="C8" s="77"/>
      <c r="D8" s="77"/>
    </row>
    <row r="9" spans="1:4" x14ac:dyDescent="0.3">
      <c r="A9" s="77" t="s">
        <v>84</v>
      </c>
      <c r="B9" s="77"/>
      <c r="C9" s="77"/>
      <c r="D9" s="80"/>
    </row>
    <row r="15" spans="1:4" ht="30" customHeight="1" x14ac:dyDescent="0.3"/>
  </sheetData>
  <mergeCells count="1">
    <mergeCell ref="A1:D1"/>
  </mergeCells>
  <pageMargins left="0.7" right="0.7" top="0.75" bottom="0.75" header="0.3" footer="0.3"/>
  <pageSetup paperSize="5" orientation="landscape" r:id="rId1"/>
  <headerFooter>
    <oddHeader xml:space="preserve">&amp;C&amp;"-,Bold"PIP # - Program name - 2020-21 - Transfer Payment Programs&amp;"-,Regular"
</oddHeader>
    <oddFooter>&amp;R&amp;P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19</vt:i4>
      </vt:variant>
    </vt:vector>
  </HeadingPairs>
  <TitlesOfParts>
    <vt:vector size="31" baseType="lpstr">
      <vt:lpstr>Tombstone Data</vt:lpstr>
      <vt:lpstr>Indicator &amp; Results</vt:lpstr>
      <vt:lpstr>Experimentation</vt:lpstr>
      <vt:lpstr>Supp Information Tables</vt:lpstr>
      <vt:lpstr>GBA</vt:lpstr>
      <vt:lpstr>Mid Year Update &amp;Target Setting</vt:lpstr>
      <vt:lpstr>Datahub Reference</vt:lpstr>
      <vt:lpstr>Indicators &amp; Results</vt:lpstr>
      <vt:lpstr>Supp. Information Tables</vt:lpstr>
      <vt:lpstr>Notes</vt:lpstr>
      <vt:lpstr>Sheet2</vt:lpstr>
      <vt:lpstr>Drop Downs</vt:lpstr>
      <vt:lpstr>Branch</vt:lpstr>
      <vt:lpstr>Core_Responsibility</vt:lpstr>
      <vt:lpstr>CoreResponsibility1</vt:lpstr>
      <vt:lpstr>CoreResponsibility1x</vt:lpstr>
      <vt:lpstr>CoreResponsibility2</vt:lpstr>
      <vt:lpstr>CoreResponsibility2x</vt:lpstr>
      <vt:lpstr>CoreResponsibility3</vt:lpstr>
      <vt:lpstr>CoreResponsibility3x</vt:lpstr>
      <vt:lpstr>CoreResponsibility4</vt:lpstr>
      <vt:lpstr>CoreResponsibility5</vt:lpstr>
      <vt:lpstr>Data_Type</vt:lpstr>
      <vt:lpstr>Frequency</vt:lpstr>
      <vt:lpstr>GocOutcomeAreas</vt:lpstr>
      <vt:lpstr>Horizontal</vt:lpstr>
      <vt:lpstr>Intervention_Type</vt:lpstr>
      <vt:lpstr>Mandate_Letter</vt:lpstr>
      <vt:lpstr>'Supp. Information Tables'!Print_Area</vt:lpstr>
      <vt:lpstr>Target_Groups</vt:lpstr>
      <vt:lpstr>TB_SKHPI</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Diana</dc:creator>
  <cp:keywords/>
  <dc:description/>
  <cp:lastModifiedBy>Bader, Nabeel</cp:lastModifiedBy>
  <cp:revision/>
  <dcterms:created xsi:type="dcterms:W3CDTF">2020-11-03T14:33:05Z</dcterms:created>
  <dcterms:modified xsi:type="dcterms:W3CDTF">2021-01-15T20:43:35Z</dcterms:modified>
  <cp:category/>
  <cp:contentStatus/>
</cp:coreProperties>
</file>