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drawings/drawing4.xml" ContentType="application/vnd.openxmlformats-officedocument.drawing+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drawings/drawing5.xml" ContentType="application/vnd.openxmlformats-officedocument.drawing+xml"/>
  <Override PartName="/xl/drawings/drawing6.xml" ContentType="application/vnd.openxmlformats-officedocument.drawing+xml"/>
  <Override PartName="/xl/tables/table10.xml" ContentType="application/vnd.openxmlformats-officedocument.spreadsheetml.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3"/>
  <workbookPr defaultThemeVersion="166925"/>
  <mc:AlternateContent xmlns:mc="http://schemas.openxmlformats.org/markup-compatibility/2006">
    <mc:Choice Requires="x15">
      <x15ac:absPath xmlns:x15ac="http://schemas.microsoft.com/office/spreadsheetml/2010/11/ac" url="/Users/mmendez/Documents/Postdoc/Software_dev/PV_ICE/PV_ICE/baselines/SupportingMaterial/"/>
    </mc:Choice>
  </mc:AlternateContent>
  <xr:revisionPtr revIDLastSave="0" documentId="13_ncr:1_{B7AE5433-CA41-984D-A265-D45D43A373D8}" xr6:coauthVersionLast="47" xr6:coauthVersionMax="47" xr10:uidLastSave="{00000000-0000-0000-0000-000000000000}"/>
  <bookViews>
    <workbookView xWindow="34400" yWindow="1360" windowWidth="30240" windowHeight="18880" firstSheet="7" activeTab="13" xr2:uid="{A88AA2FF-A3B7-0742-B104-CB95A497A6C8}"/>
  </bookViews>
  <sheets>
    <sheet name="CdTe Capacity from eia" sheetId="9" r:id="rId1"/>
    <sheet name="CdTe_Market_Sare" sheetId="5" r:id="rId2"/>
    <sheet name="CdTe timeline and data" sheetId="7" r:id="rId3"/>
    <sheet name="CdTe Alu" sheetId="17" r:id="rId4"/>
    <sheet name="Cadmium info" sheetId="11" r:id="rId5"/>
    <sheet name="Cadmium numbers" sheetId="10" r:id="rId6"/>
    <sheet name="Tellurium info" sheetId="12" r:id="rId7"/>
    <sheet name="Tellurium numbers" sheetId="13" r:id="rId8"/>
    <sheet name="Plant inputs for RELOG " sheetId="1" r:id="rId9"/>
    <sheet name="CdTe Recycling - First Solar" sheetId="2" r:id="rId10"/>
    <sheet name="Literature review" sheetId="3" r:id="rId11"/>
    <sheet name="Landfill costs" sheetId="4" r:id="rId12"/>
    <sheet name="Hope_Recipes" sheetId="6" r:id="rId13"/>
    <sheet name="Critical material values" sheetId="18" r:id="rId14"/>
    <sheet name="CdTe properties calculation" sheetId="8" r:id="rId15"/>
    <sheet name="Material sources" sheetId="16" r:id="rId16"/>
    <sheet name="reeds" sheetId="14" r:id="rId17"/>
  </sheets>
  <definedNames>
    <definedName name="bbib0001" localSheetId="6">'Tellurium info'!$B$20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41" i="18" l="1"/>
  <c r="D40" i="18"/>
  <c r="D34" i="18"/>
  <c r="E31" i="18"/>
  <c r="E29" i="18"/>
  <c r="E28" i="18"/>
  <c r="D30" i="18"/>
  <c r="D29" i="18"/>
  <c r="D28" i="18"/>
  <c r="E11" i="18"/>
  <c r="E10" i="18"/>
  <c r="C11" i="18"/>
  <c r="C10" i="18"/>
  <c r="C9" i="18"/>
  <c r="E9" i="18"/>
  <c r="B12" i="18"/>
  <c r="C43" i="6"/>
  <c r="C44" i="17" l="1"/>
  <c r="C45" i="17"/>
  <c r="C46" i="17"/>
  <c r="C31" i="17"/>
  <c r="C32" i="17"/>
  <c r="C33" i="17"/>
  <c r="C34" i="17"/>
  <c r="C35" i="17"/>
  <c r="C36" i="17"/>
  <c r="C37" i="17"/>
  <c r="C38" i="17"/>
  <c r="C39" i="17"/>
  <c r="C40" i="17"/>
  <c r="C41" i="17"/>
  <c r="C42" i="17"/>
  <c r="C43" i="17"/>
  <c r="C30" i="17"/>
  <c r="C20" i="17"/>
  <c r="C21" i="17"/>
  <c r="C22" i="17"/>
  <c r="C23" i="17"/>
  <c r="C24" i="17"/>
  <c r="C25" i="17"/>
  <c r="C26" i="17"/>
  <c r="C27" i="17"/>
  <c r="C28" i="17"/>
  <c r="C29" i="17"/>
  <c r="G30" i="17"/>
  <c r="G29" i="17"/>
  <c r="C19" i="17"/>
  <c r="C15" i="17"/>
  <c r="C16" i="17"/>
  <c r="C17" i="17"/>
  <c r="C18" i="17"/>
  <c r="C14" i="17"/>
  <c r="H26" i="17"/>
  <c r="H24" i="17"/>
  <c r="D15" i="17"/>
  <c r="G15" i="17"/>
  <c r="G14" i="17"/>
  <c r="D14" i="17"/>
  <c r="J11" i="8"/>
  <c r="K11" i="8"/>
  <c r="L11" i="8"/>
  <c r="J6" i="8"/>
  <c r="M6" i="8" s="1"/>
  <c r="B18" i="16"/>
  <c r="BB69" i="12" l="1"/>
  <c r="AZ69" i="12"/>
  <c r="AX69" i="12"/>
  <c r="AV69" i="12"/>
  <c r="AT69" i="12"/>
  <c r="AR69" i="12"/>
  <c r="AP69" i="12"/>
  <c r="AN69" i="12"/>
  <c r="AL69" i="12"/>
  <c r="AJ69" i="12"/>
  <c r="AH69" i="12"/>
  <c r="AF69" i="12"/>
  <c r="AD69" i="12"/>
  <c r="AB69" i="12"/>
  <c r="Z69" i="12"/>
  <c r="X69" i="12"/>
  <c r="V69" i="12"/>
  <c r="T69" i="12"/>
  <c r="R69" i="12"/>
  <c r="P69" i="12"/>
  <c r="N69" i="12"/>
  <c r="L69" i="12"/>
  <c r="J69" i="12"/>
  <c r="H69" i="12"/>
  <c r="F69" i="12"/>
  <c r="D69" i="12"/>
  <c r="BB68" i="12"/>
  <c r="AZ68" i="12"/>
  <c r="AX68" i="12"/>
  <c r="AV68" i="12"/>
  <c r="AT68" i="12"/>
  <c r="AR68" i="12"/>
  <c r="AP68" i="12"/>
  <c r="AN68" i="12"/>
  <c r="AL68" i="12"/>
  <c r="AJ68" i="12"/>
  <c r="AH68" i="12"/>
  <c r="AF68" i="12"/>
  <c r="AD68" i="12"/>
  <c r="AB68" i="12"/>
  <c r="Z68" i="12"/>
  <c r="X68" i="12"/>
  <c r="V68" i="12"/>
  <c r="T68" i="12"/>
  <c r="R68" i="12"/>
  <c r="P68" i="12"/>
  <c r="N68" i="12"/>
  <c r="L68" i="12"/>
  <c r="J68" i="12"/>
  <c r="H68" i="12"/>
  <c r="F68" i="12"/>
  <c r="D68" i="12"/>
  <c r="BB67" i="12"/>
  <c r="AZ67" i="12"/>
  <c r="AX67" i="12"/>
  <c r="AV67" i="12"/>
  <c r="AT67" i="12"/>
  <c r="AR67" i="12"/>
  <c r="AP67" i="12"/>
  <c r="AN67" i="12"/>
  <c r="AL67" i="12"/>
  <c r="AJ67" i="12"/>
  <c r="AH67" i="12"/>
  <c r="AF67" i="12"/>
  <c r="AD67" i="12"/>
  <c r="AB67" i="12"/>
  <c r="Z67" i="12"/>
  <c r="X67" i="12"/>
  <c r="V67" i="12"/>
  <c r="T67" i="12"/>
  <c r="R67" i="12"/>
  <c r="P67" i="12"/>
  <c r="N67" i="12"/>
  <c r="L67" i="12"/>
  <c r="J67" i="12"/>
  <c r="H67" i="12"/>
  <c r="F67" i="12"/>
  <c r="D67" i="12"/>
  <c r="BB66" i="12"/>
  <c r="AZ66" i="12"/>
  <c r="AX66" i="12"/>
  <c r="AV66" i="12"/>
  <c r="AT66" i="12"/>
  <c r="AR66" i="12"/>
  <c r="AP66" i="12"/>
  <c r="AN66" i="12"/>
  <c r="AL66" i="12"/>
  <c r="AJ66" i="12"/>
  <c r="AH66" i="12"/>
  <c r="AF66" i="12"/>
  <c r="AD66" i="12"/>
  <c r="AB66" i="12"/>
  <c r="Z66" i="12"/>
  <c r="X66" i="12"/>
  <c r="V66" i="12"/>
  <c r="T66" i="12"/>
  <c r="R66" i="12"/>
  <c r="P66" i="12"/>
  <c r="N66" i="12"/>
  <c r="L66" i="12"/>
  <c r="J66" i="12"/>
  <c r="H66" i="12"/>
  <c r="F66" i="12"/>
  <c r="D66" i="12"/>
  <c r="BB65" i="12"/>
  <c r="AZ65" i="12"/>
  <c r="AX65" i="12"/>
  <c r="AV65" i="12"/>
  <c r="AT65" i="12"/>
  <c r="AR65" i="12"/>
  <c r="AP65" i="12"/>
  <c r="AN65" i="12"/>
  <c r="AL65" i="12"/>
  <c r="AJ65" i="12"/>
  <c r="AH65" i="12"/>
  <c r="AF65" i="12"/>
  <c r="AD65" i="12"/>
  <c r="AB65" i="12"/>
  <c r="Z65" i="12"/>
  <c r="X65" i="12"/>
  <c r="V65" i="12"/>
  <c r="T65" i="12"/>
  <c r="R65" i="12"/>
  <c r="P65" i="12"/>
  <c r="N65" i="12"/>
  <c r="L65" i="12"/>
  <c r="J65" i="12"/>
  <c r="H65" i="12"/>
  <c r="F65" i="12"/>
  <c r="D65" i="12"/>
  <c r="BB64" i="12"/>
  <c r="AZ64" i="12"/>
  <c r="AX64" i="12"/>
  <c r="AV64" i="12"/>
  <c r="AT64" i="12"/>
  <c r="AR64" i="12"/>
  <c r="AP64" i="12"/>
  <c r="AN64" i="12"/>
  <c r="AL64" i="12"/>
  <c r="AJ64" i="12"/>
  <c r="AH64" i="12"/>
  <c r="AF64" i="12"/>
  <c r="AD64" i="12"/>
  <c r="AB64" i="12"/>
  <c r="Z64" i="12"/>
  <c r="X64" i="12"/>
  <c r="V64" i="12"/>
  <c r="T64" i="12"/>
  <c r="R64" i="12"/>
  <c r="P64" i="12"/>
  <c r="N64" i="12"/>
  <c r="L64" i="12"/>
  <c r="J64" i="12"/>
  <c r="H64" i="12"/>
  <c r="F64" i="12"/>
  <c r="D64" i="12"/>
  <c r="BB63" i="12"/>
  <c r="AZ63" i="12"/>
  <c r="AX63" i="12"/>
  <c r="AV63" i="12"/>
  <c r="AT63" i="12"/>
  <c r="AR63" i="12"/>
  <c r="AP63" i="12"/>
  <c r="AN63" i="12"/>
  <c r="AL63" i="12"/>
  <c r="AJ63" i="12"/>
  <c r="AH63" i="12"/>
  <c r="AF63" i="12"/>
  <c r="AD63" i="12"/>
  <c r="AB63" i="12"/>
  <c r="Z63" i="12"/>
  <c r="X63" i="12"/>
  <c r="V63" i="12"/>
  <c r="T63" i="12"/>
  <c r="R63" i="12"/>
  <c r="P63" i="12"/>
  <c r="N63" i="12"/>
  <c r="L63" i="12"/>
  <c r="J63" i="12"/>
  <c r="H63" i="12"/>
  <c r="F63" i="12"/>
  <c r="D63" i="12"/>
  <c r="BB62" i="12"/>
  <c r="AZ62" i="12"/>
  <c r="AX62" i="12"/>
  <c r="AV62" i="12"/>
  <c r="AT62" i="12"/>
  <c r="AR62" i="12"/>
  <c r="AP62" i="12"/>
  <c r="AN62" i="12"/>
  <c r="AL62" i="12"/>
  <c r="AJ62" i="12"/>
  <c r="AH62" i="12"/>
  <c r="AF62" i="12"/>
  <c r="AD62" i="12"/>
  <c r="AB62" i="12"/>
  <c r="Z62" i="12"/>
  <c r="X62" i="12"/>
  <c r="V62" i="12"/>
  <c r="T62" i="12"/>
  <c r="R62" i="12"/>
  <c r="P62" i="12"/>
  <c r="N62" i="12"/>
  <c r="L62" i="12"/>
  <c r="J62" i="12"/>
  <c r="H62" i="12"/>
  <c r="F62" i="12"/>
  <c r="D62" i="12"/>
  <c r="BB61" i="12"/>
  <c r="AZ61" i="12"/>
  <c r="AX61" i="12"/>
  <c r="AV61" i="12"/>
  <c r="AT61" i="12"/>
  <c r="AR61" i="12"/>
  <c r="AP61" i="12"/>
  <c r="AN61" i="12"/>
  <c r="AL61" i="12"/>
  <c r="AJ61" i="12"/>
  <c r="AH61" i="12"/>
  <c r="AF61" i="12"/>
  <c r="AD61" i="12"/>
  <c r="AB61" i="12"/>
  <c r="Z61" i="12"/>
  <c r="X61" i="12"/>
  <c r="V61" i="12"/>
  <c r="T61" i="12"/>
  <c r="R61" i="12"/>
  <c r="P61" i="12"/>
  <c r="N61" i="12"/>
  <c r="L61" i="12"/>
  <c r="J61" i="12"/>
  <c r="H61" i="12"/>
  <c r="F61" i="12"/>
  <c r="D61" i="12"/>
  <c r="BB60" i="12"/>
  <c r="AZ60" i="12"/>
  <c r="AX60" i="12"/>
  <c r="AV60" i="12"/>
  <c r="AT60" i="12"/>
  <c r="AR60" i="12"/>
  <c r="AP60" i="12"/>
  <c r="AN60" i="12"/>
  <c r="AL60" i="12"/>
  <c r="AJ60" i="12"/>
  <c r="AH60" i="12"/>
  <c r="AF60" i="12"/>
  <c r="AD60" i="12"/>
  <c r="AB60" i="12"/>
  <c r="Z60" i="12"/>
  <c r="X60" i="12"/>
  <c r="V60" i="12"/>
  <c r="T60" i="12"/>
  <c r="R60" i="12"/>
  <c r="P60" i="12"/>
  <c r="N60" i="12"/>
  <c r="L60" i="12"/>
  <c r="J60" i="12"/>
  <c r="H60" i="12"/>
  <c r="F60" i="12"/>
  <c r="D60" i="12"/>
  <c r="BB59" i="12"/>
  <c r="AZ59" i="12"/>
  <c r="AX59" i="12"/>
  <c r="AV59" i="12"/>
  <c r="AT59" i="12"/>
  <c r="AR59" i="12"/>
  <c r="AP59" i="12"/>
  <c r="AN59" i="12"/>
  <c r="AL59" i="12"/>
  <c r="AJ59" i="12"/>
  <c r="AH59" i="12"/>
  <c r="AF59" i="12"/>
  <c r="AD59" i="12"/>
  <c r="AB59" i="12"/>
  <c r="Z59" i="12"/>
  <c r="X59" i="12"/>
  <c r="V59" i="12"/>
  <c r="T59" i="12"/>
  <c r="R59" i="12"/>
  <c r="P59" i="12"/>
  <c r="N59" i="12"/>
  <c r="L59" i="12"/>
  <c r="J59" i="12"/>
  <c r="H59" i="12"/>
  <c r="F59" i="12"/>
  <c r="D59" i="12"/>
  <c r="BB58" i="12"/>
  <c r="AZ58" i="12"/>
  <c r="AX58" i="12"/>
  <c r="AV58" i="12"/>
  <c r="AT58" i="12"/>
  <c r="AR58" i="12"/>
  <c r="AP58" i="12"/>
  <c r="AN58" i="12"/>
  <c r="AL58" i="12"/>
  <c r="AJ58" i="12"/>
  <c r="AH58" i="12"/>
  <c r="AF58" i="12"/>
  <c r="AD58" i="12"/>
  <c r="AB58" i="12"/>
  <c r="Z58" i="12"/>
  <c r="X58" i="12"/>
  <c r="V58" i="12"/>
  <c r="T58" i="12"/>
  <c r="R58" i="12"/>
  <c r="P58" i="12"/>
  <c r="N58" i="12"/>
  <c r="L58" i="12"/>
  <c r="J58" i="12"/>
  <c r="H58" i="12"/>
  <c r="F58" i="12"/>
  <c r="D58" i="12"/>
  <c r="BB57" i="12"/>
  <c r="AZ57" i="12"/>
  <c r="AX57" i="12"/>
  <c r="AV57" i="12"/>
  <c r="AT57" i="12"/>
  <c r="AR57" i="12"/>
  <c r="AP57" i="12"/>
  <c r="AN57" i="12"/>
  <c r="AL57" i="12"/>
  <c r="AJ57" i="12"/>
  <c r="AH57" i="12"/>
  <c r="AF57" i="12"/>
  <c r="AD57" i="12"/>
  <c r="AB57" i="12"/>
  <c r="Z57" i="12"/>
  <c r="X57" i="12"/>
  <c r="V57" i="12"/>
  <c r="T57" i="12"/>
  <c r="R57" i="12"/>
  <c r="P57" i="12"/>
  <c r="N57" i="12"/>
  <c r="L57" i="12"/>
  <c r="J57" i="12"/>
  <c r="H57" i="12"/>
  <c r="F57" i="12"/>
  <c r="D57" i="12"/>
  <c r="BB56" i="12"/>
  <c r="AZ56" i="12"/>
  <c r="AX56" i="12"/>
  <c r="AV56" i="12"/>
  <c r="AT56" i="12"/>
  <c r="AR56" i="12"/>
  <c r="AP56" i="12"/>
  <c r="AN56" i="12"/>
  <c r="AL56" i="12"/>
  <c r="AJ56" i="12"/>
  <c r="AH56" i="12"/>
  <c r="AF56" i="12"/>
  <c r="AD56" i="12"/>
  <c r="AB56" i="12"/>
  <c r="Z56" i="12"/>
  <c r="X56" i="12"/>
  <c r="V56" i="12"/>
  <c r="T56" i="12"/>
  <c r="R56" i="12"/>
  <c r="P56" i="12"/>
  <c r="N56" i="12"/>
  <c r="L56" i="12"/>
  <c r="J56" i="12"/>
  <c r="H56" i="12"/>
  <c r="F56" i="12"/>
  <c r="D56" i="12"/>
  <c r="BB55" i="12"/>
  <c r="AZ55" i="12"/>
  <c r="AX55" i="12"/>
  <c r="AV55" i="12"/>
  <c r="AT55" i="12"/>
  <c r="AR55" i="12"/>
  <c r="AP55" i="12"/>
  <c r="AN55" i="12"/>
  <c r="AL55" i="12"/>
  <c r="AJ55" i="12"/>
  <c r="AH55" i="12"/>
  <c r="AF55" i="12"/>
  <c r="AD55" i="12"/>
  <c r="AB55" i="12"/>
  <c r="Z55" i="12"/>
  <c r="X55" i="12"/>
  <c r="V55" i="12"/>
  <c r="T55" i="12"/>
  <c r="R55" i="12"/>
  <c r="P55" i="12"/>
  <c r="N55" i="12"/>
  <c r="L55" i="12"/>
  <c r="J55" i="12"/>
  <c r="H55" i="12"/>
  <c r="F55" i="12"/>
  <c r="D55" i="12"/>
  <c r="BB54" i="12"/>
  <c r="AZ54" i="12"/>
  <c r="AX54" i="12"/>
  <c r="AV54" i="12"/>
  <c r="AT54" i="12"/>
  <c r="AR54" i="12"/>
  <c r="AP54" i="12"/>
  <c r="AN54" i="12"/>
  <c r="AL54" i="12"/>
  <c r="AJ54" i="12"/>
  <c r="AH54" i="12"/>
  <c r="AF54" i="12"/>
  <c r="AD54" i="12"/>
  <c r="AB54" i="12"/>
  <c r="Z54" i="12"/>
  <c r="X54" i="12"/>
  <c r="V54" i="12"/>
  <c r="T54" i="12"/>
  <c r="R54" i="12"/>
  <c r="P54" i="12"/>
  <c r="N54" i="12"/>
  <c r="L54" i="12"/>
  <c r="J54" i="12"/>
  <c r="H54" i="12"/>
  <c r="F54" i="12"/>
  <c r="D54" i="12"/>
  <c r="BB53" i="12"/>
  <c r="AZ53" i="12"/>
  <c r="AX53" i="12"/>
  <c r="AV53" i="12"/>
  <c r="AT53" i="12"/>
  <c r="AR53" i="12"/>
  <c r="AP53" i="12"/>
  <c r="AN53" i="12"/>
  <c r="AL53" i="12"/>
  <c r="AJ53" i="12"/>
  <c r="AH53" i="12"/>
  <c r="AF53" i="12"/>
  <c r="AD53" i="12"/>
  <c r="AB53" i="12"/>
  <c r="Z53" i="12"/>
  <c r="X53" i="12"/>
  <c r="V53" i="12"/>
  <c r="T53" i="12"/>
  <c r="R53" i="12"/>
  <c r="P53" i="12"/>
  <c r="N53" i="12"/>
  <c r="L53" i="12"/>
  <c r="J53" i="12"/>
  <c r="H53" i="12"/>
  <c r="F53" i="12"/>
  <c r="D53" i="12"/>
  <c r="D14" i="10"/>
  <c r="D15" i="10"/>
  <c r="D16" i="10"/>
  <c r="D17" i="10"/>
  <c r="D18" i="10"/>
  <c r="D19" i="10"/>
  <c r="D20" i="10"/>
  <c r="D21" i="10"/>
  <c r="D22" i="10"/>
  <c r="D23" i="10"/>
  <c r="D24" i="10"/>
  <c r="D25" i="10"/>
  <c r="D26" i="10"/>
  <c r="D27" i="10"/>
  <c r="D28" i="10"/>
  <c r="D29" i="10"/>
  <c r="D30" i="10"/>
  <c r="D31" i="10"/>
  <c r="D32" i="10"/>
  <c r="D33" i="10"/>
  <c r="D13" i="10"/>
  <c r="D12" i="10"/>
  <c r="D11" i="10"/>
  <c r="BT40" i="11"/>
  <c r="BV40" i="11"/>
  <c r="BT39" i="11"/>
  <c r="BA32" i="11"/>
  <c r="H43" i="11"/>
  <c r="I43" i="11"/>
  <c r="J43" i="11"/>
  <c r="K43" i="11"/>
  <c r="L43" i="11"/>
  <c r="M43" i="11"/>
  <c r="D43" i="11"/>
  <c r="E43" i="11"/>
  <c r="F43" i="11"/>
  <c r="G43" i="11"/>
  <c r="AH41" i="11"/>
  <c r="AH40" i="11"/>
  <c r="AD41" i="11"/>
  <c r="AD40" i="11"/>
  <c r="AE41" i="11"/>
  <c r="AE40" i="11"/>
  <c r="AF40" i="11"/>
  <c r="AF41" i="11"/>
  <c r="AG41" i="11"/>
  <c r="AG40" i="11"/>
  <c r="BC65" i="11"/>
  <c r="BC64" i="11"/>
  <c r="BC63" i="11"/>
  <c r="BC62" i="11"/>
  <c r="BC61" i="11"/>
  <c r="BC60" i="11"/>
  <c r="BC59" i="11"/>
  <c r="BC58" i="11"/>
  <c r="BC57" i="11"/>
  <c r="BC56" i="11"/>
  <c r="BC55" i="11"/>
  <c r="BC54" i="11"/>
  <c r="BC53" i="11"/>
  <c r="BC52" i="11"/>
  <c r="BC51" i="11"/>
  <c r="BC50" i="11"/>
  <c r="BC49" i="11"/>
  <c r="BA65" i="11" l="1"/>
  <c r="BA64" i="11"/>
  <c r="BA63" i="11"/>
  <c r="BA62" i="11"/>
  <c r="BA61" i="11"/>
  <c r="BA60" i="11"/>
  <c r="BA59" i="11"/>
  <c r="BA58" i="11"/>
  <c r="BA57" i="11"/>
  <c r="BA56" i="11"/>
  <c r="BA55" i="11"/>
  <c r="BA54" i="11"/>
  <c r="BA53" i="11"/>
  <c r="BA52" i="11"/>
  <c r="BA51" i="11"/>
  <c r="BA50" i="11"/>
  <c r="BA49" i="11"/>
  <c r="AY65" i="11"/>
  <c r="AY64" i="11"/>
  <c r="AY63" i="11"/>
  <c r="AY62" i="11"/>
  <c r="AY61" i="11"/>
  <c r="AY60" i="11"/>
  <c r="AY59" i="11"/>
  <c r="AY58" i="11"/>
  <c r="AY57" i="11"/>
  <c r="AY56" i="11"/>
  <c r="AY55" i="11"/>
  <c r="AY54" i="11"/>
  <c r="AY53" i="11"/>
  <c r="AY52" i="11"/>
  <c r="AY51" i="11"/>
  <c r="AY50" i="11"/>
  <c r="AY49" i="11"/>
  <c r="AW65" i="11"/>
  <c r="AW64" i="11"/>
  <c r="AW63" i="11"/>
  <c r="AW62" i="11"/>
  <c r="AW61" i="11"/>
  <c r="AW60" i="11"/>
  <c r="AW59" i="11"/>
  <c r="AW58" i="11"/>
  <c r="AW57" i="11"/>
  <c r="AW56" i="11"/>
  <c r="AW55" i="11"/>
  <c r="AW54" i="11"/>
  <c r="AW53" i="11"/>
  <c r="AW52" i="11"/>
  <c r="AW51" i="11"/>
  <c r="AW50" i="11"/>
  <c r="AW49" i="11"/>
  <c r="AC41" i="11"/>
  <c r="AC40" i="11"/>
  <c r="AU65" i="11"/>
  <c r="AU64" i="11"/>
  <c r="AU63" i="11"/>
  <c r="AU62" i="11"/>
  <c r="AU61" i="11"/>
  <c r="AU60" i="11"/>
  <c r="AU59" i="11"/>
  <c r="AU58" i="11"/>
  <c r="AU57" i="11"/>
  <c r="AU56" i="11"/>
  <c r="AU55" i="11"/>
  <c r="AU54" i="11"/>
  <c r="AU53" i="11"/>
  <c r="AU52" i="11"/>
  <c r="AU51" i="11"/>
  <c r="AU50" i="11"/>
  <c r="AU49" i="11"/>
  <c r="AB41" i="11"/>
  <c r="AB40" i="11"/>
  <c r="AO37" i="11"/>
  <c r="AS65" i="11"/>
  <c r="AS64" i="11"/>
  <c r="AS63" i="11"/>
  <c r="AS62" i="11"/>
  <c r="AS61" i="11"/>
  <c r="AS60" i="11"/>
  <c r="AS59" i="11"/>
  <c r="AS58" i="11"/>
  <c r="AS57" i="11"/>
  <c r="AS56" i="11"/>
  <c r="AS55" i="11"/>
  <c r="AS54" i="11"/>
  <c r="AS53" i="11"/>
  <c r="AS52" i="11"/>
  <c r="AS51" i="11"/>
  <c r="AS50" i="11"/>
  <c r="AS49" i="11"/>
  <c r="AA41" i="11"/>
  <c r="AA40" i="11"/>
  <c r="AQ65" i="11"/>
  <c r="AQ64" i="11"/>
  <c r="AQ63" i="11"/>
  <c r="AQ62" i="11"/>
  <c r="AQ61" i="11"/>
  <c r="AQ60" i="11"/>
  <c r="AQ59" i="11"/>
  <c r="AQ58" i="11"/>
  <c r="AQ57" i="11"/>
  <c r="AQ56" i="11"/>
  <c r="AQ55" i="11"/>
  <c r="AQ54" i="11"/>
  <c r="AQ53" i="11"/>
  <c r="AQ52" i="11"/>
  <c r="AQ51" i="11"/>
  <c r="AQ50" i="11"/>
  <c r="AQ49" i="11"/>
  <c r="G52" i="11"/>
  <c r="I52" i="11"/>
  <c r="K52" i="11"/>
  <c r="M52" i="11"/>
  <c r="O52" i="11"/>
  <c r="Q52" i="11"/>
  <c r="S52" i="11"/>
  <c r="U52" i="11"/>
  <c r="W52" i="11"/>
  <c r="Y52" i="11"/>
  <c r="AA52" i="11"/>
  <c r="AC52" i="11"/>
  <c r="AE52" i="11"/>
  <c r="AG52" i="11"/>
  <c r="AI52" i="11"/>
  <c r="AK52" i="11"/>
  <c r="AM52" i="11"/>
  <c r="AO52" i="11"/>
  <c r="E52" i="11"/>
  <c r="AO65" i="11"/>
  <c r="AO64" i="11"/>
  <c r="AO63" i="11"/>
  <c r="AO62" i="11"/>
  <c r="AO61" i="11"/>
  <c r="AO60" i="11"/>
  <c r="AO59" i="11"/>
  <c r="AO58" i="11"/>
  <c r="AO57" i="11"/>
  <c r="AO56" i="11"/>
  <c r="AO55" i="11"/>
  <c r="AO54" i="11"/>
  <c r="AO53" i="11"/>
  <c r="AO51" i="11"/>
  <c r="AO50" i="11"/>
  <c r="AO49" i="11"/>
  <c r="Z41" i="11"/>
  <c r="Z40" i="11"/>
  <c r="Y40" i="11"/>
  <c r="Y41" i="11"/>
  <c r="AK64" i="11"/>
  <c r="AM65" i="11"/>
  <c r="AM64" i="11"/>
  <c r="AM63" i="11"/>
  <c r="AM62" i="11"/>
  <c r="AM61" i="11"/>
  <c r="AM60" i="11"/>
  <c r="AM59" i="11"/>
  <c r="AM58" i="11"/>
  <c r="AM57" i="11"/>
  <c r="AM56" i="11"/>
  <c r="AM55" i="11"/>
  <c r="AM54" i="11"/>
  <c r="AM53" i="11"/>
  <c r="AM51" i="11"/>
  <c r="AM50" i="11"/>
  <c r="AM49" i="11"/>
  <c r="AK65" i="11"/>
  <c r="AK63" i="11"/>
  <c r="AK62" i="11"/>
  <c r="AK61" i="11"/>
  <c r="AK60" i="11"/>
  <c r="AK59" i="11"/>
  <c r="AK58" i="11"/>
  <c r="AK57" i="11"/>
  <c r="AK56" i="11"/>
  <c r="AK55" i="11"/>
  <c r="AK54" i="11"/>
  <c r="AK53" i="11"/>
  <c r="AK51" i="11"/>
  <c r="AK50" i="11"/>
  <c r="AK49" i="11"/>
  <c r="W41" i="11"/>
  <c r="W40" i="11"/>
  <c r="V41" i="11"/>
  <c r="V40" i="11"/>
  <c r="U41" i="11"/>
  <c r="U40" i="11"/>
  <c r="AI65" i="11"/>
  <c r="AI64" i="11"/>
  <c r="AI63" i="11"/>
  <c r="AI62" i="11"/>
  <c r="AI61" i="11"/>
  <c r="AI60" i="11"/>
  <c r="AI59" i="11"/>
  <c r="AI58" i="11"/>
  <c r="AI57" i="11"/>
  <c r="AI56" i="11"/>
  <c r="AI55" i="11"/>
  <c r="AI54" i="11"/>
  <c r="AI53" i="11"/>
  <c r="AI51" i="11"/>
  <c r="AI50" i="11"/>
  <c r="AI49" i="11"/>
  <c r="AG65" i="11"/>
  <c r="AG64" i="11"/>
  <c r="AG63" i="11"/>
  <c r="AG62" i="11"/>
  <c r="AG61" i="11"/>
  <c r="AG60" i="11"/>
  <c r="AG59" i="11"/>
  <c r="AG58" i="11"/>
  <c r="AG57" i="11"/>
  <c r="AG56" i="11"/>
  <c r="AG55" i="11"/>
  <c r="AG54" i="11"/>
  <c r="AG53" i="11"/>
  <c r="AG51" i="11"/>
  <c r="AG50" i="11"/>
  <c r="AG49" i="11"/>
  <c r="AE63" i="11"/>
  <c r="AC63" i="11"/>
  <c r="AA63" i="11"/>
  <c r="Y63" i="11"/>
  <c r="W63" i="11"/>
  <c r="U63" i="11"/>
  <c r="S63" i="11"/>
  <c r="Q63" i="11"/>
  <c r="O63" i="11"/>
  <c r="M63" i="11"/>
  <c r="K63" i="11"/>
  <c r="I63" i="11"/>
  <c r="G63" i="11"/>
  <c r="E63" i="11"/>
  <c r="AE65" i="11"/>
  <c r="AE64" i="11"/>
  <c r="AE62" i="11"/>
  <c r="AE61" i="11"/>
  <c r="AE60" i="11"/>
  <c r="AE59" i="11"/>
  <c r="AE58" i="11"/>
  <c r="AE57" i="11"/>
  <c r="AE56" i="11"/>
  <c r="AE55" i="11"/>
  <c r="AE54" i="11"/>
  <c r="AE53" i="11"/>
  <c r="AE51" i="11"/>
  <c r="AE50" i="11"/>
  <c r="AE49" i="11"/>
  <c r="AC65" i="11"/>
  <c r="AC64" i="11"/>
  <c r="AC62" i="11"/>
  <c r="AC61" i="11"/>
  <c r="AC60" i="11"/>
  <c r="AC59" i="11"/>
  <c r="AC58" i="11"/>
  <c r="AC57" i="11"/>
  <c r="AC56" i="11"/>
  <c r="AC55" i="11"/>
  <c r="AC54" i="11"/>
  <c r="AC53" i="11"/>
  <c r="AC51" i="11"/>
  <c r="AC50" i="11"/>
  <c r="AC49" i="11"/>
  <c r="AA65" i="11"/>
  <c r="AA64" i="11"/>
  <c r="AA62" i="11"/>
  <c r="AA61" i="11"/>
  <c r="AA60" i="11"/>
  <c r="AA59" i="11"/>
  <c r="AA58" i="11"/>
  <c r="AA57" i="11"/>
  <c r="AA56" i="11"/>
  <c r="AA55" i="11"/>
  <c r="AA54" i="11"/>
  <c r="AA53" i="11"/>
  <c r="AA51" i="11"/>
  <c r="AA50" i="11"/>
  <c r="AA49" i="11"/>
  <c r="Y61" i="11"/>
  <c r="W61" i="11"/>
  <c r="U61" i="11"/>
  <c r="S61" i="11"/>
  <c r="Q61" i="11"/>
  <c r="O61" i="11"/>
  <c r="M61" i="11"/>
  <c r="K61" i="11"/>
  <c r="I61" i="11"/>
  <c r="G61" i="11"/>
  <c r="E61" i="11"/>
  <c r="Y65" i="11"/>
  <c r="Y64" i="11"/>
  <c r="Y62" i="11"/>
  <c r="Y60" i="11"/>
  <c r="Y59" i="11"/>
  <c r="Y58" i="11"/>
  <c r="Y57" i="11"/>
  <c r="Y56" i="11"/>
  <c r="Y55" i="11"/>
  <c r="Y54" i="11"/>
  <c r="Y53" i="11"/>
  <c r="Y51" i="11"/>
  <c r="Y50" i="11"/>
  <c r="Y49" i="11"/>
  <c r="W62" i="11"/>
  <c r="U62" i="11"/>
  <c r="S62" i="11"/>
  <c r="Q62" i="11"/>
  <c r="O62" i="11"/>
  <c r="M62" i="11"/>
  <c r="K62" i="11"/>
  <c r="I62" i="11"/>
  <c r="G62" i="11"/>
  <c r="E62" i="11"/>
  <c r="W65" i="11"/>
  <c r="W64" i="11"/>
  <c r="W60" i="11"/>
  <c r="W59" i="11"/>
  <c r="W58" i="11"/>
  <c r="W57" i="11"/>
  <c r="W56" i="11"/>
  <c r="W55" i="11"/>
  <c r="W54" i="11"/>
  <c r="W53" i="11"/>
  <c r="W51" i="11"/>
  <c r="W50" i="11"/>
  <c r="W49" i="11"/>
  <c r="U65" i="11"/>
  <c r="U64" i="11"/>
  <c r="U60" i="11"/>
  <c r="U59" i="11"/>
  <c r="U58" i="11"/>
  <c r="U57" i="11"/>
  <c r="U56" i="11"/>
  <c r="U55" i="11"/>
  <c r="U54" i="11"/>
  <c r="U53" i="11"/>
  <c r="U51" i="11"/>
  <c r="U50" i="11"/>
  <c r="U49" i="11"/>
  <c r="S56" i="11"/>
  <c r="Q56" i="11"/>
  <c r="O56" i="11"/>
  <c r="M56" i="11"/>
  <c r="K56" i="11"/>
  <c r="I56" i="11"/>
  <c r="G56" i="11"/>
  <c r="E56" i="11"/>
  <c r="S58" i="11"/>
  <c r="Q58" i="11"/>
  <c r="O58" i="11"/>
  <c r="M58" i="11"/>
  <c r="K58" i="11"/>
  <c r="I58" i="11"/>
  <c r="G58" i="11"/>
  <c r="E58" i="11"/>
  <c r="S59" i="11"/>
  <c r="Q59" i="11"/>
  <c r="O59" i="11"/>
  <c r="M59" i="11"/>
  <c r="K59" i="11"/>
  <c r="I59" i="11"/>
  <c r="G59" i="11"/>
  <c r="E59" i="11"/>
  <c r="S65" i="11"/>
  <c r="S64" i="11"/>
  <c r="S60" i="11"/>
  <c r="S57" i="11"/>
  <c r="S55" i="11"/>
  <c r="S54" i="11"/>
  <c r="S53" i="11"/>
  <c r="S51" i="11"/>
  <c r="S50" i="11"/>
  <c r="S49" i="11"/>
  <c r="Q65" i="11"/>
  <c r="Q64" i="11"/>
  <c r="Q60" i="11"/>
  <c r="Q57" i="11"/>
  <c r="Q55" i="11"/>
  <c r="Q54" i="11"/>
  <c r="Q53" i="11"/>
  <c r="Q51" i="11"/>
  <c r="Q50" i="11"/>
  <c r="Q49" i="11"/>
  <c r="O65" i="11"/>
  <c r="O64" i="11"/>
  <c r="O60" i="11"/>
  <c r="O57" i="11"/>
  <c r="O55" i="11"/>
  <c r="O54" i="11"/>
  <c r="O53" i="11"/>
  <c r="O51" i="11"/>
  <c r="O50" i="11"/>
  <c r="O49" i="11"/>
  <c r="M65" i="11"/>
  <c r="M64" i="11"/>
  <c r="M60" i="11"/>
  <c r="M57" i="11"/>
  <c r="M55" i="11"/>
  <c r="M54" i="11"/>
  <c r="M53" i="11"/>
  <c r="M51" i="11"/>
  <c r="M50" i="11"/>
  <c r="M49" i="11"/>
  <c r="K65" i="11"/>
  <c r="K64" i="11"/>
  <c r="K60" i="11"/>
  <c r="K57" i="11"/>
  <c r="K55" i="11"/>
  <c r="K54" i="11"/>
  <c r="K53" i="11"/>
  <c r="K51" i="11"/>
  <c r="K50" i="11"/>
  <c r="K49" i="11"/>
  <c r="I65" i="11"/>
  <c r="I64" i="11"/>
  <c r="I60" i="11"/>
  <c r="I57" i="11"/>
  <c r="I55" i="11"/>
  <c r="I54" i="11"/>
  <c r="I53" i="11"/>
  <c r="I51" i="11"/>
  <c r="I50" i="11"/>
  <c r="I49" i="11"/>
  <c r="G65" i="11"/>
  <c r="G64" i="11"/>
  <c r="G60" i="11"/>
  <c r="G57" i="11"/>
  <c r="G55" i="11"/>
  <c r="G54" i="11"/>
  <c r="G53" i="11"/>
  <c r="G51" i="11"/>
  <c r="G50" i="11"/>
  <c r="G49" i="11"/>
  <c r="E50" i="11"/>
  <c r="E51" i="11"/>
  <c r="E53" i="11"/>
  <c r="E54" i="11"/>
  <c r="E55" i="11"/>
  <c r="E57" i="11"/>
  <c r="E60" i="11"/>
  <c r="E64" i="11"/>
  <c r="E65" i="11"/>
  <c r="E49" i="11"/>
  <c r="AQ38" i="11" l="1"/>
  <c r="AO35" i="11"/>
  <c r="R10" i="10"/>
  <c r="R11" i="10" s="1"/>
  <c r="U46" i="7"/>
  <c r="K10" i="8"/>
  <c r="L10" i="8"/>
  <c r="L9" i="8"/>
  <c r="K9" i="8"/>
  <c r="J9" i="8"/>
  <c r="J10" i="8"/>
  <c r="M5" i="8"/>
  <c r="J5" i="8"/>
  <c r="J4" i="8"/>
  <c r="M4" i="8" s="1"/>
  <c r="D16" i="7"/>
  <c r="D17" i="7"/>
  <c r="B2" i="9" l="1"/>
  <c r="B3" i="9"/>
  <c r="B4" i="9"/>
  <c r="B5" i="9"/>
  <c r="B6" i="9"/>
  <c r="B7" i="9"/>
  <c r="B8" i="9"/>
  <c r="B9" i="9"/>
  <c r="B10" i="9"/>
  <c r="B11" i="9"/>
  <c r="B12" i="9"/>
  <c r="B13" i="9"/>
  <c r="B14" i="9"/>
  <c r="B15" i="9"/>
  <c r="B16" i="9"/>
  <c r="B17" i="9"/>
  <c r="B18" i="9"/>
  <c r="B19" i="9"/>
  <c r="B20" i="9"/>
  <c r="B21" i="9"/>
  <c r="B22" i="9"/>
  <c r="B23" i="9"/>
  <c r="B24" i="9"/>
  <c r="B25" i="9"/>
  <c r="B26" i="9"/>
  <c r="B27" i="9"/>
  <c r="B28" i="9"/>
  <c r="B29" i="9"/>
  <c r="B30" i="9"/>
  <c r="B31" i="9"/>
  <c r="B32" i="9"/>
  <c r="B33" i="9"/>
  <c r="B34" i="9"/>
  <c r="B35" i="9"/>
  <c r="B36" i="9"/>
  <c r="B37" i="9"/>
  <c r="B38" i="9"/>
  <c r="B39" i="9"/>
  <c r="B40" i="9"/>
  <c r="B41" i="9"/>
  <c r="B42" i="9"/>
  <c r="B43" i="9"/>
  <c r="B44" i="9"/>
  <c r="B45" i="9"/>
  <c r="B46" i="9"/>
  <c r="B47" i="9"/>
  <c r="B48" i="9"/>
  <c r="B49" i="9"/>
  <c r="B50" i="9"/>
  <c r="B51" i="9"/>
  <c r="B52" i="9"/>
  <c r="B53" i="9"/>
  <c r="B54" i="9"/>
  <c r="B55" i="9"/>
  <c r="B56" i="9"/>
  <c r="B57" i="9"/>
  <c r="B58" i="9"/>
  <c r="B59" i="9"/>
  <c r="B60" i="9"/>
  <c r="B61" i="9"/>
  <c r="B62" i="9"/>
  <c r="B63" i="9"/>
  <c r="B64" i="9"/>
  <c r="B65" i="9"/>
  <c r="B66" i="9"/>
  <c r="B67" i="9"/>
  <c r="B68" i="9"/>
  <c r="B69" i="9"/>
  <c r="B70" i="9"/>
  <c r="B71" i="9"/>
  <c r="B72" i="9"/>
  <c r="B73" i="9"/>
  <c r="B74" i="9"/>
  <c r="B75" i="9"/>
  <c r="B76" i="9"/>
  <c r="B77" i="9"/>
  <c r="B78" i="9"/>
  <c r="B79" i="9"/>
  <c r="B80" i="9"/>
  <c r="B81" i="9"/>
  <c r="B82" i="9"/>
  <c r="B83" i="9"/>
  <c r="B84" i="9"/>
  <c r="B85" i="9"/>
  <c r="B86" i="9"/>
  <c r="B87" i="9"/>
  <c r="B88" i="9"/>
  <c r="B89" i="9"/>
  <c r="B90" i="9"/>
  <c r="B91" i="9"/>
  <c r="B92" i="9"/>
  <c r="B93" i="9"/>
  <c r="B94" i="9"/>
  <c r="B95" i="9"/>
  <c r="B96" i="9"/>
  <c r="B97" i="9"/>
  <c r="B98" i="9"/>
  <c r="B99" i="9"/>
  <c r="B100" i="9"/>
  <c r="B101" i="9"/>
  <c r="B102" i="9"/>
  <c r="B103" i="9"/>
  <c r="B104" i="9"/>
  <c r="B105" i="9"/>
  <c r="B106" i="9"/>
  <c r="B107" i="9"/>
  <c r="B108" i="9"/>
  <c r="B109" i="9"/>
  <c r="B110" i="9"/>
  <c r="B111" i="9"/>
  <c r="B112" i="9"/>
  <c r="B113" i="9"/>
  <c r="B114" i="9"/>
  <c r="B115" i="9"/>
  <c r="B116" i="9"/>
  <c r="B117" i="9"/>
  <c r="B118" i="9"/>
  <c r="B119" i="9"/>
  <c r="B120" i="9"/>
  <c r="B121" i="9"/>
  <c r="B122" i="9"/>
  <c r="B123" i="9"/>
  <c r="B124" i="9"/>
  <c r="B125" i="9"/>
  <c r="B126" i="9"/>
  <c r="B127" i="9"/>
  <c r="B128" i="9"/>
  <c r="B129" i="9"/>
  <c r="B130" i="9"/>
  <c r="B131" i="9"/>
  <c r="B132" i="9"/>
  <c r="B133" i="9"/>
  <c r="B134" i="9"/>
  <c r="B135" i="9"/>
  <c r="B136" i="9"/>
  <c r="B137" i="9"/>
  <c r="B138" i="9"/>
  <c r="B139" i="9"/>
  <c r="B140" i="9"/>
  <c r="B141" i="9"/>
  <c r="B142" i="9"/>
  <c r="B143" i="9"/>
  <c r="B144" i="9"/>
  <c r="B145" i="9"/>
  <c r="B146" i="9"/>
  <c r="B147" i="9"/>
  <c r="B148" i="9"/>
  <c r="B149" i="9"/>
  <c r="B150" i="9"/>
  <c r="B151" i="9"/>
  <c r="B152" i="9"/>
  <c r="B153" i="9"/>
  <c r="B154" i="9"/>
  <c r="B155" i="9"/>
  <c r="B156" i="9"/>
  <c r="B157" i="9"/>
  <c r="B158" i="9"/>
  <c r="B159" i="9"/>
  <c r="B160" i="9"/>
  <c r="B161" i="9"/>
  <c r="B162" i="9"/>
  <c r="B163" i="9"/>
  <c r="B164" i="9"/>
  <c r="B165" i="9"/>
  <c r="B166" i="9"/>
  <c r="B167" i="9"/>
  <c r="B168" i="9"/>
  <c r="B169" i="9"/>
  <c r="B170" i="9"/>
  <c r="B171" i="9"/>
  <c r="B172" i="9"/>
  <c r="B173" i="9"/>
  <c r="B174" i="9"/>
  <c r="B175" i="9"/>
  <c r="B176" i="9"/>
  <c r="B177" i="9"/>
  <c r="B178" i="9"/>
  <c r="B179" i="9"/>
  <c r="B180" i="9"/>
  <c r="B181" i="9"/>
  <c r="B182" i="9"/>
  <c r="B183" i="9"/>
  <c r="B184" i="9"/>
  <c r="B185" i="9"/>
  <c r="B186" i="9"/>
  <c r="B187" i="9"/>
  <c r="B188" i="9"/>
  <c r="B189" i="9"/>
  <c r="B190" i="9"/>
  <c r="B191" i="9"/>
  <c r="B192" i="9"/>
  <c r="B193" i="9"/>
  <c r="B194" i="9"/>
  <c r="B195" i="9"/>
  <c r="B196" i="9"/>
  <c r="B197" i="9"/>
  <c r="B198" i="9"/>
  <c r="B199" i="9"/>
  <c r="B200" i="9"/>
  <c r="B201" i="9"/>
  <c r="B202" i="9"/>
  <c r="B203" i="9"/>
  <c r="B204" i="9"/>
  <c r="B205" i="9"/>
  <c r="B206" i="9"/>
  <c r="B207" i="9"/>
  <c r="B208" i="9"/>
  <c r="B209" i="9"/>
  <c r="B210" i="9"/>
  <c r="B211" i="9"/>
  <c r="B212" i="9"/>
  <c r="B213" i="9"/>
  <c r="B214" i="9"/>
  <c r="B215" i="9"/>
  <c r="B216" i="9"/>
  <c r="B217" i="9"/>
  <c r="B218" i="9"/>
  <c r="B219" i="9"/>
  <c r="B220" i="9"/>
  <c r="B221" i="9"/>
  <c r="B222" i="9"/>
  <c r="B223" i="9"/>
  <c r="B224" i="9"/>
  <c r="B225" i="9"/>
  <c r="B226" i="9"/>
  <c r="B227" i="9"/>
  <c r="B228" i="9"/>
  <c r="B229" i="9"/>
  <c r="B230" i="9"/>
  <c r="B231" i="9"/>
  <c r="B232" i="9"/>
  <c r="B233" i="9"/>
  <c r="B234" i="9"/>
  <c r="B235" i="9"/>
  <c r="B236" i="9"/>
  <c r="B237" i="9"/>
  <c r="B238" i="9"/>
  <c r="B239" i="9"/>
  <c r="B240" i="9"/>
  <c r="B241" i="9"/>
  <c r="B242" i="9"/>
  <c r="B243" i="9"/>
  <c r="B244" i="9"/>
  <c r="B245" i="9"/>
  <c r="B246" i="9"/>
  <c r="B247" i="9"/>
  <c r="B248" i="9"/>
  <c r="B249" i="9"/>
  <c r="B250" i="9"/>
  <c r="B251" i="9"/>
  <c r="B252" i="9"/>
  <c r="B253" i="9"/>
  <c r="B254" i="9"/>
  <c r="B255" i="9"/>
  <c r="B256" i="9"/>
  <c r="B257" i="9"/>
  <c r="B258" i="9"/>
  <c r="B259" i="9"/>
  <c r="B260" i="9"/>
  <c r="B261" i="9"/>
  <c r="B262" i="9"/>
  <c r="B263" i="9"/>
  <c r="B264" i="9"/>
  <c r="B265" i="9"/>
  <c r="B266" i="9"/>
  <c r="B267" i="9"/>
  <c r="B268" i="9"/>
  <c r="B269" i="9"/>
  <c r="B270" i="9"/>
  <c r="B271" i="9"/>
  <c r="B272" i="9"/>
  <c r="B273" i="9"/>
  <c r="B274" i="9"/>
  <c r="B275" i="9"/>
  <c r="B276" i="9"/>
  <c r="B277" i="9"/>
  <c r="B278" i="9"/>
  <c r="B279" i="9"/>
  <c r="B280" i="9"/>
  <c r="B281" i="9"/>
  <c r="B282" i="9"/>
  <c r="B283" i="9"/>
  <c r="B284" i="9"/>
  <c r="B285" i="9"/>
  <c r="B286" i="9"/>
  <c r="B287" i="9"/>
  <c r="B288" i="9"/>
  <c r="B289" i="9"/>
  <c r="B290" i="9"/>
  <c r="B291" i="9"/>
  <c r="B292" i="9"/>
  <c r="B293" i="9"/>
  <c r="B294" i="9"/>
  <c r="B295" i="9"/>
  <c r="B296" i="9"/>
  <c r="B297" i="9"/>
  <c r="B298" i="9"/>
  <c r="B299" i="9"/>
  <c r="B300" i="9"/>
  <c r="B301" i="9"/>
  <c r="B302" i="9"/>
  <c r="B303" i="9"/>
  <c r="B304" i="9"/>
  <c r="B305" i="9"/>
  <c r="B306" i="9"/>
  <c r="B307" i="9"/>
  <c r="B308" i="9"/>
  <c r="B309" i="9"/>
  <c r="B310" i="9"/>
  <c r="B311" i="9"/>
  <c r="B312" i="9"/>
  <c r="B313" i="9"/>
  <c r="B314" i="9"/>
  <c r="B315" i="9"/>
  <c r="B316" i="9"/>
  <c r="B317" i="9"/>
  <c r="B318" i="9"/>
  <c r="B319" i="9"/>
  <c r="B320" i="9"/>
  <c r="B321" i="9"/>
  <c r="B322" i="9"/>
  <c r="B323" i="9"/>
  <c r="B324" i="9"/>
  <c r="B325" i="9"/>
  <c r="B326" i="9"/>
  <c r="B327" i="9"/>
  <c r="B328" i="9"/>
  <c r="B329" i="9"/>
  <c r="B330" i="9"/>
  <c r="B331" i="9"/>
  <c r="B332" i="9"/>
  <c r="B333" i="9"/>
  <c r="B334" i="9"/>
  <c r="B335" i="9"/>
  <c r="B336" i="9"/>
  <c r="B337" i="9"/>
  <c r="B338" i="9"/>
  <c r="B339" i="9"/>
  <c r="B340" i="9"/>
  <c r="B341" i="9"/>
  <c r="B342" i="9"/>
  <c r="B343" i="9"/>
  <c r="B344" i="9"/>
  <c r="B345" i="9"/>
  <c r="B346" i="9"/>
  <c r="B347" i="9"/>
  <c r="B348" i="9"/>
  <c r="B349" i="9"/>
  <c r="B350" i="9"/>
  <c r="B351" i="9"/>
  <c r="B352" i="9"/>
  <c r="B353" i="9"/>
  <c r="B354" i="9"/>
  <c r="B355" i="9"/>
  <c r="B356" i="9"/>
  <c r="B357" i="9"/>
  <c r="B358" i="9"/>
  <c r="B359" i="9"/>
  <c r="B360" i="9"/>
  <c r="B361" i="9"/>
  <c r="B362" i="9"/>
  <c r="B363" i="9"/>
  <c r="B364" i="9"/>
  <c r="B365" i="9"/>
  <c r="B366" i="9"/>
  <c r="B367" i="9"/>
  <c r="B368" i="9"/>
  <c r="B369" i="9"/>
  <c r="B370" i="9"/>
  <c r="B371" i="9"/>
  <c r="B372" i="9"/>
  <c r="B373" i="9"/>
  <c r="B374" i="9"/>
  <c r="B375" i="9"/>
  <c r="B376" i="9"/>
  <c r="B377" i="9"/>
  <c r="B378" i="9"/>
  <c r="B379" i="9"/>
  <c r="B380" i="9"/>
  <c r="B381" i="9"/>
  <c r="B382" i="9"/>
  <c r="B383" i="9"/>
  <c r="B384" i="9"/>
  <c r="B385" i="9"/>
  <c r="B386" i="9"/>
  <c r="B387" i="9"/>
  <c r="B388" i="9"/>
  <c r="B389" i="9"/>
  <c r="B390" i="9"/>
  <c r="B391" i="9"/>
  <c r="B392" i="9"/>
  <c r="B393" i="9"/>
  <c r="B394" i="9"/>
  <c r="B395" i="9"/>
  <c r="B396" i="9"/>
  <c r="B397" i="9"/>
  <c r="B398" i="9"/>
  <c r="B399" i="9"/>
  <c r="B400" i="9"/>
  <c r="B401" i="9"/>
  <c r="B402" i="9"/>
  <c r="B403" i="9"/>
  <c r="B404" i="9"/>
  <c r="B405" i="9"/>
  <c r="B406" i="9"/>
  <c r="B407" i="9"/>
  <c r="B408" i="9"/>
  <c r="B409" i="9"/>
  <c r="B410" i="9"/>
  <c r="B411" i="9"/>
  <c r="B412" i="9"/>
  <c r="B413" i="9"/>
  <c r="B414" i="9"/>
  <c r="B415" i="9"/>
  <c r="B416" i="9"/>
  <c r="B417" i="9"/>
  <c r="B418" i="9"/>
  <c r="B419" i="9"/>
  <c r="B420" i="9"/>
  <c r="B421" i="9"/>
  <c r="B422" i="9"/>
  <c r="B423" i="9"/>
  <c r="B424" i="9"/>
  <c r="B425" i="9"/>
  <c r="B426" i="9"/>
  <c r="B427" i="9"/>
  <c r="B428" i="9"/>
  <c r="B429" i="9"/>
  <c r="B430" i="9"/>
  <c r="B431" i="9"/>
  <c r="B432" i="9"/>
  <c r="B433" i="9"/>
  <c r="B434" i="9"/>
  <c r="B435" i="9"/>
  <c r="B436" i="9"/>
  <c r="B437" i="9"/>
  <c r="B438" i="9"/>
  <c r="B439" i="9"/>
  <c r="B440" i="9"/>
  <c r="B441" i="9"/>
  <c r="B442" i="9"/>
  <c r="B443" i="9"/>
  <c r="B444" i="9"/>
  <c r="B445" i="9"/>
  <c r="B446" i="9"/>
  <c r="B447" i="9"/>
  <c r="B448" i="9"/>
  <c r="B449" i="9"/>
  <c r="B450" i="9"/>
  <c r="B451" i="9"/>
  <c r="B452" i="9"/>
  <c r="B453" i="9"/>
  <c r="B454" i="9"/>
  <c r="B455" i="9"/>
  <c r="B456" i="9"/>
  <c r="B457" i="9"/>
  <c r="B458" i="9"/>
  <c r="B459" i="9"/>
  <c r="B460" i="9"/>
  <c r="B461" i="9"/>
  <c r="B462" i="9"/>
  <c r="B463" i="9"/>
  <c r="B464" i="9"/>
  <c r="B465" i="9"/>
  <c r="B466" i="9"/>
  <c r="B467" i="9"/>
  <c r="B468" i="9"/>
  <c r="B469" i="9"/>
  <c r="B470" i="9"/>
  <c r="B471" i="9"/>
  <c r="B472" i="9"/>
  <c r="B473" i="9"/>
  <c r="B474" i="9"/>
  <c r="B475" i="9"/>
  <c r="B476" i="9"/>
  <c r="B477" i="9"/>
  <c r="B478" i="9"/>
  <c r="B479" i="9"/>
  <c r="B480" i="9"/>
  <c r="B481" i="9"/>
  <c r="B482" i="9"/>
  <c r="B483" i="9"/>
  <c r="B484" i="9"/>
  <c r="B485" i="9"/>
  <c r="B486" i="9"/>
  <c r="B487" i="9"/>
  <c r="B488" i="9"/>
  <c r="B489" i="9"/>
  <c r="B490" i="9"/>
  <c r="B491" i="9"/>
  <c r="B492" i="9"/>
  <c r="B493" i="9"/>
  <c r="B494" i="9"/>
  <c r="B495" i="9"/>
  <c r="B496" i="9"/>
  <c r="B497" i="9"/>
  <c r="B498" i="9"/>
  <c r="B499" i="9"/>
  <c r="B500" i="9"/>
  <c r="B501" i="9"/>
  <c r="B502" i="9"/>
  <c r="B503" i="9"/>
  <c r="B504" i="9"/>
  <c r="B505" i="9"/>
  <c r="B506" i="9"/>
  <c r="B507" i="9"/>
  <c r="B508" i="9"/>
  <c r="B509" i="9"/>
  <c r="B510" i="9"/>
  <c r="B511" i="9"/>
  <c r="B512" i="9"/>
  <c r="B513" i="9"/>
  <c r="B514" i="9"/>
  <c r="B515" i="9"/>
  <c r="B516" i="9"/>
  <c r="B517" i="9"/>
  <c r="B518" i="9"/>
  <c r="B519" i="9"/>
  <c r="B520" i="9"/>
  <c r="B521" i="9"/>
  <c r="B522" i="9"/>
  <c r="B523" i="9"/>
  <c r="B524" i="9"/>
  <c r="B525" i="9"/>
  <c r="B17" i="7"/>
  <c r="E15" i="8" l="1"/>
  <c r="E14" i="8"/>
  <c r="F35" i="6" l="1"/>
  <c r="F15" i="7"/>
  <c r="D15" i="7" s="1"/>
  <c r="L14" i="7"/>
  <c r="F14" i="7"/>
  <c r="D14" i="7" s="1"/>
  <c r="F13" i="7"/>
  <c r="G9" i="7" s="1"/>
</calcChain>
</file>

<file path=xl/sharedStrings.xml><?xml version="1.0" encoding="utf-8"?>
<sst xmlns="http://schemas.openxmlformats.org/spreadsheetml/2006/main" count="1553" uniqueCount="689">
  <si>
    <t>cpmtdisp​</t>
  </si>
  <si>
    <t>Cost of disposing one tonne of material mmm at plant ppp during time ttt</t>
  </si>
  <si>
    <t>$/tonne/km</t>
  </si>
  <si>
    <t>cptexpc^\text{exp}_{pt}cptexp​</t>
  </si>
  <si>
    <t>Cost of adding one tonne of capacity to plant ppp at time ttt</t>
  </si>
  <si>
    <t>$/tonne</t>
  </si>
  <si>
    <t>cptopenc^\text{open}_{pt}cptopen​</t>
  </si>
  <si>
    <t>Cost of opening plant ppp at time ttt, at minimum capacity</t>
  </si>
  <si>
    <t>$</t>
  </si>
  <si>
    <t>cptf-basec^\text{f-base}_{pt}cptf-base​</t>
  </si>
  <si>
    <t>Fixed cost of keeping plant ppp open during time period ttt</t>
  </si>
  <si>
    <t>cptf-expc^\text{f-exp}_{pt}cptf-exp​</t>
  </si>
  <si>
    <t>Increase in fixed cost for each additional tonne of capacity</t>
  </si>
  <si>
    <t>cptvarc^\text{var}_{pt}cptvar​</t>
  </si>
  <si>
    <t>Variable cost of processing one tonne of input at plant ppp at time ttt</t>
  </si>
  <si>
    <t>cptstorec^\text{store}_{pt}cptstore​</t>
  </si>
  <si>
    <t>Cost of storing one tonne of original material at plant ppp at time ttt</t>
  </si>
  <si>
    <t>mpminm^\text{min}_pmpmin​</t>
  </si>
  <si>
    <t>Minimum capacity of plant ppp</t>
  </si>
  <si>
    <t>tonne</t>
  </si>
  <si>
    <t>mpmaxm^\text{max}_pmpmax​</t>
  </si>
  <si>
    <t>Maximum capacity of plant ppp</t>
  </si>
  <si>
    <t>mpmtdispm^\text{disp}_{pmt}mpmtdisp​</t>
  </si>
  <si>
    <t>Maximum amount of material mmm that plant ppp can dispose of during time ttt</t>
  </si>
  <si>
    <t>mpstorem^\text{store}_pmpstore​</t>
  </si>
  <si>
    <t>Maximum amount of original material that plant ppp can store for later processing.</t>
  </si>
  <si>
    <t>Constants</t>
  </si>
  <si>
    <t>Plants</t>
  </si>
  <si>
    <t>Source</t>
  </si>
  <si>
    <t>Products</t>
  </si>
  <si>
    <t>αpm​</t>
  </si>
  <si>
    <t>Amount of material mmm recovered by plant ttt for each tonne of original material</t>
  </si>
  <si>
    <t>tonne/tonne</t>
  </si>
  <si>
    <t>mltinitialm^\text{initial}_{lt}mltinitial​</t>
  </si>
  <si>
    <t>Amount of original material to be recycled at location lll during time ttt</t>
  </si>
  <si>
    <t>Symbol</t>
  </si>
  <si>
    <t>Description</t>
  </si>
  <si>
    <t>Unit</t>
  </si>
  <si>
    <t>Transportation</t>
  </si>
  <si>
    <t>cttr​</t>
  </si>
  <si>
    <t>Transportation cost during time ttt</t>
  </si>
  <si>
    <t>dlpd_{lp}dlp​</t>
  </si>
  <si>
    <t>Distance between plant ppp and location lll</t>
  </si>
  <si>
    <t>km</t>
  </si>
  <si>
    <t>Decision variables</t>
  </si>
  <si>
    <t>qmpt​</t>
  </si>
  <si>
    <t>Amount of material mmm recovered by plant ppp during time ttt</t>
  </si>
  <si>
    <t>uptu_{pt}upt​</t>
  </si>
  <si>
    <t>Binary variable that equals 1 if plant ppp starts operating at time ttt</t>
  </si>
  <si>
    <t>Boolean</t>
  </si>
  <si>
    <t>wptw_{pt}wpt​</t>
  </si>
  <si>
    <t>Extra capacity (amount above the minimum) added to plant ppp during time ttt</t>
  </si>
  <si>
    <t>xptx_{pt}xpt​</t>
  </si>
  <si>
    <t>Binary variable that equals 1 if plant ppp is operational at time ttt</t>
  </si>
  <si>
    <t>ylpty_{lpt}ylpt​</t>
  </si>
  <si>
    <t>Amount of product sent from location lll to plant ppp during time ttt</t>
  </si>
  <si>
    <t>zmptdispz^{\text{disp}}_{mpt}zmptdisp​</t>
  </si>
  <si>
    <t>Amount of material mmm disposed of by plant ppp during time ttt</t>
  </si>
  <si>
    <t>zptstorez^{\text{store}}_{pt}zptstore​</t>
  </si>
  <si>
    <t>Amount of original material in storage at plant ppp by the end of time period ttt</t>
  </si>
  <si>
    <t>zmptprocz^{\text{proc}}_{mpt}zmptproc​</t>
  </si>
  <si>
    <t>Amount of original material processed by plant ppp during time period ttt</t>
  </si>
  <si>
    <t>Steps</t>
  </si>
  <si>
    <t>Shredder</t>
  </si>
  <si>
    <t>Hammermill</t>
  </si>
  <si>
    <t>Crushed/milled scrap holding</t>
  </si>
  <si>
    <t>Film removal solid/liquid separation</t>
  </si>
  <si>
    <t>Metal precipitation</t>
  </si>
  <si>
    <t>Input</t>
  </si>
  <si>
    <t>Thrid-party Cd/Te separation and refining</t>
  </si>
  <si>
    <t>Used module</t>
  </si>
  <si>
    <t>Output</t>
  </si>
  <si>
    <t>Recycling locations</t>
  </si>
  <si>
    <t>US</t>
  </si>
  <si>
    <t>Germany</t>
  </si>
  <si>
    <t>Malaysia</t>
  </si>
  <si>
    <t>Vietnam</t>
  </si>
  <si>
    <t>CdTe</t>
  </si>
  <si>
    <t>EVA/Glass separation</t>
  </si>
  <si>
    <t>Metal scrap</t>
  </si>
  <si>
    <t>Non metal scrap</t>
  </si>
  <si>
    <t>Laminate</t>
  </si>
  <si>
    <t>Glass cullet</t>
  </si>
  <si>
    <t>Scrap 1</t>
  </si>
  <si>
    <t>Scrap 2</t>
  </si>
  <si>
    <t>Scrap 3</t>
  </si>
  <si>
    <t>Is output the final recovery material?</t>
  </si>
  <si>
    <t xml:space="preserve">Unrefined semiconductor </t>
  </si>
  <si>
    <t>Recycling efficiency</t>
  </si>
  <si>
    <t>Ref</t>
  </si>
  <si>
    <t>https://www.firstsolar.com/-/media/First-Solar/Sustainability-Documents/FirstSolar_SustainabilityReport_Web_2018.ashx</t>
  </si>
  <si>
    <t>https://www.firstsolar.com/Global/Archive/Home/About-Us/Corporate-Responsibility</t>
  </si>
  <si>
    <t>Notes</t>
  </si>
  <si>
    <t>No mention about aluminium recycling on website</t>
  </si>
  <si>
    <t>https://www.firstsolar.com/-/media/First-Solar/Sustainability-Documents/PVTP_6pp_First-Solar-recycling-hi.ashx</t>
  </si>
  <si>
    <t>Author</t>
  </si>
  <si>
    <t>Plant capacity (tonne/day)</t>
  </si>
  <si>
    <t>Plant ID</t>
  </si>
  <si>
    <t>FS_3</t>
  </si>
  <si>
    <t>FS_2</t>
  </si>
  <si>
    <t>Year</t>
  </si>
  <si>
    <t>FS_1</t>
  </si>
  <si>
    <t>Location</t>
  </si>
  <si>
    <t>Price ($/tonne)</t>
  </si>
  <si>
    <t>PV Regulated?</t>
  </si>
  <si>
    <t>California</t>
  </si>
  <si>
    <t>Regulation type</t>
  </si>
  <si>
    <t>https://www.energy.gov/sites/default/files/2022-03/Solar-Energy-Technologies-Office-PV-End-of-Life-Action-Plan_0.pdf</t>
  </si>
  <si>
    <t>Hawaii</t>
  </si>
  <si>
    <t>Washington</t>
  </si>
  <si>
    <t>EOL stewardship plant</t>
  </si>
  <si>
    <t>DOI</t>
  </si>
  <si>
    <t>Title</t>
  </si>
  <si>
    <t>10.1016/j.solmat.2022.111592</t>
  </si>
  <si>
    <t>Url</t>
  </si>
  <si>
    <t>https://www.sciencedirect.com/science/article/pii/S0927024822000162</t>
  </si>
  <si>
    <t>Date</t>
  </si>
  <si>
    <t>Cui et al.</t>
  </si>
  <si>
    <t>Technoeconomic analysis of high-value, crystalline silicon photovoltaic module recycling processes</t>
  </si>
  <si>
    <t>Woodhouse et al.</t>
  </si>
  <si>
    <t>Highlight</t>
  </si>
  <si>
    <t>Technoeconomic analysis fo c-Si</t>
  </si>
  <si>
    <t>https://www.nrel.gov/docs/fy19osti/72134.pdf</t>
  </si>
  <si>
    <t>Crystalline Silicon Photovoltaic Module Manufacturing Costs and Sustainable Pricing</t>
  </si>
  <si>
    <t>10.2172/1495719</t>
  </si>
  <si>
    <t>Research and development priorities for silicon photovoltaic module recycling to support a circular economy</t>
  </si>
  <si>
    <t>Heath et al.</t>
  </si>
  <si>
    <t>10.1038/s41560-020-0645-2</t>
  </si>
  <si>
    <t>Bottoms up cost analysis of c-Si manufacturing</t>
  </si>
  <si>
    <t>Research and development recommendations of PV modules</t>
  </si>
  <si>
    <t>Literature review</t>
  </si>
  <si>
    <t>Full Recovery End of Life Photovoltaic (FRELP) process</t>
  </si>
  <si>
    <t>Arizona State University (ASU) process</t>
  </si>
  <si>
    <t>Cui made a TEA on this</t>
  </si>
  <si>
    <t>Life Cycle Assessment of an innovative recycling process for crystalline silicon photovoltaic panels</t>
  </si>
  <si>
    <t>Latunussa et al.</t>
  </si>
  <si>
    <t>10.1016/j.solmat.2016.03.020</t>
  </si>
  <si>
    <t>https://op.europa.eu/en/publication-detail/-/publication/3b3d0582-0c3a-11e6-ba9a-01aa75ed71a1/language-en</t>
  </si>
  <si>
    <t>https://www.sciencedirect.com/science/article/pii/S0927024816001227</t>
  </si>
  <si>
    <t>Analysis of material recovery from photovoltaic panels</t>
  </si>
  <si>
    <t>FRELP</t>
  </si>
  <si>
    <t>https://www.eupvsec-proceedings.com/proceedings?paper=39785</t>
  </si>
  <si>
    <t>FRELP 2 Project - Full Recovery End of Life Photovoltaic</t>
  </si>
  <si>
    <t>Ercole</t>
  </si>
  <si>
    <t>10.4229/EUPVSEC20162016-5DO.15.6</t>
  </si>
  <si>
    <t>10.2788/786252</t>
  </si>
  <si>
    <t>Huang et al.</t>
  </si>
  <si>
    <t>Strategy and technology to recycle wafer-silicon solar modules</t>
  </si>
  <si>
    <t>Cost estimates for decomissioning, end of life options for pv</t>
  </si>
  <si>
    <t>https://www.nrel.gov/docs/fy21osti/78678.pdf</t>
  </si>
  <si>
    <t>Curtis et al.</t>
  </si>
  <si>
    <t>Best practices at the end of the photovoltaic system performance period</t>
  </si>
  <si>
    <t>10.1016/j.solener.2017.01.001</t>
  </si>
  <si>
    <t>https://www.nature.com/articles/s41560-020-0645-2</t>
  </si>
  <si>
    <t>https://www.sciencedirect.com/science/article/pii/S0927024822003932</t>
  </si>
  <si>
    <t>Wang et al.</t>
  </si>
  <si>
    <t>A review of end-of-life crystalline silicon solar photovoltaic panel recycling technology</t>
  </si>
  <si>
    <t>10.1016/j.solmat.2022.111976</t>
  </si>
  <si>
    <t>Review on c-Si manufacturing</t>
  </si>
  <si>
    <t>From China, pretty thorough, I hate the grammar</t>
  </si>
  <si>
    <t>Heavy reference to the nature review paper, Modelled three different plants, calculates 1st year only, does not consider additional expenses, complete lifetime accounting could include long-run minimum sustainable price (MSP)</t>
  </si>
  <si>
    <t>Crystalline silicon</t>
  </si>
  <si>
    <t>Thin film</t>
  </si>
  <si>
    <t>Technology</t>
  </si>
  <si>
    <t>Crystalline silicon, fixed tilt</t>
  </si>
  <si>
    <t>Crystalline silicon, axis-based tracking</t>
  </si>
  <si>
    <t>Thin-film CdTe, all types</t>
  </si>
  <si>
    <t>Average new capacity  at new plants (MW)</t>
  </si>
  <si>
    <t>Average new capacity  at existing plants (MW)</t>
  </si>
  <si>
    <t>Total new capacity (MW)</t>
  </si>
  <si>
    <t>Thin-film CdTe, fixed tilt</t>
  </si>
  <si>
    <t>Thin-film CdTe, axis-based tracking</t>
  </si>
  <si>
    <t>Other</t>
  </si>
  <si>
    <t>Bifacial PERC Silicon module</t>
  </si>
  <si>
    <t>Aluminium</t>
  </si>
  <si>
    <t>Function</t>
  </si>
  <si>
    <t>Component</t>
  </si>
  <si>
    <t>Amount</t>
  </si>
  <si>
    <t xml:space="preserve">Frame  </t>
  </si>
  <si>
    <t>Aluminum</t>
  </si>
  <si>
    <t>kg</t>
  </si>
  <si>
    <t>Silicon Wafer</t>
  </si>
  <si>
    <t>Electricity</t>
  </si>
  <si>
    <t>MJ</t>
  </si>
  <si>
    <t xml:space="preserve">Front Glass </t>
  </si>
  <si>
    <t xml:space="preserve">Tec Glass </t>
  </si>
  <si>
    <t xml:space="preserve">Metallization Paste  </t>
  </si>
  <si>
    <t xml:space="preserve">Aluminum, Ingot  </t>
  </si>
  <si>
    <t xml:space="preserve">Back Glass  </t>
  </si>
  <si>
    <t>Glass</t>
  </si>
  <si>
    <t xml:space="preserve">Chemicals  </t>
  </si>
  <si>
    <t xml:space="preserve">Copper, Primary  </t>
  </si>
  <si>
    <t xml:space="preserve">Encapsulant </t>
  </si>
  <si>
    <t>Polyolefin</t>
  </si>
  <si>
    <t xml:space="preserve">HF  </t>
  </si>
  <si>
    <t xml:space="preserve">Chromium  </t>
  </si>
  <si>
    <t xml:space="preserve">Solder </t>
  </si>
  <si>
    <t xml:space="preserve">Cu and Solder </t>
  </si>
  <si>
    <t xml:space="preserve">HNO3  </t>
  </si>
  <si>
    <t>Titanium, Ingot 0.10 kg</t>
  </si>
  <si>
    <t xml:space="preserve">Junction Box </t>
  </si>
  <si>
    <t>Plastic</t>
  </si>
  <si>
    <t>HCl 1.44 kg</t>
  </si>
  <si>
    <t>Zinc, Primary 0.10 kg</t>
  </si>
  <si>
    <t xml:space="preserve">Absorber  </t>
  </si>
  <si>
    <t>H2SO4 1.44 kg</t>
  </si>
  <si>
    <t>Silicon, Metallurgical Grade 0.60 kg</t>
  </si>
  <si>
    <t xml:space="preserve">Edge Seal  </t>
  </si>
  <si>
    <t>PIB</t>
  </si>
  <si>
    <t>KOH 1.44 kg</t>
  </si>
  <si>
    <t>Electricity 2600 MJ</t>
  </si>
  <si>
    <t xml:space="preserve">Front Contact </t>
  </si>
  <si>
    <t xml:space="preserve">SnO2:F </t>
  </si>
  <si>
    <t>H2O2 1.44 kg</t>
  </si>
  <si>
    <t>Magnesium 0.90 kg</t>
  </si>
  <si>
    <t xml:space="preserve">Edge Seal </t>
  </si>
  <si>
    <t xml:space="preserve">3-2AE-APTMOS </t>
  </si>
  <si>
    <t>O2 1.44 kg</t>
  </si>
  <si>
    <t>Iron, Pellets 0.35 kg</t>
  </si>
  <si>
    <t xml:space="preserve">Frame Adhesive  </t>
  </si>
  <si>
    <t>Silicone</t>
  </si>
  <si>
    <t>NH3 1.44 kg</t>
  </si>
  <si>
    <t>Manganese, Concentrate 0.10 kg</t>
  </si>
  <si>
    <t xml:space="preserve">Connector  </t>
  </si>
  <si>
    <t>Connector</t>
  </si>
  <si>
    <t>POCl3 1.44 kg</t>
  </si>
  <si>
    <t xml:space="preserve">Cable  </t>
  </si>
  <si>
    <t>Copper</t>
  </si>
  <si>
    <t>N2 1.44 kg</t>
  </si>
  <si>
    <t xml:space="preserve">ECA  </t>
  </si>
  <si>
    <t>Acrylate</t>
  </si>
  <si>
    <t xml:space="preserve">Copper (ribbons)  </t>
  </si>
  <si>
    <t>Aluminium Alloy 6063 - T6 Extrusions (2019). aalco.uk.</t>
  </si>
  <si>
    <t xml:space="preserve">Back Contact  </t>
  </si>
  <si>
    <t>ZnTe</t>
  </si>
  <si>
    <t xml:space="preserve">EVA </t>
  </si>
  <si>
    <t>-</t>
  </si>
  <si>
    <t>https://www.aalco.co.uk/datasheets/Aluminium-Alloy-6063-T6-Extrusions_158.ashx.</t>
  </si>
  <si>
    <t>AlO2</t>
  </si>
  <si>
    <t xml:space="preserve">POE  </t>
  </si>
  <si>
    <t>Wikoff et al.</t>
  </si>
  <si>
    <t xml:space="preserve">Front Contact  </t>
  </si>
  <si>
    <t>SnO2</t>
  </si>
  <si>
    <t>PVF - -</t>
  </si>
  <si>
    <t xml:space="preserve">Antireflection layer  </t>
  </si>
  <si>
    <t>TiO2</t>
  </si>
  <si>
    <t>PET - -</t>
  </si>
  <si>
    <t>Al</t>
  </si>
  <si>
    <t xml:space="preserve">Solar Glass  </t>
  </si>
  <si>
    <t xml:space="preserve">Silica Sand </t>
  </si>
  <si>
    <t>CdSe</t>
  </si>
  <si>
    <t xml:space="preserve">Aluminum (frame)  </t>
  </si>
  <si>
    <t xml:space="preserve">Electricity  </t>
  </si>
  <si>
    <t>Mo</t>
  </si>
  <si>
    <t xml:space="preserve">Tap Water  </t>
  </si>
  <si>
    <t xml:space="preserve">Limestone  </t>
  </si>
  <si>
    <t>Talc</t>
  </si>
  <si>
    <t>kWh</t>
  </si>
  <si>
    <t xml:space="preserve">Dolomite  </t>
  </si>
  <si>
    <t>ZrO2</t>
  </si>
  <si>
    <t>Normalized to 1000W, Wafer thickness of 170 μm,</t>
  </si>
  <si>
    <t xml:space="preserve">Water, from Nature  </t>
  </si>
  <si>
    <t xml:space="preserve">Carbon Black </t>
  </si>
  <si>
    <t xml:space="preserve"> when describing an individual module, the area</t>
  </si>
  <si>
    <t xml:space="preserve">Sodium Carbonate  </t>
  </si>
  <si>
    <t>SiO2</t>
  </si>
  <si>
    <t xml:space="preserve"> is assumed to be 2.13.</t>
  </si>
  <si>
    <t xml:space="preserve">Natural Gas  </t>
  </si>
  <si>
    <t xml:space="preserve">CdCl2 Treatment  </t>
  </si>
  <si>
    <t>CdCl2</t>
  </si>
  <si>
    <t>Based on a 2.52m2 panel</t>
  </si>
  <si>
    <t>Jia, X., Zhou, C., Tang, Y., and Wang, W. (2021). Life cycle assessment on PERC solar modules.</t>
  </si>
  <si>
    <t>Solar Energy Materials and Solar Cells 227, 111112. 10.1016/j.solmat.2021.111112</t>
  </si>
  <si>
    <t>Wikoff et al. 2022</t>
  </si>
  <si>
    <t>https://greet.es.anl.gov/publication-glass-fiber-update</t>
  </si>
  <si>
    <t>Simplified CdTe</t>
  </si>
  <si>
    <t>KWh</t>
  </si>
  <si>
    <t xml:space="preserve">Aluminum  </t>
  </si>
  <si>
    <t xml:space="preserve">Flat Glass  </t>
  </si>
  <si>
    <t xml:space="preserve">Polyolefin  </t>
  </si>
  <si>
    <t xml:space="preserve">Solder  </t>
  </si>
  <si>
    <t xml:space="preserve">Plastic  </t>
  </si>
  <si>
    <t xml:space="preserve">CdTe  </t>
  </si>
  <si>
    <t>Source: eia generator costs</t>
  </si>
  <si>
    <t>Event</t>
  </si>
  <si>
    <t>Base plant</t>
  </si>
  <si>
    <t>Pilot manufacturing line and start commercial operations</t>
  </si>
  <si>
    <t>Net sales (million USD)</t>
  </si>
  <si>
    <t>Net income (million USD)</t>
  </si>
  <si>
    <t>FS installed capacity in US (MW)</t>
  </si>
  <si>
    <t>Efficiency (%)</t>
  </si>
  <si>
    <t>Power (W)</t>
  </si>
  <si>
    <t>Price (USD/W)</t>
  </si>
  <si>
    <t>Gross profit (USD)</t>
  </si>
  <si>
    <t>R&amp;D Investment (million USD)</t>
  </si>
  <si>
    <t>Cost of sales (million USD)</t>
  </si>
  <si>
    <r>
      <t>Module area (m</t>
    </r>
    <r>
      <rPr>
        <vertAlign val="superscript"/>
        <sz val="12"/>
        <color theme="1"/>
        <rFont val="Calibri (Body)"/>
      </rPr>
      <t>2</t>
    </r>
    <r>
      <rPr>
        <sz val="12"/>
        <color theme="1"/>
        <rFont val="Calibri (Body)"/>
      </rPr>
      <t>)</t>
    </r>
  </si>
  <si>
    <t>Degradation rate (%)</t>
  </si>
  <si>
    <t>CdTe thickness (um)</t>
  </si>
  <si>
    <t>Through 2002 to 2006 84 MW solar modules sold, all of our solar modules to six customers headquartered in Germany, they use 1% of the semiconductor material used to produce crystalline silicon</t>
  </si>
  <si>
    <t>Lifetime (years)</t>
  </si>
  <si>
    <t>New four line plant in Germany that increased their capacity to 308 MW</t>
  </si>
  <si>
    <t>FS installed capacity global (MW)</t>
  </si>
  <si>
    <t>Implementation of end of life collection and recycling program for solr modules.</t>
  </si>
  <si>
    <t>Frame</t>
  </si>
  <si>
    <t xml:space="preserve">Flat Glass and front glass  </t>
  </si>
  <si>
    <t>Encapsulant</t>
  </si>
  <si>
    <t>Cu and Tin?</t>
  </si>
  <si>
    <t>Shouldn't it be 0.24?</t>
  </si>
  <si>
    <t>Juntion box</t>
  </si>
  <si>
    <t>Cadmium</t>
  </si>
  <si>
    <t>Tellurium</t>
  </si>
  <si>
    <t>Sulfide</t>
  </si>
  <si>
    <t>CdS (sulfide)</t>
  </si>
  <si>
    <t>Atomic number</t>
  </si>
  <si>
    <t>Thickness [m]</t>
  </si>
  <si>
    <t>Width [m]</t>
  </si>
  <si>
    <t>Length [m]</t>
  </si>
  <si>
    <t>Volume</t>
  </si>
  <si>
    <t>Molar mass (g/mol)</t>
  </si>
  <si>
    <t>Ionization Energy (eV)</t>
  </si>
  <si>
    <t>Boiling point (°C)</t>
  </si>
  <si>
    <t>444.6 </t>
  </si>
  <si>
    <t>1050 </t>
  </si>
  <si>
    <t>CdTe [g]</t>
  </si>
  <si>
    <t>Cd [g]</t>
  </si>
  <si>
    <t>Te [g]</t>
  </si>
  <si>
    <t>Melting point (°C)</t>
  </si>
  <si>
    <t>Cristal structure</t>
  </si>
  <si>
    <t>HCP</t>
  </si>
  <si>
    <t>Trigonal</t>
  </si>
  <si>
    <t>Orthorhombic</t>
  </si>
  <si>
    <t>Zinc blende</t>
  </si>
  <si>
    <t>Hexagonal, cubic</t>
  </si>
  <si>
    <t>Density (g/cm3)</t>
  </si>
  <si>
    <t>Band gap (eV)</t>
  </si>
  <si>
    <t>Lattice constant (nm)</t>
  </si>
  <si>
    <t>a = 0.648</t>
  </si>
  <si>
    <t>Z: a=5.832</t>
  </si>
  <si>
    <t>Hex: a=4.160; c=6.756</t>
  </si>
  <si>
    <t>Component %</t>
  </si>
  <si>
    <t>CdS [g]</t>
  </si>
  <si>
    <t>S [g]</t>
  </si>
  <si>
    <t>CdTe g/m2</t>
  </si>
  <si>
    <t>Cadmium (%)</t>
  </si>
  <si>
    <t>Tellurium (%)</t>
  </si>
  <si>
    <t>Reference</t>
  </si>
  <si>
    <t>First Solar</t>
  </si>
  <si>
    <t xml:space="preserve">First Solar, NREL Solar module efficiency table </t>
  </si>
  <si>
    <t xml:space="preserve">Matsushita, NREL Solar module efficiency table </t>
  </si>
  <si>
    <t xml:space="preserve">ANTEC, NREL Solar module efficiency table </t>
  </si>
  <si>
    <t xml:space="preserve">Solar Cells, Inc., NREL Solar module efficiency table </t>
  </si>
  <si>
    <t xml:space="preserve">Golden Photon, NREL Solar module efficiency table </t>
  </si>
  <si>
    <t xml:space="preserve">BP Solarex, NREL Solar module efficiency table </t>
  </si>
  <si>
    <t xml:space="preserve">ASP Hangzhou, NREL Solar module efficiency table </t>
  </si>
  <si>
    <t xml:space="preserve">PrimeStar Solar, NREL Solar module efficiency table </t>
  </si>
  <si>
    <t>ANTEC thickness https://www.yumpu.com/en/document/read/1860074/cdte-solar-module-manufacturing-antec-solar</t>
  </si>
  <si>
    <t>Accrued collection and recycling liabilities/recycling obligations (million USD)</t>
  </si>
  <si>
    <t>Cummulative Capacity (MW)</t>
  </si>
  <si>
    <t>Operating Year</t>
  </si>
  <si>
    <t>CdTe New Installs Capacity (MW)</t>
  </si>
  <si>
    <t>Projection based on the Cadmium Telluride Accelerator Consortium</t>
  </si>
  <si>
    <t>https://www.nrel.gov/pv/cadmium-telluride-photovoltaics-accelerator-consortium-solicitation.html</t>
  </si>
  <si>
    <t>https://www.firstsolar.com/en/Products/Series-7</t>
  </si>
  <si>
    <t>FS manufacturing capacity (MW)</t>
  </si>
  <si>
    <t>Module thickness (m)</t>
  </si>
  <si>
    <t>Series 3</t>
  </si>
  <si>
    <t>Cadmium (g/m2)</t>
  </si>
  <si>
    <t>Tellurium (g/m2)</t>
  </si>
  <si>
    <t>CdTe thickness</t>
  </si>
  <si>
    <t>The data does not show how much CdTe there is in a commercial module</t>
  </si>
  <si>
    <t>here it is mentioned between 3-7 um</t>
  </si>
  <si>
    <t>Matt Reese told me is basically 3 um</t>
  </si>
  <si>
    <t>Mark Hartel told me they use 12 g of CdTe per module</t>
  </si>
  <si>
    <t>their modules are 0.72 m2</t>
  </si>
  <si>
    <t>That checks out with my calculations</t>
  </si>
  <si>
    <t xml:space="preserve">If there are </t>
  </si>
  <si>
    <t xml:space="preserve">g CdTe/m2 </t>
  </si>
  <si>
    <t>a 0.72 m2</t>
  </si>
  <si>
    <t>Nice</t>
  </si>
  <si>
    <t>I am going to assume a reduction of CdTe by 1 micron in 2025</t>
  </si>
  <si>
    <t>National minerals information center</t>
  </si>
  <si>
    <t>Soft, malleable, ductile, bluish-white metal</t>
  </si>
  <si>
    <t>Large percentage of global cadmium metal production takes place in Asia</t>
  </si>
  <si>
    <t>Zinc-to-cadmium ratios 200:1 to 400:1</t>
  </si>
  <si>
    <t>Primary industry consumers of cadmium:</t>
  </si>
  <si>
    <t>Rechargeable nickel cadmium batteries</t>
  </si>
  <si>
    <t>Pigments</t>
  </si>
  <si>
    <t>Coatings and platings</t>
  </si>
  <si>
    <t>Stabilizers for engineering plastics and similar synthetic products</t>
  </si>
  <si>
    <t>Photovoltaics</t>
  </si>
  <si>
    <t>Recycling practical only for nickel-cadmium batteries, some alloys and dust from electric arc furnaces operated in the steel industry. Not know how much is recycled.</t>
  </si>
  <si>
    <t>Import sources</t>
  </si>
  <si>
    <t>1991-1994</t>
  </si>
  <si>
    <t>Canada</t>
  </si>
  <si>
    <t>Mexico</t>
  </si>
  <si>
    <t>Belgium</t>
  </si>
  <si>
    <t>Production, refinery USA (tonne)</t>
  </si>
  <si>
    <t>Imports for consumption, metal (tonne)</t>
  </si>
  <si>
    <t>Exports of metal, alloys, and scrap (tonne)</t>
  </si>
  <si>
    <t>Consumption, apparent (tonne)</t>
  </si>
  <si>
    <t>Average price per pound</t>
  </si>
  <si>
    <t>Net import reliance</t>
  </si>
  <si>
    <t>Recycling efforts start</t>
  </si>
  <si>
    <t>Estimated world resources of cadmium were about 6 million tons based on zinc resources containing about 0.3% Cd.</t>
  </si>
  <si>
    <t>Total global reserves of zinc are estimated to be some 250 million metric tons therefore there must be 73 million metric tons of cadmium.</t>
  </si>
  <si>
    <t>20 States have collection networks for recycling Ni-Cd batteries</t>
  </si>
  <si>
    <t>plant in western Pennsylvania, where the cadmium is recovered in an innovative, $5 million facility - the first of its kind, 99.5% purity</t>
  </si>
  <si>
    <t>source</t>
  </si>
  <si>
    <t>I'll assume 5% recycling</t>
  </si>
  <si>
    <t>Cadmium material flows</t>
  </si>
  <si>
    <t>https://pubs.usgs.gov/usbmic/ic-9380/cadmium.pdf</t>
  </si>
  <si>
    <t>Feed material for Cd production connsists of fume and dust, collected as flue dust in baghouses during the pyrometallurgical  processing of zinc ad of residues form electrolytic zinc production</t>
  </si>
  <si>
    <t>Smleter residues from which Cd is revcovered may be stockpiled in time of low demand or low prices to be recovered later</t>
  </si>
  <si>
    <t>Other sources: dust generated by electric arc furnaces (EAF). EAF produces 550k tonnes per year of residue and is collecgted in baghouses. Of that, 275 tonnes are cadmium</t>
  </si>
  <si>
    <t>Mining efficiency</t>
  </si>
  <si>
    <t>About 95% of Cd content of zinc lead and copper concentrates is recovered in the smelting and refining process stages</t>
  </si>
  <si>
    <t>Commercial grade Cd have 99.95% to 99.96% minimum purity</t>
  </si>
  <si>
    <t>Semiconductor grade Cd purity is 99.9999%</t>
  </si>
  <si>
    <t>Mining efficiency between 90 to 98 in the mining and beneficiating processes, then it is stated that 95% is recovered in the smelting and refining proces stages</t>
  </si>
  <si>
    <t>Manufacturing efficiency</t>
  </si>
  <si>
    <t>From the zinc concentrate 90 to 98 % of the cd present is recovered in mining and beneficiating</t>
  </si>
  <si>
    <t>Cd shapes: slabs, ingots and sticks for alloys, pigments and cadmium oxide production. Balls and sheets are used for plating</t>
  </si>
  <si>
    <t>About 3kg of Cd is produced for every ton of zinc.</t>
  </si>
  <si>
    <t>Conventional sources</t>
  </si>
  <si>
    <t>EoL Cd</t>
  </si>
  <si>
    <t>Landfill</t>
  </si>
  <si>
    <t>Recycle</t>
  </si>
  <si>
    <t>Material virgin efficiency (mining + purifying)</t>
  </si>
  <si>
    <t>Tellurium material flows</t>
  </si>
  <si>
    <t>3 parts per billion in earths crust</t>
  </si>
  <si>
    <t>gold-Te epithermal vein deposits located adjacent to one another at Dasguigoy and Majiagou (Sichuan Province) southwestern China</t>
  </si>
  <si>
    <t>epithermal-like mineralization at the Kankberg deposit in Skelleftea VMS distric of Vasterbotten County in Sweden</t>
  </si>
  <si>
    <t>https://pubs.usgs.gov/pp/1802/r/pp1802r.pdf</t>
  </si>
  <si>
    <t>Te is found in porphyry copper and sea-floor volcanogenic massive sulfide (VMS) deposits, silfide minerals may contain hundreds of parts per million, orebodies liley have 0.1 to 1 part per million</t>
  </si>
  <si>
    <t>Te recovered as anode slimes from the electrorefining of copper and other polymetallic sulfide ores, typically mined from poyphyry VMS, magmatic nickel, copper platinum group metal (PGM) and or skarn deposits</t>
  </si>
  <si>
    <t>In US all Te production is from a single refinery in Texas, but it is impossible to identify the specificdeposits that have contributed the orte from which the tellurium is produced, although it is likely to be from porphyry copper deposits scattered across southwestern and western parts of the country</t>
  </si>
  <si>
    <t>Refined anode slimes are typically dominated by copper and silver, most global refineries report contents of 1 to 4 % te in the anode slimes, some in asia and russia report as much as 8 to 9%</t>
  </si>
  <si>
    <t>Minot part is recovered during the smelting of sulfide-rich ores and drom the skimmings (when a destillation process is used) at lead refineries</t>
  </si>
  <si>
    <t>Te is used mostly in photovoltaics and as an additive to copper, lead and steel alloys to improce machine efficiency, perticularly in thermoelectric cooling products</t>
  </si>
  <si>
    <t>PV and thermoelectric uses account 2/3 of the global Te usage</t>
  </si>
  <si>
    <t>5% is used to improve heat resistance during vulvanization of rubber</t>
  </si>
  <si>
    <t>Te also used as alloy with Selenium in photoreceptors in copying machines</t>
  </si>
  <si>
    <t>Usage</t>
  </si>
  <si>
    <t>Mine</t>
  </si>
  <si>
    <t>and</t>
  </si>
  <si>
    <t>locations</t>
  </si>
  <si>
    <t>coloring agent in ceramics and glass</t>
  </si>
  <si>
    <t>medical instruments</t>
  </si>
  <si>
    <t>Tellurium does not have a unique CO2 footprint beyond energy requirements of mining in general</t>
  </si>
  <si>
    <t>https://pubs.usgs.gov/of/2002/of02-238/of02-238.pdf</t>
  </si>
  <si>
    <t>85% of cadmium of the 20% of cadmium seen in batteries is recycled</t>
  </si>
  <si>
    <t>The amount of cadmium in scrap that was unrecovered in 2000 was estimated to be 2,030 metric tons, and an estimated 285 tons was recovered. Recycling efficiency was estimated to be about 15 percent.</t>
  </si>
  <si>
    <t>From here, 4% is lost in manufacturing, and of that, 1% is lost in battery manufacturing. Could we assume the same numbers?</t>
  </si>
  <si>
    <t>Mng efficiency: 96%</t>
  </si>
  <si>
    <t>mat_MFG_eff</t>
  </si>
  <si>
    <t>mat_MFG_scrap_Recycled</t>
  </si>
  <si>
    <t>mat_MFG_scrap_Recycling_eff</t>
  </si>
  <si>
    <t>mat_MFG_scrap_Recycled_into_HQ</t>
  </si>
  <si>
    <t>mat_MFG_scrap_Recycled_into_HQ_Reused4MFG</t>
  </si>
  <si>
    <t>mat_PG3_ReMFG_target</t>
  </si>
  <si>
    <t>mat_ReMFG_yield</t>
  </si>
  <si>
    <t>mat_PG4_Recycling_target</t>
  </si>
  <si>
    <t>mat_Recycling_yield</t>
  </si>
  <si>
    <t>mat_EOL_Recycled_into_HQ</t>
  </si>
  <si>
    <t>mat_EOL_RecycledHQ_Reused4MFG</t>
  </si>
  <si>
    <t>Cadmium material flows, 95% of refining efficiency, plus 96% of manufacturing efficiency for batteries, can we assume the same?</t>
  </si>
  <si>
    <t>Australia</t>
  </si>
  <si>
    <t>Other, including electro-optics and nonferrous alloys</t>
  </si>
  <si>
    <t>E</t>
  </si>
  <si>
    <t>Peru</t>
  </si>
  <si>
    <t>0.08*</t>
  </si>
  <si>
    <t>*Solar starts showing in the records</t>
  </si>
  <si>
    <t>**</t>
  </si>
  <si>
    <t>**Part of other, % not known</t>
  </si>
  <si>
    <t>China</t>
  </si>
  <si>
    <t>Japan</t>
  </si>
  <si>
    <t>Refinery production</t>
  </si>
  <si>
    <t>tonnes</t>
  </si>
  <si>
    <t>%</t>
  </si>
  <si>
    <t>Kazakhstan</t>
  </si>
  <si>
    <t>Russia</t>
  </si>
  <si>
    <t>Korea, Republic of</t>
  </si>
  <si>
    <t>India</t>
  </si>
  <si>
    <t>Netherlands</t>
  </si>
  <si>
    <t>W</t>
  </si>
  <si>
    <t>***</t>
  </si>
  <si>
    <t>Poland</t>
  </si>
  <si>
    <t>0% quantities it is assumed to be inside the "Other" category</t>
  </si>
  <si>
    <t>Quick facts</t>
  </si>
  <si>
    <t>*$/kg</t>
  </si>
  <si>
    <t>***Not disclosed but majority is for NiCd batteries</t>
  </si>
  <si>
    <t>USA Salient Statistics</t>
  </si>
  <si>
    <t>Recovered as a byproduct from zinc concentrates, Ni-Cd batteries, alloys and electric arc furnace.</t>
  </si>
  <si>
    <t>&lt;25%</t>
  </si>
  <si>
    <t>&lt;25%**</t>
  </si>
  <si>
    <t>** From here it mesures net import reliance as % of apparent consumption</t>
  </si>
  <si>
    <t>Bulgaria</t>
  </si>
  <si>
    <t>&gt;80%</t>
  </si>
  <si>
    <t>W Withheld to avoid disclosing company proprietary data.</t>
  </si>
  <si>
    <t>E Net exporter</t>
  </si>
  <si>
    <t>W Witheld</t>
  </si>
  <si>
    <t>Cadmium substitutes</t>
  </si>
  <si>
    <t>Sphalerite is the most economically significat zinc ore mineral</t>
  </si>
  <si>
    <t>Zinc-bearing coals of the Central United States and Carboniferous age coals of other countries also contain large subeconomic resources of cadmium.</t>
  </si>
  <si>
    <t>NiCd batteries</t>
  </si>
  <si>
    <t>Li-ion batteries (except where surface characteristics of coting are critical, e.g. fasteners for aircraft)</t>
  </si>
  <si>
    <t>Cd plating</t>
  </si>
  <si>
    <t xml:space="preserve">zinc cating, zinc nickel or vapor depositied Al </t>
  </si>
  <si>
    <t>Cd pigmentsd</t>
  </si>
  <si>
    <t>Cerium sulfide (mostly in plastics)</t>
  </si>
  <si>
    <t>Barium-cadmium stabilizers in flexible PVC applications.</t>
  </si>
  <si>
    <t>Barium-zinc or calcium-zinc stabilizers</t>
  </si>
  <si>
    <t>&lt;50%</t>
  </si>
  <si>
    <t>CdTe recycling is referred for the first time in USGS on the 2020 year report</t>
  </si>
  <si>
    <t>All data in metric tones of cadmium unless otherwise noted</t>
  </si>
  <si>
    <t>United States</t>
  </si>
  <si>
    <t>Column1</t>
  </si>
  <si>
    <t>Column2</t>
  </si>
  <si>
    <t>Column3</t>
  </si>
  <si>
    <t>Column4</t>
  </si>
  <si>
    <t>1995</t>
  </si>
  <si>
    <t>1996</t>
  </si>
  <si>
    <t>1997</t>
  </si>
  <si>
    <t>1998</t>
  </si>
  <si>
    <t>1999</t>
  </si>
  <si>
    <t>2000</t>
  </si>
  <si>
    <t>2001</t>
  </si>
  <si>
    <t>2002</t>
  </si>
  <si>
    <t>2003</t>
  </si>
  <si>
    <t>2004</t>
  </si>
  <si>
    <t>2005</t>
  </si>
  <si>
    <t>2006</t>
  </si>
  <si>
    <t>2007</t>
  </si>
  <si>
    <t>2008</t>
  </si>
  <si>
    <t>2009</t>
  </si>
  <si>
    <t>2010</t>
  </si>
  <si>
    <t>2011</t>
  </si>
  <si>
    <t>2012</t>
  </si>
  <si>
    <t>2013</t>
  </si>
  <si>
    <t>2014</t>
  </si>
  <si>
    <t>2015</t>
  </si>
  <si>
    <t>2016</t>
  </si>
  <si>
    <t>2017</t>
  </si>
  <si>
    <t>2018</t>
  </si>
  <si>
    <t>2019</t>
  </si>
  <si>
    <t>2020</t>
  </si>
  <si>
    <t>2021</t>
  </si>
  <si>
    <t>2022</t>
  </si>
  <si>
    <t>1991</t>
  </si>
  <si>
    <t>1992</t>
  </si>
  <si>
    <t>1993</t>
  </si>
  <si>
    <t>1994</t>
  </si>
  <si>
    <t>Country</t>
  </si>
  <si>
    <t>Column5</t>
  </si>
  <si>
    <t>Column6</t>
  </si>
  <si>
    <t>Column7</t>
  </si>
  <si>
    <t>Column8</t>
  </si>
  <si>
    <t>Column9</t>
  </si>
  <si>
    <t>Column10</t>
  </si>
  <si>
    <t>Column11</t>
  </si>
  <si>
    <t>Column12</t>
  </si>
  <si>
    <t>Column13</t>
  </si>
  <si>
    <t>Column14</t>
  </si>
  <si>
    <t>Column15</t>
  </si>
  <si>
    <t>Column16</t>
  </si>
  <si>
    <t>Column17</t>
  </si>
  <si>
    <t>Column18</t>
  </si>
  <si>
    <t>Column19</t>
  </si>
  <si>
    <t>Column20</t>
  </si>
  <si>
    <t>Column21</t>
  </si>
  <si>
    <t>Column22</t>
  </si>
  <si>
    <t>Column23</t>
  </si>
  <si>
    <t>Column24</t>
  </si>
  <si>
    <t>Column25</t>
  </si>
  <si>
    <t>Column26</t>
  </si>
  <si>
    <t>Column27</t>
  </si>
  <si>
    <t>Column28</t>
  </si>
  <si>
    <t>Column29</t>
  </si>
  <si>
    <t>Column30</t>
  </si>
  <si>
    <t>0 values mean that they are included in "other"</t>
  </si>
  <si>
    <t>In 202 new technology for Cd based optical lattice clocks</t>
  </si>
  <si>
    <t>Amorphous silicon and copper-indium-gallium-selenide photovoltaic and perovskites are potential substitutes once mature enough</t>
  </si>
  <si>
    <r>
      <t>2021</t>
    </r>
    <r>
      <rPr>
        <vertAlign val="superscript"/>
        <sz val="12"/>
        <color theme="1"/>
        <rFont val="Calibri (Body)"/>
      </rPr>
      <t>e</t>
    </r>
  </si>
  <si>
    <r>
      <rPr>
        <vertAlign val="superscript"/>
        <sz val="12"/>
        <color theme="1"/>
        <rFont val="Calibri (Body)"/>
      </rPr>
      <t>e</t>
    </r>
    <r>
      <rPr>
        <sz val="12"/>
        <color theme="1"/>
        <rFont val="Calibri"/>
        <family val="2"/>
        <scheme val="minor"/>
      </rPr>
      <t xml:space="preserve"> estimates</t>
    </r>
  </si>
  <si>
    <t>In 2022 report it is mentioned the CdTe Photovoltaics (PV) Accelerator program intended to enhance efficiencies above 26% and decrease price below 0.15 before 2030</t>
  </si>
  <si>
    <t>Pound to kg</t>
  </si>
  <si>
    <t>Schematic from 2000</t>
  </si>
  <si>
    <t>secondary CdProduction (EAF dust and batteries) have 0.1% processing losses, can we assume then that we have a recycling efficicency of 99%?</t>
  </si>
  <si>
    <t>Fabrication assume 1 tonne of lossesper type of fabrication with a total of 2015 tonnes</t>
  </si>
  <si>
    <t>Can we assume</t>
  </si>
  <si>
    <t>manufactuering efficiency then?</t>
  </si>
  <si>
    <t>5 tonnes is scrap</t>
  </si>
  <si>
    <t>0.1 tonnes of that is unrecovered new scrap</t>
  </si>
  <si>
    <t>Calculated recycling rate for cadmium in US was 13% in 1998</t>
  </si>
  <si>
    <t>Estimated 15% recycling effcicency</t>
  </si>
  <si>
    <t>NiCd batteries are recycled using potassium hydroxide electrolyte by INMETCO</t>
  </si>
  <si>
    <t>5N is the typical purity for cdete</t>
  </si>
  <si>
    <t>INMETCO’s recycling process is about 50-percent more energy efficient and more environmentally beneficial than metal production from virgin ore (Money and Griffin, 2000, p. B76). </t>
  </si>
  <si>
    <t>Could not find that reference</t>
  </si>
  <si>
    <t>Refining efficiency</t>
  </si>
  <si>
    <t>1 tonne is lsot</t>
  </si>
  <si>
    <t>Vakues from the USGS report assuming same values for batteries</t>
  </si>
  <si>
    <t>Based on  the Schematic from 2000 material flows, of 5t of scrap 0.1t were lost (98% efficiency)</t>
  </si>
  <si>
    <t>NOTE: from my talk to Toledo Solar, he told me they lose 3g every 15g</t>
  </si>
  <si>
    <t>year</t>
  </si>
  <si>
    <t>MW</t>
  </si>
  <si>
    <t>Rearranged</t>
  </si>
  <si>
    <t>es are the primary source of commercial Te, with more than 90 % of the Te</t>
  </si>
  <si>
    <t>coming from anode slimes collected from electrolytic copper refining (USGS, 2013)</t>
  </si>
  <si>
    <t>r</t>
  </si>
  <si>
    <t>90% of glass recovery</t>
  </si>
  <si>
    <t>Te production was at least 503 t in year 2018, (Anderson, 2021) with China accounting for 61% of this total, followed by Japan (11%), Sweden (9%), Russia (8%), and Canada (8%)</t>
  </si>
  <si>
    <t>Tellurium production</t>
  </si>
  <si>
    <t>Nassar et al.</t>
  </si>
  <si>
    <t>Sweden</t>
  </si>
  <si>
    <t>Cadmium production</t>
  </si>
  <si>
    <t xml:space="preserve">Source </t>
  </si>
  <si>
    <t>USGS</t>
  </si>
  <si>
    <t>Aluminium production</t>
  </si>
  <si>
    <t>https://pubs.usgs.gov/fs/2014/3077/pdf/fs2014-3077.pdf</t>
  </si>
  <si>
    <t>Presently, 30 to 40 % of Te is recovered from copper slimes</t>
  </si>
  <si>
    <t>2.2 thickness</t>
  </si>
  <si>
    <t>3 um</t>
  </si>
  <si>
    <t>2 um</t>
  </si>
  <si>
    <t>2.2 um</t>
  </si>
  <si>
    <t>The only frame in CdTe is Series 6 released in 2018</t>
  </si>
  <si>
    <t>https://s2.q4cdn.com/646275317/files/doc_event/2019/First-Solar-Inc.-2018-Annual-Report-Web-Posting.pdf</t>
  </si>
  <si>
    <t>Exited year with run rate of 2 GW</t>
  </si>
  <si>
    <t>Alu content</t>
  </si>
  <si>
    <t>installed cdte capacity</t>
  </si>
  <si>
    <t>The exited 2019 with 2GW of Series 6, so around 12% have Alu</t>
  </si>
  <si>
    <t>Let's assume a 50% of each in 2020 and 100 Series 6 in 2021, 2022 and 2023</t>
  </si>
  <si>
    <t>commence operations in the first half of 2023 for series 7</t>
  </si>
  <si>
    <t>% capacity with alu</t>
  </si>
  <si>
    <t>I assume similar rate of subtitution of series 6 for series 7</t>
  </si>
  <si>
    <t>Alu content based on Hope's recipe aluminium quantity</t>
  </si>
  <si>
    <t>For 1 m2 we have</t>
  </si>
  <si>
    <t>g alu</t>
  </si>
  <si>
    <t>in 2.52 m2 module</t>
  </si>
  <si>
    <t>x</t>
  </si>
  <si>
    <t>in 1 m2 module</t>
  </si>
  <si>
    <t>Total modules</t>
  </si>
  <si>
    <t>Started production of Series 6, 700 GW was Series 6, so I assume that 10 is for US, 7% of the modules were aluminium frames</t>
  </si>
  <si>
    <t>Let's keep a steady 5% of modules as series 6 for five years</t>
  </si>
  <si>
    <t>Telluride</t>
  </si>
  <si>
    <t>Silver</t>
  </si>
  <si>
    <t>Silicon</t>
  </si>
  <si>
    <t>Supply stage</t>
  </si>
  <si>
    <t>Mining</t>
  </si>
  <si>
    <t>Refining</t>
  </si>
  <si>
    <t>Solar %</t>
  </si>
  <si>
    <t>https://pubs.usgs.gov/periodicals/mcs2022/mcs2022-tellurium.pdf</t>
  </si>
  <si>
    <t>Stockpile?</t>
  </si>
  <si>
    <t>No</t>
  </si>
  <si>
    <t>Price per kg ($)</t>
  </si>
  <si>
    <t>Distribution</t>
  </si>
  <si>
    <t>NaN</t>
  </si>
  <si>
    <t>2050 need</t>
  </si>
  <si>
    <t>Production rate</t>
  </si>
  <si>
    <t>(import reliance)</t>
  </si>
  <si>
    <t>UAE</t>
  </si>
  <si>
    <t>2020 production (tonneS)</t>
  </si>
  <si>
    <t>Sources</t>
  </si>
  <si>
    <t>https://pubs.usgs.gov/periodicals/mcs2022/mcs2022-bauxite-alumina.pdf</t>
  </si>
  <si>
    <t>https://pubs.usgs.gov/periodicals/mcs2022/mcs2022-aluminum.pdf</t>
  </si>
  <si>
    <t xml:space="preserve"> </t>
  </si>
  <si>
    <t>alumina produced from bauxite  went to primary aluminum smelters</t>
  </si>
  <si>
    <t>bauxite/alumina</t>
  </si>
  <si>
    <t>mining production</t>
  </si>
  <si>
    <t xml:space="preserve">&gt;75 / 58 </t>
  </si>
  <si>
    <t>390000/140000</t>
  </si>
  <si>
    <t>Aus</t>
  </si>
  <si>
    <t>Chi</t>
  </si>
  <si>
    <t>Gui</t>
  </si>
  <si>
    <t>baux</t>
  </si>
  <si>
    <t>alu</t>
  </si>
  <si>
    <t>20% / 15%</t>
  </si>
  <si>
    <t>22% / 52%</t>
  </si>
  <si>
    <t>Brazil</t>
  </si>
  <si>
    <t>Guinea/Brazil</t>
  </si>
  <si>
    <t>22% / 8%</t>
  </si>
  <si>
    <t>$/pound</t>
  </si>
  <si>
    <r>
      <t xml:space="preserve">1 MW of photovoltaic capacity necessitates </t>
    </r>
    <r>
      <rPr>
        <i/>
        <sz val="12"/>
        <color theme="1"/>
        <rFont val="Calibri"/>
        <family val="2"/>
        <scheme val="minor"/>
      </rPr>
      <t>21 tonnes</t>
    </r>
    <r>
      <rPr>
        <sz val="12"/>
        <color theme="1"/>
        <rFont val="Calibri"/>
        <family val="2"/>
        <scheme val="minor"/>
      </rPr>
      <t xml:space="preserve"> of aluminium</t>
    </r>
  </si>
  <si>
    <t>https://european-aluminium.eu/wp-content/uploads/2022/10/european-aluminium_aluminium-in-solar_position-paper.pdf</t>
  </si>
  <si>
    <t>23565 MW installed in 2021</t>
  </si>
  <si>
    <t>sooo in the global total production of aluminium was 68000 tonnes</t>
  </si>
  <si>
    <t>and 1 MW os solar needs 21 tonnes of al</t>
  </si>
  <si>
    <t>tonnes of 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</si>
</sst>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0.00000000"/>
    <numFmt numFmtId="166" formatCode="0.0"/>
    <numFmt numFmtId="175" formatCode="0.0%"/>
  </numFmts>
  <fonts count="25">
    <font>
      <sz val="12"/>
      <color theme="1"/>
      <name val="Calibri"/>
      <family val="2"/>
      <scheme val="minor"/>
    </font>
    <font>
      <b/>
      <sz val="12"/>
      <color theme="1"/>
      <name val="Calibri"/>
      <family val="2"/>
      <scheme val="minor"/>
    </font>
    <font>
      <u/>
      <sz val="12"/>
      <color theme="10"/>
      <name val="Calibri"/>
      <family val="2"/>
      <scheme val="minor"/>
    </font>
    <font>
      <i/>
      <sz val="12"/>
      <color theme="1"/>
      <name val="Calibri"/>
      <family val="2"/>
      <scheme val="minor"/>
    </font>
    <font>
      <sz val="8"/>
      <name val="Calibri"/>
      <family val="2"/>
      <scheme val="minor"/>
    </font>
    <font>
      <sz val="12"/>
      <color theme="1"/>
      <name val="Calibri Light"/>
      <family val="2"/>
      <scheme val="major"/>
    </font>
    <font>
      <sz val="9"/>
      <color theme="1"/>
      <name val="Arial"/>
      <family val="2"/>
    </font>
    <font>
      <sz val="9"/>
      <color theme="1"/>
      <name val="Calibri"/>
      <family val="2"/>
      <scheme val="minor"/>
    </font>
    <font>
      <sz val="10"/>
      <color theme="1"/>
      <name val="Calibri Light"/>
      <family val="2"/>
      <scheme val="major"/>
    </font>
    <font>
      <b/>
      <i/>
      <sz val="10"/>
      <color rgb="FF000000"/>
      <name val="Calibri"/>
      <family val="2"/>
      <scheme val="minor"/>
    </font>
    <font>
      <vertAlign val="superscript"/>
      <sz val="12"/>
      <color theme="1"/>
      <name val="Calibri (Body)"/>
    </font>
    <font>
      <sz val="12"/>
      <color theme="1"/>
      <name val="Calibri (Body)"/>
    </font>
    <font>
      <sz val="12"/>
      <color rgb="FF000000"/>
      <name val="Calibri"/>
      <family val="2"/>
      <scheme val="minor"/>
    </font>
    <font>
      <sz val="9"/>
      <color rgb="FF005353"/>
      <name val="Arial"/>
      <family val="2"/>
    </font>
    <font>
      <b/>
      <sz val="10"/>
      <color rgb="FF000000"/>
      <name val="Arial"/>
      <family val="2"/>
    </font>
    <font>
      <sz val="10"/>
      <color rgb="FF000000"/>
      <name val="Arial"/>
      <family val="2"/>
    </font>
    <font>
      <sz val="11"/>
      <color theme="1"/>
      <name val="Calibri"/>
      <family val="2"/>
      <scheme val="minor"/>
    </font>
    <font>
      <sz val="12"/>
      <color theme="1"/>
      <name val="Calibri"/>
      <family val="2"/>
      <scheme val="minor"/>
    </font>
    <font>
      <sz val="12"/>
      <color rgb="FFB5CEA8"/>
      <name val="Menlo"/>
      <family val="2"/>
    </font>
    <font>
      <b/>
      <u/>
      <sz val="12"/>
      <color theme="1"/>
      <name val="Calibri"/>
      <family val="2"/>
      <scheme val="minor"/>
    </font>
    <font>
      <u/>
      <sz val="12"/>
      <color theme="1"/>
      <name val="Calibri"/>
      <family val="2"/>
      <scheme val="minor"/>
    </font>
    <font>
      <i/>
      <sz val="11"/>
      <color theme="1"/>
      <name val="Calibri"/>
      <family val="2"/>
      <scheme val="minor"/>
    </font>
    <font>
      <sz val="10"/>
      <color rgb="FF000000"/>
      <name val="Calibri-Light"/>
      <family val="2"/>
    </font>
    <font>
      <i/>
      <u/>
      <sz val="12"/>
      <color theme="1"/>
      <name val="Calibri"/>
      <family val="2"/>
      <scheme val="minor"/>
    </font>
    <font>
      <sz val="10"/>
      <color theme="1"/>
      <name val="Arial Unicode MS"/>
      <family val="2"/>
    </font>
  </fonts>
  <fills count="14">
    <fill>
      <patternFill patternType="none"/>
    </fill>
    <fill>
      <patternFill patternType="gray125"/>
    </fill>
    <fill>
      <patternFill patternType="solid">
        <fgColor rgb="FFFFE699"/>
        <bgColor rgb="FF000000"/>
      </patternFill>
    </fill>
    <fill>
      <patternFill patternType="solid">
        <fgColor rgb="FFFFF2CC"/>
        <bgColor rgb="FF000000"/>
      </patternFill>
    </fill>
    <fill>
      <patternFill patternType="solid">
        <fgColor rgb="FFF8CBAD"/>
        <bgColor rgb="FF000000"/>
      </patternFill>
    </fill>
    <fill>
      <patternFill patternType="solid">
        <fgColor rgb="FFFCE4D6"/>
        <bgColor rgb="FF000000"/>
      </patternFill>
    </fill>
    <fill>
      <patternFill patternType="solid">
        <fgColor rgb="FFBDD7EE"/>
        <bgColor rgb="FF000000"/>
      </patternFill>
    </fill>
    <fill>
      <patternFill patternType="solid">
        <fgColor rgb="FFDDEBF7"/>
        <bgColor rgb="FF000000"/>
      </patternFill>
    </fill>
    <fill>
      <patternFill patternType="solid">
        <fgColor rgb="FFC6E0B4"/>
        <bgColor rgb="FF000000"/>
      </patternFill>
    </fill>
    <fill>
      <patternFill patternType="solid">
        <fgColor rgb="FFE2EFDA"/>
        <bgColor rgb="FF000000"/>
      </patternFill>
    </fill>
    <fill>
      <patternFill patternType="solid">
        <fgColor rgb="FFCFEAF7"/>
        <bgColor rgb="FF000000"/>
      </patternFill>
    </fill>
    <fill>
      <patternFill patternType="solid">
        <fgColor rgb="FFD9D9D9"/>
        <bgColor rgb="FFD9D9D9"/>
      </patternFill>
    </fill>
    <fill>
      <patternFill patternType="solid">
        <fgColor rgb="FFFFC000"/>
        <bgColor indexed="64"/>
      </patternFill>
    </fill>
    <fill>
      <patternFill patternType="solid">
        <fgColor theme="2" tint="-9.9978637043366805E-2"/>
        <bgColor indexed="64"/>
      </patternFill>
    </fill>
  </fills>
  <borders count="19">
    <border>
      <left/>
      <right/>
      <top/>
      <bottom/>
      <diagonal/>
    </border>
    <border>
      <left/>
      <right/>
      <top/>
      <bottom style="thin">
        <color indexed="64"/>
      </bottom>
      <diagonal/>
    </border>
    <border>
      <left/>
      <right/>
      <top style="thin">
        <color indexed="64"/>
      </top>
      <bottom style="thin">
        <color indexed="64"/>
      </bottom>
      <diagonal/>
    </border>
    <border>
      <left/>
      <right/>
      <top/>
      <bottom style="dashed">
        <color theme="0" tint="-0.24994659260841701"/>
      </bottom>
      <diagonal/>
    </border>
    <border>
      <left/>
      <right/>
      <top/>
      <bottom style="dotted">
        <color indexed="64"/>
      </bottom>
      <diagonal/>
    </border>
    <border>
      <left/>
      <right/>
      <top style="thin">
        <color rgb="FFDDEBF7"/>
      </top>
      <bottom style="thin">
        <color rgb="FFDDEBF7"/>
      </bottom>
      <diagonal/>
    </border>
    <border>
      <left/>
      <right/>
      <top/>
      <bottom style="thin">
        <color rgb="FF000000"/>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top/>
      <bottom/>
      <diagonal/>
    </border>
    <border>
      <left style="double">
        <color indexed="64"/>
      </left>
      <right/>
      <top/>
      <bottom/>
      <diagonal/>
    </border>
    <border>
      <left/>
      <right/>
      <top style="double">
        <color indexed="64"/>
      </top>
      <bottom/>
      <diagonal/>
    </border>
  </borders>
  <cellStyleXfs count="4">
    <xf numFmtId="0" fontId="0" fillId="0" borderId="0"/>
    <xf numFmtId="0" fontId="2" fillId="0" borderId="0" applyNumberFormat="0" applyFill="0" applyBorder="0" applyAlignment="0" applyProtection="0"/>
    <xf numFmtId="0" fontId="7" fillId="0" borderId="3" applyNumberFormat="0" applyFont="0" applyProtection="0">
      <alignment wrapText="1"/>
    </xf>
    <xf numFmtId="9" fontId="17" fillId="0" borderId="0" applyFont="0" applyFill="0" applyBorder="0" applyAlignment="0" applyProtection="0"/>
  </cellStyleXfs>
  <cellXfs count="95">
    <xf numFmtId="0" fontId="0" fillId="0" borderId="0" xfId="0"/>
    <xf numFmtId="0" fontId="0" fillId="0" borderId="1" xfId="0" applyBorder="1"/>
    <xf numFmtId="0" fontId="2" fillId="0" borderId="1" xfId="1" applyBorder="1"/>
    <xf numFmtId="0" fontId="3" fillId="0" borderId="0" xfId="0" applyFont="1"/>
    <xf numFmtId="0" fontId="3" fillId="0" borderId="2" xfId="0" applyFont="1" applyBorder="1"/>
    <xf numFmtId="0" fontId="1" fillId="0" borderId="1" xfId="0" applyFont="1" applyBorder="1"/>
    <xf numFmtId="0" fontId="1" fillId="0" borderId="0" xfId="0" applyFont="1"/>
    <xf numFmtId="0" fontId="2" fillId="0" borderId="0" xfId="1" applyBorder="1"/>
    <xf numFmtId="0" fontId="2" fillId="0" borderId="0" xfId="1"/>
    <xf numFmtId="0" fontId="5" fillId="0" borderId="0" xfId="0" applyFont="1"/>
    <xf numFmtId="14" fontId="5" fillId="0" borderId="0" xfId="0" applyNumberFormat="1" applyFont="1"/>
    <xf numFmtId="3" fontId="6" fillId="0" borderId="0" xfId="0" applyNumberFormat="1" applyFont="1" applyAlignment="1">
      <alignment wrapText="1"/>
    </xf>
    <xf numFmtId="0" fontId="8" fillId="0" borderId="2" xfId="0" applyFont="1" applyBorder="1" applyAlignment="1">
      <alignment horizontal="center"/>
    </xf>
    <xf numFmtId="0" fontId="8" fillId="0" borderId="0" xfId="0" applyFont="1" applyAlignment="1">
      <alignment horizontal="center"/>
    </xf>
    <xf numFmtId="0" fontId="8" fillId="0" borderId="0" xfId="0" applyFont="1"/>
    <xf numFmtId="0" fontId="8" fillId="0" borderId="0" xfId="0" applyFont="1" applyAlignment="1">
      <alignment horizontal="left" vertical="center"/>
    </xf>
    <xf numFmtId="0" fontId="8" fillId="0" borderId="1" xfId="0" applyFont="1" applyBorder="1" applyAlignment="1">
      <alignment horizontal="left" vertical="center"/>
    </xf>
    <xf numFmtId="0" fontId="8" fillId="0" borderId="1" xfId="0" applyFont="1" applyBorder="1"/>
    <xf numFmtId="0" fontId="8" fillId="0" borderId="2" xfId="0" applyFont="1" applyBorder="1" applyAlignment="1">
      <alignment horizontal="left" vertical="center"/>
    </xf>
    <xf numFmtId="11" fontId="8" fillId="0" borderId="1" xfId="0" applyNumberFormat="1" applyFont="1" applyBorder="1"/>
    <xf numFmtId="0" fontId="8" fillId="0" borderId="4" xfId="0" applyFont="1" applyBorder="1" applyAlignment="1">
      <alignment horizontal="left" vertical="center"/>
    </xf>
    <xf numFmtId="0" fontId="8" fillId="0" borderId="4" xfId="0" applyFont="1" applyBorder="1"/>
    <xf numFmtId="0" fontId="9" fillId="0" borderId="0" xfId="0" applyFont="1"/>
    <xf numFmtId="3" fontId="9" fillId="0" borderId="0" xfId="0" applyNumberFormat="1" applyFont="1"/>
    <xf numFmtId="3" fontId="9" fillId="0" borderId="5" xfId="0" applyNumberFormat="1" applyFont="1" applyBorder="1"/>
    <xf numFmtId="0" fontId="12" fillId="0" borderId="0" xfId="0" applyFont="1"/>
    <xf numFmtId="0" fontId="13" fillId="0" borderId="0" xfId="0" applyFont="1"/>
    <xf numFmtId="0" fontId="12" fillId="0" borderId="0" xfId="0" applyFont="1" applyAlignment="1">
      <alignment horizontal="right"/>
    </xf>
    <xf numFmtId="0" fontId="12" fillId="0" borderId="0" xfId="0" applyFont="1" applyAlignment="1">
      <alignment horizontal="center"/>
    </xf>
    <xf numFmtId="2" fontId="0" fillId="0" borderId="0" xfId="0" applyNumberFormat="1"/>
    <xf numFmtId="164" fontId="15" fillId="11" borderId="7" xfId="0" applyNumberFormat="1" applyFont="1" applyFill="1" applyBorder="1" applyAlignment="1">
      <alignment horizontal="right" wrapText="1"/>
    </xf>
    <xf numFmtId="164" fontId="15" fillId="0" borderId="7" xfId="0" applyNumberFormat="1" applyFont="1" applyBorder="1" applyAlignment="1">
      <alignment horizontal="right" wrapText="1"/>
    </xf>
    <xf numFmtId="164" fontId="15" fillId="11" borderId="8" xfId="0" applyNumberFormat="1" applyFont="1" applyFill="1" applyBorder="1" applyAlignment="1">
      <alignment horizontal="right" wrapText="1"/>
    </xf>
    <xf numFmtId="164" fontId="15" fillId="0" borderId="8" xfId="0" applyNumberFormat="1" applyFont="1" applyBorder="1" applyAlignment="1">
      <alignment horizontal="right" wrapText="1"/>
    </xf>
    <xf numFmtId="0" fontId="15" fillId="11" borderId="9" xfId="0" applyFont="1" applyFill="1" applyBorder="1" applyAlignment="1">
      <alignment horizontal="center" wrapText="1"/>
    </xf>
    <xf numFmtId="0" fontId="15" fillId="0" borderId="9" xfId="0" applyFont="1" applyBorder="1" applyAlignment="1">
      <alignment horizontal="center" wrapText="1"/>
    </xf>
    <xf numFmtId="164" fontId="14" fillId="10" borderId="10" xfId="0" applyNumberFormat="1" applyFont="1" applyFill="1" applyBorder="1" applyAlignment="1">
      <alignment horizontal="right" wrapText="1"/>
    </xf>
    <xf numFmtId="164" fontId="14" fillId="10" borderId="11" xfId="0" applyNumberFormat="1" applyFont="1" applyFill="1" applyBorder="1" applyAlignment="1">
      <alignment horizontal="right" wrapText="1"/>
    </xf>
    <xf numFmtId="0" fontId="14" fillId="10" borderId="12" xfId="0" applyFont="1" applyFill="1" applyBorder="1" applyAlignment="1">
      <alignment horizontal="center" wrapText="1"/>
    </xf>
    <xf numFmtId="164" fontId="15" fillId="0" borderId="13" xfId="0" applyNumberFormat="1" applyFont="1" applyBorder="1" applyAlignment="1">
      <alignment horizontal="right" wrapText="1"/>
    </xf>
    <xf numFmtId="164" fontId="15" fillId="0" borderId="14" xfId="0" applyNumberFormat="1" applyFont="1" applyBorder="1" applyAlignment="1">
      <alignment horizontal="right" wrapText="1"/>
    </xf>
    <xf numFmtId="0" fontId="15" fillId="0" borderId="15" xfId="0" applyFont="1" applyBorder="1" applyAlignment="1">
      <alignment horizontal="center" wrapText="1"/>
    </xf>
    <xf numFmtId="165" fontId="0" fillId="0" borderId="0" xfId="0" applyNumberFormat="1"/>
    <xf numFmtId="166" fontId="0" fillId="0" borderId="0" xfId="0" applyNumberFormat="1"/>
    <xf numFmtId="2" fontId="9" fillId="0" borderId="0" xfId="0" applyNumberFormat="1" applyFont="1"/>
    <xf numFmtId="166" fontId="9" fillId="0" borderId="0" xfId="0" applyNumberFormat="1" applyFont="1"/>
    <xf numFmtId="2" fontId="12" fillId="2" borderId="0" xfId="0" applyNumberFormat="1" applyFont="1" applyFill="1" applyAlignment="1">
      <alignment horizontal="center" vertical="center"/>
    </xf>
    <xf numFmtId="165" fontId="12" fillId="3" borderId="0" xfId="0" applyNumberFormat="1" applyFont="1" applyFill="1" applyAlignment="1">
      <alignment horizontal="center" vertical="center"/>
    </xf>
    <xf numFmtId="165" fontId="12" fillId="0" borderId="0" xfId="0" applyNumberFormat="1" applyFont="1" applyAlignment="1">
      <alignment horizontal="center" vertical="center"/>
    </xf>
    <xf numFmtId="165" fontId="12" fillId="2" borderId="6" xfId="0" applyNumberFormat="1" applyFont="1" applyFill="1" applyBorder="1" applyAlignment="1">
      <alignment horizontal="center" vertical="center"/>
    </xf>
    <xf numFmtId="165" fontId="12" fillId="4" borderId="6" xfId="0" applyNumberFormat="1" applyFont="1" applyFill="1" applyBorder="1" applyAlignment="1">
      <alignment horizontal="center" vertical="center"/>
    </xf>
    <xf numFmtId="165" fontId="12" fillId="5" borderId="0" xfId="0" applyNumberFormat="1" applyFont="1" applyFill="1" applyAlignment="1">
      <alignment horizontal="center" vertical="center"/>
    </xf>
    <xf numFmtId="165" fontId="12" fillId="6" borderId="6" xfId="0" applyNumberFormat="1" applyFont="1" applyFill="1" applyBorder="1" applyAlignment="1">
      <alignment horizontal="center" vertical="center"/>
    </xf>
    <xf numFmtId="165" fontId="12" fillId="7" borderId="0" xfId="0" applyNumberFormat="1" applyFont="1" applyFill="1" applyAlignment="1">
      <alignment horizontal="center" vertical="center"/>
    </xf>
    <xf numFmtId="165" fontId="12" fillId="8" borderId="6" xfId="0" applyNumberFormat="1" applyFont="1" applyFill="1" applyBorder="1" applyAlignment="1">
      <alignment horizontal="center" vertical="center"/>
    </xf>
    <xf numFmtId="165" fontId="12" fillId="9" borderId="0" xfId="0" applyNumberFormat="1" applyFont="1" applyFill="1" applyAlignment="1">
      <alignment horizontal="center" vertical="center"/>
    </xf>
    <xf numFmtId="0" fontId="16" fillId="0" borderId="0" xfId="0" applyFont="1"/>
    <xf numFmtId="46" fontId="0" fillId="0" borderId="0" xfId="0" applyNumberFormat="1"/>
    <xf numFmtId="3" fontId="0" fillId="0" borderId="0" xfId="0" applyNumberFormat="1"/>
    <xf numFmtId="4" fontId="0" fillId="0" borderId="0" xfId="0" applyNumberFormat="1"/>
    <xf numFmtId="0" fontId="8" fillId="0" borderId="2" xfId="0" applyFont="1" applyBorder="1" applyAlignment="1">
      <alignment horizontal="center"/>
    </xf>
    <xf numFmtId="0" fontId="8" fillId="0" borderId="1" xfId="0" applyFont="1" applyBorder="1" applyAlignment="1">
      <alignment horizontal="center"/>
    </xf>
    <xf numFmtId="0" fontId="0" fillId="0" borderId="0" xfId="0" applyFont="1"/>
    <xf numFmtId="0" fontId="18" fillId="0" borderId="0" xfId="0" applyFont="1"/>
    <xf numFmtId="0" fontId="0" fillId="0" borderId="0" xfId="0" applyAlignment="1">
      <alignment horizontal="right"/>
    </xf>
    <xf numFmtId="0" fontId="0" fillId="0" borderId="0" xfId="0" applyAlignment="1">
      <alignment horizontal="center"/>
    </xf>
    <xf numFmtId="0" fontId="0" fillId="0" borderId="0" xfId="0" applyAlignment="1"/>
    <xf numFmtId="0" fontId="0" fillId="0" borderId="0" xfId="0" applyAlignment="1">
      <alignment horizontal="center" vertical="center"/>
    </xf>
    <xf numFmtId="9" fontId="0" fillId="0" borderId="0" xfId="3" applyFont="1"/>
    <xf numFmtId="1" fontId="0" fillId="0" borderId="0" xfId="0" applyNumberFormat="1"/>
    <xf numFmtId="1" fontId="0" fillId="0" borderId="0" xfId="3" applyNumberFormat="1" applyFont="1"/>
    <xf numFmtId="1" fontId="0" fillId="0" borderId="0" xfId="0" applyNumberFormat="1" applyAlignment="1">
      <alignment horizontal="center" vertical="center"/>
    </xf>
    <xf numFmtId="175" fontId="0" fillId="0" borderId="0" xfId="3" applyNumberFormat="1" applyFont="1"/>
    <xf numFmtId="10" fontId="0" fillId="0" borderId="0" xfId="3" applyNumberFormat="1" applyFont="1"/>
    <xf numFmtId="9" fontId="0" fillId="0" borderId="0" xfId="3" applyFont="1" applyAlignment="1">
      <alignment horizontal="center"/>
    </xf>
    <xf numFmtId="0" fontId="19" fillId="0" borderId="0" xfId="0" applyFont="1"/>
    <xf numFmtId="0" fontId="20" fillId="0" borderId="0" xfId="0" applyFont="1"/>
    <xf numFmtId="0" fontId="0" fillId="0" borderId="0" xfId="0" applyBorder="1"/>
    <xf numFmtId="0" fontId="1" fillId="0" borderId="0" xfId="0" applyFont="1" applyBorder="1"/>
    <xf numFmtId="0" fontId="0" fillId="0" borderId="0" xfId="0" applyBorder="1" applyAlignment="1">
      <alignment horizontal="center"/>
    </xf>
    <xf numFmtId="0" fontId="0" fillId="0" borderId="16" xfId="0" applyBorder="1"/>
    <xf numFmtId="9" fontId="0" fillId="0" borderId="0" xfId="0" applyNumberFormat="1"/>
    <xf numFmtId="0" fontId="1" fillId="12" borderId="0" xfId="0" applyFont="1" applyFill="1"/>
    <xf numFmtId="0" fontId="0" fillId="13" borderId="0" xfId="0" applyFill="1"/>
    <xf numFmtId="1" fontId="0" fillId="13" borderId="0" xfId="0" applyNumberFormat="1" applyFill="1"/>
    <xf numFmtId="0" fontId="21" fillId="0" borderId="0" xfId="0" applyFont="1"/>
    <xf numFmtId="0" fontId="22" fillId="0" borderId="0" xfId="0" applyFont="1"/>
    <xf numFmtId="0" fontId="3" fillId="0" borderId="0" xfId="0" applyFont="1" applyBorder="1"/>
    <xf numFmtId="0" fontId="3" fillId="0" borderId="0" xfId="0" applyFont="1" applyFill="1" applyBorder="1"/>
    <xf numFmtId="0" fontId="1" fillId="0" borderId="17" xfId="0" applyFont="1" applyBorder="1"/>
    <xf numFmtId="0" fontId="23" fillId="0" borderId="18" xfId="0" applyFont="1" applyBorder="1"/>
    <xf numFmtId="0" fontId="0" fillId="0" borderId="18" xfId="0" applyBorder="1"/>
    <xf numFmtId="9" fontId="0" fillId="0" borderId="18" xfId="3" applyFont="1" applyBorder="1"/>
    <xf numFmtId="0" fontId="24" fillId="0" borderId="0" xfId="0" applyFont="1"/>
    <xf numFmtId="10" fontId="0" fillId="0" borderId="18" xfId="0" applyNumberFormat="1" applyBorder="1"/>
  </cellXfs>
  <cellStyles count="4">
    <cellStyle name="Body: normal cell" xfId="2" xr:uid="{35C5082C-3956-FA4D-91AD-99F399DF9143}"/>
    <cellStyle name="Hyperlink" xfId="1" builtinId="8"/>
    <cellStyle name="Normal" xfId="0" builtinId="0"/>
    <cellStyle name="Percent" xfId="3" builtinId="5"/>
  </cellStyles>
  <dxfs count="273">
    <dxf>
      <numFmt numFmtId="1" formatCode="0"/>
    </dxf>
    <dxf>
      <font>
        <b val="0"/>
        <i val="0"/>
        <strike val="0"/>
        <condense val="0"/>
        <extend val="0"/>
        <outline val="0"/>
        <shadow val="0"/>
        <u val="none"/>
        <vertAlign val="baseline"/>
        <sz val="12"/>
        <color theme="1"/>
        <name val="Calibri"/>
        <family val="2"/>
        <scheme val="minor"/>
      </font>
    </dxf>
    <dxf>
      <numFmt numFmtId="3" formatCode="#,##0"/>
    </dxf>
    <dxf>
      <font>
        <b val="0"/>
        <i val="0"/>
        <strike val="0"/>
        <condense val="0"/>
        <extend val="0"/>
        <outline val="0"/>
        <shadow val="0"/>
        <u val="none"/>
        <vertAlign val="baseline"/>
        <sz val="12"/>
        <color theme="1"/>
        <name val="Calibri"/>
        <family val="2"/>
        <scheme val="minor"/>
      </font>
    </dxf>
    <dxf>
      <numFmt numFmtId="3" formatCode="#,##0"/>
    </dxf>
    <dxf>
      <font>
        <b val="0"/>
        <i val="0"/>
        <strike val="0"/>
        <condense val="0"/>
        <extend val="0"/>
        <outline val="0"/>
        <shadow val="0"/>
        <u val="none"/>
        <vertAlign val="baseline"/>
        <sz val="12"/>
        <color theme="1"/>
        <name val="Calibri"/>
        <family val="2"/>
        <scheme val="minor"/>
      </font>
    </dxf>
    <dxf>
      <numFmt numFmtId="3" formatCode="#,##0"/>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numFmt numFmtId="3" formatCode="#,##0"/>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numFmt numFmtId="3" formatCode="#,##0"/>
    </dxf>
    <dxf>
      <font>
        <b val="0"/>
        <i val="0"/>
        <strike val="0"/>
        <condense val="0"/>
        <extend val="0"/>
        <outline val="0"/>
        <shadow val="0"/>
        <u val="none"/>
        <vertAlign val="baseline"/>
        <sz val="12"/>
        <color theme="1"/>
        <name val="Calibri"/>
        <family val="2"/>
        <scheme val="minor"/>
      </font>
    </dxf>
    <dxf>
      <numFmt numFmtId="3" formatCode="#,##0"/>
    </dxf>
    <dxf>
      <font>
        <b val="0"/>
        <i val="0"/>
        <strike val="0"/>
        <condense val="0"/>
        <extend val="0"/>
        <outline val="0"/>
        <shadow val="0"/>
        <u val="none"/>
        <vertAlign val="baseline"/>
        <sz val="12"/>
        <color theme="1"/>
        <name val="Calibri"/>
        <family val="2"/>
        <scheme val="minor"/>
      </font>
    </dxf>
    <dxf>
      <numFmt numFmtId="1" formatCode="0"/>
    </dxf>
    <dxf>
      <font>
        <b val="0"/>
        <i val="0"/>
        <strike val="0"/>
        <condense val="0"/>
        <extend val="0"/>
        <outline val="0"/>
        <shadow val="0"/>
        <u val="none"/>
        <vertAlign val="baseline"/>
        <sz val="12"/>
        <color theme="1"/>
        <name val="Calibri"/>
        <family val="2"/>
        <scheme val="minor"/>
      </font>
    </dxf>
    <dxf>
      <numFmt numFmtId="1" formatCode="0"/>
    </dxf>
    <dxf>
      <font>
        <b val="0"/>
        <i val="0"/>
        <strike val="0"/>
        <condense val="0"/>
        <extend val="0"/>
        <outline val="0"/>
        <shadow val="0"/>
        <u val="none"/>
        <vertAlign val="baseline"/>
        <sz val="12"/>
        <color theme="1"/>
        <name val="Calibri"/>
        <family val="2"/>
        <scheme val="minor"/>
      </font>
    </dxf>
    <dxf>
      <numFmt numFmtId="1" formatCode="0"/>
    </dxf>
    <dxf>
      <font>
        <b val="0"/>
        <i val="0"/>
        <strike val="0"/>
        <condense val="0"/>
        <extend val="0"/>
        <outline val="0"/>
        <shadow val="0"/>
        <u val="none"/>
        <vertAlign val="baseline"/>
        <sz val="12"/>
        <color theme="1"/>
        <name val="Calibri"/>
        <family val="2"/>
        <scheme val="minor"/>
      </font>
    </dxf>
    <dxf>
      <numFmt numFmtId="1" formatCode="0"/>
    </dxf>
    <dxf>
      <font>
        <b val="0"/>
        <i val="0"/>
        <strike val="0"/>
        <condense val="0"/>
        <extend val="0"/>
        <outline val="0"/>
        <shadow val="0"/>
        <u val="none"/>
        <vertAlign val="baseline"/>
        <sz val="12"/>
        <color theme="1"/>
        <name val="Calibri"/>
        <family val="2"/>
        <scheme val="minor"/>
      </font>
    </dxf>
    <dxf>
      <numFmt numFmtId="1" formatCode="0"/>
    </dxf>
    <dxf>
      <font>
        <b val="0"/>
        <i val="0"/>
        <strike val="0"/>
        <condense val="0"/>
        <extend val="0"/>
        <outline val="0"/>
        <shadow val="0"/>
        <u val="none"/>
        <vertAlign val="baseline"/>
        <sz val="12"/>
        <color theme="1"/>
        <name val="Calibri"/>
        <family val="2"/>
        <scheme val="minor"/>
      </font>
    </dxf>
    <dxf>
      <numFmt numFmtId="1" formatCode="0"/>
    </dxf>
    <dxf>
      <font>
        <b val="0"/>
        <i val="0"/>
        <strike val="0"/>
        <condense val="0"/>
        <extend val="0"/>
        <outline val="0"/>
        <shadow val="0"/>
        <u val="none"/>
        <vertAlign val="baseline"/>
        <sz val="12"/>
        <color theme="1"/>
        <name val="Calibri"/>
        <family val="2"/>
        <scheme val="minor"/>
      </font>
    </dxf>
    <dxf>
      <numFmt numFmtId="1" formatCode="0"/>
    </dxf>
    <dxf>
      <font>
        <b val="0"/>
        <i val="0"/>
        <strike val="0"/>
        <condense val="0"/>
        <extend val="0"/>
        <outline val="0"/>
        <shadow val="0"/>
        <u val="none"/>
        <vertAlign val="baseline"/>
        <sz val="12"/>
        <color theme="1"/>
        <name val="Calibri"/>
        <family val="2"/>
        <scheme val="minor"/>
      </font>
    </dxf>
    <dxf>
      <numFmt numFmtId="1" formatCode="0"/>
    </dxf>
    <dxf>
      <font>
        <b val="0"/>
        <i val="0"/>
        <strike val="0"/>
        <condense val="0"/>
        <extend val="0"/>
        <outline val="0"/>
        <shadow val="0"/>
        <u val="none"/>
        <vertAlign val="baseline"/>
        <sz val="12"/>
        <color theme="1"/>
        <name val="Calibri"/>
        <family val="2"/>
        <scheme val="minor"/>
      </font>
    </dxf>
    <dxf>
      <numFmt numFmtId="1" formatCode="0"/>
    </dxf>
    <dxf>
      <font>
        <b val="0"/>
        <i val="0"/>
        <strike val="0"/>
        <condense val="0"/>
        <extend val="0"/>
        <outline val="0"/>
        <shadow val="0"/>
        <u val="none"/>
        <vertAlign val="baseline"/>
        <sz val="12"/>
        <color theme="1"/>
        <name val="Calibri"/>
        <family val="2"/>
        <scheme val="minor"/>
      </font>
    </dxf>
    <dxf>
      <numFmt numFmtId="1" formatCode="0"/>
    </dxf>
    <dxf>
      <font>
        <b val="0"/>
        <i val="0"/>
        <strike val="0"/>
        <condense val="0"/>
        <extend val="0"/>
        <outline val="0"/>
        <shadow val="0"/>
        <u val="none"/>
        <vertAlign val="baseline"/>
        <sz val="12"/>
        <color theme="1"/>
        <name val="Calibri"/>
        <family val="2"/>
        <scheme val="minor"/>
      </font>
    </dxf>
    <dxf>
      <numFmt numFmtId="1" formatCode="0"/>
    </dxf>
    <dxf>
      <font>
        <b val="0"/>
        <i val="0"/>
        <strike val="0"/>
        <condense val="0"/>
        <extend val="0"/>
        <outline val="0"/>
        <shadow val="0"/>
        <u val="none"/>
        <vertAlign val="baseline"/>
        <sz val="12"/>
        <color theme="1"/>
        <name val="Calibri"/>
        <family val="2"/>
        <scheme val="minor"/>
      </font>
    </dxf>
    <dxf>
      <numFmt numFmtId="1" formatCode="0"/>
    </dxf>
    <dxf>
      <border outline="0">
        <top style="thin">
          <color indexed="64"/>
        </top>
      </border>
    </dxf>
    <dxf>
      <alignment horizontal="center" vertical="bottom" textRotation="0" wrapText="0" indent="0" justifyLastLine="0" shrinkToFit="0" readingOrder="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3" formatCode="#,##0"/>
    </dxf>
    <dxf>
      <numFmt numFmtId="3" formatCode="#,##0"/>
    </dxf>
    <dxf>
      <numFmt numFmtId="3" formatCode="#,##0"/>
    </dxf>
    <dxf>
      <numFmt numFmtId="3" formatCode="#,##0"/>
    </dxf>
    <dxf>
      <border outline="0">
        <top style="thin">
          <color indexed="64"/>
        </top>
      </border>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border outline="0">
        <top style="thin">
          <color indexed="64"/>
        </top>
      </border>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border outline="0">
        <top style="thin">
          <color indexed="64"/>
        </top>
      </border>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dxf>
    <dxf>
      <numFmt numFmtId="3" formatCode="#,##0"/>
    </dxf>
    <dxf>
      <font>
        <b val="0"/>
        <i val="0"/>
        <strike val="0"/>
        <condense val="0"/>
        <extend val="0"/>
        <outline val="0"/>
        <shadow val="0"/>
        <u val="none"/>
        <vertAlign val="baseline"/>
        <sz val="12"/>
        <color theme="1"/>
        <name val="Calibri"/>
        <family val="2"/>
        <scheme val="minor"/>
      </font>
    </dxf>
    <dxf>
      <numFmt numFmtId="3" formatCode="#,##0"/>
    </dxf>
    <dxf>
      <font>
        <b val="0"/>
        <i val="0"/>
        <strike val="0"/>
        <condense val="0"/>
        <extend val="0"/>
        <outline val="0"/>
        <shadow val="0"/>
        <u val="none"/>
        <vertAlign val="baseline"/>
        <sz val="12"/>
        <color theme="1"/>
        <name val="Calibri"/>
        <family val="2"/>
        <scheme val="minor"/>
      </font>
    </dxf>
    <dxf>
      <numFmt numFmtId="3" formatCode="#,##0"/>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numFmt numFmtId="3" formatCode="#,##0"/>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numFmt numFmtId="3" formatCode="#,##0"/>
    </dxf>
    <dxf>
      <font>
        <b val="0"/>
        <i val="0"/>
        <strike val="0"/>
        <condense val="0"/>
        <extend val="0"/>
        <outline val="0"/>
        <shadow val="0"/>
        <u val="none"/>
        <vertAlign val="baseline"/>
        <sz val="12"/>
        <color theme="1"/>
        <name val="Calibri"/>
        <family val="2"/>
        <scheme val="minor"/>
      </font>
    </dxf>
    <dxf>
      <numFmt numFmtId="3" formatCode="#,##0"/>
    </dxf>
    <dxf>
      <font>
        <b val="0"/>
        <i val="0"/>
        <strike val="0"/>
        <condense val="0"/>
        <extend val="0"/>
        <outline val="0"/>
        <shadow val="0"/>
        <u val="none"/>
        <vertAlign val="baseline"/>
        <sz val="12"/>
        <color theme="1"/>
        <name val="Calibri"/>
        <family val="2"/>
        <scheme val="minor"/>
      </font>
    </dxf>
    <dxf>
      <numFmt numFmtId="1" formatCode="0"/>
    </dxf>
    <dxf>
      <font>
        <b val="0"/>
        <i val="0"/>
        <strike val="0"/>
        <condense val="0"/>
        <extend val="0"/>
        <outline val="0"/>
        <shadow val="0"/>
        <u val="none"/>
        <vertAlign val="baseline"/>
        <sz val="12"/>
        <color theme="1"/>
        <name val="Calibri"/>
        <family val="2"/>
        <scheme val="minor"/>
      </font>
    </dxf>
    <dxf>
      <numFmt numFmtId="1" formatCode="0"/>
    </dxf>
    <dxf>
      <font>
        <b val="0"/>
        <i val="0"/>
        <strike val="0"/>
        <condense val="0"/>
        <extend val="0"/>
        <outline val="0"/>
        <shadow val="0"/>
        <u val="none"/>
        <vertAlign val="baseline"/>
        <sz val="12"/>
        <color theme="1"/>
        <name val="Calibri"/>
        <family val="2"/>
        <scheme val="minor"/>
      </font>
    </dxf>
    <dxf>
      <numFmt numFmtId="1" formatCode="0"/>
    </dxf>
    <dxf>
      <font>
        <b val="0"/>
        <i val="0"/>
        <strike val="0"/>
        <condense val="0"/>
        <extend val="0"/>
        <outline val="0"/>
        <shadow val="0"/>
        <u val="none"/>
        <vertAlign val="baseline"/>
        <sz val="12"/>
        <color theme="1"/>
        <name val="Calibri"/>
        <family val="2"/>
        <scheme val="minor"/>
      </font>
    </dxf>
    <dxf>
      <numFmt numFmtId="1" formatCode="0"/>
    </dxf>
    <dxf>
      <font>
        <b val="0"/>
        <i val="0"/>
        <strike val="0"/>
        <condense val="0"/>
        <extend val="0"/>
        <outline val="0"/>
        <shadow val="0"/>
        <u val="none"/>
        <vertAlign val="baseline"/>
        <sz val="12"/>
        <color theme="1"/>
        <name val="Calibri"/>
        <family val="2"/>
        <scheme val="minor"/>
      </font>
    </dxf>
    <dxf>
      <numFmt numFmtId="1" formatCode="0"/>
    </dxf>
    <dxf>
      <font>
        <b val="0"/>
        <i val="0"/>
        <strike val="0"/>
        <condense val="0"/>
        <extend val="0"/>
        <outline val="0"/>
        <shadow val="0"/>
        <u val="none"/>
        <vertAlign val="baseline"/>
        <sz val="12"/>
        <color theme="1"/>
        <name val="Calibri"/>
        <family val="2"/>
        <scheme val="minor"/>
      </font>
    </dxf>
    <dxf>
      <numFmt numFmtId="1" formatCode="0"/>
    </dxf>
    <dxf>
      <font>
        <b val="0"/>
        <i val="0"/>
        <strike val="0"/>
        <condense val="0"/>
        <extend val="0"/>
        <outline val="0"/>
        <shadow val="0"/>
        <u val="none"/>
        <vertAlign val="baseline"/>
        <sz val="12"/>
        <color theme="1"/>
        <name val="Calibri"/>
        <family val="2"/>
        <scheme val="minor"/>
      </font>
    </dxf>
    <dxf>
      <numFmt numFmtId="1" formatCode="0"/>
    </dxf>
    <dxf>
      <font>
        <b val="0"/>
        <i val="0"/>
        <strike val="0"/>
        <condense val="0"/>
        <extend val="0"/>
        <outline val="0"/>
        <shadow val="0"/>
        <u val="none"/>
        <vertAlign val="baseline"/>
        <sz val="12"/>
        <color theme="1"/>
        <name val="Calibri"/>
        <family val="2"/>
        <scheme val="minor"/>
      </font>
    </dxf>
    <dxf>
      <numFmt numFmtId="1" formatCode="0"/>
    </dxf>
    <dxf>
      <font>
        <b val="0"/>
        <i val="0"/>
        <strike val="0"/>
        <condense val="0"/>
        <extend val="0"/>
        <outline val="0"/>
        <shadow val="0"/>
        <u val="none"/>
        <vertAlign val="baseline"/>
        <sz val="12"/>
        <color theme="1"/>
        <name val="Calibri"/>
        <family val="2"/>
        <scheme val="minor"/>
      </font>
    </dxf>
    <dxf>
      <numFmt numFmtId="1" formatCode="0"/>
    </dxf>
    <dxf>
      <font>
        <b val="0"/>
        <i val="0"/>
        <strike val="0"/>
        <condense val="0"/>
        <extend val="0"/>
        <outline val="0"/>
        <shadow val="0"/>
        <u val="none"/>
        <vertAlign val="baseline"/>
        <sz val="12"/>
        <color theme="1"/>
        <name val="Calibri"/>
        <family val="2"/>
        <scheme val="minor"/>
      </font>
    </dxf>
    <dxf>
      <numFmt numFmtId="1" formatCode="0"/>
    </dxf>
    <dxf>
      <font>
        <b val="0"/>
        <i val="0"/>
        <strike val="0"/>
        <condense val="0"/>
        <extend val="0"/>
        <outline val="0"/>
        <shadow val="0"/>
        <u val="none"/>
        <vertAlign val="baseline"/>
        <sz val="12"/>
        <color theme="1"/>
        <name val="Calibri"/>
        <family val="2"/>
        <scheme val="minor"/>
      </font>
    </dxf>
    <dxf>
      <numFmt numFmtId="1" formatCode="0"/>
    </dxf>
    <dxf>
      <font>
        <b val="0"/>
        <i val="0"/>
        <strike val="0"/>
        <condense val="0"/>
        <extend val="0"/>
        <outline val="0"/>
        <shadow val="0"/>
        <u val="none"/>
        <vertAlign val="baseline"/>
        <sz val="12"/>
        <color theme="1"/>
        <name val="Calibri"/>
        <family val="2"/>
        <scheme val="minor"/>
      </font>
    </dxf>
    <dxf>
      <numFmt numFmtId="1" formatCode="0"/>
    </dxf>
    <dxf>
      <border outline="0">
        <top style="thin">
          <color indexed="64"/>
        </top>
      </border>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3" formatCode="#,##0"/>
    </dxf>
    <dxf>
      <numFmt numFmtId="3" formatCode="#,##0"/>
    </dxf>
    <dxf>
      <numFmt numFmtId="3" formatCode="#,##0"/>
    </dxf>
    <dxf>
      <numFmt numFmtId="3" formatCode="#,##0"/>
    </dxf>
    <dxf>
      <border outline="0">
        <top style="thin">
          <color indexed="64"/>
        </top>
      </border>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border outline="0">
        <top style="thin">
          <color indexed="64"/>
        </top>
      </border>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border outline="0">
        <top style="thin">
          <color indexed="64"/>
        </top>
      </border>
    </dxf>
    <dxf>
      <font>
        <b val="0"/>
        <i val="0"/>
        <strike val="0"/>
        <condense val="0"/>
        <extend val="0"/>
        <outline val="0"/>
        <shadow val="0"/>
        <u val="none"/>
        <vertAlign val="baseline"/>
        <sz val="10"/>
        <color rgb="FF000000"/>
        <name val="Arial"/>
        <family val="2"/>
        <scheme val="none"/>
      </font>
      <alignment horizontal="center" vertical="bottom"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numFmt numFmtId="164" formatCode="#,##0.0"/>
      <alignment horizontal="right"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numFmt numFmtId="164" formatCode="#,##0.0"/>
      <alignment horizontal="right" vertical="bottom"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'CdTe Capacity from eia'!$B$2:$B$525</c:f>
              <c:numCache>
                <c:formatCode>#,##0.0</c:formatCode>
                <c:ptCount val="524"/>
                <c:pt idx="0">
                  <c:v>3.7</c:v>
                </c:pt>
                <c:pt idx="1">
                  <c:v>4.7</c:v>
                </c:pt>
                <c:pt idx="2">
                  <c:v>14.7</c:v>
                </c:pt>
                <c:pt idx="3">
                  <c:v>16.3</c:v>
                </c:pt>
                <c:pt idx="4">
                  <c:v>37.299999999999997</c:v>
                </c:pt>
                <c:pt idx="5">
                  <c:v>37.799999999999997</c:v>
                </c:pt>
                <c:pt idx="6">
                  <c:v>38.299999999999997</c:v>
                </c:pt>
                <c:pt idx="7">
                  <c:v>39.299999999999997</c:v>
                </c:pt>
                <c:pt idx="8">
                  <c:v>41.3</c:v>
                </c:pt>
                <c:pt idx="9">
                  <c:v>41.699999999999996</c:v>
                </c:pt>
                <c:pt idx="10">
                  <c:v>43.199999999999996</c:v>
                </c:pt>
                <c:pt idx="11">
                  <c:v>43.3</c:v>
                </c:pt>
                <c:pt idx="12">
                  <c:v>57.199999999999996</c:v>
                </c:pt>
                <c:pt idx="13">
                  <c:v>69.8</c:v>
                </c:pt>
                <c:pt idx="14">
                  <c:v>79.8</c:v>
                </c:pt>
                <c:pt idx="15">
                  <c:v>87.8</c:v>
                </c:pt>
                <c:pt idx="16">
                  <c:v>97.8</c:v>
                </c:pt>
                <c:pt idx="17">
                  <c:v>107.8</c:v>
                </c:pt>
                <c:pt idx="18">
                  <c:v>117.8</c:v>
                </c:pt>
                <c:pt idx="19">
                  <c:v>127.8</c:v>
                </c:pt>
                <c:pt idx="20">
                  <c:v>158.4</c:v>
                </c:pt>
                <c:pt idx="21">
                  <c:v>161.1</c:v>
                </c:pt>
                <c:pt idx="22">
                  <c:v>161.6</c:v>
                </c:pt>
                <c:pt idx="23">
                  <c:v>162.1</c:v>
                </c:pt>
                <c:pt idx="24">
                  <c:v>182.29999999999998</c:v>
                </c:pt>
                <c:pt idx="25">
                  <c:v>199.89999999999998</c:v>
                </c:pt>
                <c:pt idx="26">
                  <c:v>201.89999999999998</c:v>
                </c:pt>
                <c:pt idx="27">
                  <c:v>206.89999999999998</c:v>
                </c:pt>
                <c:pt idx="28">
                  <c:v>211.89999999999998</c:v>
                </c:pt>
                <c:pt idx="29">
                  <c:v>216.89999999999998</c:v>
                </c:pt>
                <c:pt idx="30">
                  <c:v>221.89999999999998</c:v>
                </c:pt>
                <c:pt idx="31">
                  <c:v>238.89999999999998</c:v>
                </c:pt>
                <c:pt idx="32">
                  <c:v>241.79999999999998</c:v>
                </c:pt>
                <c:pt idx="33">
                  <c:v>244.7</c:v>
                </c:pt>
                <c:pt idx="34">
                  <c:v>245.7</c:v>
                </c:pt>
                <c:pt idx="35">
                  <c:v>336.4</c:v>
                </c:pt>
                <c:pt idx="36">
                  <c:v>472.4</c:v>
                </c:pt>
                <c:pt idx="37">
                  <c:v>524.4</c:v>
                </c:pt>
                <c:pt idx="38">
                  <c:v>634.4</c:v>
                </c:pt>
                <c:pt idx="39">
                  <c:v>648.1</c:v>
                </c:pt>
                <c:pt idx="40">
                  <c:v>678.1</c:v>
                </c:pt>
                <c:pt idx="41">
                  <c:v>708.1</c:v>
                </c:pt>
                <c:pt idx="42">
                  <c:v>742.1</c:v>
                </c:pt>
                <c:pt idx="43">
                  <c:v>744.2</c:v>
                </c:pt>
                <c:pt idx="44">
                  <c:v>845.2</c:v>
                </c:pt>
                <c:pt idx="45">
                  <c:v>909.80000000000007</c:v>
                </c:pt>
                <c:pt idx="46">
                  <c:v>910.30000000000007</c:v>
                </c:pt>
                <c:pt idx="47">
                  <c:v>910.80000000000007</c:v>
                </c:pt>
                <c:pt idx="48">
                  <c:v>911.30000000000007</c:v>
                </c:pt>
                <c:pt idx="49">
                  <c:v>911.80000000000007</c:v>
                </c:pt>
                <c:pt idx="50">
                  <c:v>977.80000000000007</c:v>
                </c:pt>
                <c:pt idx="51">
                  <c:v>1106.7</c:v>
                </c:pt>
                <c:pt idx="52">
                  <c:v>1108.7</c:v>
                </c:pt>
                <c:pt idx="53">
                  <c:v>1112.7</c:v>
                </c:pt>
                <c:pt idx="54">
                  <c:v>1137.7</c:v>
                </c:pt>
                <c:pt idx="55">
                  <c:v>1267.5</c:v>
                </c:pt>
                <c:pt idx="56">
                  <c:v>1418.7</c:v>
                </c:pt>
                <c:pt idx="57">
                  <c:v>1459</c:v>
                </c:pt>
                <c:pt idx="58">
                  <c:v>1489.2</c:v>
                </c:pt>
                <c:pt idx="59">
                  <c:v>1509.4</c:v>
                </c:pt>
                <c:pt idx="60">
                  <c:v>1549.7</c:v>
                </c:pt>
                <c:pt idx="61">
                  <c:v>1590</c:v>
                </c:pt>
                <c:pt idx="62">
                  <c:v>1620.2</c:v>
                </c:pt>
                <c:pt idx="63">
                  <c:v>1647.2</c:v>
                </c:pt>
                <c:pt idx="64">
                  <c:v>1794.6000000000001</c:v>
                </c:pt>
                <c:pt idx="65">
                  <c:v>1802.6000000000001</c:v>
                </c:pt>
                <c:pt idx="66">
                  <c:v>1811.0000000000002</c:v>
                </c:pt>
                <c:pt idx="67">
                  <c:v>1850.1000000000001</c:v>
                </c:pt>
                <c:pt idx="68">
                  <c:v>1872.8000000000002</c:v>
                </c:pt>
                <c:pt idx="69">
                  <c:v>1901.8000000000002</c:v>
                </c:pt>
                <c:pt idx="70">
                  <c:v>1927.0000000000002</c:v>
                </c:pt>
                <c:pt idx="71">
                  <c:v>1961.3000000000002</c:v>
                </c:pt>
                <c:pt idx="72">
                  <c:v>2082.3000000000002</c:v>
                </c:pt>
                <c:pt idx="73">
                  <c:v>2335.3000000000002</c:v>
                </c:pt>
                <c:pt idx="74">
                  <c:v>2437.4</c:v>
                </c:pt>
                <c:pt idx="75">
                  <c:v>2527.7000000000003</c:v>
                </c:pt>
                <c:pt idx="76">
                  <c:v>2640.2000000000003</c:v>
                </c:pt>
                <c:pt idx="77">
                  <c:v>2665.4</c:v>
                </c:pt>
                <c:pt idx="78">
                  <c:v>2690.6</c:v>
                </c:pt>
                <c:pt idx="79">
                  <c:v>2710.7999999999997</c:v>
                </c:pt>
                <c:pt idx="80">
                  <c:v>2729.7</c:v>
                </c:pt>
                <c:pt idx="81">
                  <c:v>2752.3999999999996</c:v>
                </c:pt>
                <c:pt idx="82">
                  <c:v>2791.4999999999995</c:v>
                </c:pt>
                <c:pt idx="83">
                  <c:v>2817.9999999999995</c:v>
                </c:pt>
                <c:pt idx="84">
                  <c:v>2831.8999999999996</c:v>
                </c:pt>
                <c:pt idx="85">
                  <c:v>2860.8999999999996</c:v>
                </c:pt>
                <c:pt idx="86">
                  <c:v>2886.0999999999995</c:v>
                </c:pt>
                <c:pt idx="87">
                  <c:v>2940.4999999999995</c:v>
                </c:pt>
                <c:pt idx="88">
                  <c:v>2994.8999999999996</c:v>
                </c:pt>
                <c:pt idx="89">
                  <c:v>3049.2999999999997</c:v>
                </c:pt>
                <c:pt idx="90">
                  <c:v>3068.2999999999997</c:v>
                </c:pt>
                <c:pt idx="91">
                  <c:v>3088.2999999999997</c:v>
                </c:pt>
                <c:pt idx="92">
                  <c:v>3108.2999999999997</c:v>
                </c:pt>
                <c:pt idx="93">
                  <c:v>3128.2999999999997</c:v>
                </c:pt>
                <c:pt idx="94">
                  <c:v>3183.2999999999997</c:v>
                </c:pt>
                <c:pt idx="95">
                  <c:v>3188.2999999999997</c:v>
                </c:pt>
                <c:pt idx="96">
                  <c:v>3193.2999999999997</c:v>
                </c:pt>
                <c:pt idx="97">
                  <c:v>3195.2</c:v>
                </c:pt>
                <c:pt idx="98">
                  <c:v>3200.2</c:v>
                </c:pt>
                <c:pt idx="99">
                  <c:v>3205.2</c:v>
                </c:pt>
                <c:pt idx="100">
                  <c:v>3210.2</c:v>
                </c:pt>
                <c:pt idx="101">
                  <c:v>3215.2</c:v>
                </c:pt>
                <c:pt idx="102">
                  <c:v>3220.2</c:v>
                </c:pt>
                <c:pt idx="103">
                  <c:v>3225.2</c:v>
                </c:pt>
                <c:pt idx="104">
                  <c:v>3230.2</c:v>
                </c:pt>
                <c:pt idx="105">
                  <c:v>3250.2</c:v>
                </c:pt>
                <c:pt idx="106">
                  <c:v>3255.2</c:v>
                </c:pt>
                <c:pt idx="107">
                  <c:v>3256.8999999999996</c:v>
                </c:pt>
                <c:pt idx="108">
                  <c:v>3262.9999999999995</c:v>
                </c:pt>
                <c:pt idx="109">
                  <c:v>3267.9999999999995</c:v>
                </c:pt>
                <c:pt idx="110">
                  <c:v>3272.9999999999995</c:v>
                </c:pt>
                <c:pt idx="111">
                  <c:v>3277.9999999999995</c:v>
                </c:pt>
                <c:pt idx="112">
                  <c:v>3307.9999999999995</c:v>
                </c:pt>
                <c:pt idx="113">
                  <c:v>3337.9999999999995</c:v>
                </c:pt>
                <c:pt idx="114">
                  <c:v>3369.3999999999996</c:v>
                </c:pt>
                <c:pt idx="115">
                  <c:v>3400.7999999999997</c:v>
                </c:pt>
                <c:pt idx="116">
                  <c:v>3427.7</c:v>
                </c:pt>
                <c:pt idx="117">
                  <c:v>3464.2</c:v>
                </c:pt>
                <c:pt idx="118">
                  <c:v>3484.2</c:v>
                </c:pt>
                <c:pt idx="119">
                  <c:v>3510.6</c:v>
                </c:pt>
                <c:pt idx="120">
                  <c:v>3538.5</c:v>
                </c:pt>
                <c:pt idx="121">
                  <c:v>3575.7</c:v>
                </c:pt>
                <c:pt idx="122">
                  <c:v>3651.6</c:v>
                </c:pt>
                <c:pt idx="123">
                  <c:v>3685.7</c:v>
                </c:pt>
                <c:pt idx="124">
                  <c:v>3715.8999999999996</c:v>
                </c:pt>
                <c:pt idx="125">
                  <c:v>3727.8999999999996</c:v>
                </c:pt>
                <c:pt idx="126">
                  <c:v>3747.8999999999996</c:v>
                </c:pt>
                <c:pt idx="127">
                  <c:v>3809.4999999999995</c:v>
                </c:pt>
                <c:pt idx="128">
                  <c:v>3826.0999999999995</c:v>
                </c:pt>
                <c:pt idx="129">
                  <c:v>3891.0999999999995</c:v>
                </c:pt>
                <c:pt idx="130">
                  <c:v>3906.0999999999995</c:v>
                </c:pt>
                <c:pt idx="131">
                  <c:v>3933.0999999999995</c:v>
                </c:pt>
                <c:pt idx="132">
                  <c:v>3945.0999999999995</c:v>
                </c:pt>
                <c:pt idx="133">
                  <c:v>3957.0999999999995</c:v>
                </c:pt>
                <c:pt idx="134">
                  <c:v>3962.0999999999995</c:v>
                </c:pt>
                <c:pt idx="135">
                  <c:v>3982.0999999999995</c:v>
                </c:pt>
                <c:pt idx="136">
                  <c:v>3987.0999999999995</c:v>
                </c:pt>
                <c:pt idx="137">
                  <c:v>3991.0999999999995</c:v>
                </c:pt>
                <c:pt idx="138">
                  <c:v>4000.1999999999994</c:v>
                </c:pt>
                <c:pt idx="139">
                  <c:v>4007.7999999999993</c:v>
                </c:pt>
                <c:pt idx="140">
                  <c:v>4052.7999999999993</c:v>
                </c:pt>
                <c:pt idx="141">
                  <c:v>4072.7999999999993</c:v>
                </c:pt>
                <c:pt idx="142">
                  <c:v>4102.7999999999993</c:v>
                </c:pt>
                <c:pt idx="143">
                  <c:v>4114.7999999999993</c:v>
                </c:pt>
                <c:pt idx="144">
                  <c:v>4117.7999999999993</c:v>
                </c:pt>
                <c:pt idx="145">
                  <c:v>4119.7999999999993</c:v>
                </c:pt>
                <c:pt idx="146">
                  <c:v>4124.6999999999989</c:v>
                </c:pt>
                <c:pt idx="147">
                  <c:v>4128.6999999999989</c:v>
                </c:pt>
                <c:pt idx="148">
                  <c:v>4132.6999999999989</c:v>
                </c:pt>
                <c:pt idx="149">
                  <c:v>4137.5999999999985</c:v>
                </c:pt>
                <c:pt idx="150">
                  <c:v>4142.5999999999985</c:v>
                </c:pt>
                <c:pt idx="151">
                  <c:v>4147.5999999999985</c:v>
                </c:pt>
                <c:pt idx="152">
                  <c:v>4152.5999999999985</c:v>
                </c:pt>
                <c:pt idx="153">
                  <c:v>4157.5999999999985</c:v>
                </c:pt>
                <c:pt idx="154">
                  <c:v>4162.5999999999985</c:v>
                </c:pt>
                <c:pt idx="155">
                  <c:v>4167.5999999999985</c:v>
                </c:pt>
                <c:pt idx="156">
                  <c:v>4172.5999999999985</c:v>
                </c:pt>
                <c:pt idx="157">
                  <c:v>4177.5999999999985</c:v>
                </c:pt>
                <c:pt idx="158">
                  <c:v>4182.5999999999985</c:v>
                </c:pt>
                <c:pt idx="159">
                  <c:v>4184.5999999999985</c:v>
                </c:pt>
                <c:pt idx="160">
                  <c:v>4186.1999999999989</c:v>
                </c:pt>
                <c:pt idx="161">
                  <c:v>4334.8999999999987</c:v>
                </c:pt>
                <c:pt idx="162">
                  <c:v>4584.8999999999987</c:v>
                </c:pt>
                <c:pt idx="163">
                  <c:v>4626.7999999999984</c:v>
                </c:pt>
                <c:pt idx="164">
                  <c:v>4647.7999999999984</c:v>
                </c:pt>
                <c:pt idx="165">
                  <c:v>4687.3999999999987</c:v>
                </c:pt>
                <c:pt idx="166">
                  <c:v>4729.2999999999984</c:v>
                </c:pt>
                <c:pt idx="167">
                  <c:v>4739.2999999999984</c:v>
                </c:pt>
                <c:pt idx="168">
                  <c:v>4774.9999999999982</c:v>
                </c:pt>
                <c:pt idx="169">
                  <c:v>4809.9999999999982</c:v>
                </c:pt>
                <c:pt idx="170">
                  <c:v>4846.5999999999985</c:v>
                </c:pt>
                <c:pt idx="171">
                  <c:v>4881.5999999999985</c:v>
                </c:pt>
                <c:pt idx="172">
                  <c:v>4907.8999999999987</c:v>
                </c:pt>
                <c:pt idx="173">
                  <c:v>4945.7999999999984</c:v>
                </c:pt>
                <c:pt idx="174">
                  <c:v>4983.699999999998</c:v>
                </c:pt>
                <c:pt idx="175">
                  <c:v>5021.5999999999976</c:v>
                </c:pt>
                <c:pt idx="176">
                  <c:v>5059.4999999999973</c:v>
                </c:pt>
                <c:pt idx="177">
                  <c:v>5097.3999999999969</c:v>
                </c:pt>
                <c:pt idx="178">
                  <c:v>5117.3999999999969</c:v>
                </c:pt>
                <c:pt idx="179">
                  <c:v>5157.3999999999969</c:v>
                </c:pt>
                <c:pt idx="180">
                  <c:v>5177.3999999999969</c:v>
                </c:pt>
                <c:pt idx="181">
                  <c:v>5181.9999999999973</c:v>
                </c:pt>
                <c:pt idx="182">
                  <c:v>5186.9999999999973</c:v>
                </c:pt>
                <c:pt idx="183">
                  <c:v>5189.5999999999976</c:v>
                </c:pt>
                <c:pt idx="184">
                  <c:v>5209.5999999999976</c:v>
                </c:pt>
                <c:pt idx="185">
                  <c:v>5231.5999999999976</c:v>
                </c:pt>
                <c:pt idx="186">
                  <c:v>5335.5999999999976</c:v>
                </c:pt>
                <c:pt idx="187">
                  <c:v>5483.5999999999976</c:v>
                </c:pt>
                <c:pt idx="188">
                  <c:v>5488.4999999999973</c:v>
                </c:pt>
                <c:pt idx="189">
                  <c:v>5501.4999999999973</c:v>
                </c:pt>
                <c:pt idx="190">
                  <c:v>5521.4999999999973</c:v>
                </c:pt>
                <c:pt idx="191">
                  <c:v>5532.2999999999975</c:v>
                </c:pt>
                <c:pt idx="192">
                  <c:v>5540.0999999999976</c:v>
                </c:pt>
                <c:pt idx="193">
                  <c:v>5543.4999999999973</c:v>
                </c:pt>
                <c:pt idx="194">
                  <c:v>5544.4999999999973</c:v>
                </c:pt>
                <c:pt idx="195">
                  <c:v>5546.4999999999973</c:v>
                </c:pt>
                <c:pt idx="196">
                  <c:v>5598.9999999999973</c:v>
                </c:pt>
                <c:pt idx="197">
                  <c:v>5614.9999999999973</c:v>
                </c:pt>
                <c:pt idx="198">
                  <c:v>5622.9999999999973</c:v>
                </c:pt>
                <c:pt idx="199">
                  <c:v>5627.9999999999973</c:v>
                </c:pt>
                <c:pt idx="200">
                  <c:v>5632.9999999999973</c:v>
                </c:pt>
                <c:pt idx="201">
                  <c:v>5637.9999999999973</c:v>
                </c:pt>
                <c:pt idx="202">
                  <c:v>5638.9999999999973</c:v>
                </c:pt>
                <c:pt idx="203">
                  <c:v>5639.9999999999973</c:v>
                </c:pt>
                <c:pt idx="204">
                  <c:v>5640.9999999999973</c:v>
                </c:pt>
                <c:pt idx="205">
                  <c:v>5641.9999999999973</c:v>
                </c:pt>
                <c:pt idx="206">
                  <c:v>5642.9999999999973</c:v>
                </c:pt>
                <c:pt idx="207">
                  <c:v>5643.9999999999973</c:v>
                </c:pt>
                <c:pt idx="208">
                  <c:v>5644.9999999999973</c:v>
                </c:pt>
                <c:pt idx="209">
                  <c:v>5645.9999999999973</c:v>
                </c:pt>
                <c:pt idx="210">
                  <c:v>5646.9999999999973</c:v>
                </c:pt>
                <c:pt idx="211">
                  <c:v>5647.9999999999973</c:v>
                </c:pt>
                <c:pt idx="212">
                  <c:v>5648.9999999999973</c:v>
                </c:pt>
                <c:pt idx="213">
                  <c:v>5649.9999999999973</c:v>
                </c:pt>
                <c:pt idx="214">
                  <c:v>5650.9999999999973</c:v>
                </c:pt>
                <c:pt idx="215">
                  <c:v>5651.9999999999973</c:v>
                </c:pt>
                <c:pt idx="216">
                  <c:v>5652.9999999999973</c:v>
                </c:pt>
                <c:pt idx="217">
                  <c:v>5653.9999999999973</c:v>
                </c:pt>
                <c:pt idx="218">
                  <c:v>5654.9999999999973</c:v>
                </c:pt>
                <c:pt idx="219">
                  <c:v>5655.9999999999973</c:v>
                </c:pt>
                <c:pt idx="220">
                  <c:v>5656.9999999999973</c:v>
                </c:pt>
                <c:pt idx="221">
                  <c:v>5658.9999999999973</c:v>
                </c:pt>
                <c:pt idx="222">
                  <c:v>5663.9999999999973</c:v>
                </c:pt>
                <c:pt idx="223">
                  <c:v>5668.9999999999973</c:v>
                </c:pt>
                <c:pt idx="224">
                  <c:v>5673.9999999999973</c:v>
                </c:pt>
                <c:pt idx="225">
                  <c:v>5678.9999999999973</c:v>
                </c:pt>
                <c:pt idx="226">
                  <c:v>5683.9999999999973</c:v>
                </c:pt>
                <c:pt idx="227">
                  <c:v>5694.8999999999969</c:v>
                </c:pt>
                <c:pt idx="228">
                  <c:v>5714.6999999999971</c:v>
                </c:pt>
                <c:pt idx="229">
                  <c:v>5718.7999999999975</c:v>
                </c:pt>
                <c:pt idx="230">
                  <c:v>5723.7999999999975</c:v>
                </c:pt>
                <c:pt idx="231">
                  <c:v>5743.7999999999975</c:v>
                </c:pt>
                <c:pt idx="232">
                  <c:v>5773.7999999999975</c:v>
                </c:pt>
                <c:pt idx="233">
                  <c:v>5813.7999999999975</c:v>
                </c:pt>
                <c:pt idx="234">
                  <c:v>5863.7999999999975</c:v>
                </c:pt>
                <c:pt idx="235">
                  <c:v>5942.7999999999975</c:v>
                </c:pt>
                <c:pt idx="236">
                  <c:v>6072.7999999999975</c:v>
                </c:pt>
                <c:pt idx="237">
                  <c:v>6172.7999999999975</c:v>
                </c:pt>
                <c:pt idx="238">
                  <c:v>6175.7999999999975</c:v>
                </c:pt>
                <c:pt idx="239">
                  <c:v>6191.7999999999975</c:v>
                </c:pt>
                <c:pt idx="240">
                  <c:v>6246.3999999999978</c:v>
                </c:pt>
                <c:pt idx="241">
                  <c:v>6364.8999999999978</c:v>
                </c:pt>
                <c:pt idx="242">
                  <c:v>6384.8999999999978</c:v>
                </c:pt>
                <c:pt idx="243">
                  <c:v>6402.4999999999982</c:v>
                </c:pt>
                <c:pt idx="244">
                  <c:v>6413.0999999999985</c:v>
                </c:pt>
                <c:pt idx="245">
                  <c:v>6420.4999999999982</c:v>
                </c:pt>
                <c:pt idx="246">
                  <c:v>6421.4999999999982</c:v>
                </c:pt>
                <c:pt idx="247">
                  <c:v>6422.4999999999982</c:v>
                </c:pt>
                <c:pt idx="248">
                  <c:v>6423.4999999999982</c:v>
                </c:pt>
                <c:pt idx="249">
                  <c:v>6424.4999999999982</c:v>
                </c:pt>
                <c:pt idx="250">
                  <c:v>6425.4999999999982</c:v>
                </c:pt>
                <c:pt idx="251">
                  <c:v>6426.4999999999982</c:v>
                </c:pt>
                <c:pt idx="252">
                  <c:v>6427.4999999999982</c:v>
                </c:pt>
                <c:pt idx="253">
                  <c:v>6428.4999999999982</c:v>
                </c:pt>
                <c:pt idx="254">
                  <c:v>6429.4999999999982</c:v>
                </c:pt>
                <c:pt idx="255">
                  <c:v>6430.4999999999982</c:v>
                </c:pt>
                <c:pt idx="256">
                  <c:v>6431.4999999999982</c:v>
                </c:pt>
                <c:pt idx="257">
                  <c:v>6432.4999999999982</c:v>
                </c:pt>
                <c:pt idx="258">
                  <c:v>6433.4999999999982</c:v>
                </c:pt>
                <c:pt idx="259">
                  <c:v>6434.4999999999982</c:v>
                </c:pt>
                <c:pt idx="260">
                  <c:v>6435.4999999999982</c:v>
                </c:pt>
                <c:pt idx="261">
                  <c:v>6436.4999999999982</c:v>
                </c:pt>
                <c:pt idx="262">
                  <c:v>6437.4999999999982</c:v>
                </c:pt>
                <c:pt idx="263">
                  <c:v>6438.4999999999982</c:v>
                </c:pt>
                <c:pt idx="264">
                  <c:v>6439.4999999999982</c:v>
                </c:pt>
                <c:pt idx="265">
                  <c:v>6440.4999999999982</c:v>
                </c:pt>
                <c:pt idx="266">
                  <c:v>6441.4999999999982</c:v>
                </c:pt>
                <c:pt idx="267">
                  <c:v>6442.4999999999982</c:v>
                </c:pt>
                <c:pt idx="268">
                  <c:v>6443.4999999999982</c:v>
                </c:pt>
                <c:pt idx="269">
                  <c:v>6444.4999999999982</c:v>
                </c:pt>
                <c:pt idx="270">
                  <c:v>6445.4999999999982</c:v>
                </c:pt>
                <c:pt idx="271">
                  <c:v>6446.4999999999982</c:v>
                </c:pt>
                <c:pt idx="272">
                  <c:v>6447.4999999999982</c:v>
                </c:pt>
                <c:pt idx="273">
                  <c:v>6448.4999999999982</c:v>
                </c:pt>
                <c:pt idx="274">
                  <c:v>6449.4999999999982</c:v>
                </c:pt>
                <c:pt idx="275">
                  <c:v>6450.4999999999982</c:v>
                </c:pt>
                <c:pt idx="276">
                  <c:v>6451.4999999999982</c:v>
                </c:pt>
                <c:pt idx="277">
                  <c:v>6452.4999999999982</c:v>
                </c:pt>
                <c:pt idx="278">
                  <c:v>6453.4999999999982</c:v>
                </c:pt>
                <c:pt idx="279">
                  <c:v>6454.4999999999982</c:v>
                </c:pt>
                <c:pt idx="280">
                  <c:v>6455.4999999999982</c:v>
                </c:pt>
                <c:pt idx="281">
                  <c:v>6456.4999999999982</c:v>
                </c:pt>
                <c:pt idx="282">
                  <c:v>6457.4999999999982</c:v>
                </c:pt>
                <c:pt idx="283">
                  <c:v>6458.4999999999982</c:v>
                </c:pt>
                <c:pt idx="284">
                  <c:v>6459.4999999999982</c:v>
                </c:pt>
                <c:pt idx="285">
                  <c:v>6460.4999999999982</c:v>
                </c:pt>
                <c:pt idx="286">
                  <c:v>6461.4999999999982</c:v>
                </c:pt>
                <c:pt idx="287">
                  <c:v>6462.4999999999982</c:v>
                </c:pt>
                <c:pt idx="288">
                  <c:v>6463.4999999999982</c:v>
                </c:pt>
                <c:pt idx="289">
                  <c:v>6464.4999999999982</c:v>
                </c:pt>
                <c:pt idx="290">
                  <c:v>6465.4999999999982</c:v>
                </c:pt>
                <c:pt idx="291">
                  <c:v>6466.4999999999982</c:v>
                </c:pt>
                <c:pt idx="292">
                  <c:v>6467.4999999999982</c:v>
                </c:pt>
                <c:pt idx="293">
                  <c:v>6472.4999999999982</c:v>
                </c:pt>
                <c:pt idx="294">
                  <c:v>6475.9999999999982</c:v>
                </c:pt>
                <c:pt idx="295">
                  <c:v>6476.9999999999982</c:v>
                </c:pt>
                <c:pt idx="296">
                  <c:v>6477.9999999999982</c:v>
                </c:pt>
                <c:pt idx="297">
                  <c:v>6478.9999999999982</c:v>
                </c:pt>
                <c:pt idx="298">
                  <c:v>6483.9999999999982</c:v>
                </c:pt>
                <c:pt idx="299">
                  <c:v>6488.9999999999982</c:v>
                </c:pt>
                <c:pt idx="300">
                  <c:v>6504.9999999999982</c:v>
                </c:pt>
                <c:pt idx="301">
                  <c:v>6507.9999999999982</c:v>
                </c:pt>
                <c:pt idx="302">
                  <c:v>6512.9999999999982</c:v>
                </c:pt>
                <c:pt idx="303">
                  <c:v>6517.9999999999982</c:v>
                </c:pt>
                <c:pt idx="304">
                  <c:v>6524.8999999999978</c:v>
                </c:pt>
                <c:pt idx="305">
                  <c:v>6599.7999999999975</c:v>
                </c:pt>
                <c:pt idx="306">
                  <c:v>6753.7999999999975</c:v>
                </c:pt>
                <c:pt idx="307">
                  <c:v>6758.7999999999975</c:v>
                </c:pt>
                <c:pt idx="308">
                  <c:v>6811.7999999999975</c:v>
                </c:pt>
                <c:pt idx="309">
                  <c:v>6816.7999999999975</c:v>
                </c:pt>
                <c:pt idx="310">
                  <c:v>6836.5999999999976</c:v>
                </c:pt>
                <c:pt idx="311">
                  <c:v>6837.5999999999976</c:v>
                </c:pt>
                <c:pt idx="312">
                  <c:v>6838.5999999999976</c:v>
                </c:pt>
                <c:pt idx="313">
                  <c:v>6839.5999999999976</c:v>
                </c:pt>
                <c:pt idx="314">
                  <c:v>6840.5999999999976</c:v>
                </c:pt>
                <c:pt idx="315">
                  <c:v>6841.5999999999976</c:v>
                </c:pt>
                <c:pt idx="316">
                  <c:v>6842.5999999999976</c:v>
                </c:pt>
                <c:pt idx="317">
                  <c:v>6843.5999999999976</c:v>
                </c:pt>
                <c:pt idx="318">
                  <c:v>6844.5999999999976</c:v>
                </c:pt>
                <c:pt idx="319">
                  <c:v>6845.5999999999976</c:v>
                </c:pt>
                <c:pt idx="320">
                  <c:v>6846.5999999999976</c:v>
                </c:pt>
                <c:pt idx="321">
                  <c:v>6847.5999999999976</c:v>
                </c:pt>
                <c:pt idx="322">
                  <c:v>6848.5999999999976</c:v>
                </c:pt>
                <c:pt idx="323">
                  <c:v>6849.5999999999976</c:v>
                </c:pt>
                <c:pt idx="324">
                  <c:v>6850.5999999999976</c:v>
                </c:pt>
                <c:pt idx="325">
                  <c:v>6851.5999999999976</c:v>
                </c:pt>
                <c:pt idx="326">
                  <c:v>6852.5999999999976</c:v>
                </c:pt>
                <c:pt idx="327">
                  <c:v>6853.5999999999976</c:v>
                </c:pt>
                <c:pt idx="328">
                  <c:v>6854.5999999999976</c:v>
                </c:pt>
                <c:pt idx="329">
                  <c:v>6855.5999999999976</c:v>
                </c:pt>
                <c:pt idx="330">
                  <c:v>6856.5999999999976</c:v>
                </c:pt>
                <c:pt idx="331">
                  <c:v>6857.5999999999976</c:v>
                </c:pt>
                <c:pt idx="332">
                  <c:v>6858.5999999999976</c:v>
                </c:pt>
                <c:pt idx="333">
                  <c:v>6859.5999999999976</c:v>
                </c:pt>
                <c:pt idx="334">
                  <c:v>6860.5999999999976</c:v>
                </c:pt>
                <c:pt idx="335">
                  <c:v>6861.5999999999976</c:v>
                </c:pt>
                <c:pt idx="336">
                  <c:v>6862.5999999999976</c:v>
                </c:pt>
                <c:pt idx="337">
                  <c:v>6863.5999999999976</c:v>
                </c:pt>
                <c:pt idx="338">
                  <c:v>7115.8999999999978</c:v>
                </c:pt>
                <c:pt idx="339">
                  <c:v>7116.8999999999978</c:v>
                </c:pt>
                <c:pt idx="340">
                  <c:v>7117.8999999999978</c:v>
                </c:pt>
                <c:pt idx="341">
                  <c:v>7118.8999999999978</c:v>
                </c:pt>
                <c:pt idx="342">
                  <c:v>7119.8999999999978</c:v>
                </c:pt>
                <c:pt idx="343">
                  <c:v>7120.8999999999978</c:v>
                </c:pt>
                <c:pt idx="344">
                  <c:v>7135.8999999999978</c:v>
                </c:pt>
                <c:pt idx="345">
                  <c:v>7143.8999999999978</c:v>
                </c:pt>
                <c:pt idx="346">
                  <c:v>7149.9999999999982</c:v>
                </c:pt>
                <c:pt idx="347">
                  <c:v>7224.3999999999978</c:v>
                </c:pt>
                <c:pt idx="348">
                  <c:v>7294.699999999998</c:v>
                </c:pt>
                <c:pt idx="349">
                  <c:v>7295.699999999998</c:v>
                </c:pt>
                <c:pt idx="350">
                  <c:v>7296.699999999998</c:v>
                </c:pt>
                <c:pt idx="351">
                  <c:v>7297.699999999998</c:v>
                </c:pt>
                <c:pt idx="352">
                  <c:v>7298.699999999998</c:v>
                </c:pt>
                <c:pt idx="353">
                  <c:v>7299.699999999998</c:v>
                </c:pt>
                <c:pt idx="354">
                  <c:v>7314.3999999999978</c:v>
                </c:pt>
                <c:pt idx="355">
                  <c:v>7366.3999999999978</c:v>
                </c:pt>
                <c:pt idx="356">
                  <c:v>7370.0999999999976</c:v>
                </c:pt>
                <c:pt idx="357">
                  <c:v>7375.0999999999976</c:v>
                </c:pt>
                <c:pt idx="358">
                  <c:v>7379.4999999999973</c:v>
                </c:pt>
                <c:pt idx="359">
                  <c:v>7381.0999999999976</c:v>
                </c:pt>
                <c:pt idx="360">
                  <c:v>7381.199999999998</c:v>
                </c:pt>
                <c:pt idx="361">
                  <c:v>7386.199999999998</c:v>
                </c:pt>
                <c:pt idx="362">
                  <c:v>7390.9999999999982</c:v>
                </c:pt>
                <c:pt idx="363">
                  <c:v>7395.9999999999982</c:v>
                </c:pt>
                <c:pt idx="364">
                  <c:v>7410.699999999998</c:v>
                </c:pt>
                <c:pt idx="365">
                  <c:v>7514.199999999998</c:v>
                </c:pt>
                <c:pt idx="366">
                  <c:v>7534.199999999998</c:v>
                </c:pt>
                <c:pt idx="367">
                  <c:v>7685.2999999999984</c:v>
                </c:pt>
                <c:pt idx="368">
                  <c:v>7731.199999999998</c:v>
                </c:pt>
                <c:pt idx="369">
                  <c:v>7881.199999999998</c:v>
                </c:pt>
                <c:pt idx="370">
                  <c:v>7930.199999999998</c:v>
                </c:pt>
                <c:pt idx="371">
                  <c:v>7935.199999999998</c:v>
                </c:pt>
                <c:pt idx="372">
                  <c:v>7940.199999999998</c:v>
                </c:pt>
                <c:pt idx="373">
                  <c:v>7945.199999999998</c:v>
                </c:pt>
                <c:pt idx="374">
                  <c:v>8035.199999999998</c:v>
                </c:pt>
                <c:pt idx="375">
                  <c:v>8036.699999999998</c:v>
                </c:pt>
                <c:pt idx="376">
                  <c:v>8041.699999999998</c:v>
                </c:pt>
                <c:pt idx="377">
                  <c:v>8043.699999999998</c:v>
                </c:pt>
                <c:pt idx="378">
                  <c:v>8044.699999999998</c:v>
                </c:pt>
                <c:pt idx="379">
                  <c:v>8045.699999999998</c:v>
                </c:pt>
                <c:pt idx="380">
                  <c:v>8083.199999999998</c:v>
                </c:pt>
                <c:pt idx="381">
                  <c:v>8144.2999999999984</c:v>
                </c:pt>
                <c:pt idx="382">
                  <c:v>8193.7999999999993</c:v>
                </c:pt>
                <c:pt idx="383">
                  <c:v>8268.2999999999993</c:v>
                </c:pt>
                <c:pt idx="384">
                  <c:v>8323.6999999999989</c:v>
                </c:pt>
                <c:pt idx="385">
                  <c:v>8396.1999999999989</c:v>
                </c:pt>
                <c:pt idx="386">
                  <c:v>8397.1999999999989</c:v>
                </c:pt>
                <c:pt idx="387">
                  <c:v>8398.1999999999989</c:v>
                </c:pt>
                <c:pt idx="388">
                  <c:v>8399.1999999999989</c:v>
                </c:pt>
                <c:pt idx="389">
                  <c:v>8400.1999999999989</c:v>
                </c:pt>
                <c:pt idx="390">
                  <c:v>8401.1999999999989</c:v>
                </c:pt>
                <c:pt idx="391">
                  <c:v>8402.1999999999989</c:v>
                </c:pt>
                <c:pt idx="392">
                  <c:v>8403.1999999999989</c:v>
                </c:pt>
                <c:pt idx="393">
                  <c:v>8653.1999999999989</c:v>
                </c:pt>
                <c:pt idx="394">
                  <c:v>8658.1999999999989</c:v>
                </c:pt>
                <c:pt idx="395">
                  <c:v>8663.1999999999989</c:v>
                </c:pt>
                <c:pt idx="396">
                  <c:v>8774.4</c:v>
                </c:pt>
                <c:pt idx="397">
                  <c:v>8779.4</c:v>
                </c:pt>
                <c:pt idx="398">
                  <c:v>8784.4</c:v>
                </c:pt>
                <c:pt idx="399">
                  <c:v>8842</c:v>
                </c:pt>
                <c:pt idx="400">
                  <c:v>8847</c:v>
                </c:pt>
                <c:pt idx="401">
                  <c:v>8852</c:v>
                </c:pt>
                <c:pt idx="402">
                  <c:v>8855</c:v>
                </c:pt>
                <c:pt idx="403">
                  <c:v>8860</c:v>
                </c:pt>
                <c:pt idx="404">
                  <c:v>8861.6</c:v>
                </c:pt>
                <c:pt idx="405">
                  <c:v>8931.7000000000007</c:v>
                </c:pt>
                <c:pt idx="406">
                  <c:v>9006.7000000000007</c:v>
                </c:pt>
                <c:pt idx="407">
                  <c:v>9007.7000000000007</c:v>
                </c:pt>
                <c:pt idx="408">
                  <c:v>9008.7000000000007</c:v>
                </c:pt>
                <c:pt idx="409">
                  <c:v>9018.7000000000007</c:v>
                </c:pt>
                <c:pt idx="410">
                  <c:v>9020.7000000000007</c:v>
                </c:pt>
                <c:pt idx="411">
                  <c:v>9030.7000000000007</c:v>
                </c:pt>
                <c:pt idx="412">
                  <c:v>9110.6</c:v>
                </c:pt>
                <c:pt idx="413">
                  <c:v>9152.6</c:v>
                </c:pt>
                <c:pt idx="414">
                  <c:v>9153.6</c:v>
                </c:pt>
                <c:pt idx="415">
                  <c:v>9154.6</c:v>
                </c:pt>
                <c:pt idx="416">
                  <c:v>9155.6</c:v>
                </c:pt>
                <c:pt idx="417">
                  <c:v>9156.6</c:v>
                </c:pt>
                <c:pt idx="418">
                  <c:v>9158.6</c:v>
                </c:pt>
                <c:pt idx="419">
                  <c:v>9198.6</c:v>
                </c:pt>
                <c:pt idx="420">
                  <c:v>9202.6</c:v>
                </c:pt>
                <c:pt idx="421">
                  <c:v>9207.6</c:v>
                </c:pt>
                <c:pt idx="422">
                  <c:v>9212.6</c:v>
                </c:pt>
                <c:pt idx="423">
                  <c:v>9372.6</c:v>
                </c:pt>
                <c:pt idx="424">
                  <c:v>9447.4</c:v>
                </c:pt>
                <c:pt idx="425">
                  <c:v>9651.4</c:v>
                </c:pt>
                <c:pt idx="426">
                  <c:v>9726.2999999999993</c:v>
                </c:pt>
                <c:pt idx="427">
                  <c:v>9800.2999999999993</c:v>
                </c:pt>
                <c:pt idx="428">
                  <c:v>9886.2999999999993</c:v>
                </c:pt>
                <c:pt idx="429">
                  <c:v>9966.2999999999993</c:v>
                </c:pt>
                <c:pt idx="430">
                  <c:v>10040.799999999999</c:v>
                </c:pt>
                <c:pt idx="431">
                  <c:v>10060.799999999999</c:v>
                </c:pt>
                <c:pt idx="432">
                  <c:v>10110.799999999999</c:v>
                </c:pt>
                <c:pt idx="433">
                  <c:v>10160.799999999999</c:v>
                </c:pt>
                <c:pt idx="434">
                  <c:v>10218.799999999999</c:v>
                </c:pt>
                <c:pt idx="435">
                  <c:v>10340.799999999999</c:v>
                </c:pt>
                <c:pt idx="436">
                  <c:v>10415.299999999999</c:v>
                </c:pt>
                <c:pt idx="437">
                  <c:v>10489.8</c:v>
                </c:pt>
                <c:pt idx="438">
                  <c:v>10789.8</c:v>
                </c:pt>
                <c:pt idx="439">
                  <c:v>10888.8</c:v>
                </c:pt>
                <c:pt idx="440">
                  <c:v>10988.8</c:v>
                </c:pt>
                <c:pt idx="441">
                  <c:v>11004.5</c:v>
                </c:pt>
                <c:pt idx="442">
                  <c:v>11024.5</c:v>
                </c:pt>
                <c:pt idx="443">
                  <c:v>11036.5</c:v>
                </c:pt>
                <c:pt idx="444">
                  <c:v>11056.2</c:v>
                </c:pt>
                <c:pt idx="445">
                  <c:v>11131.2</c:v>
                </c:pt>
                <c:pt idx="446">
                  <c:v>11251.2</c:v>
                </c:pt>
                <c:pt idx="447">
                  <c:v>11252.2</c:v>
                </c:pt>
                <c:pt idx="448">
                  <c:v>11253.2</c:v>
                </c:pt>
                <c:pt idx="449">
                  <c:v>11254.2</c:v>
                </c:pt>
                <c:pt idx="450">
                  <c:v>11255.2</c:v>
                </c:pt>
                <c:pt idx="451">
                  <c:v>11256.2</c:v>
                </c:pt>
                <c:pt idx="452">
                  <c:v>11257.2</c:v>
                </c:pt>
                <c:pt idx="453">
                  <c:v>11258.2</c:v>
                </c:pt>
                <c:pt idx="454">
                  <c:v>11260.2</c:v>
                </c:pt>
                <c:pt idx="455">
                  <c:v>11292.7</c:v>
                </c:pt>
                <c:pt idx="456">
                  <c:v>11350.2</c:v>
                </c:pt>
                <c:pt idx="457">
                  <c:v>11465.2</c:v>
                </c:pt>
                <c:pt idx="458">
                  <c:v>11482</c:v>
                </c:pt>
                <c:pt idx="459">
                  <c:v>11483</c:v>
                </c:pt>
                <c:pt idx="460">
                  <c:v>11485.8</c:v>
                </c:pt>
                <c:pt idx="461">
                  <c:v>11490.8</c:v>
                </c:pt>
                <c:pt idx="462">
                  <c:v>11495.8</c:v>
                </c:pt>
                <c:pt idx="463">
                  <c:v>11497.099999999999</c:v>
                </c:pt>
                <c:pt idx="464">
                  <c:v>11498.099999999999</c:v>
                </c:pt>
                <c:pt idx="465">
                  <c:v>11518.099999999999</c:v>
                </c:pt>
                <c:pt idx="466">
                  <c:v>11522.999999999998</c:v>
                </c:pt>
                <c:pt idx="467">
                  <c:v>11527.899999999998</c:v>
                </c:pt>
                <c:pt idx="468">
                  <c:v>11539.899999999998</c:v>
                </c:pt>
                <c:pt idx="469">
                  <c:v>11540.899999999998</c:v>
                </c:pt>
                <c:pt idx="470">
                  <c:v>11545.899999999998</c:v>
                </c:pt>
                <c:pt idx="471">
                  <c:v>11547.499999999998</c:v>
                </c:pt>
                <c:pt idx="472">
                  <c:v>11549.099999999999</c:v>
                </c:pt>
                <c:pt idx="473">
                  <c:v>11559.099999999999</c:v>
                </c:pt>
                <c:pt idx="474">
                  <c:v>11629.099999999999</c:v>
                </c:pt>
                <c:pt idx="475">
                  <c:v>11635.099999999999</c:v>
                </c:pt>
                <c:pt idx="476">
                  <c:v>11640.099999999999</c:v>
                </c:pt>
                <c:pt idx="477">
                  <c:v>11645.099999999999</c:v>
                </c:pt>
                <c:pt idx="478">
                  <c:v>11648.099999999999</c:v>
                </c:pt>
                <c:pt idx="479">
                  <c:v>11828.099999999999</c:v>
                </c:pt>
                <c:pt idx="480">
                  <c:v>11843.8</c:v>
                </c:pt>
                <c:pt idx="481">
                  <c:v>12043.8</c:v>
                </c:pt>
                <c:pt idx="482">
                  <c:v>12063.8</c:v>
                </c:pt>
                <c:pt idx="483">
                  <c:v>12290.8</c:v>
                </c:pt>
                <c:pt idx="484">
                  <c:v>12373.8</c:v>
                </c:pt>
                <c:pt idx="485">
                  <c:v>12573.8</c:v>
                </c:pt>
                <c:pt idx="486">
                  <c:v>12653.8</c:v>
                </c:pt>
                <c:pt idx="487">
                  <c:v>12654.8</c:v>
                </c:pt>
                <c:pt idx="488">
                  <c:v>12655.8</c:v>
                </c:pt>
                <c:pt idx="489">
                  <c:v>12656.8</c:v>
                </c:pt>
                <c:pt idx="490">
                  <c:v>12657.8</c:v>
                </c:pt>
                <c:pt idx="491">
                  <c:v>12658.8</c:v>
                </c:pt>
                <c:pt idx="492">
                  <c:v>12659.8</c:v>
                </c:pt>
                <c:pt idx="493">
                  <c:v>12919.8</c:v>
                </c:pt>
                <c:pt idx="494">
                  <c:v>13060.8</c:v>
                </c:pt>
                <c:pt idx="495">
                  <c:v>13219.8</c:v>
                </c:pt>
                <c:pt idx="496">
                  <c:v>13399.8</c:v>
                </c:pt>
                <c:pt idx="497">
                  <c:v>13404.8</c:v>
                </c:pt>
                <c:pt idx="498">
                  <c:v>13554.8</c:v>
                </c:pt>
                <c:pt idx="499">
                  <c:v>13614.8</c:v>
                </c:pt>
                <c:pt idx="500">
                  <c:v>13689.699999999999</c:v>
                </c:pt>
                <c:pt idx="501">
                  <c:v>13824.4</c:v>
                </c:pt>
                <c:pt idx="502">
                  <c:v>13951.4</c:v>
                </c:pt>
                <c:pt idx="503">
                  <c:v>14191.4</c:v>
                </c:pt>
                <c:pt idx="504">
                  <c:v>14211.4</c:v>
                </c:pt>
                <c:pt idx="505">
                  <c:v>14261.8</c:v>
                </c:pt>
                <c:pt idx="506">
                  <c:v>14331.9</c:v>
                </c:pt>
                <c:pt idx="507">
                  <c:v>14344.9</c:v>
                </c:pt>
                <c:pt idx="508">
                  <c:v>14364.9</c:v>
                </c:pt>
                <c:pt idx="509">
                  <c:v>14444.9</c:v>
                </c:pt>
                <c:pt idx="510">
                  <c:v>14512.9</c:v>
                </c:pt>
                <c:pt idx="511">
                  <c:v>14612.9</c:v>
                </c:pt>
                <c:pt idx="512">
                  <c:v>14614.5</c:v>
                </c:pt>
                <c:pt idx="513">
                  <c:v>14814.5</c:v>
                </c:pt>
                <c:pt idx="514">
                  <c:v>15064.5</c:v>
                </c:pt>
                <c:pt idx="515">
                  <c:v>15069.4</c:v>
                </c:pt>
                <c:pt idx="516">
                  <c:v>15071.8</c:v>
                </c:pt>
                <c:pt idx="517">
                  <c:v>15076.699999999999</c:v>
                </c:pt>
                <c:pt idx="518">
                  <c:v>15151.199999999999</c:v>
                </c:pt>
                <c:pt idx="519">
                  <c:v>15171.199999999999</c:v>
                </c:pt>
                <c:pt idx="520">
                  <c:v>15198.599999999999</c:v>
                </c:pt>
                <c:pt idx="521">
                  <c:v>15339.199999999999</c:v>
                </c:pt>
                <c:pt idx="522">
                  <c:v>15446.199999999999</c:v>
                </c:pt>
                <c:pt idx="523">
                  <c:v>15449.099999999999</c:v>
                </c:pt>
              </c:numCache>
            </c:numRef>
          </c:xVal>
          <c:yVal>
            <c:numRef>
              <c:f>'CdTe Capacity from eia'!$C$2:$C$525</c:f>
              <c:numCache>
                <c:formatCode>General</c:formatCode>
                <c:ptCount val="524"/>
                <c:pt idx="0">
                  <c:v>2001</c:v>
                </c:pt>
                <c:pt idx="1">
                  <c:v>2008</c:v>
                </c:pt>
                <c:pt idx="2">
                  <c:v>2008</c:v>
                </c:pt>
                <c:pt idx="3">
                  <c:v>2009</c:v>
                </c:pt>
                <c:pt idx="4">
                  <c:v>2009</c:v>
                </c:pt>
                <c:pt idx="5">
                  <c:v>2009</c:v>
                </c:pt>
                <c:pt idx="6">
                  <c:v>2009</c:v>
                </c:pt>
                <c:pt idx="7">
                  <c:v>2009</c:v>
                </c:pt>
                <c:pt idx="8">
                  <c:v>2009</c:v>
                </c:pt>
                <c:pt idx="9">
                  <c:v>2009</c:v>
                </c:pt>
                <c:pt idx="10">
                  <c:v>2009</c:v>
                </c:pt>
                <c:pt idx="11">
                  <c:v>2009</c:v>
                </c:pt>
                <c:pt idx="12">
                  <c:v>2010</c:v>
                </c:pt>
                <c:pt idx="13">
                  <c:v>2010</c:v>
                </c:pt>
                <c:pt idx="14">
                  <c:v>2010</c:v>
                </c:pt>
                <c:pt idx="15">
                  <c:v>2010</c:v>
                </c:pt>
                <c:pt idx="16">
                  <c:v>2010</c:v>
                </c:pt>
                <c:pt idx="17">
                  <c:v>2010</c:v>
                </c:pt>
                <c:pt idx="18">
                  <c:v>2010</c:v>
                </c:pt>
                <c:pt idx="19">
                  <c:v>2010</c:v>
                </c:pt>
                <c:pt idx="20">
                  <c:v>2010</c:v>
                </c:pt>
                <c:pt idx="21">
                  <c:v>2010</c:v>
                </c:pt>
                <c:pt idx="22">
                  <c:v>2011</c:v>
                </c:pt>
                <c:pt idx="23">
                  <c:v>2011</c:v>
                </c:pt>
                <c:pt idx="24">
                  <c:v>2011</c:v>
                </c:pt>
                <c:pt idx="25">
                  <c:v>2011</c:v>
                </c:pt>
                <c:pt idx="26">
                  <c:v>2011</c:v>
                </c:pt>
                <c:pt idx="27">
                  <c:v>2011</c:v>
                </c:pt>
                <c:pt idx="28">
                  <c:v>2011</c:v>
                </c:pt>
                <c:pt idx="29">
                  <c:v>2011</c:v>
                </c:pt>
                <c:pt idx="30">
                  <c:v>2011</c:v>
                </c:pt>
                <c:pt idx="31">
                  <c:v>2011</c:v>
                </c:pt>
                <c:pt idx="32">
                  <c:v>2011</c:v>
                </c:pt>
                <c:pt idx="33">
                  <c:v>2011</c:v>
                </c:pt>
                <c:pt idx="34">
                  <c:v>2011</c:v>
                </c:pt>
                <c:pt idx="35">
                  <c:v>2012</c:v>
                </c:pt>
                <c:pt idx="36">
                  <c:v>2012</c:v>
                </c:pt>
                <c:pt idx="37">
                  <c:v>2012</c:v>
                </c:pt>
                <c:pt idx="38">
                  <c:v>2012</c:v>
                </c:pt>
                <c:pt idx="39">
                  <c:v>2012</c:v>
                </c:pt>
                <c:pt idx="40">
                  <c:v>2012</c:v>
                </c:pt>
                <c:pt idx="41">
                  <c:v>2012</c:v>
                </c:pt>
                <c:pt idx="42">
                  <c:v>2012</c:v>
                </c:pt>
                <c:pt idx="43">
                  <c:v>2012</c:v>
                </c:pt>
                <c:pt idx="44">
                  <c:v>2013</c:v>
                </c:pt>
                <c:pt idx="45">
                  <c:v>2013</c:v>
                </c:pt>
                <c:pt idx="46">
                  <c:v>2013</c:v>
                </c:pt>
                <c:pt idx="47">
                  <c:v>2013</c:v>
                </c:pt>
                <c:pt idx="48">
                  <c:v>2013</c:v>
                </c:pt>
                <c:pt idx="49">
                  <c:v>2013</c:v>
                </c:pt>
                <c:pt idx="50">
                  <c:v>2013</c:v>
                </c:pt>
                <c:pt idx="51">
                  <c:v>2013</c:v>
                </c:pt>
                <c:pt idx="52">
                  <c:v>2013</c:v>
                </c:pt>
                <c:pt idx="53">
                  <c:v>2013</c:v>
                </c:pt>
                <c:pt idx="54">
                  <c:v>2013</c:v>
                </c:pt>
                <c:pt idx="55">
                  <c:v>2013</c:v>
                </c:pt>
                <c:pt idx="56">
                  <c:v>2013</c:v>
                </c:pt>
                <c:pt idx="57">
                  <c:v>2013</c:v>
                </c:pt>
                <c:pt idx="58">
                  <c:v>2013</c:v>
                </c:pt>
                <c:pt idx="59">
                  <c:v>2013</c:v>
                </c:pt>
                <c:pt idx="60">
                  <c:v>2013</c:v>
                </c:pt>
                <c:pt idx="61">
                  <c:v>2013</c:v>
                </c:pt>
                <c:pt idx="62">
                  <c:v>2013</c:v>
                </c:pt>
                <c:pt idx="63">
                  <c:v>2013</c:v>
                </c:pt>
                <c:pt idx="64">
                  <c:v>2013</c:v>
                </c:pt>
                <c:pt idx="65">
                  <c:v>2013</c:v>
                </c:pt>
                <c:pt idx="66">
                  <c:v>2013</c:v>
                </c:pt>
                <c:pt idx="67">
                  <c:v>2013</c:v>
                </c:pt>
                <c:pt idx="68">
                  <c:v>2013</c:v>
                </c:pt>
                <c:pt idx="69">
                  <c:v>2013</c:v>
                </c:pt>
                <c:pt idx="70">
                  <c:v>2013</c:v>
                </c:pt>
                <c:pt idx="71">
                  <c:v>2014</c:v>
                </c:pt>
                <c:pt idx="72">
                  <c:v>2014</c:v>
                </c:pt>
                <c:pt idx="73">
                  <c:v>2014</c:v>
                </c:pt>
                <c:pt idx="74">
                  <c:v>2014</c:v>
                </c:pt>
                <c:pt idx="75">
                  <c:v>2014</c:v>
                </c:pt>
                <c:pt idx="76">
                  <c:v>2014</c:v>
                </c:pt>
                <c:pt idx="77">
                  <c:v>2014</c:v>
                </c:pt>
                <c:pt idx="78">
                  <c:v>2014</c:v>
                </c:pt>
                <c:pt idx="79">
                  <c:v>2014</c:v>
                </c:pt>
                <c:pt idx="80">
                  <c:v>2014</c:v>
                </c:pt>
                <c:pt idx="81">
                  <c:v>2014</c:v>
                </c:pt>
                <c:pt idx="82">
                  <c:v>2014</c:v>
                </c:pt>
                <c:pt idx="83">
                  <c:v>2014</c:v>
                </c:pt>
                <c:pt idx="84">
                  <c:v>2014</c:v>
                </c:pt>
                <c:pt idx="85">
                  <c:v>2014</c:v>
                </c:pt>
                <c:pt idx="86">
                  <c:v>2014</c:v>
                </c:pt>
                <c:pt idx="87">
                  <c:v>2014</c:v>
                </c:pt>
                <c:pt idx="88">
                  <c:v>2014</c:v>
                </c:pt>
                <c:pt idx="89">
                  <c:v>2014</c:v>
                </c:pt>
                <c:pt idx="90">
                  <c:v>2014</c:v>
                </c:pt>
                <c:pt idx="91">
                  <c:v>2014</c:v>
                </c:pt>
                <c:pt idx="92">
                  <c:v>2014</c:v>
                </c:pt>
                <c:pt idx="93">
                  <c:v>2014</c:v>
                </c:pt>
                <c:pt idx="94">
                  <c:v>2014</c:v>
                </c:pt>
                <c:pt idx="95">
                  <c:v>2014</c:v>
                </c:pt>
                <c:pt idx="96">
                  <c:v>2014</c:v>
                </c:pt>
                <c:pt idx="97">
                  <c:v>2014</c:v>
                </c:pt>
                <c:pt idx="98">
                  <c:v>2014</c:v>
                </c:pt>
                <c:pt idx="99">
                  <c:v>2014</c:v>
                </c:pt>
                <c:pt idx="100">
                  <c:v>2014</c:v>
                </c:pt>
                <c:pt idx="101">
                  <c:v>2014</c:v>
                </c:pt>
                <c:pt idx="102">
                  <c:v>2014</c:v>
                </c:pt>
                <c:pt idx="103">
                  <c:v>2014</c:v>
                </c:pt>
                <c:pt idx="104">
                  <c:v>2014</c:v>
                </c:pt>
                <c:pt idx="105">
                  <c:v>2014</c:v>
                </c:pt>
                <c:pt idx="106">
                  <c:v>2014</c:v>
                </c:pt>
                <c:pt idx="107">
                  <c:v>2014</c:v>
                </c:pt>
                <c:pt idx="108">
                  <c:v>2014</c:v>
                </c:pt>
                <c:pt idx="109">
                  <c:v>2014</c:v>
                </c:pt>
                <c:pt idx="110">
                  <c:v>2014</c:v>
                </c:pt>
                <c:pt idx="111">
                  <c:v>2014</c:v>
                </c:pt>
                <c:pt idx="112">
                  <c:v>2015</c:v>
                </c:pt>
                <c:pt idx="113">
                  <c:v>2015</c:v>
                </c:pt>
                <c:pt idx="114">
                  <c:v>2015</c:v>
                </c:pt>
                <c:pt idx="115">
                  <c:v>2015</c:v>
                </c:pt>
                <c:pt idx="116">
                  <c:v>2015</c:v>
                </c:pt>
                <c:pt idx="117">
                  <c:v>2015</c:v>
                </c:pt>
                <c:pt idx="118">
                  <c:v>2015</c:v>
                </c:pt>
                <c:pt idx="119">
                  <c:v>2015</c:v>
                </c:pt>
                <c:pt idx="120">
                  <c:v>2015</c:v>
                </c:pt>
                <c:pt idx="121">
                  <c:v>2015</c:v>
                </c:pt>
                <c:pt idx="122">
                  <c:v>2015</c:v>
                </c:pt>
                <c:pt idx="123">
                  <c:v>2015</c:v>
                </c:pt>
                <c:pt idx="124">
                  <c:v>2015</c:v>
                </c:pt>
                <c:pt idx="125">
                  <c:v>2015</c:v>
                </c:pt>
                <c:pt idx="126">
                  <c:v>2015</c:v>
                </c:pt>
                <c:pt idx="127">
                  <c:v>2015</c:v>
                </c:pt>
                <c:pt idx="128">
                  <c:v>2015</c:v>
                </c:pt>
                <c:pt idx="129">
                  <c:v>2015</c:v>
                </c:pt>
                <c:pt idx="130">
                  <c:v>2015</c:v>
                </c:pt>
                <c:pt idx="131">
                  <c:v>2015</c:v>
                </c:pt>
                <c:pt idx="132">
                  <c:v>2015</c:v>
                </c:pt>
                <c:pt idx="133">
                  <c:v>2015</c:v>
                </c:pt>
                <c:pt idx="134">
                  <c:v>2015</c:v>
                </c:pt>
                <c:pt idx="135">
                  <c:v>2015</c:v>
                </c:pt>
                <c:pt idx="136">
                  <c:v>2015</c:v>
                </c:pt>
                <c:pt idx="137">
                  <c:v>2015</c:v>
                </c:pt>
                <c:pt idx="138">
                  <c:v>2015</c:v>
                </c:pt>
                <c:pt idx="139">
                  <c:v>2015</c:v>
                </c:pt>
                <c:pt idx="140">
                  <c:v>2015</c:v>
                </c:pt>
                <c:pt idx="141">
                  <c:v>2015</c:v>
                </c:pt>
                <c:pt idx="142">
                  <c:v>2015</c:v>
                </c:pt>
                <c:pt idx="143">
                  <c:v>2015</c:v>
                </c:pt>
                <c:pt idx="144">
                  <c:v>2015</c:v>
                </c:pt>
                <c:pt idx="145">
                  <c:v>2015</c:v>
                </c:pt>
                <c:pt idx="146">
                  <c:v>2015</c:v>
                </c:pt>
                <c:pt idx="147">
                  <c:v>2015</c:v>
                </c:pt>
                <c:pt idx="148">
                  <c:v>2015</c:v>
                </c:pt>
                <c:pt idx="149">
                  <c:v>2015</c:v>
                </c:pt>
                <c:pt idx="150">
                  <c:v>2015</c:v>
                </c:pt>
                <c:pt idx="151">
                  <c:v>2015</c:v>
                </c:pt>
                <c:pt idx="152">
                  <c:v>2015</c:v>
                </c:pt>
                <c:pt idx="153">
                  <c:v>2015</c:v>
                </c:pt>
                <c:pt idx="154">
                  <c:v>2015</c:v>
                </c:pt>
                <c:pt idx="155">
                  <c:v>2015</c:v>
                </c:pt>
                <c:pt idx="156">
                  <c:v>2015</c:v>
                </c:pt>
                <c:pt idx="157">
                  <c:v>2015</c:v>
                </c:pt>
                <c:pt idx="158">
                  <c:v>2015</c:v>
                </c:pt>
                <c:pt idx="159">
                  <c:v>2015</c:v>
                </c:pt>
                <c:pt idx="160">
                  <c:v>2015</c:v>
                </c:pt>
                <c:pt idx="161">
                  <c:v>2016</c:v>
                </c:pt>
                <c:pt idx="162">
                  <c:v>2016</c:v>
                </c:pt>
                <c:pt idx="163">
                  <c:v>2016</c:v>
                </c:pt>
                <c:pt idx="164">
                  <c:v>2016</c:v>
                </c:pt>
                <c:pt idx="165">
                  <c:v>2016</c:v>
                </c:pt>
                <c:pt idx="166">
                  <c:v>2016</c:v>
                </c:pt>
                <c:pt idx="167">
                  <c:v>2016</c:v>
                </c:pt>
                <c:pt idx="168">
                  <c:v>2016</c:v>
                </c:pt>
                <c:pt idx="169">
                  <c:v>2016</c:v>
                </c:pt>
                <c:pt idx="170">
                  <c:v>2016</c:v>
                </c:pt>
                <c:pt idx="171">
                  <c:v>2016</c:v>
                </c:pt>
                <c:pt idx="172">
                  <c:v>2016</c:v>
                </c:pt>
                <c:pt idx="173">
                  <c:v>2016</c:v>
                </c:pt>
                <c:pt idx="174">
                  <c:v>2016</c:v>
                </c:pt>
                <c:pt idx="175">
                  <c:v>2016</c:v>
                </c:pt>
                <c:pt idx="176">
                  <c:v>2016</c:v>
                </c:pt>
                <c:pt idx="177">
                  <c:v>2016</c:v>
                </c:pt>
                <c:pt idx="178">
                  <c:v>2016</c:v>
                </c:pt>
                <c:pt idx="179">
                  <c:v>2016</c:v>
                </c:pt>
                <c:pt idx="180">
                  <c:v>2016</c:v>
                </c:pt>
                <c:pt idx="181">
                  <c:v>2016</c:v>
                </c:pt>
                <c:pt idx="182">
                  <c:v>2016</c:v>
                </c:pt>
                <c:pt idx="183">
                  <c:v>2016</c:v>
                </c:pt>
                <c:pt idx="184">
                  <c:v>2016</c:v>
                </c:pt>
                <c:pt idx="185">
                  <c:v>2016</c:v>
                </c:pt>
                <c:pt idx="186">
                  <c:v>2016</c:v>
                </c:pt>
                <c:pt idx="187">
                  <c:v>2016</c:v>
                </c:pt>
                <c:pt idx="188">
                  <c:v>2016</c:v>
                </c:pt>
                <c:pt idx="189">
                  <c:v>2016</c:v>
                </c:pt>
                <c:pt idx="190">
                  <c:v>2016</c:v>
                </c:pt>
                <c:pt idx="191">
                  <c:v>2016</c:v>
                </c:pt>
                <c:pt idx="192">
                  <c:v>2016</c:v>
                </c:pt>
                <c:pt idx="193">
                  <c:v>2016</c:v>
                </c:pt>
                <c:pt idx="194">
                  <c:v>2016</c:v>
                </c:pt>
                <c:pt idx="195">
                  <c:v>2016</c:v>
                </c:pt>
                <c:pt idx="196">
                  <c:v>2016</c:v>
                </c:pt>
                <c:pt idx="197">
                  <c:v>2016</c:v>
                </c:pt>
                <c:pt idx="198">
                  <c:v>2016</c:v>
                </c:pt>
                <c:pt idx="199">
                  <c:v>2016</c:v>
                </c:pt>
                <c:pt idx="200">
                  <c:v>2016</c:v>
                </c:pt>
                <c:pt idx="201">
                  <c:v>2016</c:v>
                </c:pt>
                <c:pt idx="202">
                  <c:v>2016</c:v>
                </c:pt>
                <c:pt idx="203">
                  <c:v>2016</c:v>
                </c:pt>
                <c:pt idx="204">
                  <c:v>2016</c:v>
                </c:pt>
                <c:pt idx="205">
                  <c:v>2016</c:v>
                </c:pt>
                <c:pt idx="206">
                  <c:v>2016</c:v>
                </c:pt>
                <c:pt idx="207">
                  <c:v>2016</c:v>
                </c:pt>
                <c:pt idx="208">
                  <c:v>2016</c:v>
                </c:pt>
                <c:pt idx="209">
                  <c:v>2016</c:v>
                </c:pt>
                <c:pt idx="210">
                  <c:v>2016</c:v>
                </c:pt>
                <c:pt idx="211">
                  <c:v>2016</c:v>
                </c:pt>
                <c:pt idx="212">
                  <c:v>2016</c:v>
                </c:pt>
                <c:pt idx="213">
                  <c:v>2016</c:v>
                </c:pt>
                <c:pt idx="214">
                  <c:v>2016</c:v>
                </c:pt>
                <c:pt idx="215">
                  <c:v>2016</c:v>
                </c:pt>
                <c:pt idx="216">
                  <c:v>2016</c:v>
                </c:pt>
                <c:pt idx="217">
                  <c:v>2016</c:v>
                </c:pt>
                <c:pt idx="218">
                  <c:v>2016</c:v>
                </c:pt>
                <c:pt idx="219">
                  <c:v>2016</c:v>
                </c:pt>
                <c:pt idx="220">
                  <c:v>2016</c:v>
                </c:pt>
                <c:pt idx="221">
                  <c:v>2016</c:v>
                </c:pt>
                <c:pt idx="222">
                  <c:v>2016</c:v>
                </c:pt>
                <c:pt idx="223">
                  <c:v>2016</c:v>
                </c:pt>
                <c:pt idx="224">
                  <c:v>2016</c:v>
                </c:pt>
                <c:pt idx="225">
                  <c:v>2016</c:v>
                </c:pt>
                <c:pt idx="226">
                  <c:v>2016</c:v>
                </c:pt>
                <c:pt idx="227">
                  <c:v>2016</c:v>
                </c:pt>
                <c:pt idx="228">
                  <c:v>2017</c:v>
                </c:pt>
                <c:pt idx="229">
                  <c:v>2017</c:v>
                </c:pt>
                <c:pt idx="230">
                  <c:v>2017</c:v>
                </c:pt>
                <c:pt idx="231">
                  <c:v>2017</c:v>
                </c:pt>
                <c:pt idx="232">
                  <c:v>2017</c:v>
                </c:pt>
                <c:pt idx="233">
                  <c:v>2017</c:v>
                </c:pt>
                <c:pt idx="234">
                  <c:v>2017</c:v>
                </c:pt>
                <c:pt idx="235">
                  <c:v>2017</c:v>
                </c:pt>
                <c:pt idx="236">
                  <c:v>2017</c:v>
                </c:pt>
                <c:pt idx="237">
                  <c:v>2017</c:v>
                </c:pt>
                <c:pt idx="238">
                  <c:v>2017</c:v>
                </c:pt>
                <c:pt idx="239">
                  <c:v>2017</c:v>
                </c:pt>
                <c:pt idx="240">
                  <c:v>2017</c:v>
                </c:pt>
                <c:pt idx="241">
                  <c:v>2017</c:v>
                </c:pt>
                <c:pt idx="242">
                  <c:v>2017</c:v>
                </c:pt>
                <c:pt idx="243">
                  <c:v>2017</c:v>
                </c:pt>
                <c:pt idx="244">
                  <c:v>2017</c:v>
                </c:pt>
                <c:pt idx="245">
                  <c:v>2017</c:v>
                </c:pt>
                <c:pt idx="246">
                  <c:v>2017</c:v>
                </c:pt>
                <c:pt idx="247">
                  <c:v>2017</c:v>
                </c:pt>
                <c:pt idx="248">
                  <c:v>2017</c:v>
                </c:pt>
                <c:pt idx="249">
                  <c:v>2017</c:v>
                </c:pt>
                <c:pt idx="250">
                  <c:v>2017</c:v>
                </c:pt>
                <c:pt idx="251">
                  <c:v>2017</c:v>
                </c:pt>
                <c:pt idx="252">
                  <c:v>2017</c:v>
                </c:pt>
                <c:pt idx="253">
                  <c:v>2017</c:v>
                </c:pt>
                <c:pt idx="254">
                  <c:v>2017</c:v>
                </c:pt>
                <c:pt idx="255">
                  <c:v>2017</c:v>
                </c:pt>
                <c:pt idx="256">
                  <c:v>2017</c:v>
                </c:pt>
                <c:pt idx="257">
                  <c:v>2017</c:v>
                </c:pt>
                <c:pt idx="258">
                  <c:v>2017</c:v>
                </c:pt>
                <c:pt idx="259">
                  <c:v>2017</c:v>
                </c:pt>
                <c:pt idx="260">
                  <c:v>2017</c:v>
                </c:pt>
                <c:pt idx="261">
                  <c:v>2017</c:v>
                </c:pt>
                <c:pt idx="262">
                  <c:v>2017</c:v>
                </c:pt>
                <c:pt idx="263">
                  <c:v>2017</c:v>
                </c:pt>
                <c:pt idx="264">
                  <c:v>2017</c:v>
                </c:pt>
                <c:pt idx="265">
                  <c:v>2017</c:v>
                </c:pt>
                <c:pt idx="266">
                  <c:v>2017</c:v>
                </c:pt>
                <c:pt idx="267">
                  <c:v>2017</c:v>
                </c:pt>
                <c:pt idx="268">
                  <c:v>2017</c:v>
                </c:pt>
                <c:pt idx="269">
                  <c:v>2017</c:v>
                </c:pt>
                <c:pt idx="270">
                  <c:v>2017</c:v>
                </c:pt>
                <c:pt idx="271">
                  <c:v>2017</c:v>
                </c:pt>
                <c:pt idx="272">
                  <c:v>2017</c:v>
                </c:pt>
                <c:pt idx="273">
                  <c:v>2017</c:v>
                </c:pt>
                <c:pt idx="274">
                  <c:v>2017</c:v>
                </c:pt>
                <c:pt idx="275">
                  <c:v>2017</c:v>
                </c:pt>
                <c:pt idx="276">
                  <c:v>2017</c:v>
                </c:pt>
                <c:pt idx="277">
                  <c:v>2017</c:v>
                </c:pt>
                <c:pt idx="278">
                  <c:v>2017</c:v>
                </c:pt>
                <c:pt idx="279">
                  <c:v>2017</c:v>
                </c:pt>
                <c:pt idx="280">
                  <c:v>2017</c:v>
                </c:pt>
                <c:pt idx="281">
                  <c:v>2017</c:v>
                </c:pt>
                <c:pt idx="282">
                  <c:v>2017</c:v>
                </c:pt>
                <c:pt idx="283">
                  <c:v>2017</c:v>
                </c:pt>
                <c:pt idx="284">
                  <c:v>2017</c:v>
                </c:pt>
                <c:pt idx="285">
                  <c:v>2017</c:v>
                </c:pt>
                <c:pt idx="286">
                  <c:v>2017</c:v>
                </c:pt>
                <c:pt idx="287">
                  <c:v>2017</c:v>
                </c:pt>
                <c:pt idx="288">
                  <c:v>2017</c:v>
                </c:pt>
                <c:pt idx="289">
                  <c:v>2017</c:v>
                </c:pt>
                <c:pt idx="290">
                  <c:v>2017</c:v>
                </c:pt>
                <c:pt idx="291">
                  <c:v>2017</c:v>
                </c:pt>
                <c:pt idx="292">
                  <c:v>2017</c:v>
                </c:pt>
                <c:pt idx="293">
                  <c:v>2017</c:v>
                </c:pt>
                <c:pt idx="294">
                  <c:v>2017</c:v>
                </c:pt>
                <c:pt idx="295">
                  <c:v>2017</c:v>
                </c:pt>
                <c:pt idx="296">
                  <c:v>2017</c:v>
                </c:pt>
                <c:pt idx="297">
                  <c:v>2017</c:v>
                </c:pt>
                <c:pt idx="298">
                  <c:v>2017</c:v>
                </c:pt>
                <c:pt idx="299">
                  <c:v>2017</c:v>
                </c:pt>
                <c:pt idx="300">
                  <c:v>2017</c:v>
                </c:pt>
                <c:pt idx="301">
                  <c:v>2017</c:v>
                </c:pt>
                <c:pt idx="302">
                  <c:v>2017</c:v>
                </c:pt>
                <c:pt idx="303">
                  <c:v>2017</c:v>
                </c:pt>
                <c:pt idx="304">
                  <c:v>2018</c:v>
                </c:pt>
                <c:pt idx="305">
                  <c:v>2018</c:v>
                </c:pt>
                <c:pt idx="306">
                  <c:v>2018</c:v>
                </c:pt>
                <c:pt idx="307">
                  <c:v>2018</c:v>
                </c:pt>
                <c:pt idx="308">
                  <c:v>2018</c:v>
                </c:pt>
                <c:pt idx="309">
                  <c:v>2018</c:v>
                </c:pt>
                <c:pt idx="310">
                  <c:v>2018</c:v>
                </c:pt>
                <c:pt idx="311">
                  <c:v>2018</c:v>
                </c:pt>
                <c:pt idx="312">
                  <c:v>2018</c:v>
                </c:pt>
                <c:pt idx="313">
                  <c:v>2018</c:v>
                </c:pt>
                <c:pt idx="314">
                  <c:v>2018</c:v>
                </c:pt>
                <c:pt idx="315">
                  <c:v>2018</c:v>
                </c:pt>
                <c:pt idx="316">
                  <c:v>2018</c:v>
                </c:pt>
                <c:pt idx="317">
                  <c:v>2018</c:v>
                </c:pt>
                <c:pt idx="318">
                  <c:v>2018</c:v>
                </c:pt>
                <c:pt idx="319">
                  <c:v>2018</c:v>
                </c:pt>
                <c:pt idx="320">
                  <c:v>2018</c:v>
                </c:pt>
                <c:pt idx="321">
                  <c:v>2018</c:v>
                </c:pt>
                <c:pt idx="322">
                  <c:v>2018</c:v>
                </c:pt>
                <c:pt idx="323">
                  <c:v>2018</c:v>
                </c:pt>
                <c:pt idx="324">
                  <c:v>2018</c:v>
                </c:pt>
                <c:pt idx="325">
                  <c:v>2018</c:v>
                </c:pt>
                <c:pt idx="326">
                  <c:v>2018</c:v>
                </c:pt>
                <c:pt idx="327">
                  <c:v>2018</c:v>
                </c:pt>
                <c:pt idx="328">
                  <c:v>2018</c:v>
                </c:pt>
                <c:pt idx="329">
                  <c:v>2018</c:v>
                </c:pt>
                <c:pt idx="330">
                  <c:v>2018</c:v>
                </c:pt>
                <c:pt idx="331">
                  <c:v>2018</c:v>
                </c:pt>
                <c:pt idx="332">
                  <c:v>2018</c:v>
                </c:pt>
                <c:pt idx="333">
                  <c:v>2018</c:v>
                </c:pt>
                <c:pt idx="334">
                  <c:v>2018</c:v>
                </c:pt>
                <c:pt idx="335">
                  <c:v>2018</c:v>
                </c:pt>
                <c:pt idx="336">
                  <c:v>2018</c:v>
                </c:pt>
                <c:pt idx="337">
                  <c:v>2018</c:v>
                </c:pt>
                <c:pt idx="338">
                  <c:v>2018</c:v>
                </c:pt>
                <c:pt idx="339">
                  <c:v>2018</c:v>
                </c:pt>
                <c:pt idx="340">
                  <c:v>2018</c:v>
                </c:pt>
                <c:pt idx="341">
                  <c:v>2018</c:v>
                </c:pt>
                <c:pt idx="342">
                  <c:v>2018</c:v>
                </c:pt>
                <c:pt idx="343">
                  <c:v>2018</c:v>
                </c:pt>
                <c:pt idx="344">
                  <c:v>2018</c:v>
                </c:pt>
                <c:pt idx="345">
                  <c:v>2018</c:v>
                </c:pt>
                <c:pt idx="346">
                  <c:v>2018</c:v>
                </c:pt>
                <c:pt idx="347">
                  <c:v>2018</c:v>
                </c:pt>
                <c:pt idx="348">
                  <c:v>2018</c:v>
                </c:pt>
                <c:pt idx="349">
                  <c:v>2018</c:v>
                </c:pt>
                <c:pt idx="350">
                  <c:v>2018</c:v>
                </c:pt>
                <c:pt idx="351">
                  <c:v>2018</c:v>
                </c:pt>
                <c:pt idx="352">
                  <c:v>2018</c:v>
                </c:pt>
                <c:pt idx="353">
                  <c:v>2018</c:v>
                </c:pt>
                <c:pt idx="354">
                  <c:v>2018</c:v>
                </c:pt>
                <c:pt idx="355">
                  <c:v>2018</c:v>
                </c:pt>
                <c:pt idx="356">
                  <c:v>2018</c:v>
                </c:pt>
                <c:pt idx="357">
                  <c:v>2018</c:v>
                </c:pt>
                <c:pt idx="358">
                  <c:v>2018</c:v>
                </c:pt>
                <c:pt idx="359">
                  <c:v>2018</c:v>
                </c:pt>
                <c:pt idx="360">
                  <c:v>2018</c:v>
                </c:pt>
                <c:pt idx="361">
                  <c:v>2018</c:v>
                </c:pt>
                <c:pt idx="362">
                  <c:v>2018</c:v>
                </c:pt>
                <c:pt idx="363">
                  <c:v>2018</c:v>
                </c:pt>
                <c:pt idx="364">
                  <c:v>2019</c:v>
                </c:pt>
                <c:pt idx="365">
                  <c:v>2019</c:v>
                </c:pt>
                <c:pt idx="366">
                  <c:v>2019</c:v>
                </c:pt>
                <c:pt idx="367">
                  <c:v>2019</c:v>
                </c:pt>
                <c:pt idx="368">
                  <c:v>2019</c:v>
                </c:pt>
                <c:pt idx="369">
                  <c:v>2019</c:v>
                </c:pt>
                <c:pt idx="370">
                  <c:v>2019</c:v>
                </c:pt>
                <c:pt idx="371">
                  <c:v>2019</c:v>
                </c:pt>
                <c:pt idx="372">
                  <c:v>2019</c:v>
                </c:pt>
                <c:pt idx="373">
                  <c:v>2019</c:v>
                </c:pt>
                <c:pt idx="374">
                  <c:v>2019</c:v>
                </c:pt>
                <c:pt idx="375">
                  <c:v>2019</c:v>
                </c:pt>
                <c:pt idx="376">
                  <c:v>2019</c:v>
                </c:pt>
                <c:pt idx="377">
                  <c:v>2019</c:v>
                </c:pt>
                <c:pt idx="378">
                  <c:v>2019</c:v>
                </c:pt>
                <c:pt idx="379">
                  <c:v>2019</c:v>
                </c:pt>
                <c:pt idx="380">
                  <c:v>2019</c:v>
                </c:pt>
                <c:pt idx="381">
                  <c:v>2019</c:v>
                </c:pt>
                <c:pt idx="382">
                  <c:v>2019</c:v>
                </c:pt>
                <c:pt idx="383">
                  <c:v>2019</c:v>
                </c:pt>
                <c:pt idx="384">
                  <c:v>2019</c:v>
                </c:pt>
                <c:pt idx="385">
                  <c:v>2019</c:v>
                </c:pt>
                <c:pt idx="386">
                  <c:v>2019</c:v>
                </c:pt>
                <c:pt idx="387">
                  <c:v>2019</c:v>
                </c:pt>
                <c:pt idx="388">
                  <c:v>2019</c:v>
                </c:pt>
                <c:pt idx="389">
                  <c:v>2019</c:v>
                </c:pt>
                <c:pt idx="390">
                  <c:v>2019</c:v>
                </c:pt>
                <c:pt idx="391">
                  <c:v>2019</c:v>
                </c:pt>
                <c:pt idx="392">
                  <c:v>2019</c:v>
                </c:pt>
                <c:pt idx="393">
                  <c:v>2019</c:v>
                </c:pt>
                <c:pt idx="394">
                  <c:v>2019</c:v>
                </c:pt>
                <c:pt idx="395">
                  <c:v>2019</c:v>
                </c:pt>
                <c:pt idx="396">
                  <c:v>2019</c:v>
                </c:pt>
                <c:pt idx="397">
                  <c:v>2019</c:v>
                </c:pt>
                <c:pt idx="398">
                  <c:v>2019</c:v>
                </c:pt>
                <c:pt idx="399">
                  <c:v>2019</c:v>
                </c:pt>
                <c:pt idx="400">
                  <c:v>2019</c:v>
                </c:pt>
                <c:pt idx="401">
                  <c:v>2019</c:v>
                </c:pt>
                <c:pt idx="402">
                  <c:v>2019</c:v>
                </c:pt>
                <c:pt idx="403">
                  <c:v>2019</c:v>
                </c:pt>
                <c:pt idx="404">
                  <c:v>2019</c:v>
                </c:pt>
                <c:pt idx="405">
                  <c:v>2019</c:v>
                </c:pt>
                <c:pt idx="406">
                  <c:v>2019</c:v>
                </c:pt>
                <c:pt idx="407">
                  <c:v>2019</c:v>
                </c:pt>
                <c:pt idx="408">
                  <c:v>2019</c:v>
                </c:pt>
                <c:pt idx="409">
                  <c:v>2019</c:v>
                </c:pt>
                <c:pt idx="410">
                  <c:v>2019</c:v>
                </c:pt>
                <c:pt idx="411">
                  <c:v>2019</c:v>
                </c:pt>
                <c:pt idx="412">
                  <c:v>2019</c:v>
                </c:pt>
                <c:pt idx="413">
                  <c:v>2019</c:v>
                </c:pt>
                <c:pt idx="414">
                  <c:v>2019</c:v>
                </c:pt>
                <c:pt idx="415">
                  <c:v>2019</c:v>
                </c:pt>
                <c:pt idx="416">
                  <c:v>2019</c:v>
                </c:pt>
                <c:pt idx="417">
                  <c:v>2019</c:v>
                </c:pt>
                <c:pt idx="418">
                  <c:v>2019</c:v>
                </c:pt>
                <c:pt idx="419">
                  <c:v>2020</c:v>
                </c:pt>
                <c:pt idx="420">
                  <c:v>2020</c:v>
                </c:pt>
                <c:pt idx="421">
                  <c:v>2020</c:v>
                </c:pt>
                <c:pt idx="422">
                  <c:v>2020</c:v>
                </c:pt>
                <c:pt idx="423">
                  <c:v>2020</c:v>
                </c:pt>
                <c:pt idx="424">
                  <c:v>2020</c:v>
                </c:pt>
                <c:pt idx="425">
                  <c:v>2020</c:v>
                </c:pt>
                <c:pt idx="426">
                  <c:v>2020</c:v>
                </c:pt>
                <c:pt idx="427">
                  <c:v>2020</c:v>
                </c:pt>
                <c:pt idx="428">
                  <c:v>2020</c:v>
                </c:pt>
                <c:pt idx="429">
                  <c:v>2020</c:v>
                </c:pt>
                <c:pt idx="430">
                  <c:v>2020</c:v>
                </c:pt>
                <c:pt idx="431">
                  <c:v>2020</c:v>
                </c:pt>
                <c:pt idx="432">
                  <c:v>2020</c:v>
                </c:pt>
                <c:pt idx="433">
                  <c:v>2020</c:v>
                </c:pt>
                <c:pt idx="434">
                  <c:v>2020</c:v>
                </c:pt>
                <c:pt idx="435">
                  <c:v>2020</c:v>
                </c:pt>
                <c:pt idx="436">
                  <c:v>2020</c:v>
                </c:pt>
                <c:pt idx="437">
                  <c:v>2020</c:v>
                </c:pt>
                <c:pt idx="438">
                  <c:v>2020</c:v>
                </c:pt>
                <c:pt idx="439">
                  <c:v>2020</c:v>
                </c:pt>
                <c:pt idx="440">
                  <c:v>2020</c:v>
                </c:pt>
                <c:pt idx="441">
                  <c:v>2020</c:v>
                </c:pt>
                <c:pt idx="442">
                  <c:v>2020</c:v>
                </c:pt>
                <c:pt idx="443">
                  <c:v>2020</c:v>
                </c:pt>
                <c:pt idx="444">
                  <c:v>2020</c:v>
                </c:pt>
                <c:pt idx="445">
                  <c:v>2020</c:v>
                </c:pt>
                <c:pt idx="446">
                  <c:v>2020</c:v>
                </c:pt>
                <c:pt idx="447">
                  <c:v>2020</c:v>
                </c:pt>
                <c:pt idx="448">
                  <c:v>2020</c:v>
                </c:pt>
                <c:pt idx="449">
                  <c:v>2020</c:v>
                </c:pt>
                <c:pt idx="450">
                  <c:v>2020</c:v>
                </c:pt>
                <c:pt idx="451">
                  <c:v>2020</c:v>
                </c:pt>
                <c:pt idx="452">
                  <c:v>2020</c:v>
                </c:pt>
                <c:pt idx="453">
                  <c:v>2020</c:v>
                </c:pt>
                <c:pt idx="454">
                  <c:v>2020</c:v>
                </c:pt>
                <c:pt idx="455">
                  <c:v>2020</c:v>
                </c:pt>
                <c:pt idx="456">
                  <c:v>2020</c:v>
                </c:pt>
                <c:pt idx="457">
                  <c:v>2020</c:v>
                </c:pt>
                <c:pt idx="458">
                  <c:v>2020</c:v>
                </c:pt>
                <c:pt idx="459">
                  <c:v>2020</c:v>
                </c:pt>
                <c:pt idx="460">
                  <c:v>2020</c:v>
                </c:pt>
                <c:pt idx="461">
                  <c:v>2020</c:v>
                </c:pt>
                <c:pt idx="462">
                  <c:v>2020</c:v>
                </c:pt>
                <c:pt idx="463">
                  <c:v>2020</c:v>
                </c:pt>
                <c:pt idx="464">
                  <c:v>2020</c:v>
                </c:pt>
                <c:pt idx="465">
                  <c:v>2020</c:v>
                </c:pt>
                <c:pt idx="466">
                  <c:v>2020</c:v>
                </c:pt>
                <c:pt idx="467">
                  <c:v>2020</c:v>
                </c:pt>
                <c:pt idx="468">
                  <c:v>2020</c:v>
                </c:pt>
                <c:pt idx="469">
                  <c:v>2020</c:v>
                </c:pt>
                <c:pt idx="470">
                  <c:v>2020</c:v>
                </c:pt>
                <c:pt idx="471">
                  <c:v>2020</c:v>
                </c:pt>
                <c:pt idx="472">
                  <c:v>2020</c:v>
                </c:pt>
                <c:pt idx="473">
                  <c:v>2020</c:v>
                </c:pt>
                <c:pt idx="474">
                  <c:v>2020</c:v>
                </c:pt>
                <c:pt idx="475">
                  <c:v>2020</c:v>
                </c:pt>
                <c:pt idx="476">
                  <c:v>2020</c:v>
                </c:pt>
                <c:pt idx="477">
                  <c:v>2020</c:v>
                </c:pt>
                <c:pt idx="478">
                  <c:v>2020</c:v>
                </c:pt>
                <c:pt idx="479">
                  <c:v>2021</c:v>
                </c:pt>
                <c:pt idx="480">
                  <c:v>2021</c:v>
                </c:pt>
                <c:pt idx="481">
                  <c:v>2021</c:v>
                </c:pt>
                <c:pt idx="482">
                  <c:v>2021</c:v>
                </c:pt>
                <c:pt idx="483">
                  <c:v>2021</c:v>
                </c:pt>
                <c:pt idx="484">
                  <c:v>2021</c:v>
                </c:pt>
                <c:pt idx="485">
                  <c:v>2021</c:v>
                </c:pt>
                <c:pt idx="486">
                  <c:v>2021</c:v>
                </c:pt>
                <c:pt idx="487">
                  <c:v>2021</c:v>
                </c:pt>
                <c:pt idx="488">
                  <c:v>2021</c:v>
                </c:pt>
                <c:pt idx="489">
                  <c:v>2021</c:v>
                </c:pt>
                <c:pt idx="490">
                  <c:v>2021</c:v>
                </c:pt>
                <c:pt idx="491">
                  <c:v>2021</c:v>
                </c:pt>
                <c:pt idx="492">
                  <c:v>2021</c:v>
                </c:pt>
                <c:pt idx="493">
                  <c:v>2021</c:v>
                </c:pt>
                <c:pt idx="494">
                  <c:v>2021</c:v>
                </c:pt>
                <c:pt idx="495">
                  <c:v>2021</c:v>
                </c:pt>
                <c:pt idx="496">
                  <c:v>2021</c:v>
                </c:pt>
                <c:pt idx="497">
                  <c:v>2021</c:v>
                </c:pt>
                <c:pt idx="498">
                  <c:v>2021</c:v>
                </c:pt>
                <c:pt idx="499">
                  <c:v>2021</c:v>
                </c:pt>
                <c:pt idx="500">
                  <c:v>2021</c:v>
                </c:pt>
                <c:pt idx="501">
                  <c:v>2021</c:v>
                </c:pt>
                <c:pt idx="502">
                  <c:v>2021</c:v>
                </c:pt>
                <c:pt idx="503">
                  <c:v>2021</c:v>
                </c:pt>
                <c:pt idx="504">
                  <c:v>2021</c:v>
                </c:pt>
                <c:pt idx="505">
                  <c:v>2021</c:v>
                </c:pt>
                <c:pt idx="506">
                  <c:v>2021</c:v>
                </c:pt>
                <c:pt idx="507">
                  <c:v>2021</c:v>
                </c:pt>
                <c:pt idx="508">
                  <c:v>2021</c:v>
                </c:pt>
                <c:pt idx="509">
                  <c:v>2021</c:v>
                </c:pt>
                <c:pt idx="510">
                  <c:v>2021</c:v>
                </c:pt>
                <c:pt idx="511">
                  <c:v>2021</c:v>
                </c:pt>
                <c:pt idx="512">
                  <c:v>2021</c:v>
                </c:pt>
                <c:pt idx="513">
                  <c:v>2021</c:v>
                </c:pt>
                <c:pt idx="514">
                  <c:v>2021</c:v>
                </c:pt>
                <c:pt idx="515">
                  <c:v>2021</c:v>
                </c:pt>
                <c:pt idx="516">
                  <c:v>2021</c:v>
                </c:pt>
                <c:pt idx="517">
                  <c:v>2021</c:v>
                </c:pt>
                <c:pt idx="518">
                  <c:v>2021</c:v>
                </c:pt>
                <c:pt idx="519">
                  <c:v>2021</c:v>
                </c:pt>
                <c:pt idx="520">
                  <c:v>2021</c:v>
                </c:pt>
                <c:pt idx="521">
                  <c:v>2021</c:v>
                </c:pt>
                <c:pt idx="522">
                  <c:v>2021</c:v>
                </c:pt>
                <c:pt idx="523">
                  <c:v>2021</c:v>
                </c:pt>
              </c:numCache>
            </c:numRef>
          </c:yVal>
          <c:smooth val="0"/>
          <c:extLst>
            <c:ext xmlns:c15="http://schemas.microsoft.com/office/drawing/2012/chart" uri="{02D57815-91ED-43cb-92C2-25804820EDAC}">
              <c15:filteredSeriesTitle>
                <c15:tx>
                  <c:strRef>
                    <c:extLst>
                      <c:ext uri="{02D57815-91ED-43cb-92C2-25804820EDAC}">
                        <c15:formulaRef>
                          <c15:sqref>'CdTe Capacity from eia'!#REF!</c15:sqref>
                        </c15:formulaRef>
                      </c:ext>
                    </c:extLst>
                    <c:strCache>
                      <c:ptCount val="1"/>
                      <c:pt idx="0">
                        <c:v>#REF!</c:v>
                      </c:pt>
                    </c:strCache>
                  </c:strRef>
                </c15:tx>
              </c15:filteredSeriesTitle>
            </c:ext>
            <c:ext xmlns:c16="http://schemas.microsoft.com/office/drawing/2014/chart" uri="{C3380CC4-5D6E-409C-BE32-E72D297353CC}">
              <c16:uniqueId val="{00000000-11C5-E448-9679-DFD6546F2E27}"/>
            </c:ext>
          </c:extLst>
        </c:ser>
        <c:dLbls>
          <c:showLegendKey val="0"/>
          <c:showVal val="0"/>
          <c:showCatName val="0"/>
          <c:showSerName val="0"/>
          <c:showPercent val="0"/>
          <c:showBubbleSize val="0"/>
        </c:dLbls>
        <c:axId val="103807759"/>
        <c:axId val="777646944"/>
      </c:scatterChart>
      <c:valAx>
        <c:axId val="103807759"/>
        <c:scaling>
          <c:orientation val="minMax"/>
        </c:scaling>
        <c:delete val="0"/>
        <c:axPos val="b"/>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7646944"/>
        <c:crosses val="autoZero"/>
        <c:crossBetween val="midCat"/>
      </c:valAx>
      <c:valAx>
        <c:axId val="7776469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80775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1"/>
          <c:order val="0"/>
          <c:tx>
            <c:strRef>
              <c:f>reeds!$C$1</c:f>
              <c:strCache>
                <c:ptCount val="1"/>
                <c:pt idx="0">
                  <c:v>Rearranged</c:v>
                </c:pt>
              </c:strCache>
            </c:strRef>
          </c:tx>
          <c:spPr>
            <a:solidFill>
              <a:schemeClr val="accent2"/>
            </a:solidFill>
            <a:ln>
              <a:noFill/>
            </a:ln>
            <a:effectLst/>
          </c:spPr>
          <c:invertIfNegative val="0"/>
          <c:cat>
            <c:numRef>
              <c:f>reeds!$A$2:$A$29</c:f>
              <c:numCache>
                <c:formatCode>General</c:formatCode>
                <c:ptCount val="28"/>
                <c:pt idx="0">
                  <c:v>2023</c:v>
                </c:pt>
                <c:pt idx="1">
                  <c:v>2024</c:v>
                </c:pt>
                <c:pt idx="2">
                  <c:v>2025</c:v>
                </c:pt>
                <c:pt idx="3">
                  <c:v>2026</c:v>
                </c:pt>
                <c:pt idx="4">
                  <c:v>2027</c:v>
                </c:pt>
                <c:pt idx="5">
                  <c:v>2028</c:v>
                </c:pt>
                <c:pt idx="6">
                  <c:v>2029</c:v>
                </c:pt>
                <c:pt idx="7">
                  <c:v>2030</c:v>
                </c:pt>
                <c:pt idx="8">
                  <c:v>2031</c:v>
                </c:pt>
                <c:pt idx="9">
                  <c:v>2032</c:v>
                </c:pt>
                <c:pt idx="10">
                  <c:v>2033</c:v>
                </c:pt>
                <c:pt idx="11">
                  <c:v>2034</c:v>
                </c:pt>
                <c:pt idx="12">
                  <c:v>2035</c:v>
                </c:pt>
                <c:pt idx="13">
                  <c:v>2036</c:v>
                </c:pt>
                <c:pt idx="14">
                  <c:v>2037</c:v>
                </c:pt>
                <c:pt idx="15">
                  <c:v>2038</c:v>
                </c:pt>
                <c:pt idx="16">
                  <c:v>2039</c:v>
                </c:pt>
                <c:pt idx="17">
                  <c:v>2040</c:v>
                </c:pt>
                <c:pt idx="18">
                  <c:v>2041</c:v>
                </c:pt>
                <c:pt idx="19">
                  <c:v>2042</c:v>
                </c:pt>
                <c:pt idx="20">
                  <c:v>2043</c:v>
                </c:pt>
                <c:pt idx="21">
                  <c:v>2044</c:v>
                </c:pt>
                <c:pt idx="22">
                  <c:v>2045</c:v>
                </c:pt>
                <c:pt idx="23">
                  <c:v>2046</c:v>
                </c:pt>
                <c:pt idx="24">
                  <c:v>2047</c:v>
                </c:pt>
                <c:pt idx="25">
                  <c:v>2048</c:v>
                </c:pt>
                <c:pt idx="26">
                  <c:v>2049</c:v>
                </c:pt>
                <c:pt idx="27">
                  <c:v>2050</c:v>
                </c:pt>
              </c:numCache>
            </c:numRef>
          </c:cat>
          <c:val>
            <c:numRef>
              <c:f>reeds!$C$2:$C$34</c:f>
              <c:numCache>
                <c:formatCode>General</c:formatCode>
                <c:ptCount val="33"/>
                <c:pt idx="0">
                  <c:v>23596.72896</c:v>
                </c:pt>
                <c:pt idx="1">
                  <c:v>23596.72896</c:v>
                </c:pt>
                <c:pt idx="2">
                  <c:v>24236.415969999998</c:v>
                </c:pt>
                <c:pt idx="3">
                  <c:v>24236.415969999998</c:v>
                </c:pt>
                <c:pt idx="4">
                  <c:v>26258.301319999999</c:v>
                </c:pt>
                <c:pt idx="5">
                  <c:v>26258.301319999999</c:v>
                </c:pt>
                <c:pt idx="6">
                  <c:v>29613.993350000001</c:v>
                </c:pt>
                <c:pt idx="7">
                  <c:v>29613.993350000001</c:v>
                </c:pt>
                <c:pt idx="8">
                  <c:v>35203.627130000001</c:v>
                </c:pt>
                <c:pt idx="9">
                  <c:v>35203.627130000001</c:v>
                </c:pt>
                <c:pt idx="10">
                  <c:v>51033.75604</c:v>
                </c:pt>
                <c:pt idx="11">
                  <c:v>51033.75604</c:v>
                </c:pt>
                <c:pt idx="12">
                  <c:v>57401.30156</c:v>
                </c:pt>
                <c:pt idx="13">
                  <c:v>57401.30156</c:v>
                </c:pt>
                <c:pt idx="14">
                  <c:v>59935.855219999998</c:v>
                </c:pt>
                <c:pt idx="15">
                  <c:v>59935.855219999998</c:v>
                </c:pt>
                <c:pt idx="16">
                  <c:v>66012.061780000004</c:v>
                </c:pt>
                <c:pt idx="17">
                  <c:v>66012.061780000004</c:v>
                </c:pt>
                <c:pt idx="18">
                  <c:v>67039.351509999993</c:v>
                </c:pt>
                <c:pt idx="19">
                  <c:v>67039.351509999993</c:v>
                </c:pt>
                <c:pt idx="20">
                  <c:v>74146.088489999995</c:v>
                </c:pt>
                <c:pt idx="21">
                  <c:v>74146.088489999995</c:v>
                </c:pt>
                <c:pt idx="22">
                  <c:v>78553.287849999993</c:v>
                </c:pt>
                <c:pt idx="23">
                  <c:v>78553.287849999993</c:v>
                </c:pt>
                <c:pt idx="24">
                  <c:v>81197.986510000002</c:v>
                </c:pt>
                <c:pt idx="25">
                  <c:v>81197.986510000002</c:v>
                </c:pt>
                <c:pt idx="26">
                  <c:v>87426.894740000003</c:v>
                </c:pt>
                <c:pt idx="27">
                  <c:v>87426.894740000003</c:v>
                </c:pt>
              </c:numCache>
            </c:numRef>
          </c:val>
          <c:extLst>
            <c:ext xmlns:c16="http://schemas.microsoft.com/office/drawing/2014/chart" uri="{C3380CC4-5D6E-409C-BE32-E72D297353CC}">
              <c16:uniqueId val="{00000001-A1CE-CA4B-8551-99B8ACBB4B7C}"/>
            </c:ext>
          </c:extLst>
        </c:ser>
        <c:ser>
          <c:idx val="0"/>
          <c:order val="1"/>
          <c:tx>
            <c:v>Actual</c:v>
          </c:tx>
          <c:spPr>
            <a:solidFill>
              <a:schemeClr val="accent1"/>
            </a:solidFill>
            <a:ln>
              <a:noFill/>
            </a:ln>
            <a:effectLst/>
          </c:spPr>
          <c:invertIfNegative val="0"/>
          <c:cat>
            <c:numRef>
              <c:f>reeds!$A$2:$A$29</c:f>
              <c:numCache>
                <c:formatCode>General</c:formatCode>
                <c:ptCount val="28"/>
                <c:pt idx="0">
                  <c:v>2023</c:v>
                </c:pt>
                <c:pt idx="1">
                  <c:v>2024</c:v>
                </c:pt>
                <c:pt idx="2">
                  <c:v>2025</c:v>
                </c:pt>
                <c:pt idx="3">
                  <c:v>2026</c:v>
                </c:pt>
                <c:pt idx="4">
                  <c:v>2027</c:v>
                </c:pt>
                <c:pt idx="5">
                  <c:v>2028</c:v>
                </c:pt>
                <c:pt idx="6">
                  <c:v>2029</c:v>
                </c:pt>
                <c:pt idx="7">
                  <c:v>2030</c:v>
                </c:pt>
                <c:pt idx="8">
                  <c:v>2031</c:v>
                </c:pt>
                <c:pt idx="9">
                  <c:v>2032</c:v>
                </c:pt>
                <c:pt idx="10">
                  <c:v>2033</c:v>
                </c:pt>
                <c:pt idx="11">
                  <c:v>2034</c:v>
                </c:pt>
                <c:pt idx="12">
                  <c:v>2035</c:v>
                </c:pt>
                <c:pt idx="13">
                  <c:v>2036</c:v>
                </c:pt>
                <c:pt idx="14">
                  <c:v>2037</c:v>
                </c:pt>
                <c:pt idx="15">
                  <c:v>2038</c:v>
                </c:pt>
                <c:pt idx="16">
                  <c:v>2039</c:v>
                </c:pt>
                <c:pt idx="17">
                  <c:v>2040</c:v>
                </c:pt>
                <c:pt idx="18">
                  <c:v>2041</c:v>
                </c:pt>
                <c:pt idx="19">
                  <c:v>2042</c:v>
                </c:pt>
                <c:pt idx="20">
                  <c:v>2043</c:v>
                </c:pt>
                <c:pt idx="21">
                  <c:v>2044</c:v>
                </c:pt>
                <c:pt idx="22">
                  <c:v>2045</c:v>
                </c:pt>
                <c:pt idx="23">
                  <c:v>2046</c:v>
                </c:pt>
                <c:pt idx="24">
                  <c:v>2047</c:v>
                </c:pt>
                <c:pt idx="25">
                  <c:v>2048</c:v>
                </c:pt>
                <c:pt idx="26">
                  <c:v>2049</c:v>
                </c:pt>
                <c:pt idx="27">
                  <c:v>2050</c:v>
                </c:pt>
              </c:numCache>
            </c:numRef>
          </c:cat>
          <c:val>
            <c:numRef>
              <c:f>reeds!$B$2:$B$29</c:f>
              <c:numCache>
                <c:formatCode>0</c:formatCode>
                <c:ptCount val="28"/>
                <c:pt idx="0">
                  <c:v>24236.415969999998</c:v>
                </c:pt>
                <c:pt idx="1">
                  <c:v>24236.415969999998</c:v>
                </c:pt>
                <c:pt idx="2">
                  <c:v>74146.088489999995</c:v>
                </c:pt>
                <c:pt idx="3">
                  <c:v>74146.088489999995</c:v>
                </c:pt>
                <c:pt idx="4">
                  <c:v>57401.30156</c:v>
                </c:pt>
                <c:pt idx="5">
                  <c:v>57401.30156</c:v>
                </c:pt>
                <c:pt idx="6">
                  <c:v>81197.986510000002</c:v>
                </c:pt>
                <c:pt idx="7">
                  <c:v>81197.986510000002</c:v>
                </c:pt>
                <c:pt idx="8">
                  <c:v>66012.061780000004</c:v>
                </c:pt>
                <c:pt idx="9">
                  <c:v>66012.061780000004</c:v>
                </c:pt>
                <c:pt idx="10">
                  <c:v>59935.855219999998</c:v>
                </c:pt>
                <c:pt idx="11">
                  <c:v>59935.855219999998</c:v>
                </c:pt>
                <c:pt idx="12">
                  <c:v>67039.351509999993</c:v>
                </c:pt>
                <c:pt idx="13">
                  <c:v>67039.351509999993</c:v>
                </c:pt>
                <c:pt idx="14">
                  <c:v>78553.287849999993</c:v>
                </c:pt>
                <c:pt idx="15">
                  <c:v>78553.287849999993</c:v>
                </c:pt>
                <c:pt idx="16">
                  <c:v>87426.894740000003</c:v>
                </c:pt>
                <c:pt idx="17">
                  <c:v>87426.894740000003</c:v>
                </c:pt>
                <c:pt idx="18">
                  <c:v>26258.301319999999</c:v>
                </c:pt>
                <c:pt idx="19">
                  <c:v>26258.301319999999</c:v>
                </c:pt>
                <c:pt idx="20">
                  <c:v>23596.72896</c:v>
                </c:pt>
                <c:pt idx="21">
                  <c:v>23596.72896</c:v>
                </c:pt>
                <c:pt idx="22">
                  <c:v>29613.993350000001</c:v>
                </c:pt>
                <c:pt idx="23">
                  <c:v>29613.993350000001</c:v>
                </c:pt>
                <c:pt idx="24">
                  <c:v>35203.627130000001</c:v>
                </c:pt>
                <c:pt idx="25">
                  <c:v>35203.627130000001</c:v>
                </c:pt>
                <c:pt idx="26">
                  <c:v>51033.75604</c:v>
                </c:pt>
                <c:pt idx="27">
                  <c:v>51033.75604</c:v>
                </c:pt>
              </c:numCache>
            </c:numRef>
          </c:val>
          <c:extLst>
            <c:ext xmlns:c16="http://schemas.microsoft.com/office/drawing/2014/chart" uri="{C3380CC4-5D6E-409C-BE32-E72D297353CC}">
              <c16:uniqueId val="{00000002-A1CE-CA4B-8551-99B8ACBB4B7C}"/>
            </c:ext>
          </c:extLst>
        </c:ser>
        <c:dLbls>
          <c:showLegendKey val="0"/>
          <c:showVal val="0"/>
          <c:showCatName val="0"/>
          <c:showSerName val="0"/>
          <c:showPercent val="0"/>
          <c:showBubbleSize val="0"/>
        </c:dLbls>
        <c:gapWidth val="219"/>
        <c:overlap val="-27"/>
        <c:axId val="1714122607"/>
        <c:axId val="591346463"/>
      </c:barChart>
      <c:catAx>
        <c:axId val="17141226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27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346463"/>
        <c:crosses val="autoZero"/>
        <c:auto val="1"/>
        <c:lblAlgn val="ctr"/>
        <c:lblOffset val="100"/>
        <c:noMultiLvlLbl val="0"/>
      </c:catAx>
      <c:valAx>
        <c:axId val="5913464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412260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4.xml.rels><?xml version="1.0" encoding="UTF-8" standalone="yes"?>
<Relationships xmlns="http://schemas.openxmlformats.org/package/2006/relationships"><Relationship Id="rId2" Type="http://schemas.openxmlformats.org/officeDocument/2006/relationships/image" Target="../media/image9.png"/><Relationship Id="rId1" Type="http://schemas.openxmlformats.org/officeDocument/2006/relationships/image" Target="../media/image8.png"/></Relationships>
</file>

<file path=xl/drawings/_rels/drawing5.xml.rels><?xml version="1.0" encoding="UTF-8" standalone="yes"?>
<Relationships xmlns="http://schemas.openxmlformats.org/package/2006/relationships"><Relationship Id="rId3" Type="http://schemas.openxmlformats.org/officeDocument/2006/relationships/image" Target="../media/image12.png"/><Relationship Id="rId2" Type="http://schemas.openxmlformats.org/officeDocument/2006/relationships/image" Target="../media/image11.png"/><Relationship Id="rId1" Type="http://schemas.openxmlformats.org/officeDocument/2006/relationships/image" Target="../media/image10.png"/></Relationships>
</file>

<file path=xl/drawings/_rels/drawing6.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5</xdr:col>
      <xdr:colOff>552450</xdr:colOff>
      <xdr:row>14</xdr:row>
      <xdr:rowOff>69850</xdr:rowOff>
    </xdr:from>
    <xdr:to>
      <xdr:col>11</xdr:col>
      <xdr:colOff>171450</xdr:colOff>
      <xdr:row>27</xdr:row>
      <xdr:rowOff>171450</xdr:rowOff>
    </xdr:to>
    <xdr:graphicFrame macro="">
      <xdr:nvGraphicFramePr>
        <xdr:cNvPr id="2" name="Chart 1">
          <a:extLst>
            <a:ext uri="{FF2B5EF4-FFF2-40B4-BE49-F238E27FC236}">
              <a16:creationId xmlns:a16="http://schemas.microsoft.com/office/drawing/2014/main" id="{048F9ACD-819E-E554-7215-1F3A7BB957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23</xdr:col>
      <xdr:colOff>42334</xdr:colOff>
      <xdr:row>0</xdr:row>
      <xdr:rowOff>101599</xdr:rowOff>
    </xdr:from>
    <xdr:to>
      <xdr:col>31</xdr:col>
      <xdr:colOff>630768</xdr:colOff>
      <xdr:row>72</xdr:row>
      <xdr:rowOff>135465</xdr:rowOff>
    </xdr:to>
    <xdr:sp macro="" textlink="">
      <xdr:nvSpPr>
        <xdr:cNvPr id="2" name="TextBox 1">
          <a:extLst>
            <a:ext uri="{FF2B5EF4-FFF2-40B4-BE49-F238E27FC236}">
              <a16:creationId xmlns:a16="http://schemas.microsoft.com/office/drawing/2014/main" id="{77E1CCC8-5019-4E1A-8FCD-FDB08CB6FB95}"/>
            </a:ext>
          </a:extLst>
        </xdr:cNvPr>
        <xdr:cNvSpPr txBox="1"/>
      </xdr:nvSpPr>
      <xdr:spPr>
        <a:xfrm>
          <a:off x="33502601" y="101599"/>
          <a:ext cx="7226300" cy="1469813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u="sng"/>
            <a:t>Assumptions and sources:</a:t>
          </a:r>
        </a:p>
        <a:p>
          <a:pPr marL="171450" indent="-171450">
            <a:buFont typeface="Arial" panose="020B0604020202020204" pitchFamily="34" charset="0"/>
            <a:buChar char="•"/>
          </a:pPr>
          <a:r>
            <a:rPr lang="en-US" sz="1100"/>
            <a:t>US</a:t>
          </a:r>
          <a:r>
            <a:rPr lang="en-US" sz="1100" baseline="0"/>
            <a:t> capacty (MW) and World capacity: from baselines/SupportingMaterial/output-RegionInstalls-alltech.csv</a:t>
          </a:r>
        </a:p>
        <a:p>
          <a:pPr marL="171450" indent="-171450">
            <a:buFont typeface="Arial" panose="020B0604020202020204" pitchFamily="34" charset="0"/>
            <a:buChar char="•"/>
          </a:pPr>
          <a:r>
            <a:rPr lang="en-US" sz="1100"/>
            <a:t>This data was collected from First Solar annual reports collection: https://investor.firstsolar.com/financials/annual-reports/default.aspx </a:t>
          </a:r>
        </a:p>
        <a:p>
          <a:pPr marL="171450" indent="-171450">
            <a:buFont typeface="Arial" panose="020B0604020202020204" pitchFamily="34" charset="0"/>
            <a:buChar char="•"/>
          </a:pPr>
          <a:r>
            <a:rPr lang="en-US" sz="1100"/>
            <a:t>I got the thickness of CdTe based on Matt Reese's comment, he told me it has been 3 um for commercial modules and still is. Moreover, the wafer thickness of Silicon in 2006 was 200 um (according to Wafer_thickness</a:t>
          </a:r>
          <a:r>
            <a:rPr lang="en-US" sz="1100" baseline="0"/>
            <a:t> file from SupportingMaterial in PV ICE)</a:t>
          </a:r>
          <a:r>
            <a:rPr lang="en-US" sz="1100"/>
            <a:t>, 1% of that is 2 um, adding a micron of margin of error is 3 um. Checks out?</a:t>
          </a:r>
        </a:p>
        <a:p>
          <a:endParaRPr lang="en-US" sz="1100"/>
        </a:p>
        <a:p>
          <a:endParaRPr lang="en-US" sz="1100"/>
        </a:p>
        <a:p>
          <a:r>
            <a:rPr lang="en-US" sz="1100" u="sng"/>
            <a:t>Notes from 2006 report:</a:t>
          </a:r>
        </a:p>
        <a:p>
          <a:pPr marL="171450" indent="-171450">
            <a:buFont typeface="Arial" panose="020B0604020202020204" pitchFamily="34" charset="0"/>
            <a:buChar char="•"/>
          </a:pPr>
          <a:r>
            <a:rPr lang="en-US" sz="1100"/>
            <a:t>From FS AR 2006: </a:t>
          </a:r>
          <a:r>
            <a:rPr lang="en-US" sz="1100">
              <a:solidFill>
                <a:schemeClr val="dk1"/>
              </a:solidFill>
              <a:effectLst/>
              <a:latin typeface="+mn-lt"/>
              <a:ea typeface="+mn-ea"/>
              <a:cs typeface="+mn-cs"/>
            </a:rPr>
            <a:t>Relative to the entire solar energy industry, which had a worldwide</a:t>
          </a:r>
          <a:br>
            <a:rPr lang="en-US"/>
          </a:br>
          <a:r>
            <a:rPr lang="en-US" sz="1100">
              <a:solidFill>
                <a:schemeClr val="dk1"/>
              </a:solidFill>
              <a:effectLst/>
              <a:latin typeface="+mn-lt"/>
              <a:ea typeface="+mn-ea"/>
              <a:cs typeface="+mn-cs"/>
            </a:rPr>
            <a:t>installed capacity of 5GW, or 5,000MW, --&gt; actual number with PV ICE baseline is </a:t>
          </a:r>
          <a:r>
            <a:rPr lang="en-US" sz="1100" b="0" i="0" u="none" strike="noStrike">
              <a:solidFill>
                <a:schemeClr val="dk1"/>
              </a:solidFill>
              <a:effectLst/>
              <a:latin typeface="+mn-lt"/>
              <a:ea typeface="+mn-ea"/>
              <a:cs typeface="+mn-cs"/>
            </a:rPr>
            <a:t>4694.28543</a:t>
          </a:r>
          <a:r>
            <a:rPr lang="en-US"/>
            <a:t> </a:t>
          </a:r>
        </a:p>
        <a:p>
          <a:pPr marL="171450" indent="-171450">
            <a:buFont typeface="Arial" panose="020B0604020202020204" pitchFamily="34" charset="0"/>
            <a:buChar char="•"/>
          </a:pPr>
          <a:r>
            <a:rPr lang="en-US" sz="1100">
              <a:solidFill>
                <a:schemeClr val="dk1"/>
              </a:solidFill>
              <a:effectLst/>
              <a:latin typeface="+mn-lt"/>
              <a:ea typeface="+mn-ea"/>
              <a:cs typeface="+mn-cs"/>
            </a:rPr>
            <a:t>Beginning in 2007, we are required to increase the</a:t>
          </a:r>
          <a:br>
            <a:rPr lang="en-US"/>
          </a:br>
          <a:r>
            <a:rPr lang="en-US" sz="1100">
              <a:solidFill>
                <a:schemeClr val="dk1"/>
              </a:solidFill>
              <a:effectLst/>
              <a:latin typeface="+mn-lt"/>
              <a:ea typeface="+mn-ea"/>
              <a:cs typeface="+mn-cs"/>
            </a:rPr>
            <a:t>minimum average number of watts per module by approximately 5% annually between 2007 and 2009, and then by</a:t>
          </a:r>
          <a:br>
            <a:rPr lang="en-US"/>
          </a:br>
          <a:r>
            <a:rPr lang="en-US" sz="1100">
              <a:solidFill>
                <a:schemeClr val="dk1"/>
              </a:solidFill>
              <a:effectLst/>
              <a:latin typeface="+mn-lt"/>
              <a:ea typeface="+mn-ea"/>
              <a:cs typeface="+mn-cs"/>
            </a:rPr>
            <a:t>an additional 3% for modules delivered in 2012. </a:t>
          </a:r>
        </a:p>
        <a:p>
          <a:pPr marL="171450" indent="-171450">
            <a:buFont typeface="Arial" panose="020B0604020202020204" pitchFamily="34" charset="0"/>
            <a:buChar char="•"/>
          </a:pPr>
          <a:r>
            <a:rPr lang="en-US" sz="1100">
              <a:solidFill>
                <a:schemeClr val="dk1"/>
              </a:solidFill>
              <a:effectLst/>
              <a:latin typeface="+mn-lt"/>
              <a:ea typeface="+mn-ea"/>
              <a:cs typeface="+mn-cs"/>
            </a:rPr>
            <a:t>Raw materials, such as tempered back glass, TCO coated front glass,</a:t>
          </a:r>
          <a:br>
            <a:rPr lang="en-US"/>
          </a:br>
          <a:r>
            <a:rPr lang="en-US" sz="1100">
              <a:solidFill>
                <a:schemeClr val="dk1"/>
              </a:solidFill>
              <a:effectLst/>
              <a:latin typeface="+mn-lt"/>
              <a:ea typeface="+mn-ea"/>
              <a:cs typeface="+mn-cs"/>
            </a:rPr>
            <a:t>cadmium telluride, EVA laminate, connector assemblies and laminate edge seal.</a:t>
          </a:r>
        </a:p>
        <a:p>
          <a:pPr marL="171450" indent="-171450">
            <a:buFont typeface="Arial" panose="020B0604020202020204" pitchFamily="34" charset="0"/>
            <a:buChar char="•"/>
          </a:pPr>
          <a:r>
            <a:rPr lang="en-US" sz="1100">
              <a:solidFill>
                <a:schemeClr val="dk1"/>
              </a:solidFill>
              <a:effectLst/>
              <a:latin typeface="+mn-lt"/>
              <a:ea typeface="+mn-ea"/>
              <a:cs typeface="+mn-cs"/>
            </a:rPr>
            <a:t>Competitors: BP Solar, Evergreen Solar, Kyocera, Motech, Q-Cells, Renewable Energy</a:t>
          </a:r>
          <a:br>
            <a:rPr lang="en-US"/>
          </a:br>
          <a:r>
            <a:rPr lang="en-US" sz="1100">
              <a:solidFill>
                <a:schemeClr val="dk1"/>
              </a:solidFill>
              <a:effectLst/>
              <a:latin typeface="+mn-lt"/>
              <a:ea typeface="+mn-ea"/>
              <a:cs typeface="+mn-cs"/>
            </a:rPr>
            <a:t>Corporation, Sanyo, Schott Solar, Sharp, SolarWorld, Sunpower and Suntech. We also face competition from</a:t>
          </a:r>
          <a:br>
            <a:rPr lang="en-US"/>
          </a:br>
          <a:r>
            <a:rPr lang="en-US" sz="1100">
              <a:solidFill>
                <a:schemeClr val="dk1"/>
              </a:solidFill>
              <a:effectLst/>
              <a:latin typeface="+mn-lt"/>
              <a:ea typeface="+mn-ea"/>
              <a:cs typeface="+mn-cs"/>
            </a:rPr>
            <a:t>thin film solar module manufacturers, including Antec, Kaneka, Mitsubishi Heavy Industries, Shell Solar and</a:t>
          </a:r>
          <a:br>
            <a:rPr lang="en-US"/>
          </a:br>
          <a:r>
            <a:rPr lang="en-US" sz="1100">
              <a:solidFill>
                <a:schemeClr val="dk1"/>
              </a:solidFill>
              <a:effectLst/>
              <a:latin typeface="+mn-lt"/>
              <a:ea typeface="+mn-ea"/>
              <a:cs typeface="+mn-cs"/>
            </a:rPr>
            <a:t>United Solar.</a:t>
          </a:r>
        </a:p>
        <a:p>
          <a:pPr marL="171450" indent="-171450">
            <a:buFont typeface="Arial" panose="020B0604020202020204" pitchFamily="34" charset="0"/>
            <a:buChar char="•"/>
          </a:pPr>
          <a:r>
            <a:rPr lang="en-US" sz="1100">
              <a:solidFill>
                <a:schemeClr val="dk1"/>
              </a:solidFill>
              <a:effectLst/>
              <a:latin typeface="+mn-lt"/>
              <a:ea typeface="+mn-ea"/>
              <a:cs typeface="+mn-cs"/>
            </a:rPr>
            <a:t>90% of power output through first 10 years and at least 80% during the following 15 years</a:t>
          </a:r>
        </a:p>
        <a:p>
          <a:pPr marL="171450" indent="-171450">
            <a:buFont typeface="Arial" panose="020B0604020202020204" pitchFamily="34" charset="0"/>
            <a:buChar char="•"/>
          </a:pPr>
          <a:endParaRPr lang="en-US"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u="sng"/>
            <a:t>Notes from 2007 report:</a:t>
          </a:r>
          <a:endParaRPr lang="en-US" sz="1100">
            <a:solidFill>
              <a:schemeClr val="dk1"/>
            </a:solidFill>
            <a:effectLst/>
            <a:latin typeface="+mn-lt"/>
            <a:ea typeface="+mn-ea"/>
            <a:cs typeface="+mn-cs"/>
          </a:endParaRPr>
        </a:p>
        <a:p>
          <a:pPr marL="171450" indent="-171450">
            <a:buFont typeface="Arial" panose="020B0604020202020204" pitchFamily="34" charset="0"/>
            <a:buChar char="•"/>
          </a:pPr>
          <a:r>
            <a:rPr lang="en-US" sz="1100">
              <a:solidFill>
                <a:schemeClr val="dk1"/>
              </a:solidFill>
              <a:effectLst/>
              <a:latin typeface="+mn-lt"/>
              <a:ea typeface="+mn-ea"/>
              <a:cs typeface="+mn-cs"/>
            </a:rPr>
            <a:t>20 types of raw materials and components to construct a</a:t>
          </a:r>
          <a:r>
            <a:rPr lang="en-US" sz="1100" baseline="0">
              <a:solidFill>
                <a:schemeClr val="dk1"/>
              </a:solidFill>
              <a:effectLst/>
              <a:latin typeface="+mn-lt"/>
              <a:ea typeface="+mn-ea"/>
              <a:cs typeface="+mn-cs"/>
            </a:rPr>
            <a:t> </a:t>
          </a:r>
          <a:r>
            <a:rPr lang="en-US" sz="1100">
              <a:solidFill>
                <a:schemeClr val="dk1"/>
              </a:solidFill>
              <a:effectLst/>
              <a:latin typeface="+mn-lt"/>
              <a:ea typeface="+mn-ea"/>
              <a:cs typeface="+mn-cs"/>
            </a:rPr>
            <a:t>complete solar module</a:t>
          </a:r>
        </a:p>
        <a:p>
          <a:pPr marL="171450" indent="-171450">
            <a:buFont typeface="Arial" panose="020B0604020202020204" pitchFamily="34" charset="0"/>
            <a:buChar char="•"/>
          </a:pPr>
          <a:r>
            <a:rPr lang="en-US" sz="1100">
              <a:solidFill>
                <a:schemeClr val="dk1"/>
              </a:solidFill>
              <a:effectLst/>
              <a:latin typeface="+mn-lt"/>
              <a:ea typeface="+mn-ea"/>
              <a:cs typeface="+mn-cs"/>
            </a:rPr>
            <a:t>nine are critical to our manufacturing</a:t>
          </a:r>
          <a:r>
            <a:rPr lang="en-US" sz="1100" baseline="0">
              <a:solidFill>
                <a:schemeClr val="dk1"/>
              </a:solidFill>
              <a:effectLst/>
              <a:latin typeface="+mn-lt"/>
              <a:ea typeface="+mn-ea"/>
              <a:cs typeface="+mn-cs"/>
            </a:rPr>
            <a:t> </a:t>
          </a:r>
          <a:r>
            <a:rPr lang="en-US" sz="1100">
              <a:solidFill>
                <a:schemeClr val="dk1"/>
              </a:solidFill>
              <a:effectLst/>
              <a:latin typeface="+mn-lt"/>
              <a:ea typeface="+mn-ea"/>
              <a:cs typeface="+mn-cs"/>
            </a:rPr>
            <a:t>process: TCO coated front glass, cadmium sulfide, cadmium telluride, photo resist, laminate, tempered back glass,</a:t>
          </a:r>
          <a:r>
            <a:rPr lang="en-US" sz="1100" baseline="0">
              <a:solidFill>
                <a:schemeClr val="dk1"/>
              </a:solidFill>
              <a:effectLst/>
              <a:latin typeface="+mn-lt"/>
              <a:ea typeface="+mn-ea"/>
              <a:cs typeface="+mn-cs"/>
            </a:rPr>
            <a:t> </a:t>
          </a:r>
          <a:r>
            <a:rPr lang="en-US" sz="1100">
              <a:solidFill>
                <a:schemeClr val="dk1"/>
              </a:solidFill>
              <a:effectLst/>
              <a:latin typeface="+mn-lt"/>
              <a:ea typeface="+mn-ea"/>
              <a:cs typeface="+mn-cs"/>
            </a:rPr>
            <a:t>cord plate/cord plate cap, lead wire (UL and TU ̈ V) and solar connectors</a:t>
          </a:r>
        </a:p>
        <a:p>
          <a:pPr marL="171450" indent="-171450">
            <a:buFont typeface="Arial" panose="020B0604020202020204" pitchFamily="34" charset="0"/>
            <a:buChar char="•"/>
          </a:pPr>
          <a:r>
            <a:rPr lang="en-US" sz="1100">
              <a:solidFill>
                <a:schemeClr val="dk1"/>
              </a:solidFill>
              <a:effectLst/>
              <a:latin typeface="+mn-lt"/>
              <a:ea typeface="+mn-ea"/>
              <a:cs typeface="+mn-cs"/>
            </a:rPr>
            <a:t>principal customers were Blitzstrom GmbH, Colexon Energy AG (previously Reinecke + Pohl),</a:t>
          </a:r>
          <a:br>
            <a:rPr lang="en-US"/>
          </a:br>
          <a:r>
            <a:rPr lang="en-US" sz="1100">
              <a:solidFill>
                <a:schemeClr val="dk1"/>
              </a:solidFill>
              <a:effectLst/>
              <a:latin typeface="+mn-lt"/>
              <a:ea typeface="+mn-ea"/>
              <a:cs typeface="+mn-cs"/>
            </a:rPr>
            <a:t>Conergy AG, Gehrlicher Umweltschonende Energiesysteme GmbH, Juwi Solar GmbH and Phoenix Solar AG</a:t>
          </a:r>
        </a:p>
        <a:p>
          <a:pPr marL="171450" indent="-171450">
            <a:buFont typeface="Arial" panose="020B0604020202020204" pitchFamily="34" charset="0"/>
            <a:buChar char="•"/>
          </a:pPr>
          <a:r>
            <a:rPr lang="en-US" sz="1100">
              <a:solidFill>
                <a:schemeClr val="dk1"/>
              </a:solidFill>
              <a:effectLst/>
              <a:latin typeface="+mn-lt"/>
              <a:ea typeface="+mn-ea"/>
              <a:cs typeface="+mn-cs"/>
            </a:rPr>
            <a:t>2007, 98.8% of our net sales were generated from customers</a:t>
          </a:r>
          <a:r>
            <a:rPr lang="en-US" sz="1100" baseline="0">
              <a:solidFill>
                <a:schemeClr val="dk1"/>
              </a:solidFill>
              <a:effectLst/>
              <a:latin typeface="+mn-lt"/>
              <a:ea typeface="+mn-ea"/>
              <a:cs typeface="+mn-cs"/>
            </a:rPr>
            <a:t> </a:t>
          </a:r>
          <a:r>
            <a:rPr lang="en-US" sz="1100">
              <a:solidFill>
                <a:schemeClr val="dk1"/>
              </a:solidFill>
              <a:effectLst/>
              <a:latin typeface="+mn-lt"/>
              <a:ea typeface="+mn-ea"/>
              <a:cs typeface="+mn-cs"/>
            </a:rPr>
            <a:t>headquartered in the European Union.</a:t>
          </a:r>
        </a:p>
        <a:p>
          <a:pPr marL="171450" indent="-171450">
            <a:buFont typeface="Arial" panose="020B0604020202020204" pitchFamily="34" charset="0"/>
            <a:buChar char="•"/>
          </a:pPr>
          <a:r>
            <a:rPr lang="en-US" sz="1100">
              <a:solidFill>
                <a:schemeClr val="dk1"/>
              </a:solidFill>
              <a:effectLst/>
              <a:latin typeface="+mn-lt"/>
              <a:ea typeface="+mn-ea"/>
              <a:cs typeface="+mn-cs"/>
            </a:rPr>
            <a:t>Efficiency not reported, I got the 2007 value by</a:t>
          </a:r>
          <a:r>
            <a:rPr lang="en-US" sz="1100" baseline="0">
              <a:solidFill>
                <a:schemeClr val="dk1"/>
              </a:solidFill>
              <a:effectLst/>
              <a:latin typeface="+mn-lt"/>
              <a:ea typeface="+mn-ea"/>
              <a:cs typeface="+mn-cs"/>
            </a:rPr>
            <a:t> proportionally calculating it from the out put power that year (70MW) compared to 2006, which had 9% efficiency with a 64% output power and both modules had the same area.</a:t>
          </a:r>
        </a:p>
        <a:p>
          <a:pPr marL="171450" indent="-171450">
            <a:buFont typeface="Arial" panose="020B0604020202020204" pitchFamily="34" charset="0"/>
            <a:buChar char="•"/>
          </a:pPr>
          <a:r>
            <a:rPr lang="en-US" sz="1100" baseline="0">
              <a:solidFill>
                <a:schemeClr val="dk1"/>
              </a:solidFill>
              <a:effectLst/>
              <a:latin typeface="+mn-lt"/>
              <a:ea typeface="+mn-ea"/>
              <a:cs typeface="+mn-cs"/>
            </a:rPr>
            <a:t>Spain accounts for 1% of sales</a:t>
          </a:r>
        </a:p>
        <a:p>
          <a:pPr marL="171450" indent="-171450">
            <a:buFont typeface="Arial" panose="020B0604020202020204" pitchFamily="34" charset="0"/>
            <a:buChar char="•"/>
          </a:pPr>
          <a:r>
            <a:rPr lang="en-US" sz="1100">
              <a:solidFill>
                <a:schemeClr val="dk1"/>
              </a:solidFill>
              <a:effectLst/>
              <a:latin typeface="+mn-lt"/>
              <a:ea typeface="+mn-ea"/>
              <a:cs typeface="+mn-cs"/>
            </a:rPr>
            <a:t>sell almost all of our solar</a:t>
          </a:r>
          <a:r>
            <a:rPr lang="en-US" sz="1100" baseline="0">
              <a:solidFill>
                <a:schemeClr val="dk1"/>
              </a:solidFill>
              <a:effectLst/>
              <a:latin typeface="+mn-lt"/>
              <a:ea typeface="+mn-ea"/>
              <a:cs typeface="+mn-cs"/>
            </a:rPr>
            <a:t> </a:t>
          </a:r>
          <a:r>
            <a:rPr lang="en-US" sz="1100">
              <a:solidFill>
                <a:schemeClr val="dk1"/>
              </a:solidFill>
              <a:effectLst/>
              <a:latin typeface="+mn-lt"/>
              <a:ea typeface="+mn-ea"/>
              <a:cs typeface="+mn-cs"/>
            </a:rPr>
            <a:t>modules to solar project developers and system integrators headquartered in Germany, France and Spain</a:t>
          </a:r>
        </a:p>
        <a:p>
          <a:pPr marL="0" marR="0" lvl="0" indent="0" defTabSz="914400" eaLnBrk="1" fontAlgn="auto" latinLnBrk="0" hangingPunct="1">
            <a:lnSpc>
              <a:spcPct val="100000"/>
            </a:lnSpc>
            <a:spcBef>
              <a:spcPts val="0"/>
            </a:spcBef>
            <a:spcAft>
              <a:spcPts val="0"/>
            </a:spcAft>
            <a:buClrTx/>
            <a:buSzTx/>
            <a:buFontTx/>
            <a:buNone/>
            <a:tabLst/>
            <a:defRPr/>
          </a:pPr>
          <a:r>
            <a:rPr lang="en-US" sz="1100" u="sng"/>
            <a:t>Notes from 2008 report:</a:t>
          </a:r>
          <a:endParaRPr lang="en-US" sz="1100">
            <a:solidFill>
              <a:schemeClr val="dk1"/>
            </a:solidFill>
            <a:effectLst/>
            <a:latin typeface="+mn-lt"/>
            <a:ea typeface="+mn-ea"/>
            <a:cs typeface="+mn-cs"/>
          </a:endParaRPr>
        </a:p>
        <a:p>
          <a:pPr marL="171450" indent="-171450">
            <a:buFont typeface="Arial" panose="020B0604020202020204" pitchFamily="34" charset="0"/>
            <a:buChar char="•"/>
          </a:pPr>
          <a:r>
            <a:rPr lang="en-US" sz="1100">
              <a:solidFill>
                <a:schemeClr val="dk1"/>
              </a:solidFill>
              <a:effectLst/>
              <a:latin typeface="+mn-lt"/>
              <a:ea typeface="+mn-ea"/>
              <a:cs typeface="+mn-cs"/>
            </a:rPr>
            <a:t>single-junction polycrystalline thin film structure that uses cadmium telluride as the absorption layer and cadmium</a:t>
          </a:r>
          <a:br>
            <a:rPr lang="en-US"/>
          </a:br>
          <a:r>
            <a:rPr lang="en-US" sz="1100">
              <a:solidFill>
                <a:schemeClr val="dk1"/>
              </a:solidFill>
              <a:effectLst/>
              <a:latin typeface="+mn-lt"/>
              <a:ea typeface="+mn-ea"/>
              <a:cs typeface="+mn-cs"/>
            </a:rPr>
            <a:t>sulfide as the window layer.</a:t>
          </a:r>
        </a:p>
        <a:p>
          <a:pPr marL="171450" indent="-171450">
            <a:buFont typeface="Arial" panose="020B0604020202020204" pitchFamily="34" charset="0"/>
            <a:buChar char="•"/>
          </a:pPr>
          <a:r>
            <a:rPr lang="en-US" sz="1100">
              <a:solidFill>
                <a:schemeClr val="dk1"/>
              </a:solidFill>
              <a:effectLst/>
              <a:latin typeface="+mn-lt"/>
              <a:ea typeface="+mn-ea"/>
              <a:cs typeface="+mn-cs"/>
            </a:rPr>
            <a:t>one million solar modules, representing approximately 69MW</a:t>
          </a:r>
        </a:p>
        <a:p>
          <a:pPr marL="171450" indent="-171450">
            <a:buFont typeface="Arial" panose="020B0604020202020204" pitchFamily="34" charset="0"/>
            <a:buChar char="•"/>
          </a:pPr>
          <a:r>
            <a:rPr lang="en-US" sz="1100">
              <a:solidFill>
                <a:schemeClr val="dk1"/>
              </a:solidFill>
              <a:effectLst/>
              <a:latin typeface="+mn-lt"/>
              <a:ea typeface="+mn-ea"/>
              <a:cs typeface="+mn-cs"/>
            </a:rPr>
            <a:t>net sales was due primarily to a 148% increase in the MW volume of solar modules sold</a:t>
          </a:r>
          <a:r>
            <a:rPr lang="en-US" sz="1100" baseline="0">
              <a:solidFill>
                <a:schemeClr val="dk1"/>
              </a:solidFill>
              <a:effectLst/>
              <a:latin typeface="+mn-lt"/>
              <a:ea typeface="+mn-ea"/>
              <a:cs typeface="+mn-cs"/>
            </a:rPr>
            <a:t> </a:t>
          </a:r>
          <a:r>
            <a:rPr lang="en-US" sz="1100">
              <a:solidFill>
                <a:schemeClr val="dk1"/>
              </a:solidFill>
              <a:effectLst/>
              <a:latin typeface="+mn-lt"/>
              <a:ea typeface="+mn-ea"/>
              <a:cs typeface="+mn-cs"/>
            </a:rPr>
            <a:t>during 2008 compared with 2007 due to strong demand for our solar modules in Europe</a:t>
          </a:r>
        </a:p>
        <a:p>
          <a:pPr marL="171450" indent="-171450">
            <a:buFont typeface="Arial" panose="020B0604020202020204" pitchFamily="34" charset="0"/>
            <a:buChar char="•"/>
          </a:pPr>
          <a:r>
            <a:rPr lang="en-US" sz="1100">
              <a:solidFill>
                <a:schemeClr val="dk1"/>
              </a:solidFill>
              <a:effectLst/>
              <a:latin typeface="+mn-lt"/>
              <a:ea typeface="+mn-ea"/>
              <a:cs typeface="+mn-cs"/>
            </a:rPr>
            <a:t>increase in MW</a:t>
          </a:r>
          <a:r>
            <a:rPr lang="en-US" sz="1100" baseline="0">
              <a:solidFill>
                <a:schemeClr val="dk1"/>
              </a:solidFill>
              <a:effectLst/>
              <a:latin typeface="+mn-lt"/>
              <a:ea typeface="+mn-ea"/>
              <a:cs typeface="+mn-cs"/>
            </a:rPr>
            <a:t> </a:t>
          </a:r>
          <a:r>
            <a:rPr lang="en-US" sz="1100">
              <a:solidFill>
                <a:schemeClr val="dk1"/>
              </a:solidFill>
              <a:effectLst/>
              <a:latin typeface="+mn-lt"/>
              <a:ea typeface="+mn-ea"/>
              <a:cs typeface="+mn-cs"/>
            </a:rPr>
            <a:t>volume of solar modules sold is attributable to the full production ramp of our German plant, commencement of</a:t>
          </a:r>
          <a:r>
            <a:rPr lang="en-US" sz="1100" baseline="0">
              <a:solidFill>
                <a:schemeClr val="dk1"/>
              </a:solidFill>
              <a:effectLst/>
              <a:latin typeface="+mn-lt"/>
              <a:ea typeface="+mn-ea"/>
              <a:cs typeface="+mn-cs"/>
            </a:rPr>
            <a:t> </a:t>
          </a:r>
          <a:r>
            <a:rPr lang="en-US" sz="1100">
              <a:solidFill>
                <a:schemeClr val="dk1"/>
              </a:solidFill>
              <a:effectLst/>
              <a:latin typeface="+mn-lt"/>
              <a:ea typeface="+mn-ea"/>
              <a:cs typeface="+mn-cs"/>
            </a:rPr>
            <a:t>product shipments at the first two plants at our Malaysian manufacturing center and continued improvements to our</a:t>
          </a:r>
          <a:r>
            <a:rPr lang="en-US" sz="1100" baseline="0">
              <a:solidFill>
                <a:schemeClr val="dk1"/>
              </a:solidFill>
              <a:effectLst/>
              <a:latin typeface="+mn-lt"/>
              <a:ea typeface="+mn-ea"/>
              <a:cs typeface="+mn-cs"/>
            </a:rPr>
            <a:t> </a:t>
          </a:r>
          <a:r>
            <a:rPr lang="en-US" sz="1100">
              <a:solidFill>
                <a:schemeClr val="dk1"/>
              </a:solidFill>
              <a:effectLst/>
              <a:latin typeface="+mn-lt"/>
              <a:ea typeface="+mn-ea"/>
              <a:cs typeface="+mn-cs"/>
            </a:rPr>
            <a:t>manufacturing proces</a:t>
          </a:r>
        </a:p>
        <a:p>
          <a:pPr marL="171450" indent="-171450">
            <a:buFont typeface="Arial" panose="020B0604020202020204" pitchFamily="34" charset="0"/>
            <a:buChar char="•"/>
          </a:pPr>
          <a:r>
            <a:rPr lang="en-US" sz="1100">
              <a:solidFill>
                <a:schemeClr val="dk1"/>
              </a:solidFill>
              <a:effectLst/>
              <a:latin typeface="+mn-lt"/>
              <a:ea typeface="+mn-ea"/>
              <a:cs typeface="+mn-cs"/>
            </a:rPr>
            <a:t>Principal costumers : e Blitzstrom GmbH, Colexon Energy AG (previously Reinecke + Pohl),</a:t>
          </a:r>
          <a:br>
            <a:rPr lang="en-US"/>
          </a:br>
          <a:r>
            <a:rPr lang="en-US" sz="1100">
              <a:solidFill>
                <a:schemeClr val="dk1"/>
              </a:solidFill>
              <a:effectLst/>
              <a:latin typeface="+mn-lt"/>
              <a:ea typeface="+mn-ea"/>
              <a:cs typeface="+mn-cs"/>
            </a:rPr>
            <a:t>Conergy AG, Juwi Solar GmbH and Phoenix Solar AG. During 2008, each of these five customers individually</a:t>
          </a:r>
          <a:br>
            <a:rPr lang="en-US"/>
          </a:br>
          <a:r>
            <a:rPr lang="en-US" sz="1100">
              <a:solidFill>
                <a:schemeClr val="dk1"/>
              </a:solidFill>
              <a:effectLst/>
              <a:latin typeface="+mn-lt"/>
              <a:ea typeface="+mn-ea"/>
              <a:cs typeface="+mn-cs"/>
            </a:rPr>
            <a:t>accounted for between 11% and 19% of our net sales. All of our other customers individually accounted for less than</a:t>
          </a:r>
          <a:br>
            <a:rPr lang="en-US"/>
          </a:br>
          <a:r>
            <a:rPr lang="en-US" sz="1100">
              <a:solidFill>
                <a:schemeClr val="dk1"/>
              </a:solidFill>
              <a:effectLst/>
              <a:latin typeface="+mn-lt"/>
              <a:ea typeface="+mn-ea"/>
              <a:cs typeface="+mn-cs"/>
            </a:rPr>
            <a:t>10% of our net sales during 2008.</a:t>
          </a:r>
        </a:p>
        <a:p>
          <a:pPr marL="171450" indent="-171450">
            <a:buFont typeface="Arial" panose="020B0604020202020204" pitchFamily="34" charset="0"/>
            <a:buChar char="•"/>
          </a:pPr>
          <a:r>
            <a:rPr lang="en-US" sz="1100">
              <a:solidFill>
                <a:schemeClr val="dk1"/>
              </a:solidFill>
              <a:effectLst/>
              <a:latin typeface="+mn-lt"/>
              <a:ea typeface="+mn-ea"/>
              <a:cs typeface="+mn-cs"/>
            </a:rPr>
            <a:t>94% of our net sales were generated from customers headquartered in the European</a:t>
          </a:r>
          <a:br>
            <a:rPr lang="en-US"/>
          </a:br>
          <a:r>
            <a:rPr lang="en-US" sz="1100">
              <a:solidFill>
                <a:schemeClr val="dk1"/>
              </a:solidFill>
              <a:effectLst/>
              <a:latin typeface="+mn-lt"/>
              <a:ea typeface="+mn-ea"/>
              <a:cs typeface="+mn-cs"/>
            </a:rPr>
            <a:t>Unionnet sale</a:t>
          </a:r>
        </a:p>
        <a:p>
          <a:pPr marL="171450" indent="-171450">
            <a:buFont typeface="Arial" panose="020B0604020202020204" pitchFamily="34" charset="0"/>
            <a:buChar char="•"/>
          </a:pPr>
          <a:endParaRPr lang="en-US"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u="sng"/>
            <a:t>Notes from 2009 report:</a:t>
          </a:r>
          <a:endParaRPr lang="en-US" sz="1100">
            <a:solidFill>
              <a:schemeClr val="dk1"/>
            </a:solidFill>
            <a:effectLst/>
            <a:latin typeface="+mn-lt"/>
            <a:ea typeface="+mn-ea"/>
            <a:cs typeface="+mn-cs"/>
          </a:endParaRPr>
        </a:p>
        <a:p>
          <a:pPr marL="171450" indent="-171450">
            <a:buFont typeface="Arial" panose="020B0604020202020204" pitchFamily="34" charset="0"/>
            <a:buChar char="•"/>
          </a:pPr>
          <a:r>
            <a:rPr lang="en-US" sz="1100">
              <a:solidFill>
                <a:schemeClr val="dk1"/>
              </a:solidFill>
              <a:effectLst/>
              <a:latin typeface="+mn-lt"/>
              <a:ea typeface="+mn-ea"/>
              <a:cs typeface="+mn-cs"/>
            </a:rPr>
            <a:t>We</a:t>
          </a:r>
          <a:r>
            <a:rPr lang="en-US" sz="1100" baseline="0">
              <a:solidFill>
                <a:schemeClr val="dk1"/>
              </a:solidFill>
              <a:effectLst/>
              <a:latin typeface="+mn-lt"/>
              <a:ea typeface="+mn-ea"/>
              <a:cs typeface="+mn-cs"/>
            </a:rPr>
            <a:t> </a:t>
          </a:r>
          <a:r>
            <a:rPr lang="en-US" sz="1100">
              <a:solidFill>
                <a:schemeClr val="dk1"/>
              </a:solidFill>
              <a:effectLst/>
              <a:latin typeface="+mn-lt"/>
              <a:ea typeface="+mn-ea"/>
              <a:cs typeface="+mn-cs"/>
            </a:rPr>
            <a:t>produced over 1.1 gigawas (GW)—double our 2008 total—a</a:t>
          </a:r>
        </a:p>
        <a:p>
          <a:pPr marL="171450" indent="-171450">
            <a:buFont typeface="Arial" panose="020B0604020202020204" pitchFamily="34" charset="0"/>
            <a:buChar char="•"/>
          </a:pPr>
          <a:r>
            <a:rPr lang="en-US" sz="1100">
              <a:solidFill>
                <a:schemeClr val="dk1"/>
              </a:solidFill>
              <a:effectLst/>
              <a:latin typeface="+mn-lt"/>
              <a:ea typeface="+mn-ea"/>
              <a:cs typeface="+mn-cs"/>
            </a:rPr>
            <a:t>First Solar accounts for approximately 16% of</a:t>
          </a:r>
          <a:r>
            <a:rPr lang="en-US" sz="1100" baseline="0">
              <a:solidFill>
                <a:schemeClr val="dk1"/>
              </a:solidFill>
              <a:effectLst/>
              <a:latin typeface="+mn-lt"/>
              <a:ea typeface="+mn-ea"/>
              <a:cs typeface="+mn-cs"/>
            </a:rPr>
            <a:t> </a:t>
          </a:r>
          <a:r>
            <a:rPr lang="en-US" sz="1100">
              <a:solidFill>
                <a:schemeClr val="dk1"/>
              </a:solidFill>
              <a:effectLst/>
              <a:latin typeface="+mn-lt"/>
              <a:ea typeface="+mn-ea"/>
              <a:cs typeface="+mn-cs"/>
            </a:rPr>
            <a:t>the announced 8.6GW of U.S. ulity-scale solar PV and concentrated solar </a:t>
          </a:r>
        </a:p>
        <a:p>
          <a:pPr marL="0" indent="0">
            <a:buFontTx/>
            <a:buNone/>
          </a:pPr>
          <a:endParaRPr lang="en-US" sz="1100" u="sng">
            <a:solidFill>
              <a:schemeClr val="dk1"/>
            </a:solidFill>
            <a:effectLst/>
            <a:latin typeface="+mn-lt"/>
            <a:ea typeface="+mn-ea"/>
            <a:cs typeface="+mn-cs"/>
          </a:endParaRPr>
        </a:p>
        <a:p>
          <a:pPr marL="0" indent="0">
            <a:buFontTx/>
            <a:buNone/>
          </a:pPr>
          <a:r>
            <a:rPr lang="en-US" sz="1100" u="sng">
              <a:solidFill>
                <a:schemeClr val="dk1"/>
              </a:solidFill>
              <a:effectLst/>
              <a:latin typeface="+mn-lt"/>
              <a:ea typeface="+mn-ea"/>
              <a:cs typeface="+mn-cs"/>
            </a:rPr>
            <a:t>Notes</a:t>
          </a:r>
          <a:r>
            <a:rPr lang="en-US" sz="1100" u="sng" baseline="0">
              <a:solidFill>
                <a:schemeClr val="dk1"/>
              </a:solidFill>
              <a:effectLst/>
              <a:latin typeface="+mn-lt"/>
              <a:ea typeface="+mn-ea"/>
              <a:cs typeface="+mn-cs"/>
            </a:rPr>
            <a:t> o</a:t>
          </a:r>
          <a:r>
            <a:rPr lang="en-US" sz="1100" u="sng">
              <a:solidFill>
                <a:schemeClr val="dk1"/>
              </a:solidFill>
              <a:effectLst/>
              <a:latin typeface="+mn-lt"/>
              <a:ea typeface="+mn-ea"/>
              <a:cs typeface="+mn-cs"/>
            </a:rPr>
            <a:t>n recylcing from 2006 report:</a:t>
          </a:r>
        </a:p>
        <a:p>
          <a:pPr marL="171450" indent="-171450">
            <a:buFont typeface="Arial" panose="020B0604020202020204" pitchFamily="34" charset="0"/>
            <a:buChar char="•"/>
          </a:pPr>
          <a:r>
            <a:rPr lang="en-US" sz="1100">
              <a:solidFill>
                <a:schemeClr val="dk1"/>
              </a:solidFill>
              <a:effectLst/>
              <a:latin typeface="+mn-lt"/>
              <a:ea typeface="+mn-ea"/>
              <a:cs typeface="+mn-cs"/>
            </a:rPr>
            <a:t>photovoltaic system owner is responsible for disassembling the</a:t>
          </a:r>
          <a:br>
            <a:rPr lang="en-US"/>
          </a:br>
          <a:r>
            <a:rPr lang="en-US" sz="1100">
              <a:solidFill>
                <a:schemeClr val="dk1"/>
              </a:solidFill>
              <a:effectLst/>
              <a:latin typeface="+mn-lt"/>
              <a:ea typeface="+mn-ea"/>
              <a:cs typeface="+mn-cs"/>
            </a:rPr>
            <a:t>solar modules and packaging them in containers that we provide</a:t>
          </a:r>
        </a:p>
        <a:p>
          <a:pPr marL="171450" indent="-171450">
            <a:buFont typeface="Arial" panose="020B0604020202020204" pitchFamily="34" charset="0"/>
            <a:buChar char="•"/>
          </a:pPr>
          <a:r>
            <a:rPr lang="en-US" sz="1100">
              <a:solidFill>
                <a:schemeClr val="dk1"/>
              </a:solidFill>
              <a:effectLst/>
              <a:latin typeface="+mn-lt"/>
              <a:ea typeface="+mn-ea"/>
              <a:cs typeface="+mn-cs"/>
            </a:rPr>
            <a:t>we commit, at our expense, to remove the solar modules from the</a:t>
          </a:r>
          <a:br>
            <a:rPr lang="en-US"/>
          </a:br>
          <a:r>
            <a:rPr lang="en-US" sz="1100">
              <a:solidFill>
                <a:schemeClr val="dk1"/>
              </a:solidFill>
              <a:effectLst/>
              <a:latin typeface="+mn-lt"/>
              <a:ea typeface="+mn-ea"/>
              <a:cs typeface="+mn-cs"/>
            </a:rPr>
            <a:t>installation site at the end of their use and transport them to a processing center where the solar module materials</a:t>
          </a:r>
          <a:br>
            <a:rPr lang="en-US"/>
          </a:br>
          <a:r>
            <a:rPr lang="en-US" sz="1100">
              <a:solidFill>
                <a:schemeClr val="dk1"/>
              </a:solidFill>
              <a:effectLst/>
              <a:latin typeface="+mn-lt"/>
              <a:ea typeface="+mn-ea"/>
              <a:cs typeface="+mn-cs"/>
            </a:rPr>
            <a:t>and components will be recycled and the owner agrees not to dispose of the solar modules except through our</a:t>
          </a:r>
          <a:br>
            <a:rPr lang="en-US"/>
          </a:br>
          <a:r>
            <a:rPr lang="en-US" sz="1100">
              <a:solidFill>
                <a:schemeClr val="dk1"/>
              </a:solidFill>
              <a:effectLst/>
              <a:latin typeface="+mn-lt"/>
              <a:ea typeface="+mn-ea"/>
              <a:cs typeface="+mn-cs"/>
            </a:rPr>
            <a:t>program or another program that we approve.</a:t>
          </a:r>
        </a:p>
        <a:p>
          <a:pPr marL="171450" indent="-171450">
            <a:buFont typeface="Arial" panose="020B0604020202020204" pitchFamily="34" charset="0"/>
            <a:buChar char="•"/>
          </a:pPr>
          <a:endParaRPr lang="en-US"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u="sng">
              <a:solidFill>
                <a:schemeClr val="dk1"/>
              </a:solidFill>
              <a:effectLst/>
              <a:latin typeface="+mn-lt"/>
              <a:ea typeface="+mn-ea"/>
              <a:cs typeface="+mn-cs"/>
            </a:rPr>
            <a:t>Notes</a:t>
          </a:r>
          <a:r>
            <a:rPr lang="en-US" sz="1100" u="sng" baseline="0">
              <a:solidFill>
                <a:schemeClr val="dk1"/>
              </a:solidFill>
              <a:effectLst/>
              <a:latin typeface="+mn-lt"/>
              <a:ea typeface="+mn-ea"/>
              <a:cs typeface="+mn-cs"/>
            </a:rPr>
            <a:t> o</a:t>
          </a:r>
          <a:r>
            <a:rPr lang="en-US" sz="1100" u="sng">
              <a:solidFill>
                <a:schemeClr val="dk1"/>
              </a:solidFill>
              <a:effectLst/>
              <a:latin typeface="+mn-lt"/>
              <a:ea typeface="+mn-ea"/>
              <a:cs typeface="+mn-cs"/>
            </a:rPr>
            <a:t>n recylcing from 2007 report:</a:t>
          </a:r>
        </a:p>
        <a:p>
          <a:pPr marL="171450" indent="-171450">
            <a:buFont typeface="Arial" panose="020B0604020202020204" pitchFamily="34" charset="0"/>
            <a:buChar char="•"/>
          </a:pPr>
          <a:r>
            <a:rPr lang="en-US" sz="1100">
              <a:solidFill>
                <a:schemeClr val="dk1"/>
              </a:solidFill>
              <a:effectLst/>
              <a:latin typeface="+mn-lt"/>
              <a:ea typeface="+mn-ea"/>
              <a:cs typeface="+mn-cs"/>
            </a:rPr>
            <a:t>End-users can return their solar modules to us at any time for collection and recycling at no cost. We pre-fund</a:t>
          </a:r>
          <a:br>
            <a:rPr lang="en-US"/>
          </a:br>
          <a:r>
            <a:rPr lang="en-US" sz="1100">
              <a:solidFill>
                <a:schemeClr val="dk1"/>
              </a:solidFill>
              <a:effectLst/>
              <a:latin typeface="+mn-lt"/>
              <a:ea typeface="+mn-ea"/>
              <a:cs typeface="+mn-cs"/>
            </a:rPr>
            <a:t>the estimated collection and recycling cost at the time of sale, assuming for this purpose a minimum service life of</a:t>
          </a:r>
          <a:br>
            <a:rPr lang="en-US"/>
          </a:br>
          <a:r>
            <a:rPr lang="en-US" sz="1100">
              <a:solidFill>
                <a:schemeClr val="dk1"/>
              </a:solidFill>
              <a:effectLst/>
              <a:latin typeface="+mn-lt"/>
              <a:ea typeface="+mn-ea"/>
              <a:cs typeface="+mn-cs"/>
            </a:rPr>
            <a:t>approximately 20 years for our solar modules</a:t>
          </a:r>
        </a:p>
        <a:p>
          <a:pPr marL="171450" indent="-171450">
            <a:buFont typeface="Arial" panose="020B0604020202020204" pitchFamily="34" charset="0"/>
            <a:buChar char="•"/>
          </a:pPr>
          <a:r>
            <a:rPr lang="en-US" sz="1100">
              <a:solidFill>
                <a:schemeClr val="dk1"/>
              </a:solidFill>
              <a:effectLst/>
              <a:latin typeface="+mn-lt"/>
              <a:ea typeface="+mn-ea"/>
              <a:cs typeface="+mn-cs"/>
            </a:rPr>
            <a:t>developed a</a:t>
          </a:r>
          <a:r>
            <a:rPr lang="en-US" sz="1100" baseline="0">
              <a:solidFill>
                <a:schemeClr val="dk1"/>
              </a:solidFill>
              <a:effectLst/>
              <a:latin typeface="+mn-lt"/>
              <a:ea typeface="+mn-ea"/>
              <a:cs typeface="+mn-cs"/>
            </a:rPr>
            <a:t> </a:t>
          </a:r>
          <a:r>
            <a:rPr lang="en-US" sz="1100">
              <a:solidFill>
                <a:schemeClr val="dk1"/>
              </a:solidFill>
              <a:effectLst/>
              <a:latin typeface="+mn-lt"/>
              <a:ea typeface="+mn-ea"/>
              <a:cs typeface="+mn-cs"/>
            </a:rPr>
            <a:t>recycling process for manufacturing scrap, warranty returns and end of life modules that produces glass suitable for</a:t>
          </a:r>
          <a:r>
            <a:rPr lang="en-US" sz="1100" baseline="0">
              <a:solidFill>
                <a:schemeClr val="dk1"/>
              </a:solidFill>
              <a:effectLst/>
              <a:latin typeface="+mn-lt"/>
              <a:ea typeface="+mn-ea"/>
              <a:cs typeface="+mn-cs"/>
            </a:rPr>
            <a:t> </a:t>
          </a:r>
          <a:r>
            <a:rPr lang="en-US" sz="1100">
              <a:solidFill>
                <a:schemeClr val="dk1"/>
              </a:solidFill>
              <a:effectLst/>
              <a:latin typeface="+mn-lt"/>
              <a:ea typeface="+mn-ea"/>
              <a:cs typeface="+mn-cs"/>
            </a:rPr>
            <a:t>the use in production of new glass products and extracts metals that will be further processed by a third party</a:t>
          </a:r>
          <a:r>
            <a:rPr lang="en-US" sz="1100" baseline="0">
              <a:solidFill>
                <a:schemeClr val="dk1"/>
              </a:solidFill>
              <a:effectLst/>
              <a:latin typeface="+mn-lt"/>
              <a:ea typeface="+mn-ea"/>
              <a:cs typeface="+mn-cs"/>
            </a:rPr>
            <a:t> </a:t>
          </a:r>
          <a:r>
            <a:rPr lang="en-US" sz="1100">
              <a:solidFill>
                <a:schemeClr val="dk1"/>
              </a:solidFill>
              <a:effectLst/>
              <a:latin typeface="+mn-lt"/>
              <a:ea typeface="+mn-ea"/>
              <a:cs typeface="+mn-cs"/>
            </a:rPr>
            <a:t>supplier to produce semiconductor materials for reuse in our solar modules</a:t>
          </a:r>
        </a:p>
        <a:p>
          <a:pPr marL="171450" indent="-171450">
            <a:buFont typeface="Arial" panose="020B0604020202020204" pitchFamily="34" charset="0"/>
            <a:buChar char="•"/>
          </a:pPr>
          <a:r>
            <a:rPr lang="en-US" sz="1100">
              <a:solidFill>
                <a:schemeClr val="dk1"/>
              </a:solidFill>
              <a:effectLst/>
              <a:latin typeface="+mn-lt"/>
              <a:ea typeface="+mn-ea"/>
              <a:cs typeface="+mn-cs"/>
            </a:rPr>
            <a:t>estimates on our experience collecting and recycling solar modules that do not pass our quality control</a:t>
          </a:r>
          <a:br>
            <a:rPr lang="en-US"/>
          </a:br>
          <a:r>
            <a:rPr lang="en-US" sz="1100">
              <a:solidFill>
                <a:schemeClr val="dk1"/>
              </a:solidFill>
              <a:effectLst/>
              <a:latin typeface="+mn-lt"/>
              <a:ea typeface="+mn-ea"/>
              <a:cs typeface="+mn-cs"/>
            </a:rPr>
            <a:t>tests and solar modules returned under our warranty and on our expectations about future developments in recycling</a:t>
          </a:r>
          <a:br>
            <a:rPr lang="en-US"/>
          </a:br>
          <a:r>
            <a:rPr lang="en-US" sz="1100">
              <a:solidFill>
                <a:schemeClr val="dk1"/>
              </a:solidFill>
              <a:effectLst/>
              <a:latin typeface="+mn-lt"/>
              <a:ea typeface="+mn-ea"/>
              <a:cs typeface="+mn-cs"/>
            </a:rPr>
            <a:t>technologies and processes and about economic conditions at the time the solar modules will be collected and</a:t>
          </a:r>
          <a:br>
            <a:rPr lang="en-US"/>
          </a:br>
          <a:r>
            <a:rPr lang="en-US" sz="1100">
              <a:solidFill>
                <a:schemeClr val="dk1"/>
              </a:solidFill>
              <a:effectLst/>
              <a:latin typeface="+mn-lt"/>
              <a:ea typeface="+mn-ea"/>
              <a:cs typeface="+mn-cs"/>
            </a:rPr>
            <a:t>recycled</a:t>
          </a:r>
        </a:p>
        <a:p>
          <a:pPr marL="171450" indent="-171450">
            <a:buFont typeface="Arial" panose="020B0604020202020204" pitchFamily="34" charset="0"/>
            <a:buChar char="•"/>
          </a:pPr>
          <a:r>
            <a:rPr lang="en-US" sz="1100">
              <a:solidFill>
                <a:schemeClr val="dk1"/>
              </a:solidFill>
              <a:effectLst/>
              <a:latin typeface="+mn-lt"/>
              <a:ea typeface="+mn-ea"/>
              <a:cs typeface="+mn-cs"/>
            </a:rPr>
            <a:t>$6.8 million in cash placed in restricted accounts to fund our solar module</a:t>
          </a:r>
          <a:r>
            <a:rPr lang="en-US" sz="1100" baseline="0">
              <a:solidFill>
                <a:schemeClr val="dk1"/>
              </a:solidFill>
              <a:effectLst/>
              <a:latin typeface="+mn-lt"/>
              <a:ea typeface="+mn-ea"/>
              <a:cs typeface="+mn-cs"/>
            </a:rPr>
            <a:t> </a:t>
          </a:r>
          <a:r>
            <a:rPr lang="en-US" sz="1100">
              <a:solidFill>
                <a:schemeClr val="dk1"/>
              </a:solidFill>
              <a:effectLst/>
              <a:latin typeface="+mn-lt"/>
              <a:ea typeface="+mn-ea"/>
              <a:cs typeface="+mn-cs"/>
            </a:rPr>
            <a:t>collection and recycling program in 2006</a:t>
          </a:r>
        </a:p>
        <a:p>
          <a:pPr marL="171450" indent="-171450">
            <a:buFont typeface="Arial" panose="020B0604020202020204" pitchFamily="34" charset="0"/>
            <a:buChar char="•"/>
          </a:pPr>
          <a:endParaRPr lang="en-US" sz="1100">
            <a:solidFill>
              <a:schemeClr val="dk1"/>
            </a:solidFill>
            <a:effectLst/>
            <a:latin typeface="+mn-lt"/>
            <a:ea typeface="+mn-ea"/>
            <a:cs typeface="+mn-cs"/>
          </a:endParaRPr>
        </a:p>
        <a:p>
          <a:pPr marL="171450" indent="-171450">
            <a:buFont typeface="Arial" panose="020B0604020202020204" pitchFamily="34" charset="0"/>
            <a:buChar char="•"/>
          </a:pPr>
          <a:r>
            <a:rPr lang="en-US" sz="1100">
              <a:solidFill>
                <a:schemeClr val="dk1"/>
              </a:solidFill>
              <a:effectLst/>
              <a:latin typeface="+mn-lt"/>
              <a:ea typeface="+mn-ea"/>
              <a:cs typeface="+mn-cs"/>
            </a:rPr>
            <a:t>In 2005</a:t>
          </a:r>
          <a:r>
            <a:rPr lang="en-US" sz="1100" baseline="0">
              <a:solidFill>
                <a:schemeClr val="dk1"/>
              </a:solidFill>
              <a:effectLst/>
              <a:latin typeface="+mn-lt"/>
              <a:ea typeface="+mn-ea"/>
              <a:cs typeface="+mn-cs"/>
            </a:rPr>
            <a:t> $1.3 million to fund solr module collection and recycling program</a:t>
          </a:r>
        </a:p>
        <a:p>
          <a:pPr marL="171450" indent="-171450">
            <a:buFont typeface="Arial" panose="020B0604020202020204" pitchFamily="34" charset="0"/>
            <a:buChar char="•"/>
          </a:pPr>
          <a:endParaRPr lang="en-US"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u="sng">
              <a:solidFill>
                <a:schemeClr val="dk1"/>
              </a:solidFill>
              <a:effectLst/>
              <a:latin typeface="+mn-lt"/>
              <a:ea typeface="+mn-ea"/>
              <a:cs typeface="+mn-cs"/>
            </a:rPr>
            <a:t>Notes</a:t>
          </a:r>
          <a:r>
            <a:rPr lang="en-US" sz="1100" u="sng" baseline="0">
              <a:solidFill>
                <a:schemeClr val="dk1"/>
              </a:solidFill>
              <a:effectLst/>
              <a:latin typeface="+mn-lt"/>
              <a:ea typeface="+mn-ea"/>
              <a:cs typeface="+mn-cs"/>
            </a:rPr>
            <a:t> o</a:t>
          </a:r>
          <a:r>
            <a:rPr lang="en-US" sz="1100" u="sng">
              <a:solidFill>
                <a:schemeClr val="dk1"/>
              </a:solidFill>
              <a:effectLst/>
              <a:latin typeface="+mn-lt"/>
              <a:ea typeface="+mn-ea"/>
              <a:cs typeface="+mn-cs"/>
            </a:rPr>
            <a:t>n recylcing from 2008 report:</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a:solidFill>
                <a:schemeClr val="dk1"/>
              </a:solidFill>
              <a:effectLst/>
              <a:latin typeface="+mn-lt"/>
              <a:ea typeface="+mn-ea"/>
              <a:cs typeface="+mn-cs"/>
            </a:rPr>
            <a:t>Placed</a:t>
          </a:r>
          <a:r>
            <a:rPr lang="en-US" sz="1100" baseline="0">
              <a:solidFill>
                <a:schemeClr val="dk1"/>
              </a:solidFill>
              <a:effectLst/>
              <a:latin typeface="+mn-lt"/>
              <a:ea typeface="+mn-ea"/>
              <a:cs typeface="+mn-cs"/>
            </a:rPr>
            <a:t> 15.5 million of cash in restricted accounts to fund the solar module collection and recycling program</a:t>
          </a:r>
        </a:p>
        <a:p>
          <a:pPr marL="0" marR="0" lvl="0" indent="0" defTabSz="914400" eaLnBrk="1" fontAlgn="auto" latinLnBrk="0" hangingPunct="1">
            <a:lnSpc>
              <a:spcPct val="100000"/>
            </a:lnSpc>
            <a:spcBef>
              <a:spcPts val="0"/>
            </a:spcBef>
            <a:spcAft>
              <a:spcPts val="0"/>
            </a:spcAft>
            <a:buClrTx/>
            <a:buSzTx/>
            <a:buFontTx/>
            <a:buNone/>
            <a:tabLst/>
            <a:defRPr/>
          </a:pPr>
          <a:endParaRPr lang="en-US" sz="110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u="sng">
              <a:solidFill>
                <a:schemeClr val="dk1"/>
              </a:solidFill>
              <a:effectLst/>
              <a:latin typeface="+mn-lt"/>
              <a:ea typeface="+mn-ea"/>
              <a:cs typeface="+mn-cs"/>
            </a:rPr>
            <a:t>Notes</a:t>
          </a:r>
          <a:r>
            <a:rPr lang="en-US" sz="1100" u="sng" baseline="0">
              <a:solidFill>
                <a:schemeClr val="dk1"/>
              </a:solidFill>
              <a:effectLst/>
              <a:latin typeface="+mn-lt"/>
              <a:ea typeface="+mn-ea"/>
              <a:cs typeface="+mn-cs"/>
            </a:rPr>
            <a:t> o</a:t>
          </a:r>
          <a:r>
            <a:rPr lang="en-US" sz="1100" u="sng">
              <a:solidFill>
                <a:schemeClr val="dk1"/>
              </a:solidFill>
              <a:effectLst/>
              <a:latin typeface="+mn-lt"/>
              <a:ea typeface="+mn-ea"/>
              <a:cs typeface="+mn-cs"/>
            </a:rPr>
            <a:t>n recylcing from 2009</a:t>
          </a:r>
          <a:r>
            <a:rPr lang="en-US" sz="1100" u="sng" baseline="0">
              <a:solidFill>
                <a:schemeClr val="dk1"/>
              </a:solidFill>
              <a:effectLst/>
              <a:latin typeface="+mn-lt"/>
              <a:ea typeface="+mn-ea"/>
              <a:cs typeface="+mn-cs"/>
            </a:rPr>
            <a:t> </a:t>
          </a:r>
          <a:r>
            <a:rPr lang="en-US" sz="1100" u="sng">
              <a:solidFill>
                <a:schemeClr val="dk1"/>
              </a:solidFill>
              <a:effectLst/>
              <a:latin typeface="+mn-lt"/>
              <a:ea typeface="+mn-ea"/>
              <a:cs typeface="+mn-cs"/>
            </a:rPr>
            <a:t>report:</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a:solidFill>
                <a:schemeClr val="dk1"/>
              </a:solidFill>
              <a:effectLst/>
              <a:latin typeface="+mn-lt"/>
              <a:ea typeface="+mn-ea"/>
              <a:cs typeface="+mn-cs"/>
            </a:rPr>
            <a:t>Placed</a:t>
          </a:r>
          <a:r>
            <a:rPr lang="en-US" sz="1100" baseline="0">
              <a:solidFill>
                <a:schemeClr val="dk1"/>
              </a:solidFill>
              <a:effectLst/>
              <a:latin typeface="+mn-lt"/>
              <a:ea typeface="+mn-ea"/>
              <a:cs typeface="+mn-cs"/>
            </a:rPr>
            <a:t> 15.5 million of cash in restricted accounts to fund the solar module collection and recycling program</a:t>
          </a:r>
        </a:p>
        <a:p>
          <a:pPr marL="0" marR="0" lvl="0" indent="0" defTabSz="914400" eaLnBrk="1" fontAlgn="auto" latinLnBrk="0" hangingPunct="1">
            <a:lnSpc>
              <a:spcPct val="100000"/>
            </a:lnSpc>
            <a:spcBef>
              <a:spcPts val="0"/>
            </a:spcBef>
            <a:spcAft>
              <a:spcPts val="0"/>
            </a:spcAft>
            <a:buClrTx/>
            <a:buSzTx/>
            <a:buFontTx/>
            <a:buNone/>
            <a:tabLst/>
            <a:defRPr/>
          </a:pPr>
          <a:endParaRPr lang="en-US" sz="1100" u="sng">
            <a:solidFill>
              <a:schemeClr val="dk1"/>
            </a:solidFill>
            <a:effectLst/>
            <a:latin typeface="+mn-lt"/>
            <a:ea typeface="+mn-ea"/>
            <a:cs typeface="+mn-cs"/>
          </a:endParaRPr>
        </a:p>
        <a:p>
          <a:pPr marL="171450" indent="-171450">
            <a:buFont typeface="Arial" panose="020B0604020202020204" pitchFamily="34" charset="0"/>
            <a:buChar char="•"/>
          </a:pPr>
          <a:endParaRPr lang="en-US" sz="1100">
            <a:solidFill>
              <a:schemeClr val="dk1"/>
            </a:solidFill>
            <a:effectLst/>
            <a:latin typeface="+mn-lt"/>
            <a:ea typeface="+mn-ea"/>
            <a:cs typeface="+mn-cs"/>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41</xdr:col>
      <xdr:colOff>581491</xdr:colOff>
      <xdr:row>8</xdr:row>
      <xdr:rowOff>67733</xdr:rowOff>
    </xdr:from>
    <xdr:to>
      <xdr:col>44</xdr:col>
      <xdr:colOff>840793</xdr:colOff>
      <xdr:row>24</xdr:row>
      <xdr:rowOff>146853</xdr:rowOff>
    </xdr:to>
    <xdr:pic>
      <xdr:nvPicPr>
        <xdr:cNvPr id="3" name="Picture 2">
          <a:extLst>
            <a:ext uri="{FF2B5EF4-FFF2-40B4-BE49-F238E27FC236}">
              <a16:creationId xmlns:a16="http://schemas.microsoft.com/office/drawing/2014/main" id="{12961F66-42EA-E2F7-90CB-CC1001CE5994}"/>
            </a:ext>
          </a:extLst>
        </xdr:cNvPr>
        <xdr:cNvPicPr>
          <a:picLocks noChangeAspect="1"/>
        </xdr:cNvPicPr>
      </xdr:nvPicPr>
      <xdr:blipFill>
        <a:blip xmlns:r="http://schemas.openxmlformats.org/officeDocument/2006/relationships" r:embed="rId1"/>
        <a:stretch>
          <a:fillRect/>
        </a:stretch>
      </xdr:blipFill>
      <xdr:spPr>
        <a:xfrm>
          <a:off x="32873358" y="1693333"/>
          <a:ext cx="2359035" cy="3330320"/>
        </a:xfrm>
        <a:prstGeom prst="rect">
          <a:avLst/>
        </a:prstGeom>
      </xdr:spPr>
    </xdr:pic>
    <xdr:clientData/>
  </xdr:twoCellAnchor>
  <xdr:twoCellAnchor editAs="oneCell">
    <xdr:from>
      <xdr:col>44</xdr:col>
      <xdr:colOff>563401</xdr:colOff>
      <xdr:row>7</xdr:row>
      <xdr:rowOff>116325</xdr:rowOff>
    </xdr:from>
    <xdr:to>
      <xdr:col>49</xdr:col>
      <xdr:colOff>415758</xdr:colOff>
      <xdr:row>26</xdr:row>
      <xdr:rowOff>27976</xdr:rowOff>
    </xdr:to>
    <xdr:pic>
      <xdr:nvPicPr>
        <xdr:cNvPr id="5" name="Picture 4">
          <a:extLst>
            <a:ext uri="{FF2B5EF4-FFF2-40B4-BE49-F238E27FC236}">
              <a16:creationId xmlns:a16="http://schemas.microsoft.com/office/drawing/2014/main" id="{465E41B9-1B6E-7A25-F674-EDF31B7EAAB8}"/>
            </a:ext>
          </a:extLst>
        </xdr:cNvPr>
        <xdr:cNvPicPr>
          <a:picLocks noChangeAspect="1"/>
        </xdr:cNvPicPr>
      </xdr:nvPicPr>
      <xdr:blipFill>
        <a:blip xmlns:r="http://schemas.openxmlformats.org/officeDocument/2006/relationships" r:embed="rId2"/>
        <a:stretch>
          <a:fillRect/>
        </a:stretch>
      </xdr:blipFill>
      <xdr:spPr>
        <a:xfrm>
          <a:off x="34955001" y="1538725"/>
          <a:ext cx="3780890" cy="3772451"/>
        </a:xfrm>
        <a:prstGeom prst="rect">
          <a:avLst/>
        </a:prstGeom>
      </xdr:spPr>
    </xdr:pic>
    <xdr:clientData/>
  </xdr:twoCellAnchor>
  <xdr:twoCellAnchor editAs="oneCell">
    <xdr:from>
      <xdr:col>37</xdr:col>
      <xdr:colOff>541131</xdr:colOff>
      <xdr:row>7</xdr:row>
      <xdr:rowOff>190220</xdr:rowOff>
    </xdr:from>
    <xdr:to>
      <xdr:col>42</xdr:col>
      <xdr:colOff>39585</xdr:colOff>
      <xdr:row>24</xdr:row>
      <xdr:rowOff>145221</xdr:rowOff>
    </xdr:to>
    <xdr:pic>
      <xdr:nvPicPr>
        <xdr:cNvPr id="6" name="Picture 5">
          <a:extLst>
            <a:ext uri="{FF2B5EF4-FFF2-40B4-BE49-F238E27FC236}">
              <a16:creationId xmlns:a16="http://schemas.microsoft.com/office/drawing/2014/main" id="{EB5E0C29-62BB-1DFF-2C5A-0368D2987C61}"/>
            </a:ext>
          </a:extLst>
        </xdr:cNvPr>
        <xdr:cNvPicPr>
          <a:picLocks noChangeAspect="1"/>
        </xdr:cNvPicPr>
      </xdr:nvPicPr>
      <xdr:blipFill>
        <a:blip xmlns:r="http://schemas.openxmlformats.org/officeDocument/2006/relationships" r:embed="rId3"/>
        <a:stretch>
          <a:fillRect/>
        </a:stretch>
      </xdr:blipFill>
      <xdr:spPr>
        <a:xfrm>
          <a:off x="29818864" y="1612620"/>
          <a:ext cx="3105254" cy="3409401"/>
        </a:xfrm>
        <a:prstGeom prst="rect">
          <a:avLst/>
        </a:prstGeom>
      </xdr:spPr>
    </xdr:pic>
    <xdr:clientData/>
  </xdr:twoCellAnchor>
  <xdr:twoCellAnchor editAs="oneCell">
    <xdr:from>
      <xdr:col>49</xdr:col>
      <xdr:colOff>295965</xdr:colOff>
      <xdr:row>7</xdr:row>
      <xdr:rowOff>50064</xdr:rowOff>
    </xdr:from>
    <xdr:to>
      <xdr:col>56</xdr:col>
      <xdr:colOff>324391</xdr:colOff>
      <xdr:row>28</xdr:row>
      <xdr:rowOff>72150</xdr:rowOff>
    </xdr:to>
    <xdr:pic>
      <xdr:nvPicPr>
        <xdr:cNvPr id="7" name="Picture 6">
          <a:extLst>
            <a:ext uri="{FF2B5EF4-FFF2-40B4-BE49-F238E27FC236}">
              <a16:creationId xmlns:a16="http://schemas.microsoft.com/office/drawing/2014/main" id="{C3819E6D-520A-49D0-CABD-1826636BA956}"/>
            </a:ext>
          </a:extLst>
        </xdr:cNvPr>
        <xdr:cNvPicPr>
          <a:picLocks noChangeAspect="1"/>
        </xdr:cNvPicPr>
      </xdr:nvPicPr>
      <xdr:blipFill>
        <a:blip xmlns:r="http://schemas.openxmlformats.org/officeDocument/2006/relationships" r:embed="rId4"/>
        <a:stretch>
          <a:fillRect/>
        </a:stretch>
      </xdr:blipFill>
      <xdr:spPr>
        <a:xfrm>
          <a:off x="38616098" y="1472464"/>
          <a:ext cx="5142293" cy="4289286"/>
        </a:xfrm>
        <a:prstGeom prst="rect">
          <a:avLst/>
        </a:prstGeom>
      </xdr:spPr>
    </xdr:pic>
    <xdr:clientData/>
  </xdr:twoCellAnchor>
  <xdr:twoCellAnchor editAs="oneCell">
    <xdr:from>
      <xdr:col>56</xdr:col>
      <xdr:colOff>549965</xdr:colOff>
      <xdr:row>1</xdr:row>
      <xdr:rowOff>2597</xdr:rowOff>
    </xdr:from>
    <xdr:to>
      <xdr:col>66</xdr:col>
      <xdr:colOff>647885</xdr:colOff>
      <xdr:row>34</xdr:row>
      <xdr:rowOff>153094</xdr:rowOff>
    </xdr:to>
    <xdr:pic>
      <xdr:nvPicPr>
        <xdr:cNvPr id="8" name="Picture 7">
          <a:extLst>
            <a:ext uri="{FF2B5EF4-FFF2-40B4-BE49-F238E27FC236}">
              <a16:creationId xmlns:a16="http://schemas.microsoft.com/office/drawing/2014/main" id="{CA494F8D-D99C-6353-77DA-DD23C0F6FA79}"/>
            </a:ext>
          </a:extLst>
        </xdr:cNvPr>
        <xdr:cNvPicPr>
          <a:picLocks noChangeAspect="1"/>
        </xdr:cNvPicPr>
      </xdr:nvPicPr>
      <xdr:blipFill>
        <a:blip xmlns:r="http://schemas.openxmlformats.org/officeDocument/2006/relationships" r:embed="rId5"/>
        <a:stretch>
          <a:fillRect/>
        </a:stretch>
      </xdr:blipFill>
      <xdr:spPr>
        <a:xfrm>
          <a:off x="43983965" y="205797"/>
          <a:ext cx="7785653" cy="6856097"/>
        </a:xfrm>
        <a:prstGeom prst="rect">
          <a:avLst/>
        </a:prstGeom>
      </xdr:spPr>
    </xdr:pic>
    <xdr:clientData/>
  </xdr:twoCellAnchor>
  <xdr:twoCellAnchor editAs="oneCell">
    <xdr:from>
      <xdr:col>67</xdr:col>
      <xdr:colOff>592666</xdr:colOff>
      <xdr:row>1</xdr:row>
      <xdr:rowOff>101600</xdr:rowOff>
    </xdr:from>
    <xdr:to>
      <xdr:col>77</xdr:col>
      <xdr:colOff>67733</xdr:colOff>
      <xdr:row>30</xdr:row>
      <xdr:rowOff>99094</xdr:rowOff>
    </xdr:to>
    <xdr:pic>
      <xdr:nvPicPr>
        <xdr:cNvPr id="2" name="Picture 1">
          <a:extLst>
            <a:ext uri="{FF2B5EF4-FFF2-40B4-BE49-F238E27FC236}">
              <a16:creationId xmlns:a16="http://schemas.microsoft.com/office/drawing/2014/main" id="{4F9560BA-C2B6-114E-C859-293C872B2CF2}"/>
            </a:ext>
          </a:extLst>
        </xdr:cNvPr>
        <xdr:cNvPicPr>
          <a:picLocks noChangeAspect="1"/>
        </xdr:cNvPicPr>
      </xdr:nvPicPr>
      <xdr:blipFill>
        <a:blip xmlns:r="http://schemas.openxmlformats.org/officeDocument/2006/relationships" r:embed="rId6"/>
        <a:stretch>
          <a:fillRect/>
        </a:stretch>
      </xdr:blipFill>
      <xdr:spPr>
        <a:xfrm>
          <a:off x="52544133" y="304800"/>
          <a:ext cx="7772400" cy="5890294"/>
        </a:xfrm>
        <a:prstGeom prst="rect">
          <a:avLst/>
        </a:prstGeom>
      </xdr:spPr>
    </xdr:pic>
    <xdr:clientData/>
  </xdr:twoCellAnchor>
  <xdr:twoCellAnchor editAs="oneCell">
    <xdr:from>
      <xdr:col>77</xdr:col>
      <xdr:colOff>0</xdr:colOff>
      <xdr:row>3</xdr:row>
      <xdr:rowOff>0</xdr:rowOff>
    </xdr:from>
    <xdr:to>
      <xdr:col>86</xdr:col>
      <xdr:colOff>38100</xdr:colOff>
      <xdr:row>23</xdr:row>
      <xdr:rowOff>165100</xdr:rowOff>
    </xdr:to>
    <xdr:pic>
      <xdr:nvPicPr>
        <xdr:cNvPr id="4" name="Picture 3">
          <a:extLst>
            <a:ext uri="{FF2B5EF4-FFF2-40B4-BE49-F238E27FC236}">
              <a16:creationId xmlns:a16="http://schemas.microsoft.com/office/drawing/2014/main" id="{9F7020C2-16B4-ADEE-8492-5BA8A573AF04}"/>
            </a:ext>
          </a:extLst>
        </xdr:cNvPr>
        <xdr:cNvPicPr>
          <a:picLocks noChangeAspect="1"/>
        </xdr:cNvPicPr>
      </xdr:nvPicPr>
      <xdr:blipFill>
        <a:blip xmlns:r="http://schemas.openxmlformats.org/officeDocument/2006/relationships" r:embed="rId7"/>
        <a:stretch>
          <a:fillRect/>
        </a:stretch>
      </xdr:blipFill>
      <xdr:spPr>
        <a:xfrm>
          <a:off x="60248800" y="609600"/>
          <a:ext cx="7505700" cy="42291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23</xdr:col>
      <xdr:colOff>450646</xdr:colOff>
      <xdr:row>1</xdr:row>
      <xdr:rowOff>163871</xdr:rowOff>
    </xdr:from>
    <xdr:to>
      <xdr:col>27</xdr:col>
      <xdr:colOff>33865</xdr:colOff>
      <xdr:row>14</xdr:row>
      <xdr:rowOff>81936</xdr:rowOff>
    </xdr:to>
    <xdr:pic>
      <xdr:nvPicPr>
        <xdr:cNvPr id="7" name="Picture 6">
          <a:extLst>
            <a:ext uri="{FF2B5EF4-FFF2-40B4-BE49-F238E27FC236}">
              <a16:creationId xmlns:a16="http://schemas.microsoft.com/office/drawing/2014/main" id="{E047D8B3-067D-5DB1-69AF-5782771504BA}"/>
            </a:ext>
          </a:extLst>
        </xdr:cNvPr>
        <xdr:cNvPicPr>
          <a:picLocks noChangeAspect="1"/>
        </xdr:cNvPicPr>
      </xdr:nvPicPr>
      <xdr:blipFill>
        <a:blip xmlns:r="http://schemas.openxmlformats.org/officeDocument/2006/relationships" r:embed="rId1"/>
        <a:stretch>
          <a:fillRect/>
        </a:stretch>
      </xdr:blipFill>
      <xdr:spPr>
        <a:xfrm>
          <a:off x="19295807" y="368710"/>
          <a:ext cx="2860639" cy="2580968"/>
        </a:xfrm>
        <a:prstGeom prst="rect">
          <a:avLst/>
        </a:prstGeom>
      </xdr:spPr>
    </xdr:pic>
    <xdr:clientData/>
  </xdr:twoCellAnchor>
  <xdr:twoCellAnchor editAs="oneCell">
    <xdr:from>
      <xdr:col>27</xdr:col>
      <xdr:colOff>150216</xdr:colOff>
      <xdr:row>0</xdr:row>
      <xdr:rowOff>0</xdr:rowOff>
    </xdr:from>
    <xdr:to>
      <xdr:col>30</xdr:col>
      <xdr:colOff>494930</xdr:colOff>
      <xdr:row>18</xdr:row>
      <xdr:rowOff>81935</xdr:rowOff>
    </xdr:to>
    <xdr:pic>
      <xdr:nvPicPr>
        <xdr:cNvPr id="8" name="Picture 7">
          <a:extLst>
            <a:ext uri="{FF2B5EF4-FFF2-40B4-BE49-F238E27FC236}">
              <a16:creationId xmlns:a16="http://schemas.microsoft.com/office/drawing/2014/main" id="{449585E3-464E-9853-059D-567B9979B34B}"/>
            </a:ext>
          </a:extLst>
        </xdr:cNvPr>
        <xdr:cNvPicPr>
          <a:picLocks noChangeAspect="1"/>
        </xdr:cNvPicPr>
      </xdr:nvPicPr>
      <xdr:blipFill>
        <a:blip xmlns:r="http://schemas.openxmlformats.org/officeDocument/2006/relationships" r:embed="rId2"/>
        <a:stretch>
          <a:fillRect/>
        </a:stretch>
      </xdr:blipFill>
      <xdr:spPr>
        <a:xfrm>
          <a:off x="22272797" y="0"/>
          <a:ext cx="2802778" cy="3769032"/>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114300</xdr:colOff>
      <xdr:row>9</xdr:row>
      <xdr:rowOff>12700</xdr:rowOff>
    </xdr:from>
    <xdr:to>
      <xdr:col>1</xdr:col>
      <xdr:colOff>762000</xdr:colOff>
      <xdr:row>12</xdr:row>
      <xdr:rowOff>101600</xdr:rowOff>
    </xdr:to>
    <xdr:pic>
      <xdr:nvPicPr>
        <xdr:cNvPr id="2" name="Picture 1">
          <a:extLst>
            <a:ext uri="{FF2B5EF4-FFF2-40B4-BE49-F238E27FC236}">
              <a16:creationId xmlns:a16="http://schemas.microsoft.com/office/drawing/2014/main" id="{09E87CF1-6E86-2996-5C7F-A1646393C5CF}"/>
            </a:ext>
          </a:extLst>
        </xdr:cNvPr>
        <xdr:cNvPicPr>
          <a:picLocks noChangeAspect="1"/>
        </xdr:cNvPicPr>
      </xdr:nvPicPr>
      <xdr:blipFill>
        <a:blip xmlns:r="http://schemas.openxmlformats.org/officeDocument/2006/relationships" r:embed="rId1"/>
        <a:stretch>
          <a:fillRect/>
        </a:stretch>
      </xdr:blipFill>
      <xdr:spPr>
        <a:xfrm>
          <a:off x="1596930" y="1848416"/>
          <a:ext cx="647700" cy="698500"/>
        </a:xfrm>
        <a:prstGeom prst="rect">
          <a:avLst/>
        </a:prstGeom>
      </xdr:spPr>
    </xdr:pic>
    <xdr:clientData/>
  </xdr:twoCellAnchor>
  <xdr:twoCellAnchor editAs="oneCell">
    <xdr:from>
      <xdr:col>2</xdr:col>
      <xdr:colOff>190500</xdr:colOff>
      <xdr:row>9</xdr:row>
      <xdr:rowOff>12700</xdr:rowOff>
    </xdr:from>
    <xdr:to>
      <xdr:col>3</xdr:col>
      <xdr:colOff>12700</xdr:colOff>
      <xdr:row>12</xdr:row>
      <xdr:rowOff>101600</xdr:rowOff>
    </xdr:to>
    <xdr:pic>
      <xdr:nvPicPr>
        <xdr:cNvPr id="3" name="Picture 2">
          <a:extLst>
            <a:ext uri="{FF2B5EF4-FFF2-40B4-BE49-F238E27FC236}">
              <a16:creationId xmlns:a16="http://schemas.microsoft.com/office/drawing/2014/main" id="{18BBB0FB-6D6A-8F94-4C81-2F07CC354095}"/>
            </a:ext>
          </a:extLst>
        </xdr:cNvPr>
        <xdr:cNvPicPr>
          <a:picLocks noChangeAspect="1"/>
        </xdr:cNvPicPr>
      </xdr:nvPicPr>
      <xdr:blipFill>
        <a:blip xmlns:r="http://schemas.openxmlformats.org/officeDocument/2006/relationships" r:embed="rId2"/>
        <a:stretch>
          <a:fillRect/>
        </a:stretch>
      </xdr:blipFill>
      <xdr:spPr>
        <a:xfrm>
          <a:off x="2491212" y="1849924"/>
          <a:ext cx="647700" cy="698500"/>
        </a:xfrm>
        <a:prstGeom prst="rect">
          <a:avLst/>
        </a:prstGeom>
      </xdr:spPr>
    </xdr:pic>
    <xdr:clientData/>
  </xdr:twoCellAnchor>
  <xdr:twoCellAnchor editAs="oneCell">
    <xdr:from>
      <xdr:col>0</xdr:col>
      <xdr:colOff>762000</xdr:colOff>
      <xdr:row>16</xdr:row>
      <xdr:rowOff>63500</xdr:rowOff>
    </xdr:from>
    <xdr:to>
      <xdr:col>8</xdr:col>
      <xdr:colOff>279400</xdr:colOff>
      <xdr:row>33</xdr:row>
      <xdr:rowOff>101047</xdr:rowOff>
    </xdr:to>
    <xdr:pic>
      <xdr:nvPicPr>
        <xdr:cNvPr id="4" name="Picture 3">
          <a:extLst>
            <a:ext uri="{FF2B5EF4-FFF2-40B4-BE49-F238E27FC236}">
              <a16:creationId xmlns:a16="http://schemas.microsoft.com/office/drawing/2014/main" id="{16137CD4-B293-0D4B-9192-22ACD22A2057}"/>
            </a:ext>
          </a:extLst>
        </xdr:cNvPr>
        <xdr:cNvPicPr>
          <a:picLocks noChangeAspect="1"/>
        </xdr:cNvPicPr>
      </xdr:nvPicPr>
      <xdr:blipFill>
        <a:blip xmlns:r="http://schemas.openxmlformats.org/officeDocument/2006/relationships" r:embed="rId3"/>
        <a:stretch>
          <a:fillRect/>
        </a:stretch>
      </xdr:blipFill>
      <xdr:spPr>
        <a:xfrm>
          <a:off x="762000" y="3314700"/>
          <a:ext cx="7772400" cy="3491947"/>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8</xdr:col>
      <xdr:colOff>641350</xdr:colOff>
      <xdr:row>15</xdr:row>
      <xdr:rowOff>69850</xdr:rowOff>
    </xdr:from>
    <xdr:to>
      <xdr:col>14</xdr:col>
      <xdr:colOff>260350</xdr:colOff>
      <xdr:row>28</xdr:row>
      <xdr:rowOff>171450</xdr:rowOff>
    </xdr:to>
    <xdr:graphicFrame macro="">
      <xdr:nvGraphicFramePr>
        <xdr:cNvPr id="2" name="Chart 1">
          <a:extLst>
            <a:ext uri="{FF2B5EF4-FFF2-40B4-BE49-F238E27FC236}">
              <a16:creationId xmlns:a16="http://schemas.microsoft.com/office/drawing/2014/main" id="{9BCFEFEB-2CC3-45FE-1198-5EE900A73B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FEAACC3-79EC-7E40-876E-258F63E9028A}" name="Table1" displayName="Table1" ref="A1:C525" totalsRowShown="0" headerRowBorderDxfId="272" tableBorderDxfId="271" totalsRowBorderDxfId="270">
  <autoFilter ref="A1:C525" xr:uid="{9FEAACC3-79EC-7E40-876E-258F63E9028A}"/>
  <tableColumns count="3">
    <tableColumn id="1" xr3:uid="{28AC7CEE-964A-D94E-B4E5-C2C02096D8BD}" name="CdTe New Installs Capacity (MW)" dataDxfId="269"/>
    <tableColumn id="2" xr3:uid="{711DB29C-0172-6844-BED7-57E432B759B4}" name="Cummulative Capacity (MW)" dataDxfId="268">
      <calculatedColumnFormula>SUM($A$2:A2)</calculatedColumnFormula>
    </tableColumn>
    <tableColumn id="3" xr3:uid="{D3062F78-2AD8-044A-80A3-966A31A870C9}" name="Operating Year" dataDxfId="267"/>
  </tableColumns>
  <tableStyleInfo name="TableStyleLight1"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D017474F-9256-B24E-BAF3-9A1A744D40BD}" name="Table10" displayName="Table10" ref="A1:C29" totalsRowShown="0">
  <autoFilter ref="A1:C29" xr:uid="{D017474F-9256-B24E-BAF3-9A1A744D40BD}"/>
  <sortState xmlns:xlrd2="http://schemas.microsoft.com/office/spreadsheetml/2017/richdata2" ref="A2:B29">
    <sortCondition ref="A1:A29"/>
  </sortState>
  <tableColumns count="3">
    <tableColumn id="1" xr3:uid="{11CD6B2B-F9B4-A545-AB36-3E82C68FCD40}" name="year"/>
    <tableColumn id="2" xr3:uid="{6AA311AE-94C5-9F46-8D6A-10050675F83F}" name="MW" dataDxfId="0"/>
    <tableColumn id="3" xr3:uid="{BF441D28-2BDC-3B4F-8C5F-03457622E124}" name="Rearranged"/>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1DD3AA2-59FE-CE42-87F2-179FC9B55D7A}" name="Table2" displayName="Table2" ref="B27:AI35" totalsRowShown="0" dataDxfId="233" tableBorderDxfId="266" dataCellStyle="Percent">
  <autoFilter ref="B27:AI35" xr:uid="{91DD3AA2-59FE-CE42-87F2-179FC9B55D7A}"/>
  <tableColumns count="34">
    <tableColumn id="1" xr3:uid="{E1551442-71A4-E040-9944-65A605BFCCF1}" name="Import sources"/>
    <tableColumn id="2" xr3:uid="{876E70FC-423E-024F-9C98-C4EF70D812E8}" name="Country"/>
    <tableColumn id="3" xr3:uid="{16B8BF2C-3C54-9D48-ABB2-2B6970648F06}" name="1991-1994" dataDxfId="265" dataCellStyle="Percent"/>
    <tableColumn id="4" xr3:uid="{1D0F0337-FC80-DB48-9533-4BF56F7E5678}" name="Column2" dataDxfId="264" dataCellStyle="Percent"/>
    <tableColumn id="5" xr3:uid="{17C4BBBE-64D7-B64B-914E-D97EF7DF5B46}" name="Column3" dataDxfId="263" dataCellStyle="Percent"/>
    <tableColumn id="6" xr3:uid="{B061CAD7-FF08-9641-8BEB-EF2F34810F45}" name="Column4" dataDxfId="262" dataCellStyle="Percent"/>
    <tableColumn id="7" xr3:uid="{9082168D-0D18-5A4B-9FFD-278D2438C6F0}" name="1995" dataDxfId="261" dataCellStyle="Percent"/>
    <tableColumn id="8" xr3:uid="{A77291D6-8FB4-3A47-8552-17DD8C4FC903}" name="1996" dataDxfId="260" dataCellStyle="Percent"/>
    <tableColumn id="9" xr3:uid="{1CEEE2C0-1377-C749-AD0E-F98AC1CA24A5}" name="1997" dataDxfId="259" dataCellStyle="Percent"/>
    <tableColumn id="10" xr3:uid="{8DDA10C4-4610-C347-969E-778A76DEF03D}" name="1998" dataDxfId="258" dataCellStyle="Percent"/>
    <tableColumn id="11" xr3:uid="{EBBF57D9-1457-B642-B01D-5C629DC0A38E}" name="1999" dataDxfId="257" dataCellStyle="Percent"/>
    <tableColumn id="12" xr3:uid="{D7CC0544-71CD-4F42-B0A8-C76CFCBBA7F7}" name="2000" dataDxfId="256" dataCellStyle="Percent"/>
    <tableColumn id="13" xr3:uid="{7DF52486-DC94-BA4D-A0E9-2449B3784CD3}" name="2001" dataDxfId="255" dataCellStyle="Percent"/>
    <tableColumn id="14" xr3:uid="{1455C787-54B4-5741-9980-D9385D72FA2A}" name="2002" dataDxfId="254" dataCellStyle="Percent"/>
    <tableColumn id="15" xr3:uid="{06F1DB3A-12AA-434B-BCA6-604EBB343CE2}" name="2003" dataDxfId="253" dataCellStyle="Percent"/>
    <tableColumn id="16" xr3:uid="{6F4ACFB1-2E56-694E-9EBD-E69D7B4B1CBF}" name="2004" dataDxfId="252" dataCellStyle="Percent"/>
    <tableColumn id="17" xr3:uid="{DC73E1D6-08B4-9F40-A988-8F679FBA91CE}" name="2005" dataDxfId="251" dataCellStyle="Percent"/>
    <tableColumn id="18" xr3:uid="{958C98D8-E881-D64E-BA9E-C0E113DDACEF}" name="2006" dataDxfId="250" dataCellStyle="Percent"/>
    <tableColumn id="19" xr3:uid="{32340EDE-41D2-4641-A655-741F34CEEECA}" name="2007" dataDxfId="249" dataCellStyle="Percent"/>
    <tableColumn id="20" xr3:uid="{371D2284-3FA9-E346-9A4D-6934C5D7242B}" name="2008" dataDxfId="248" dataCellStyle="Percent"/>
    <tableColumn id="21" xr3:uid="{6E5A40FE-CDAF-3A48-A924-35BC782622FB}" name="2009" dataDxfId="247" dataCellStyle="Percent"/>
    <tableColumn id="22" xr3:uid="{4FB89177-63C0-8A4B-92A7-BF8876AAF9DA}" name="2010" dataDxfId="246" dataCellStyle="Percent"/>
    <tableColumn id="23" xr3:uid="{6A1CCB87-121B-1F42-BEB3-89F5677827A8}" name="2011" dataDxfId="245" dataCellStyle="Percent"/>
    <tableColumn id="24" xr3:uid="{204FD751-91C6-1B43-B467-590FCCDC96B8}" name="2012" dataDxfId="244" dataCellStyle="Percent"/>
    <tableColumn id="25" xr3:uid="{47976979-B395-4048-A6D3-7D66B9AFF388}" name="2013" dataDxfId="243" dataCellStyle="Percent"/>
    <tableColumn id="26" xr3:uid="{D74991E8-E114-3747-91AE-0A348DA74AAA}" name="2014" dataDxfId="242" dataCellStyle="Percent"/>
    <tableColumn id="27" xr3:uid="{1778B330-8E05-5640-A68F-6C86CC9E3A13}" name="2015" dataDxfId="241" dataCellStyle="Percent"/>
    <tableColumn id="28" xr3:uid="{0B235B02-B2CD-1846-9DCA-22E9E7F40260}" name="2016" dataDxfId="240" dataCellStyle="Percent"/>
    <tableColumn id="29" xr3:uid="{103C5767-1EC2-504C-9C1D-96F8C5CAD263}" name="2017" dataDxfId="239" dataCellStyle="Percent"/>
    <tableColumn id="30" xr3:uid="{2462D13D-885C-F142-8181-FB8026658765}" name="2018" dataDxfId="238" dataCellStyle="Percent"/>
    <tableColumn id="31" xr3:uid="{0631BB1A-C030-334D-90BA-CDBBAC754466}" name="2019" dataDxfId="237" dataCellStyle="Percent"/>
    <tableColumn id="32" xr3:uid="{49E21641-1B97-E34A-887F-640EAE5C6F4F}" name="2020" dataDxfId="236" dataCellStyle="Percent"/>
    <tableColumn id="33" xr3:uid="{8DECD041-8790-954D-A98B-D1AC434D89A1}" name="2021" dataDxfId="235" dataCellStyle="Percent"/>
    <tableColumn id="34" xr3:uid="{D949A34D-9C86-A644-B63A-E489AF4732A2}" name="2022" dataDxfId="234" dataCellStyle="Percent"/>
  </tableColumns>
  <tableStyleInfo name="TableStyleLigh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2DCFE2E-6EA1-3848-90E7-7209FEC8E457}" name="Table3" displayName="Table3" ref="B18:AI24" totalsRowShown="0" dataDxfId="201" tableBorderDxfId="232" dataCellStyle="Percent">
  <autoFilter ref="B18:AI24" xr:uid="{22DCFE2E-6EA1-3848-90E7-7209FEC8E457}"/>
  <tableColumns count="34">
    <tableColumn id="1" xr3:uid="{EEC5EB2F-86DC-1746-BC10-160E64DE7AA2}" name="Primary industry consumers of cadmium:"/>
    <tableColumn id="2" xr3:uid="{A02AB351-9932-874E-9EFB-49A51E553DCD}" name="Column1"/>
    <tableColumn id="3" xr3:uid="{22AE6C9E-F2D0-DD4A-8D7E-8835D0878CF4}" name="1991" dataDxfId="231" dataCellStyle="Percent"/>
    <tableColumn id="4" xr3:uid="{45B7DCB2-F6B2-6E4C-ADA6-864D5C032759}" name="1992" dataDxfId="230" dataCellStyle="Percent"/>
    <tableColumn id="5" xr3:uid="{AA88684B-EC8C-8745-885E-85DCBA84E56D}" name="1993" dataDxfId="229" dataCellStyle="Percent"/>
    <tableColumn id="6" xr3:uid="{A6BAD874-5491-1A4B-A76B-DCC5364C5B3D}" name="1994" dataDxfId="228" dataCellStyle="Percent"/>
    <tableColumn id="7" xr3:uid="{5342BED0-2188-5B43-8E7F-13971EB5BFD1}" name="1995" dataDxfId="227" dataCellStyle="Percent"/>
    <tableColumn id="8" xr3:uid="{9C5EA018-4875-0448-AFF8-382ED2444452}" name="1996" dataDxfId="226" dataCellStyle="Percent"/>
    <tableColumn id="9" xr3:uid="{FAB60C8C-4D14-5C41-986C-D21C6B146215}" name="1997" dataDxfId="225" dataCellStyle="Percent"/>
    <tableColumn id="10" xr3:uid="{0A3495D6-0A4C-D54F-B2C7-76AE6DBEE624}" name="1998" dataDxfId="224" dataCellStyle="Percent"/>
    <tableColumn id="11" xr3:uid="{7A14CF4F-F88A-2049-A4F4-1A74A2F16595}" name="1999" dataDxfId="223" dataCellStyle="Percent"/>
    <tableColumn id="12" xr3:uid="{2DA7548A-E2A2-4345-8899-2A969D778537}" name="2000" dataDxfId="222" dataCellStyle="Percent"/>
    <tableColumn id="13" xr3:uid="{176624CE-522B-6740-BC60-33B820633852}" name="2001" dataDxfId="221" dataCellStyle="Percent"/>
    <tableColumn id="14" xr3:uid="{58010D4E-04B3-DE4D-8725-7E3CF9849509}" name="2002" dataDxfId="220" dataCellStyle="Percent"/>
    <tableColumn id="15" xr3:uid="{1B8E6937-D2E3-3A40-89B0-9440F5963723}" name="2003" dataDxfId="219" dataCellStyle="Percent"/>
    <tableColumn id="16" xr3:uid="{C9A48405-C85D-8746-82D0-F4131036B5FB}" name="2004" dataDxfId="218" dataCellStyle="Percent"/>
    <tableColumn id="17" xr3:uid="{402782A5-545C-2B4E-A71F-DEDE4D8C594C}" name="2005" dataDxfId="217" dataCellStyle="Percent"/>
    <tableColumn id="18" xr3:uid="{67DDE2CE-E6CE-464A-B2FA-6194DC29DB4D}" name="2006" dataDxfId="216" dataCellStyle="Percent"/>
    <tableColumn id="19" xr3:uid="{7B5DA9F7-567B-BA4E-AE0E-DE8EF550EB76}" name="2007" dataDxfId="215" dataCellStyle="Percent"/>
    <tableColumn id="20" xr3:uid="{3A765584-3B06-3348-97DD-E2B55EF0C0F7}" name="2008" dataDxfId="214" dataCellStyle="Percent"/>
    <tableColumn id="21" xr3:uid="{66B6094C-4D0A-3C4F-A9BD-95C076959A23}" name="2009" dataDxfId="213" dataCellStyle="Percent"/>
    <tableColumn id="22" xr3:uid="{2B22DD10-2952-6149-87EB-03C9F4B25474}" name="2010" dataDxfId="212" dataCellStyle="Percent"/>
    <tableColumn id="23" xr3:uid="{A4473ABC-92AC-1647-890E-35C942C6EC66}" name="2011" dataDxfId="211" dataCellStyle="Percent"/>
    <tableColumn id="24" xr3:uid="{11DE5B51-01D8-2144-97D6-167990A93933}" name="2012" dataDxfId="210" dataCellStyle="Percent"/>
    <tableColumn id="25" xr3:uid="{CE9CFF1B-2D12-854B-9B61-32E7AB157937}" name="2013" dataDxfId="209" dataCellStyle="Percent"/>
    <tableColumn id="26" xr3:uid="{17DBA686-BA0A-9F45-9DEA-1C35B73BD3DA}" name="2014" dataDxfId="208" dataCellStyle="Percent"/>
    <tableColumn id="27" xr3:uid="{4FA5507B-F81A-0746-B749-884295A9AE6F}" name="2015" dataDxfId="207" dataCellStyle="Percent"/>
    <tableColumn id="28" xr3:uid="{D07CCF92-172E-224C-81AB-07B665025958}" name="2016" dataDxfId="206" dataCellStyle="Percent"/>
    <tableColumn id="29" xr3:uid="{1D9D3CC8-12BC-454E-AE58-A5439143005A}" name="2017" dataDxfId="205" dataCellStyle="Percent"/>
    <tableColumn id="30" xr3:uid="{FF308026-7344-F14D-B488-6DD368776258}" name="2018" dataDxfId="204" dataCellStyle="Percent"/>
    <tableColumn id="31" xr3:uid="{32FFD4A6-DA7E-4642-BC9E-F8C46E69C891}" name="2019" dataDxfId="135" dataCellStyle="Percent"/>
    <tableColumn id="32" xr3:uid="{90428524-558A-704F-85A8-CA3E9F75FB37}" name="2020" dataDxfId="134" dataCellStyle="Percent"/>
    <tableColumn id="33" xr3:uid="{2FB03CB3-9EB7-EB49-BB08-AB8246F8BAA1}" name="2021" dataDxfId="203" dataCellStyle="Percent"/>
    <tableColumn id="34" xr3:uid="{9AE8252D-00B3-A64E-91A8-48CA0541BA7C}" name="2022" dataDxfId="202" dataCellStyle="Percent"/>
  </tableColumns>
  <tableStyleInfo name="TableStyleLight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4884C1AC-1090-3D48-8DCD-9A7AA7B1E119}" name="Table4" displayName="Table4" ref="B38:AI44" totalsRowShown="0" tableBorderDxfId="200">
  <autoFilter ref="B38:AI44" xr:uid="{4884C1AC-1090-3D48-8DCD-9A7AA7B1E119}"/>
  <tableColumns count="34">
    <tableColumn id="1" xr3:uid="{AB3390F0-CF4D-F64D-90CD-A58BC12FEF59}" name="USA Salient Statistics"/>
    <tableColumn id="2" xr3:uid="{078B341E-713B-C340-91D5-E407F60060D9}" name="Column1"/>
    <tableColumn id="3" xr3:uid="{C72EAD8A-DF4E-3644-9019-19B000FE039C}" name="1991" dataDxfId="199"/>
    <tableColumn id="4" xr3:uid="{66376527-8B3C-BB45-BD0F-9F049851C102}" name="1992"/>
    <tableColumn id="5" xr3:uid="{61A10A6A-47AF-F347-9E76-68C7A30EC2C8}" name="1993"/>
    <tableColumn id="6" xr3:uid="{7DBA1983-5727-9B4B-AD4C-D24EE215E885}" name="1994"/>
    <tableColumn id="7" xr3:uid="{515BA328-FE99-4546-9DBD-BFC8F65F720D}" name="1995"/>
    <tableColumn id="8" xr3:uid="{DAFA8067-3FEC-1842-9295-5D42CE4F8119}" name="1996"/>
    <tableColumn id="9" xr3:uid="{177E254B-2EC5-5941-B6A1-530F33B13A2D}" name="1997" dataDxfId="198"/>
    <tableColumn id="10" xr3:uid="{66C3D73D-84D3-0F49-95D6-D9CED0C315D5}" name="1998"/>
    <tableColumn id="11" xr3:uid="{3A056B5D-59B3-EA42-8C15-5F31343F9478}" name="1999"/>
    <tableColumn id="12" xr3:uid="{D7CDF352-D8B8-5745-9385-3DB87F04431E}" name="2000" dataDxfId="197"/>
    <tableColumn id="13" xr3:uid="{241D80C0-B90A-5349-B9DB-D745923CC045}" name="2001"/>
    <tableColumn id="14" xr3:uid="{C9C0F80C-AD5C-0740-9CD6-0E149EB02F9C}" name="2002"/>
    <tableColumn id="15" xr3:uid="{F38C0627-7219-BD42-A9F0-6FC99786A25F}" name="2003"/>
    <tableColumn id="16" xr3:uid="{7B97CA34-1115-E942-98FE-DEC9E23708EB}" name="2004" dataDxfId="196"/>
    <tableColumn id="17" xr3:uid="{EA57EE6F-4EB9-244C-8FD9-FB120B81EB6C}" name="2005"/>
    <tableColumn id="18" xr3:uid="{0987D214-A66E-494B-8E2C-15F4F13C8C5C}" name="2006"/>
    <tableColumn id="19" xr3:uid="{FC4D1A98-5762-FB42-8130-07D4938D0FCE}" name="2007"/>
    <tableColumn id="20" xr3:uid="{C1544F1E-2760-BF4D-AFCF-8BF7ACCA373D}" name="2008" dataDxfId="195"/>
    <tableColumn id="21" xr3:uid="{A12062BA-289B-0B41-9769-3DC651597149}" name="2009" dataDxfId="194"/>
    <tableColumn id="22" xr3:uid="{23D8A527-B38C-2F49-B389-FAB56122EA08}" name="2010" dataDxfId="193"/>
    <tableColumn id="23" xr3:uid="{7124E92E-EA27-5A44-8436-2620F9738A34}" name="2011" dataDxfId="192"/>
    <tableColumn id="24" xr3:uid="{244CAEC1-7508-7041-8479-A6FE9C718C00}" name="2012" dataDxfId="191"/>
    <tableColumn id="25" xr3:uid="{8B45BC7E-758B-B343-A89E-E7E606F424C6}" name="2013" dataDxfId="190"/>
    <tableColumn id="26" xr3:uid="{18EF2D05-1ED6-5C47-9154-64E891DD18C7}" name="2014" dataDxfId="189"/>
    <tableColumn id="27" xr3:uid="{20578B07-A600-3046-91AD-1A87096B8A6C}" name="2015" dataDxfId="188"/>
    <tableColumn id="28" xr3:uid="{DDDFDE7F-33C4-3B46-87A0-D9D899786359}" name="2016" dataDxfId="187"/>
    <tableColumn id="29" xr3:uid="{66BFE00E-9A13-234D-8EA9-3ED73B7F7E74}" name="2017" dataDxfId="186"/>
    <tableColumn id="30" xr3:uid="{5345A038-3E10-9F4C-BA44-6423B60D2E4B}" name="2018" dataDxfId="185"/>
    <tableColumn id="31" xr3:uid="{935A6EEF-AAB1-0A49-97DB-67CCBF7E7714}" name="2019" dataDxfId="184"/>
    <tableColumn id="32" xr3:uid="{98EF298A-15BC-2B48-AB50-E7B4A61EDE70}" name="2020" dataDxfId="183"/>
    <tableColumn id="33" xr3:uid="{01009D36-A724-1346-9D70-F66BBF162214}" name="2021e" dataDxfId="182"/>
    <tableColumn id="34" xr3:uid="{712CBFB0-56D5-E24E-8EA8-3CCE741E85B1}" name="2022" dataDxfId="181"/>
  </tableColumns>
  <tableStyleInfo name="TableStyleLight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86BD9637-01EF-8242-9808-232FF2BCFB92}" name="Table5" displayName="Table5" ref="B47:BI65" totalsRowShown="0" headerRowDxfId="136" tableBorderDxfId="180">
  <autoFilter ref="B47:BI65" xr:uid="{86BD9637-01EF-8242-9808-232FF2BCFB92}"/>
  <tableColumns count="60">
    <tableColumn id="1" xr3:uid="{25941B2A-731B-6741-8DD7-DBE9832DC047}" name="Refinery production"/>
    <tableColumn id="2" xr3:uid="{842C86CE-BA9A-EF46-A23E-4455A1C4CAE7}" name="Column1"/>
    <tableColumn id="3" xr3:uid="{D5098F35-1560-C744-B9C8-3478AD708920}" name="1994" dataDxfId="179"/>
    <tableColumn id="4" xr3:uid="{0CABF623-CA98-8246-8979-72BF17AD0794}" name="Column2" dataDxfId="178" dataCellStyle="Percent">
      <calculatedColumnFormula>D48/SUM(D$49:D$65)</calculatedColumnFormula>
    </tableColumn>
    <tableColumn id="5" xr3:uid="{05B3A747-46AC-054B-A82A-06D973A3B29A}" name="1995" dataDxfId="177"/>
    <tableColumn id="6" xr3:uid="{36510208-A19A-D443-A5E5-F94A00998D49}" name="Column3" dataDxfId="176" dataCellStyle="Percent">
      <calculatedColumnFormula>F48/SUM(F$49:F$65)</calculatedColumnFormula>
    </tableColumn>
    <tableColumn id="7" xr3:uid="{2587FBE0-8DA2-1542-9DC5-B561F025028B}" name="1996" dataDxfId="175"/>
    <tableColumn id="8" xr3:uid="{9802FD4B-480C-2E46-988A-D70481CC8178}" name="Column4" dataDxfId="174" dataCellStyle="Percent">
      <calculatedColumnFormula>H48/SUM(H$49:H$65)</calculatedColumnFormula>
    </tableColumn>
    <tableColumn id="9" xr3:uid="{1BDC1C5F-B945-AC45-8933-4320FED49C7E}" name="1997" dataDxfId="173"/>
    <tableColumn id="10" xr3:uid="{8975CAC4-A4A5-BC43-80DF-D002D57D9B42}" name="Column5" dataDxfId="172" dataCellStyle="Percent">
      <calculatedColumnFormula>J48/SUM(J$49:J$65)</calculatedColumnFormula>
    </tableColumn>
    <tableColumn id="11" xr3:uid="{2525BCA9-9415-534D-B032-D7964163512F}" name="1998" dataDxfId="171"/>
    <tableColumn id="12" xr3:uid="{6443237E-1D73-1249-B1C2-825F9AD22EC8}" name="Column6" dataDxfId="170" dataCellStyle="Percent">
      <calculatedColumnFormula>L48/SUM(L$49:L$65)</calculatedColumnFormula>
    </tableColumn>
    <tableColumn id="13" xr3:uid="{0EE06026-7815-5B45-90B8-6D06AC05A3C9}" name="1999" dataDxfId="169"/>
    <tableColumn id="14" xr3:uid="{AB882923-B69C-D148-B113-7C8034BAA37E}" name="Column7" dataDxfId="168" dataCellStyle="Percent">
      <calculatedColumnFormula>N48/SUM(N$49:N$65)</calculatedColumnFormula>
    </tableColumn>
    <tableColumn id="15" xr3:uid="{7C734645-4B2C-9840-9B52-1DE16E852DF1}" name="2000" dataDxfId="167"/>
    <tableColumn id="16" xr3:uid="{34E2B268-6090-1648-ABF2-EF0F14F5DF65}" name="Column8" dataDxfId="166" dataCellStyle="Percent">
      <calculatedColumnFormula>P48/SUM(P$49:P$65)</calculatedColumnFormula>
    </tableColumn>
    <tableColumn id="17" xr3:uid="{25AE3AD0-7354-144A-9693-11B9D039846A}" name="2001" dataDxfId="165"/>
    <tableColumn id="18" xr3:uid="{EBE49CB8-55FC-574B-A791-08B53BF478AE}" name="Column9" dataDxfId="164" dataCellStyle="Percent">
      <calculatedColumnFormula>R48/SUM(R$49:R$65)</calculatedColumnFormula>
    </tableColumn>
    <tableColumn id="19" xr3:uid="{1A99E06E-4418-F24A-957A-15F4926EE5CC}" name="2002" dataDxfId="163"/>
    <tableColumn id="20" xr3:uid="{A49EC36D-1669-7B48-92A6-88EE2DBD816D}" name="Column10" dataDxfId="162" dataCellStyle="Percent">
      <calculatedColumnFormula>T48/SUM(T$49:T$65)</calculatedColumnFormula>
    </tableColumn>
    <tableColumn id="21" xr3:uid="{E616020C-6A75-8C46-AC1F-570D37C444D5}" name="2003" dataDxfId="161"/>
    <tableColumn id="22" xr3:uid="{B24FD97C-6284-8F4C-82E8-B02B3BCBC147}" name="Column11" dataDxfId="160" dataCellStyle="Percent">
      <calculatedColumnFormula>V48/SUM(V$49:V$65)</calculatedColumnFormula>
    </tableColumn>
    <tableColumn id="23" xr3:uid="{2E4D40FC-712D-0244-A0BC-422D31A2B21C}" name="2004" dataDxfId="159"/>
    <tableColumn id="24" xr3:uid="{B8BDE528-D1DA-AF4E-90D3-CED93AD85F8F}" name="Column12" dataDxfId="158" dataCellStyle="Percent">
      <calculatedColumnFormula>X48/SUM(X$49:X$65)</calculatedColumnFormula>
    </tableColumn>
    <tableColumn id="25" xr3:uid="{B9402EBD-6FD2-F044-9DCD-8C48CDCC837C}" name="2005" dataDxfId="157"/>
    <tableColumn id="26" xr3:uid="{A2EAFB14-DE9F-E241-9C03-86F7C693350E}" name="Column13" dataDxfId="156" dataCellStyle="Percent">
      <calculatedColumnFormula>Z48/SUM(Z$49:Z$65)</calculatedColumnFormula>
    </tableColumn>
    <tableColumn id="27" xr3:uid="{C42AEC16-F51C-5744-AC46-4B3AA7052ED4}" name="2006" dataDxfId="155"/>
    <tableColumn id="28" xr3:uid="{8419EF5D-A878-7F41-9B7C-E4175565B708}" name="Column14" dataDxfId="154" dataCellStyle="Percent">
      <calculatedColumnFormula>AB48/SUM(AB$49:AB$65)</calculatedColumnFormula>
    </tableColumn>
    <tableColumn id="29" xr3:uid="{46A53CF9-0C8E-7B48-BA1F-541F61F84F09}" name="2007" dataDxfId="153"/>
    <tableColumn id="30" xr3:uid="{5334E1A7-D2FA-6746-8C3E-5EEFE6080191}" name="Column15" dataDxfId="152" dataCellStyle="Percent">
      <calculatedColumnFormula>AD48/SUM(AD$49:AD$65)</calculatedColumnFormula>
    </tableColumn>
    <tableColumn id="31" xr3:uid="{A33DD05F-685F-AF44-B78A-168793B81F26}" name="2008"/>
    <tableColumn id="32" xr3:uid="{A32E8DD6-D146-4D41-8D16-2F5BDBDD7CA6}" name="Column16" dataDxfId="151" dataCellStyle="Percent">
      <calculatedColumnFormula>AF48/SUM(AF$49:AF$65)</calculatedColumnFormula>
    </tableColumn>
    <tableColumn id="33" xr3:uid="{C3965E10-D763-4E49-A3E9-80EBA4B13D2B}" name="2009"/>
    <tableColumn id="34" xr3:uid="{24B3C4CE-81B4-044A-B7AA-293EC9A85C4D}" name="Column17" dataDxfId="150" dataCellStyle="Percent">
      <calculatedColumnFormula>AH48/SUM(AH$49:AH$65)</calculatedColumnFormula>
    </tableColumn>
    <tableColumn id="35" xr3:uid="{8AEA6B9F-E995-6D48-B2B5-5E394DF6A1AB}" name="2010"/>
    <tableColumn id="36" xr3:uid="{63D030AB-7D40-9C41-BC9D-E394B11B55C3}" name="Column18" dataDxfId="149" dataCellStyle="Percent">
      <calculatedColumnFormula>AJ48/SUM(AJ$49:AJ$65)</calculatedColumnFormula>
    </tableColumn>
    <tableColumn id="37" xr3:uid="{0C573591-AB57-E348-B4BA-712CD976A75A}" name="2011"/>
    <tableColumn id="38" xr3:uid="{E7DA045E-E47C-B049-97F2-7F96A4E31EC9}" name="Column19" dataDxfId="148" dataCellStyle="Percent">
      <calculatedColumnFormula>AL48/SUM(AL$49:AL$65)</calculatedColumnFormula>
    </tableColumn>
    <tableColumn id="39" xr3:uid="{034AD6A0-81E7-384B-903B-4D63B2B69721}" name="2012" dataDxfId="147"/>
    <tableColumn id="40" xr3:uid="{9E3691DD-1BBE-3343-9574-256BC8A08141}" name="Column20" dataDxfId="146" dataCellStyle="Percent">
      <calculatedColumnFormula>AN48/SUM(AN$49:AN$65)</calculatedColumnFormula>
    </tableColumn>
    <tableColumn id="41" xr3:uid="{56642ADB-D3FA-774E-A9D6-C4C3F5BE125C}" name="2013"/>
    <tableColumn id="42" xr3:uid="{D14CB0F3-A0B9-F34A-8098-050E8CEA75EF}" name="Column21" dataDxfId="145" dataCellStyle="Percent">
      <calculatedColumnFormula>AP48/SUM(AP$49:AP$65)</calculatedColumnFormula>
    </tableColumn>
    <tableColumn id="43" xr3:uid="{8398758F-FC30-6041-BDFD-F74BCE48C939}" name="2014"/>
    <tableColumn id="44" xr3:uid="{48E940DE-AD28-9E4D-BC63-02EF85E06393}" name="Column22" dataDxfId="144" dataCellStyle="Percent">
      <calculatedColumnFormula>AR48/SUM(AR$49:AR$65)</calculatedColumnFormula>
    </tableColumn>
    <tableColumn id="45" xr3:uid="{46D12924-0AD9-1E4A-963C-7E7A61505507}" name="2015"/>
    <tableColumn id="46" xr3:uid="{D69026E6-9842-0A45-9C6D-82945C7A7C1A}" name="Column23" dataDxfId="143" dataCellStyle="Percent">
      <calculatedColumnFormula>AT48/SUM(AT$49:AT$65)</calculatedColumnFormula>
    </tableColumn>
    <tableColumn id="47" xr3:uid="{2A4E2C70-5504-6146-A584-71FC63A9D897}" name="2016" dataDxfId="142"/>
    <tableColumn id="48" xr3:uid="{45E055E0-8464-844E-883E-7D2C5FA2EE71}" name="Column24" dataDxfId="141" dataCellStyle="Percent">
      <calculatedColumnFormula>AV48/SUM(AV$49:AV$65)</calculatedColumnFormula>
    </tableColumn>
    <tableColumn id="49" xr3:uid="{D59BE3CD-574D-CD45-A5C8-FEB7CEE928F6}" name="2017" dataDxfId="140"/>
    <tableColumn id="50" xr3:uid="{85701658-BA93-D547-AB4C-BEDD813D28A3}" name="Column25" dataDxfId="139" dataCellStyle="Percent">
      <calculatedColumnFormula>AX48/SUM(AX$49:AX$65)</calculatedColumnFormula>
    </tableColumn>
    <tableColumn id="51" xr3:uid="{84A4C0FF-A222-EE40-9ED8-3DE3B540E077}" name="2018" dataDxfId="138"/>
    <tableColumn id="52" xr3:uid="{401258C1-83F1-B541-842E-3AD866286216}" name="Column26" dataDxfId="137" dataCellStyle="Percent">
      <calculatedColumnFormula>AZ48/SUM(AZ$49:AZ$65)</calculatedColumnFormula>
    </tableColumn>
    <tableColumn id="53" xr3:uid="{22661ECE-D140-1647-A97F-8892D2A78F4F}" name="2019"/>
    <tableColumn id="54" xr3:uid="{D96AFABD-C074-AC4E-A8F7-C3B5011D294D}" name="Column27"/>
    <tableColumn id="55" xr3:uid="{F8466D87-5C21-2F4D-8D9E-D528AB3285A8}" name="2020"/>
    <tableColumn id="56" xr3:uid="{5DE03B06-2122-834D-AE64-696B647CBD0F}" name="Column28"/>
    <tableColumn id="57" xr3:uid="{3905C93B-49FE-DD4D-AD3A-2D0C3F19F752}" name="2021"/>
    <tableColumn id="58" xr3:uid="{AFAEBD20-81EA-B344-B6EA-B4DA86F3B404}" name="Column29"/>
    <tableColumn id="59" xr3:uid="{31CC7475-A95E-F24A-804F-D459652021E6}" name="2022"/>
    <tableColumn id="60" xr3:uid="{7434D6D8-18F7-6544-AA5F-ED2996D69317}" name="Column30"/>
  </tableColumns>
  <tableStyleInfo name="TableStyleLight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3CC63705-730E-4B41-9AB0-02CEF2138E98}" name="Table27" displayName="Table27" ref="A31:AH39" totalsRowShown="0" dataDxfId="133" tableBorderDxfId="132" dataCellStyle="Percent">
  <autoFilter ref="A31:AH39" xr:uid="{3CC63705-730E-4B41-9AB0-02CEF2138E98}"/>
  <tableColumns count="34">
    <tableColumn id="1" xr3:uid="{1EB08DEB-A1ED-194B-86F1-8B299B756907}" name="Import sources"/>
    <tableColumn id="2" xr3:uid="{2AECCDF4-47D3-B947-A74C-D224829BFAD0}" name="Country"/>
    <tableColumn id="3" xr3:uid="{96D1A1F8-1C4E-2148-9C05-151A0642EE94}" name="1991-1994" dataDxfId="131" dataCellStyle="Percent"/>
    <tableColumn id="4" xr3:uid="{E58F8F21-CB3C-144A-90A4-418E18BF0AF6}" name="Column2" dataDxfId="130" dataCellStyle="Percent"/>
    <tableColumn id="5" xr3:uid="{0DE0CF9B-C324-7A4F-9620-0FDA87FCD2FB}" name="Column3" dataDxfId="129" dataCellStyle="Percent"/>
    <tableColumn id="6" xr3:uid="{F70ED074-0185-1249-B03B-F22AE497348C}" name="Column4" dataDxfId="128" dataCellStyle="Percent"/>
    <tableColumn id="7" xr3:uid="{E2C30F24-6FF3-2A48-88F6-1F96CA4DEB42}" name="1995" dataDxfId="127" dataCellStyle="Percent"/>
    <tableColumn id="8" xr3:uid="{13901B07-157A-1C44-87E7-3B0DE65CD2BE}" name="1996" dataDxfId="126" dataCellStyle="Percent"/>
    <tableColumn id="9" xr3:uid="{1322894D-7BDD-3D4F-BCDE-F3C23ED1036C}" name="1997" dataDxfId="125" dataCellStyle="Percent"/>
    <tableColumn id="10" xr3:uid="{682DFF54-C01D-8C46-98D8-DF4E3186E575}" name="1998" dataDxfId="124" dataCellStyle="Percent"/>
    <tableColumn id="11" xr3:uid="{C259E754-1D5F-AA44-9C97-C229739CE1A0}" name="1999" dataDxfId="123" dataCellStyle="Percent"/>
    <tableColumn id="12" xr3:uid="{D3FFFE8A-910D-DB41-A9C2-CB09D69770E1}" name="2000" dataDxfId="122" dataCellStyle="Percent"/>
    <tableColumn id="13" xr3:uid="{5F55A5CF-9DA5-EE45-8FE4-3E24290C953B}" name="2001" dataDxfId="121" dataCellStyle="Percent"/>
    <tableColumn id="14" xr3:uid="{4E05D7D2-A18D-3949-9D25-E1E8F800CD51}" name="2002" dataDxfId="120" dataCellStyle="Percent"/>
    <tableColumn id="15" xr3:uid="{8B17E851-4890-A14E-B116-14BA06F6A2FD}" name="2003" dataDxfId="119" dataCellStyle="Percent"/>
    <tableColumn id="16" xr3:uid="{F5B55E98-78F7-3945-94B5-4EA8E1063361}" name="2004" dataDxfId="118" dataCellStyle="Percent"/>
    <tableColumn id="17" xr3:uid="{2282ACA2-651D-1843-A690-6424ADB63C70}" name="2005" dataDxfId="117" dataCellStyle="Percent"/>
    <tableColumn id="18" xr3:uid="{4D198610-0F42-6A4F-9CD4-BCC5B0EECA0F}" name="2006" dataDxfId="116" dataCellStyle="Percent"/>
    <tableColumn id="19" xr3:uid="{0BC4F9D9-6F0B-7149-B59E-555720242AA3}" name="2007" dataDxfId="115" dataCellStyle="Percent"/>
    <tableColumn id="20" xr3:uid="{B47E39F1-CA75-D04B-A4FC-13FC326021A7}" name="2008" dataDxfId="114" dataCellStyle="Percent"/>
    <tableColumn id="21" xr3:uid="{84C755B0-AAD3-9540-9C07-AC287E7ECF28}" name="2009" dataDxfId="113" dataCellStyle="Percent"/>
    <tableColumn id="22" xr3:uid="{6C54B213-ED71-6D40-BA74-075D64B546FA}" name="2010" dataDxfId="112" dataCellStyle="Percent"/>
    <tableColumn id="23" xr3:uid="{B4F11C79-5F15-7A4D-A918-CC748DB91092}" name="2011" dataDxfId="111" dataCellStyle="Percent"/>
    <tableColumn id="24" xr3:uid="{478CE4E3-A6B6-6541-B37D-2B8FB472A232}" name="2012" dataDxfId="110" dataCellStyle="Percent"/>
    <tableColumn id="25" xr3:uid="{C22CE719-9B7A-134F-AF1C-9E3FDEBE51F3}" name="2013" dataDxfId="109" dataCellStyle="Percent"/>
    <tableColumn id="26" xr3:uid="{B5C9605C-4AA6-DA47-ADD5-2A43869F1B82}" name="2014" dataDxfId="108" dataCellStyle="Percent"/>
    <tableColumn id="27" xr3:uid="{DCC6F324-0031-4346-8AF4-10446C395980}" name="2015" dataDxfId="107" dataCellStyle="Percent"/>
    <tableColumn id="28" xr3:uid="{184BBF2B-EC0A-B044-B6AE-46709F89184F}" name="2016" dataDxfId="106" dataCellStyle="Percent"/>
    <tableColumn id="29" xr3:uid="{FBA37774-6256-D342-9BC5-3E5D42F99403}" name="2017" dataDxfId="105" dataCellStyle="Percent"/>
    <tableColumn id="30" xr3:uid="{4C1DA88E-41DD-A145-BE43-26FAB850C40E}" name="2018" dataDxfId="104" dataCellStyle="Percent"/>
    <tableColumn id="31" xr3:uid="{AC250D26-9A08-4E4E-92BA-A29DCECBC616}" name="2019" dataDxfId="103" dataCellStyle="Percent"/>
    <tableColumn id="32" xr3:uid="{90EDA573-9DF2-904A-8A87-C66FC8384A6C}" name="2020" dataDxfId="102" dataCellStyle="Percent"/>
    <tableColumn id="33" xr3:uid="{18D053C0-C948-CB45-90C5-D9592342EB37}" name="2021" dataDxfId="101" dataCellStyle="Percent"/>
    <tableColumn id="34" xr3:uid="{68B83F25-C0B9-F74A-8C47-FD8A671ED3EB}" name="2022" dataDxfId="100" dataCellStyle="Percent"/>
  </tableColumns>
  <tableStyleInfo name="TableStyleLight1"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DD1AC424-7DF7-264B-A911-6B0190DDF735}" name="Table38" displayName="Table38" ref="A22:AH28" totalsRowShown="0" dataDxfId="99" tableBorderDxfId="98" dataCellStyle="Percent">
  <autoFilter ref="A22:AH28" xr:uid="{DD1AC424-7DF7-264B-A911-6B0190DDF735}"/>
  <tableColumns count="34">
    <tableColumn id="1" xr3:uid="{5ED604D9-68DC-4142-B119-9E914C6E8FC9}" name="Primary industry consumers of cadmium:"/>
    <tableColumn id="2" xr3:uid="{BE43558E-16BE-EE43-9F39-A7FCF5005BC6}" name="Column1"/>
    <tableColumn id="3" xr3:uid="{70C7F849-0C56-DF49-9F7E-5F1A14E4F703}" name="1991" dataDxfId="97" dataCellStyle="Percent"/>
    <tableColumn id="4" xr3:uid="{FE571910-4374-C14F-8AD7-D4D7E9A2868A}" name="1992" dataDxfId="96" dataCellStyle="Percent"/>
    <tableColumn id="5" xr3:uid="{366F6F52-029E-8944-AC45-733B6F50EB15}" name="1993" dataDxfId="95" dataCellStyle="Percent"/>
    <tableColumn id="6" xr3:uid="{488A73A4-0771-ED40-A2A7-9322124371F9}" name="1994" dataDxfId="94" dataCellStyle="Percent"/>
    <tableColumn id="7" xr3:uid="{77AF3EED-270A-EB49-A2CB-776BC7658429}" name="1995" dataDxfId="93" dataCellStyle="Percent"/>
    <tableColumn id="8" xr3:uid="{BB1764DB-1668-E84B-B16C-ABA05A692A4A}" name="1996" dataDxfId="92" dataCellStyle="Percent"/>
    <tableColumn id="9" xr3:uid="{38523F50-44EB-D84A-9F8F-981D894A9446}" name="1997" dataDxfId="91" dataCellStyle="Percent"/>
    <tableColumn id="10" xr3:uid="{07A3F26A-34F2-864D-A6DF-F8CC7F88E353}" name="1998" dataDxfId="90" dataCellStyle="Percent"/>
    <tableColumn id="11" xr3:uid="{1870C96A-9F65-F445-B371-C105A13AF6B4}" name="1999" dataDxfId="89" dataCellStyle="Percent"/>
    <tableColumn id="12" xr3:uid="{02A7C27A-F60D-E843-B4E3-6481602B18EC}" name="2000" dataDxfId="88" dataCellStyle="Percent"/>
    <tableColumn id="13" xr3:uid="{B5D876C5-4B66-A547-A2F1-D63108C9187E}" name="2001" dataDxfId="87" dataCellStyle="Percent"/>
    <tableColumn id="14" xr3:uid="{298E0EB7-6A5F-D048-8963-C4B0305A913B}" name="2002" dataDxfId="86" dataCellStyle="Percent"/>
    <tableColumn id="15" xr3:uid="{EBA5C2AD-3670-E947-9D51-7A3DAD4089E1}" name="2003" dataDxfId="85" dataCellStyle="Percent"/>
    <tableColumn id="16" xr3:uid="{8D2E55DF-16E3-5D49-9557-C360B740054C}" name="2004" dataDxfId="84" dataCellStyle="Percent"/>
    <tableColumn id="17" xr3:uid="{C2B58C4D-2483-1D42-8CE2-4107D28BD414}" name="2005" dataDxfId="83" dataCellStyle="Percent"/>
    <tableColumn id="18" xr3:uid="{FE077240-5555-7645-932C-77ADB8219E79}" name="2006" dataDxfId="82" dataCellStyle="Percent"/>
    <tableColumn id="19" xr3:uid="{0ECBA1F4-8A08-624D-901E-7DE7DC206A7C}" name="2007" dataDxfId="81" dataCellStyle="Percent"/>
    <tableColumn id="20" xr3:uid="{07A4B735-B37C-EC46-8CC0-FBAF71B17B79}" name="2008" dataDxfId="80" dataCellStyle="Percent"/>
    <tableColumn id="21" xr3:uid="{20C7898B-BE8B-B54C-9F6D-D63052EEB817}" name="2009" dataDxfId="79" dataCellStyle="Percent"/>
    <tableColumn id="22" xr3:uid="{DC171A7A-7ED4-B14F-A6DA-6FD14B8FD622}" name="2010" dataDxfId="78" dataCellStyle="Percent"/>
    <tableColumn id="23" xr3:uid="{C968AFDD-3DB5-184B-A944-7A2AAEF838AE}" name="2011" dataDxfId="77" dataCellStyle="Percent"/>
    <tableColumn id="24" xr3:uid="{044D0952-DC70-4E49-A376-A9359718B2B7}" name="2012" dataDxfId="76" dataCellStyle="Percent"/>
    <tableColumn id="25" xr3:uid="{5849AF42-3E8B-5A4F-9C44-2A9CEB3F68D2}" name="2013" dataDxfId="75" dataCellStyle="Percent"/>
    <tableColumn id="26" xr3:uid="{CEE6858E-A966-664D-84A3-4607C551D163}" name="2014" dataDxfId="74" dataCellStyle="Percent"/>
    <tableColumn id="27" xr3:uid="{841CFA97-B7AB-2444-995D-BADD3502C349}" name="2015" dataDxfId="73" dataCellStyle="Percent"/>
    <tableColumn id="28" xr3:uid="{B80BCEE8-6853-F249-9EBB-41DC4304394B}" name="2016" dataDxfId="72" dataCellStyle="Percent"/>
    <tableColumn id="29" xr3:uid="{B3092DA6-2A5F-994C-8BEA-66E698AB9F20}" name="2017" dataDxfId="71" dataCellStyle="Percent"/>
    <tableColumn id="30" xr3:uid="{8AAA46BE-80D6-254F-AC4B-F17CBB4778B0}" name="2018" dataDxfId="70" dataCellStyle="Percent"/>
    <tableColumn id="31" xr3:uid="{2ACD0998-4F49-6E4E-84A4-93F44D20BF24}" name="2019" dataDxfId="69" dataCellStyle="Percent"/>
    <tableColumn id="32" xr3:uid="{0853ADB6-0E7A-C04D-A788-86F906B8CB9C}" name="2020" dataDxfId="68" dataCellStyle="Percent"/>
    <tableColumn id="33" xr3:uid="{A8267B77-18FD-FF46-BE5C-3AB2202D0F04}" name="2021" dataDxfId="67" dataCellStyle="Percent"/>
    <tableColumn id="34" xr3:uid="{E6F56C8E-A6B9-F049-A570-1A421424BF01}" name="2022" dataDxfId="66" dataCellStyle="Percent"/>
  </tableColumns>
  <tableStyleInfo name="TableStyleLight1"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E373DAE3-2180-9D46-871B-758C82AE222E}" name="Table49" displayName="Table49" ref="A42:AH48" totalsRowShown="0" tableBorderDxfId="65">
  <autoFilter ref="A42:AH48" xr:uid="{E373DAE3-2180-9D46-871B-758C82AE222E}"/>
  <tableColumns count="34">
    <tableColumn id="1" xr3:uid="{9D4A0549-0327-124D-AE47-FB84450E030D}" name="USA Salient Statistics"/>
    <tableColumn id="2" xr3:uid="{E056482C-39D3-6F4E-932A-3C028EEC325F}" name="Column1"/>
    <tableColumn id="3" xr3:uid="{ECB08F17-39F9-854B-B864-1080149471C3}" name="1991" dataDxfId="64"/>
    <tableColumn id="4" xr3:uid="{F64C02C1-6F3D-2044-B923-C7C5DC9FCD59}" name="1992"/>
    <tableColumn id="5" xr3:uid="{86F96A80-6A3D-964D-894C-33B3273A6CF1}" name="1993"/>
    <tableColumn id="6" xr3:uid="{C8CE3A1B-6BC6-9C4E-B365-2B625CC40578}" name="1994"/>
    <tableColumn id="7" xr3:uid="{D7F46D08-D69E-4E46-B647-2551E811AFED}" name="1995"/>
    <tableColumn id="8" xr3:uid="{7FDAE47A-3167-1144-AD77-4AF6E4822EB6}" name="1996"/>
    <tableColumn id="9" xr3:uid="{D9E9AE08-7BE4-7A4F-AAF2-5A103477A393}" name="1997" dataDxfId="63"/>
    <tableColumn id="10" xr3:uid="{217152AF-B4C1-D747-90AC-C2EBC42AC0D4}" name="1998"/>
    <tableColumn id="11" xr3:uid="{628B9117-C714-3644-8926-C2294C66F0A7}" name="1999"/>
    <tableColumn id="12" xr3:uid="{42DFDF9A-FB98-BA4C-8CCF-6EBBC8388EC8}" name="2000" dataDxfId="62"/>
    <tableColumn id="13" xr3:uid="{522F3C66-CC8E-0A40-9DB5-A6FDC3E09418}" name="2001"/>
    <tableColumn id="14" xr3:uid="{250EE2F5-1D60-7240-8101-004FDF27FFC2}" name="2002"/>
    <tableColumn id="15" xr3:uid="{B1265E56-2C8A-4749-BED9-8EDDD2692F75}" name="2003"/>
    <tableColumn id="16" xr3:uid="{C54BFBF8-0B83-6F4F-BEEF-067BE5B9A56A}" name="2004" dataDxfId="61"/>
    <tableColumn id="17" xr3:uid="{67A2BEA3-E8D8-7C47-A85F-4E8B90CD7867}" name="2005"/>
    <tableColumn id="18" xr3:uid="{82018B6B-FD59-0845-8EFA-66E8B9757F75}" name="2006"/>
    <tableColumn id="19" xr3:uid="{76C0A827-A63E-2D42-A496-CCA43148B81C}" name="2007"/>
    <tableColumn id="20" xr3:uid="{118CF336-162D-2140-82AC-7B93495EBF77}" name="2008" dataDxfId="60"/>
    <tableColumn id="21" xr3:uid="{CAA011D8-29B1-BF4E-83CA-F904A9885EA9}" name="2009" dataDxfId="59"/>
    <tableColumn id="22" xr3:uid="{7DE83362-DDA0-5248-82FC-C3FBE2294780}" name="2010" dataDxfId="58"/>
    <tableColumn id="23" xr3:uid="{17CCBB19-3FB3-0A4F-8267-90A5F0634964}" name="2011" dataDxfId="57"/>
    <tableColumn id="24" xr3:uid="{0460B975-16F5-D642-8FE7-359A91FB2A13}" name="2012" dataDxfId="56"/>
    <tableColumn id="25" xr3:uid="{E2F7ECCF-2A0D-2544-8AB6-4D249CB7DDAE}" name="2013" dataDxfId="55"/>
    <tableColumn id="26" xr3:uid="{FDD51505-3FFC-3E44-A793-8C0223B3C271}" name="2014" dataDxfId="54"/>
    <tableColumn id="27" xr3:uid="{4FC3373F-8897-D44A-A2FF-032DA8CCFE80}" name="2015" dataDxfId="53"/>
    <tableColumn id="28" xr3:uid="{2EA3F7B0-F5B4-8247-A1DD-58DDF2C2FD0B}" name="2016" dataDxfId="52"/>
    <tableColumn id="29" xr3:uid="{FB7577D0-3ACB-AC48-B73F-17138ED7A2D8}" name="2017" dataDxfId="51"/>
    <tableColumn id="30" xr3:uid="{253E78AC-BCE9-C348-9F0E-171453705E00}" name="2018" dataDxfId="50"/>
    <tableColumn id="31" xr3:uid="{AF2282F6-7BF9-C445-9840-2E47ECE830AF}" name="2019" dataDxfId="49"/>
    <tableColumn id="32" xr3:uid="{6EDFC93E-D6C8-9149-9245-DDFE39F8F447}" name="2020" dataDxfId="48"/>
    <tableColumn id="33" xr3:uid="{9F7DD4C7-CC76-F845-A74C-62C1FB3827F1}" name="2021e" dataDxfId="47"/>
    <tableColumn id="34" xr3:uid="{390DDFE4-6C20-BE4C-B722-799EB210D536}" name="2022" dataDxfId="46"/>
  </tableColumns>
  <tableStyleInfo name="TableStyleLight1"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A62191E2-36D6-4544-AEF4-39F68463BA08}" name="Table510" displayName="Table510" ref="A51:BH69" totalsRowShown="0" headerRowDxfId="45" tableBorderDxfId="44">
  <autoFilter ref="A51:BH69" xr:uid="{A62191E2-36D6-4544-AEF4-39F68463BA08}"/>
  <tableColumns count="60">
    <tableColumn id="1" xr3:uid="{E9EFE6A5-4C3E-6441-9196-7E606D3E527B}" name="Refinery production"/>
    <tableColumn id="2" xr3:uid="{54CB2678-BE64-974A-BCF6-BC9EA6651E5D}" name="Column1"/>
    <tableColumn id="3" xr3:uid="{B167C097-B55D-F843-8F4A-4801F149AFBF}" name="1994" dataDxfId="43"/>
    <tableColumn id="4" xr3:uid="{0BF1DF56-6AAD-6341-BCE2-776D8FBAE4E7}" name="Column2" dataDxfId="42" dataCellStyle="Percent">
      <calculatedColumnFormula>C52/SUM(C$50:C$66)</calculatedColumnFormula>
    </tableColumn>
    <tableColumn id="5" xr3:uid="{36DB5CF2-1B02-8049-A6DE-721B38EAF2D4}" name="1995" dataDxfId="41"/>
    <tableColumn id="6" xr3:uid="{A06D48B1-C9D0-864A-AF91-7704812A9F8E}" name="Column3" dataDxfId="40" dataCellStyle="Percent">
      <calculatedColumnFormula>E52/SUM(E$50:E$66)</calculatedColumnFormula>
    </tableColumn>
    <tableColumn id="7" xr3:uid="{E33A8CD2-A29C-E747-8EFB-2EC238ADD9E2}" name="1996" dataDxfId="39"/>
    <tableColumn id="8" xr3:uid="{86859277-2E76-524B-B460-E4D0CA76603B}" name="Column4" dataDxfId="38" dataCellStyle="Percent">
      <calculatedColumnFormula>G52/SUM(G$50:G$66)</calculatedColumnFormula>
    </tableColumn>
    <tableColumn id="9" xr3:uid="{FA30C44E-8C35-814D-8DCB-D4B76711D59F}" name="1997" dataDxfId="37"/>
    <tableColumn id="10" xr3:uid="{9BD596AE-1E33-364F-809C-BD86BC57425E}" name="Column5" dataDxfId="36" dataCellStyle="Percent">
      <calculatedColumnFormula>I52/SUM(I$50:I$66)</calculatedColumnFormula>
    </tableColumn>
    <tableColumn id="11" xr3:uid="{BFAB4BF8-2085-184F-BC84-3A9C64F170D2}" name="1998" dataDxfId="35"/>
    <tableColumn id="12" xr3:uid="{3B59885B-6602-E943-9905-5A14F90FB1FC}" name="Column6" dataDxfId="34" dataCellStyle="Percent">
      <calculatedColumnFormula>K52/SUM(K$50:K$66)</calculatedColumnFormula>
    </tableColumn>
    <tableColumn id="13" xr3:uid="{B417C40C-024B-9943-B761-938D4A0BF7A2}" name="1999" dataDxfId="33"/>
    <tableColumn id="14" xr3:uid="{5AE29782-8067-C243-AF53-C151CEC784DD}" name="Column7" dataDxfId="32" dataCellStyle="Percent">
      <calculatedColumnFormula>M52/SUM(M$50:M$66)</calculatedColumnFormula>
    </tableColumn>
    <tableColumn id="15" xr3:uid="{106F67CE-0D60-D741-8FF2-A3947FF2EE03}" name="2000" dataDxfId="31"/>
    <tableColumn id="16" xr3:uid="{8ECBF0E5-B8CF-6B4D-B563-92862C875E09}" name="Column8" dataDxfId="30" dataCellStyle="Percent">
      <calculatedColumnFormula>O52/SUM(O$50:O$66)</calculatedColumnFormula>
    </tableColumn>
    <tableColumn id="17" xr3:uid="{C6EA244C-ABD8-754B-81A3-9A66F99316DB}" name="2001" dataDxfId="29"/>
    <tableColumn id="18" xr3:uid="{77E175BF-9788-864B-A10B-D8AE7F45CAC6}" name="Column9" dataDxfId="28" dataCellStyle="Percent">
      <calculatedColumnFormula>Q52/SUM(Q$50:Q$66)</calculatedColumnFormula>
    </tableColumn>
    <tableColumn id="19" xr3:uid="{1838CD27-C6A5-7A44-8645-7C8EC1B58131}" name="2002" dataDxfId="27"/>
    <tableColumn id="20" xr3:uid="{464F22AD-8BAC-F948-BE03-63790D19D184}" name="Column10" dataDxfId="26" dataCellStyle="Percent">
      <calculatedColumnFormula>S52/SUM(S$50:S$66)</calculatedColumnFormula>
    </tableColumn>
    <tableColumn id="21" xr3:uid="{D46F5F00-CD9C-4040-AAF3-F488FE85E8ED}" name="2003" dataDxfId="25"/>
    <tableColumn id="22" xr3:uid="{29C92248-DDA7-7A41-B0FD-053EAA317915}" name="Column11" dataDxfId="24" dataCellStyle="Percent">
      <calculatedColumnFormula>U52/SUM(U$50:U$66)</calculatedColumnFormula>
    </tableColumn>
    <tableColumn id="23" xr3:uid="{7ED5E7BD-F3FE-294B-98F3-613F5CA39951}" name="2004" dataDxfId="23"/>
    <tableColumn id="24" xr3:uid="{17742FC4-41CE-D346-B600-9E7B6E831FE5}" name="Column12" dataDxfId="22" dataCellStyle="Percent">
      <calculatedColumnFormula>W52/SUM(W$50:W$66)</calculatedColumnFormula>
    </tableColumn>
    <tableColumn id="25" xr3:uid="{2C68E59F-59C7-3448-940F-FA3E71C79772}" name="2005" dataDxfId="21"/>
    <tableColumn id="26" xr3:uid="{F80C8671-6403-CC44-BE6A-2EBA7EFF29C0}" name="Column13" dataDxfId="20" dataCellStyle="Percent">
      <calculatedColumnFormula>Y52/SUM(Y$50:Y$66)</calculatedColumnFormula>
    </tableColumn>
    <tableColumn id="27" xr3:uid="{DF7ED54C-7DC7-6B44-BE30-993EAD48FFFF}" name="2006" dataDxfId="19"/>
    <tableColumn id="28" xr3:uid="{50B6B6EC-B868-1742-B520-9270C7041790}" name="Column14" dataDxfId="18" dataCellStyle="Percent">
      <calculatedColumnFormula>AA52/SUM(AA$50:AA$66)</calculatedColumnFormula>
    </tableColumn>
    <tableColumn id="29" xr3:uid="{DA5A315D-1615-8B4B-BAEE-14F62790D6EF}" name="2007" dataDxfId="17"/>
    <tableColumn id="30" xr3:uid="{9D36B78E-897D-2C40-BF2B-9670CC61014C}" name="Column15" dataDxfId="16" dataCellStyle="Percent">
      <calculatedColumnFormula>AC52/SUM(AC$50:AC$66)</calculatedColumnFormula>
    </tableColumn>
    <tableColumn id="31" xr3:uid="{5A65CE4F-21F5-EE45-BD2C-54869500BAFE}" name="2008"/>
    <tableColumn id="32" xr3:uid="{9FD0E0AC-02D6-AD45-A194-1F2938ABB6BF}" name="Column16" dataDxfId="15" dataCellStyle="Percent">
      <calculatedColumnFormula>AE52/SUM(AE$50:AE$66)</calculatedColumnFormula>
    </tableColumn>
    <tableColumn id="33" xr3:uid="{AA9C20A1-277F-E245-A64C-0BB108CDC366}" name="2009"/>
    <tableColumn id="34" xr3:uid="{334FE636-EB29-8045-A388-7D28E8647323}" name="Column17" dataDxfId="14" dataCellStyle="Percent">
      <calculatedColumnFormula>AG52/SUM(AG$50:AG$66)</calculatedColumnFormula>
    </tableColumn>
    <tableColumn id="35" xr3:uid="{5A61199F-2CC2-0F46-BE84-7270B7DEDDE5}" name="2010"/>
    <tableColumn id="36" xr3:uid="{C3173F77-73C0-7E4B-938E-DECCF742C48C}" name="Column18" dataDxfId="13" dataCellStyle="Percent">
      <calculatedColumnFormula>AI52/SUM(AI$50:AI$66)</calculatedColumnFormula>
    </tableColumn>
    <tableColumn id="37" xr3:uid="{9DB6E917-09F8-FB45-8153-C0EA9B56508F}" name="2011"/>
    <tableColumn id="38" xr3:uid="{EE360C92-D809-D74F-A590-5BEE57B7925E}" name="Column19" dataDxfId="12" dataCellStyle="Percent">
      <calculatedColumnFormula>AK52/SUM(AK$50:AK$66)</calculatedColumnFormula>
    </tableColumn>
    <tableColumn id="39" xr3:uid="{C3B04097-C680-F34D-AD66-B86ABB4DBEDB}" name="2012" dataDxfId="11"/>
    <tableColumn id="40" xr3:uid="{82ACB680-FC74-AE44-B14C-FF6DD6C5F3D1}" name="Column20" dataDxfId="10" dataCellStyle="Percent">
      <calculatedColumnFormula>AM52/SUM(AM$50:AM$66)</calculatedColumnFormula>
    </tableColumn>
    <tableColumn id="41" xr3:uid="{478E92DB-A7E5-CD42-A1B3-59601CA82905}" name="2013"/>
    <tableColumn id="42" xr3:uid="{7F21BB9D-AD59-2B43-8E2C-3657FB4AAAE6}" name="Column21" dataDxfId="9" dataCellStyle="Percent">
      <calculatedColumnFormula>AO52/SUM(AO$50:AO$66)</calculatedColumnFormula>
    </tableColumn>
    <tableColumn id="43" xr3:uid="{F7EB1950-6DFD-B448-8F86-9366EF553FF5}" name="2014"/>
    <tableColumn id="44" xr3:uid="{51C779C1-0A31-8246-A289-790BA5F87335}" name="Column22" dataDxfId="8" dataCellStyle="Percent">
      <calculatedColumnFormula>AQ52/SUM(AQ$50:AQ$66)</calculatedColumnFormula>
    </tableColumn>
    <tableColumn id="45" xr3:uid="{E98D6182-557B-BA49-996D-7755623F8FED}" name="2015"/>
    <tableColumn id="46" xr3:uid="{18EE6795-9BF1-724E-9476-6A994629D565}" name="Column23" dataDxfId="7" dataCellStyle="Percent">
      <calculatedColumnFormula>AS52/SUM(AS$50:AS$66)</calculatedColumnFormula>
    </tableColumn>
    <tableColumn id="47" xr3:uid="{5FD8A254-037E-B244-9F5D-E9707866872C}" name="2016" dataDxfId="6"/>
    <tableColumn id="48" xr3:uid="{0992A262-53E7-614B-83D6-BF8EE11FF186}" name="Column24" dataDxfId="5" dataCellStyle="Percent">
      <calculatedColumnFormula>AU52/SUM(AU$50:AU$66)</calculatedColumnFormula>
    </tableColumn>
    <tableColumn id="49" xr3:uid="{2487B441-4C98-D746-A0A2-CE2B3B6EDD3B}" name="2017" dataDxfId="4"/>
    <tableColumn id="50" xr3:uid="{EB1DDF37-D0B7-E047-812E-72F4C910EC8D}" name="Column25" dataDxfId="3" dataCellStyle="Percent">
      <calculatedColumnFormula>AW52/SUM(AW$50:AW$66)</calculatedColumnFormula>
    </tableColumn>
    <tableColumn id="51" xr3:uid="{F6E6ABAF-4ACA-BD4B-8463-DD681D47D81F}" name="2018" dataDxfId="2"/>
    <tableColumn id="52" xr3:uid="{4A03CD36-9C81-354D-B157-C4173F37A333}" name="Column26" dataDxfId="1" dataCellStyle="Percent">
      <calculatedColumnFormula>AY52/SUM(AY$50:AY$66)</calculatedColumnFormula>
    </tableColumn>
    <tableColumn id="53" xr3:uid="{DF779136-8028-4B49-A64F-291C83740E0F}" name="2019"/>
    <tableColumn id="54" xr3:uid="{ECC7EF88-5D90-5645-B518-72402C714F5E}" name="Column27"/>
    <tableColumn id="55" xr3:uid="{FBDAF0F3-1919-6E47-9870-264970B5D45F}" name="2020"/>
    <tableColumn id="56" xr3:uid="{40D53954-71B5-D240-93D8-50CEDC9B624A}" name="Column28"/>
    <tableColumn id="57" xr3:uid="{5B2E7258-738A-C941-A02D-D43CF8E3230F}" name="2021"/>
    <tableColumn id="58" xr3:uid="{ACD2F853-2D03-E24A-B894-711F47E417C6}" name="Column29"/>
    <tableColumn id="59" xr3:uid="{EDA23589-F0D3-F04E-B043-DF39D397A784}" name="2022"/>
    <tableColumn id="60" xr3:uid="{333CF167-9C09-C249-891B-4FB7C858162B}" name="Column30"/>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hyperlink" Target="https://www.firstsolar.com/-/media/First-Solar/Sustainability-Documents/PVTP_6pp_First-Solar-recycling-hi.ashx" TargetMode="Externa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6.xml.rels><?xml version="1.0" encoding="UTF-8" standalone="yes"?>
<Relationships xmlns="http://schemas.openxmlformats.org/package/2006/relationships"><Relationship Id="rId2" Type="http://schemas.openxmlformats.org/officeDocument/2006/relationships/hyperlink" Target="https://pubs.usgs.gov/periodicals/mcs2022/mcs2022-cadmium.pdf" TargetMode="External"/><Relationship Id="rId1" Type="http://schemas.openxmlformats.org/officeDocument/2006/relationships/hyperlink" Target="https://www.sciencedirect.com/science/article/pii/S0921344922002774?via%3Dihub" TargetMode="External"/></Relationships>
</file>

<file path=xl/worksheets/_rels/sheet17.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drawing" Target="../drawings/drawing6.xml"/></Relationships>
</file>

<file path=xl/worksheets/_rels/sheet3.xml.rels><?xml version="1.0" encoding="UTF-8" standalone="yes"?>
<Relationships xmlns="http://schemas.openxmlformats.org/package/2006/relationships"><Relationship Id="rId3" Type="http://schemas.openxmlformats.org/officeDocument/2006/relationships/hyperlink" Target="https://www.sciencedirect.com/science/article/pii/S0927024806000778" TargetMode="External"/><Relationship Id="rId2" Type="http://schemas.openxmlformats.org/officeDocument/2006/relationships/hyperlink" Target="https://www.firstsolar.com/-/media/First-Solar/Technical-Documents/Series-3-Datasheets/Series-3-Black-Plus-Module-Datasheet.ashx?la=en" TargetMode="External"/><Relationship Id="rId1" Type="http://schemas.openxmlformats.org/officeDocument/2006/relationships/hyperlink" Target="https://www.nrel.gov/pv/cadmium-telluride-photovoltaics-accelerator-consortium-solicitation.html" TargetMode="External"/><Relationship Id="rId5" Type="http://schemas.openxmlformats.org/officeDocument/2006/relationships/drawing" Target="../drawings/drawing2.xml"/><Relationship Id="rId4" Type="http://schemas.openxmlformats.org/officeDocument/2006/relationships/hyperlink" Target="https://www.sciencedirect.com/science/article/pii/S0921344912001644" TargetMode="External"/></Relationships>
</file>

<file path=xl/worksheets/_rels/sheet5.xml.rels><?xml version="1.0" encoding="UTF-8" standalone="yes"?>
<Relationships xmlns="http://schemas.openxmlformats.org/package/2006/relationships"><Relationship Id="rId8" Type="http://schemas.openxmlformats.org/officeDocument/2006/relationships/table" Target="../tables/table5.xml"/><Relationship Id="rId3" Type="http://schemas.openxmlformats.org/officeDocument/2006/relationships/hyperlink" Target="https://pubs.usgs.gov/circ/c1196o/c1196o.pdf" TargetMode="External"/><Relationship Id="rId7" Type="http://schemas.openxmlformats.org/officeDocument/2006/relationships/table" Target="../tables/table4.xml"/><Relationship Id="rId2" Type="http://schemas.openxmlformats.org/officeDocument/2006/relationships/hyperlink" Target="https://pubs.usgs.gov/circ/c1196o/" TargetMode="External"/><Relationship Id="rId1" Type="http://schemas.openxmlformats.org/officeDocument/2006/relationships/hyperlink" Target="https://pubs.usgs.gov/usbmic/ic-9380/cadmium.pdf" TargetMode="External"/><Relationship Id="rId6" Type="http://schemas.openxmlformats.org/officeDocument/2006/relationships/table" Target="../tables/table3.xml"/><Relationship Id="rId5" Type="http://schemas.openxmlformats.org/officeDocument/2006/relationships/table" Target="../tables/table2.xml"/><Relationship Id="rId4"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3" Type="http://schemas.openxmlformats.org/officeDocument/2006/relationships/hyperlink" Target="https://pubs.usgs.gov/usbmic/ic-9380/cadmium.pdf" TargetMode="External"/><Relationship Id="rId2" Type="http://schemas.openxmlformats.org/officeDocument/2006/relationships/hyperlink" Target="https://d9-wret.s3.us-west-2.amazonaws.com/assets/palladium/production/mineral-pubs/cadmium/140397.pdf" TargetMode="External"/><Relationship Id="rId1" Type="http://schemas.openxmlformats.org/officeDocument/2006/relationships/hyperlink" Target="https://www.usgs.gov/centers/national-minerals-information-center/cadmium-statistics-and-information" TargetMode="External"/><Relationship Id="rId5" Type="http://schemas.openxmlformats.org/officeDocument/2006/relationships/hyperlink" Target="https://pubs.usgs.gov/circ/c1196o/" TargetMode="External"/><Relationship Id="rId4" Type="http://schemas.openxmlformats.org/officeDocument/2006/relationships/hyperlink" Target="https://pubs.usgs.gov/usbmic/ic-9380/cadmium.pdf" TargetMode="External"/></Relationships>
</file>

<file path=xl/worksheets/_rels/sheet7.xml.rels><?xml version="1.0" encoding="UTF-8" standalone="yes"?>
<Relationships xmlns="http://schemas.openxmlformats.org/package/2006/relationships"><Relationship Id="rId8" Type="http://schemas.openxmlformats.org/officeDocument/2006/relationships/table" Target="../tables/table9.xml"/><Relationship Id="rId3" Type="http://schemas.openxmlformats.org/officeDocument/2006/relationships/hyperlink" Target="https://pubs.usgs.gov/pp/1802/r/pp1802r.pdf" TargetMode="External"/><Relationship Id="rId7" Type="http://schemas.openxmlformats.org/officeDocument/2006/relationships/table" Target="../tables/table8.xml"/><Relationship Id="rId2" Type="http://schemas.openxmlformats.org/officeDocument/2006/relationships/hyperlink" Target="https://www.sciencedirect.com/science/article/pii/S0921344922002774?via%3Dihub" TargetMode="External"/><Relationship Id="rId1" Type="http://schemas.openxmlformats.org/officeDocument/2006/relationships/hyperlink" Target="https://pubs.usgs.gov/pp/1802/r/pp1802r.pdf" TargetMode="External"/><Relationship Id="rId6" Type="http://schemas.openxmlformats.org/officeDocument/2006/relationships/table" Target="../tables/table7.xml"/><Relationship Id="rId5" Type="http://schemas.openxmlformats.org/officeDocument/2006/relationships/table" Target="../tables/table6.xml"/><Relationship Id="rId4"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1" Type="http://schemas.openxmlformats.org/officeDocument/2006/relationships/hyperlink" Target="https://anl-ceeesa.github.io/RELOG/0.5/mode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0D49FA-F7A5-AB46-8D58-174733722FBC}">
  <dimension ref="A1:C525"/>
  <sheetViews>
    <sheetView workbookViewId="0">
      <selection activeCell="F38" sqref="F38"/>
    </sheetView>
  </sheetViews>
  <sheetFormatPr baseColWidth="10" defaultRowHeight="16"/>
  <cols>
    <col min="1" max="1" width="34.1640625" customWidth="1"/>
    <col min="2" max="2" width="25.83203125" customWidth="1"/>
    <col min="3" max="3" width="15.5" customWidth="1"/>
  </cols>
  <sheetData>
    <row r="1" spans="1:3">
      <c r="A1" s="36" t="s">
        <v>360</v>
      </c>
      <c r="B1" s="37" t="s">
        <v>358</v>
      </c>
      <c r="C1" s="38" t="s">
        <v>359</v>
      </c>
    </row>
    <row r="2" spans="1:3">
      <c r="A2" s="32">
        <v>3.7</v>
      </c>
      <c r="B2" s="30">
        <f>SUM($A$2:A2)</f>
        <v>3.7</v>
      </c>
      <c r="C2" s="34">
        <v>2001</v>
      </c>
    </row>
    <row r="3" spans="1:3">
      <c r="A3" s="33">
        <v>1</v>
      </c>
      <c r="B3" s="31">
        <f>SUM($A$2:A3)</f>
        <v>4.7</v>
      </c>
      <c r="C3" s="35">
        <v>2008</v>
      </c>
    </row>
    <row r="4" spans="1:3">
      <c r="A4" s="32">
        <v>10</v>
      </c>
      <c r="B4" s="30">
        <f>SUM($A$2:A4)</f>
        <v>14.7</v>
      </c>
      <c r="C4" s="34">
        <v>2008</v>
      </c>
    </row>
    <row r="5" spans="1:3">
      <c r="A5" s="33">
        <v>1.6</v>
      </c>
      <c r="B5" s="31">
        <f>SUM($A$2:A5)</f>
        <v>16.3</v>
      </c>
      <c r="C5" s="35">
        <v>2009</v>
      </c>
    </row>
    <row r="6" spans="1:3">
      <c r="A6" s="32">
        <v>21</v>
      </c>
      <c r="B6" s="30">
        <f>SUM($A$2:A6)</f>
        <v>37.299999999999997</v>
      </c>
      <c r="C6" s="34">
        <v>2009</v>
      </c>
    </row>
    <row r="7" spans="1:3">
      <c r="A7" s="33">
        <v>0.5</v>
      </c>
      <c r="B7" s="31">
        <f>SUM($A$2:A7)</f>
        <v>37.799999999999997</v>
      </c>
      <c r="C7" s="35">
        <v>2009</v>
      </c>
    </row>
    <row r="8" spans="1:3">
      <c r="A8" s="32">
        <v>0.5</v>
      </c>
      <c r="B8" s="30">
        <f>SUM($A$2:A8)</f>
        <v>38.299999999999997</v>
      </c>
      <c r="C8" s="34">
        <v>2009</v>
      </c>
    </row>
    <row r="9" spans="1:3">
      <c r="A9" s="33">
        <v>1</v>
      </c>
      <c r="B9" s="31">
        <f>SUM($A$2:A9)</f>
        <v>39.299999999999997</v>
      </c>
      <c r="C9" s="35">
        <v>2009</v>
      </c>
    </row>
    <row r="10" spans="1:3">
      <c r="A10" s="32">
        <v>2</v>
      </c>
      <c r="B10" s="30">
        <f>SUM($A$2:A10)</f>
        <v>41.3</v>
      </c>
      <c r="C10" s="34">
        <v>2009</v>
      </c>
    </row>
    <row r="11" spans="1:3">
      <c r="A11" s="33">
        <v>0.4</v>
      </c>
      <c r="B11" s="31">
        <f>SUM($A$2:A11)</f>
        <v>41.699999999999996</v>
      </c>
      <c r="C11" s="35">
        <v>2009</v>
      </c>
    </row>
    <row r="12" spans="1:3">
      <c r="A12" s="32">
        <v>1.5</v>
      </c>
      <c r="B12" s="30">
        <f>SUM($A$2:A12)</f>
        <v>43.199999999999996</v>
      </c>
      <c r="C12" s="34">
        <v>2009</v>
      </c>
    </row>
    <row r="13" spans="1:3">
      <c r="A13" s="33">
        <v>0.1</v>
      </c>
      <c r="B13" s="31">
        <f>SUM($A$2:A13)</f>
        <v>43.3</v>
      </c>
      <c r="C13" s="35">
        <v>2009</v>
      </c>
    </row>
    <row r="14" spans="1:3">
      <c r="A14" s="32">
        <v>13.9</v>
      </c>
      <c r="B14" s="30">
        <f>SUM($A$2:A14)</f>
        <v>57.199999999999996</v>
      </c>
      <c r="C14" s="34">
        <v>2010</v>
      </c>
    </row>
    <row r="15" spans="1:3">
      <c r="A15" s="33">
        <v>12.6</v>
      </c>
      <c r="B15" s="31">
        <f>SUM($A$2:A15)</f>
        <v>69.8</v>
      </c>
      <c r="C15" s="35">
        <v>2010</v>
      </c>
    </row>
    <row r="16" spans="1:3">
      <c r="A16" s="32">
        <v>10</v>
      </c>
      <c r="B16" s="30">
        <f>SUM($A$2:A16)</f>
        <v>79.8</v>
      </c>
      <c r="C16" s="34">
        <v>2010</v>
      </c>
    </row>
    <row r="17" spans="1:3">
      <c r="A17" s="33">
        <v>8</v>
      </c>
      <c r="B17" s="31">
        <f>SUM($A$2:A17)</f>
        <v>87.8</v>
      </c>
      <c r="C17" s="35">
        <v>2010</v>
      </c>
    </row>
    <row r="18" spans="1:3">
      <c r="A18" s="32">
        <v>10</v>
      </c>
      <c r="B18" s="30">
        <f>SUM($A$2:A18)</f>
        <v>97.8</v>
      </c>
      <c r="C18" s="34">
        <v>2010</v>
      </c>
    </row>
    <row r="19" spans="1:3">
      <c r="A19" s="33">
        <v>10</v>
      </c>
      <c r="B19" s="31">
        <f>SUM($A$2:A19)</f>
        <v>107.8</v>
      </c>
      <c r="C19" s="35">
        <v>2010</v>
      </c>
    </row>
    <row r="20" spans="1:3">
      <c r="A20" s="32">
        <v>10</v>
      </c>
      <c r="B20" s="30">
        <f>SUM($A$2:A20)</f>
        <v>117.8</v>
      </c>
      <c r="C20" s="34">
        <v>2010</v>
      </c>
    </row>
    <row r="21" spans="1:3">
      <c r="A21" s="33">
        <v>10</v>
      </c>
      <c r="B21" s="31">
        <f>SUM($A$2:A21)</f>
        <v>127.8</v>
      </c>
      <c r="C21" s="35">
        <v>2010</v>
      </c>
    </row>
    <row r="22" spans="1:3">
      <c r="A22" s="32">
        <v>30.6</v>
      </c>
      <c r="B22" s="30">
        <f>SUM($A$2:A22)</f>
        <v>158.4</v>
      </c>
      <c r="C22" s="34">
        <v>2010</v>
      </c>
    </row>
    <row r="23" spans="1:3">
      <c r="A23" s="33">
        <v>2.7</v>
      </c>
      <c r="B23" s="31">
        <f>SUM($A$2:A23)</f>
        <v>161.1</v>
      </c>
      <c r="C23" s="35">
        <v>2010</v>
      </c>
    </row>
    <row r="24" spans="1:3">
      <c r="A24" s="32">
        <v>0.5</v>
      </c>
      <c r="B24" s="30">
        <f>SUM($A$2:A24)</f>
        <v>161.6</v>
      </c>
      <c r="C24" s="34">
        <v>2011</v>
      </c>
    </row>
    <row r="25" spans="1:3">
      <c r="A25" s="33">
        <v>0.5</v>
      </c>
      <c r="B25" s="31">
        <f>SUM($A$2:A25)</f>
        <v>162.1</v>
      </c>
      <c r="C25" s="35">
        <v>2011</v>
      </c>
    </row>
    <row r="26" spans="1:3">
      <c r="A26" s="32">
        <v>20.2</v>
      </c>
      <c r="B26" s="30">
        <f>SUM($A$2:A26)</f>
        <v>182.29999999999998</v>
      </c>
      <c r="C26" s="34">
        <v>2011</v>
      </c>
    </row>
    <row r="27" spans="1:3">
      <c r="A27" s="33">
        <v>17.600000000000001</v>
      </c>
      <c r="B27" s="31">
        <f>SUM($A$2:A27)</f>
        <v>199.89999999999998</v>
      </c>
      <c r="C27" s="35">
        <v>2011</v>
      </c>
    </row>
    <row r="28" spans="1:3">
      <c r="A28" s="32">
        <v>2</v>
      </c>
      <c r="B28" s="30">
        <f>SUM($A$2:A28)</f>
        <v>201.89999999999998</v>
      </c>
      <c r="C28" s="34">
        <v>2011</v>
      </c>
    </row>
    <row r="29" spans="1:3">
      <c r="A29" s="33">
        <v>5</v>
      </c>
      <c r="B29" s="31">
        <f>SUM($A$2:A29)</f>
        <v>206.89999999999998</v>
      </c>
      <c r="C29" s="35">
        <v>2011</v>
      </c>
    </row>
    <row r="30" spans="1:3">
      <c r="A30" s="32">
        <v>5</v>
      </c>
      <c r="B30" s="30">
        <f>SUM($A$2:A30)</f>
        <v>211.89999999999998</v>
      </c>
      <c r="C30" s="34">
        <v>2011</v>
      </c>
    </row>
    <row r="31" spans="1:3">
      <c r="A31" s="33">
        <v>5</v>
      </c>
      <c r="B31" s="31">
        <f>SUM($A$2:A31)</f>
        <v>216.89999999999998</v>
      </c>
      <c r="C31" s="35">
        <v>2011</v>
      </c>
    </row>
    <row r="32" spans="1:3">
      <c r="A32" s="32">
        <v>5</v>
      </c>
      <c r="B32" s="30">
        <f>SUM($A$2:A32)</f>
        <v>221.89999999999998</v>
      </c>
      <c r="C32" s="34">
        <v>2011</v>
      </c>
    </row>
    <row r="33" spans="1:3">
      <c r="A33" s="33">
        <v>17</v>
      </c>
      <c r="B33" s="31">
        <f>SUM($A$2:A33)</f>
        <v>238.89999999999998</v>
      </c>
      <c r="C33" s="35">
        <v>2011</v>
      </c>
    </row>
    <row r="34" spans="1:3">
      <c r="A34" s="32">
        <v>2.9</v>
      </c>
      <c r="B34" s="30">
        <f>SUM($A$2:A34)</f>
        <v>241.79999999999998</v>
      </c>
      <c r="C34" s="34">
        <v>2011</v>
      </c>
    </row>
    <row r="35" spans="1:3">
      <c r="A35" s="33">
        <v>2.9</v>
      </c>
      <c r="B35" s="31">
        <f>SUM($A$2:A35)</f>
        <v>244.7</v>
      </c>
      <c r="C35" s="35">
        <v>2011</v>
      </c>
    </row>
    <row r="36" spans="1:3">
      <c r="A36" s="32">
        <v>1</v>
      </c>
      <c r="B36" s="30">
        <f>SUM($A$2:A36)</f>
        <v>245.7</v>
      </c>
      <c r="C36" s="34">
        <v>2011</v>
      </c>
    </row>
    <row r="37" spans="1:3">
      <c r="A37" s="33">
        <v>90.7</v>
      </c>
      <c r="B37" s="31">
        <f>SUM($A$2:A37)</f>
        <v>336.4</v>
      </c>
      <c r="C37" s="35">
        <v>2012</v>
      </c>
    </row>
    <row r="38" spans="1:3">
      <c r="A38" s="32">
        <v>136</v>
      </c>
      <c r="B38" s="30">
        <f>SUM($A$2:A38)</f>
        <v>472.4</v>
      </c>
      <c r="C38" s="34">
        <v>2012</v>
      </c>
    </row>
    <row r="39" spans="1:3">
      <c r="A39" s="33">
        <v>52</v>
      </c>
      <c r="B39" s="31">
        <f>SUM($A$2:A39)</f>
        <v>524.4</v>
      </c>
      <c r="C39" s="35">
        <v>2012</v>
      </c>
    </row>
    <row r="40" spans="1:3">
      <c r="A40" s="32">
        <v>110</v>
      </c>
      <c r="B40" s="30">
        <f>SUM($A$2:A40)</f>
        <v>634.4</v>
      </c>
      <c r="C40" s="34">
        <v>2012</v>
      </c>
    </row>
    <row r="41" spans="1:3">
      <c r="A41" s="33">
        <v>13.7</v>
      </c>
      <c r="B41" s="31">
        <f>SUM($A$2:A41)</f>
        <v>648.1</v>
      </c>
      <c r="C41" s="35">
        <v>2012</v>
      </c>
    </row>
    <row r="42" spans="1:3">
      <c r="A42" s="32">
        <v>30</v>
      </c>
      <c r="B42" s="30">
        <f>SUM($A$2:A42)</f>
        <v>678.1</v>
      </c>
      <c r="C42" s="34">
        <v>2012</v>
      </c>
    </row>
    <row r="43" spans="1:3">
      <c r="A43" s="33">
        <v>30</v>
      </c>
      <c r="B43" s="31">
        <f>SUM($A$2:A43)</f>
        <v>708.1</v>
      </c>
      <c r="C43" s="35">
        <v>2012</v>
      </c>
    </row>
    <row r="44" spans="1:3">
      <c r="A44" s="32">
        <v>34</v>
      </c>
      <c r="B44" s="30">
        <f>SUM($A$2:A44)</f>
        <v>742.1</v>
      </c>
      <c r="C44" s="34">
        <v>2012</v>
      </c>
    </row>
    <row r="45" spans="1:3">
      <c r="A45" s="33">
        <v>2.1</v>
      </c>
      <c r="B45" s="31">
        <f>SUM($A$2:A45)</f>
        <v>744.2</v>
      </c>
      <c r="C45" s="35">
        <v>2012</v>
      </c>
    </row>
    <row r="46" spans="1:3">
      <c r="A46" s="32">
        <v>101</v>
      </c>
      <c r="B46" s="30">
        <f>SUM($A$2:A46)</f>
        <v>845.2</v>
      </c>
      <c r="C46" s="34">
        <v>2013</v>
      </c>
    </row>
    <row r="47" spans="1:3">
      <c r="A47" s="33">
        <v>64.599999999999994</v>
      </c>
      <c r="B47" s="31">
        <f>SUM($A$2:A47)</f>
        <v>909.80000000000007</v>
      </c>
      <c r="C47" s="35">
        <v>2013</v>
      </c>
    </row>
    <row r="48" spans="1:3">
      <c r="A48" s="32">
        <v>0.5</v>
      </c>
      <c r="B48" s="30">
        <f>SUM($A$2:A48)</f>
        <v>910.30000000000007</v>
      </c>
      <c r="C48" s="34">
        <v>2013</v>
      </c>
    </row>
    <row r="49" spans="1:3">
      <c r="A49" s="33">
        <v>0.5</v>
      </c>
      <c r="B49" s="31">
        <f>SUM($A$2:A49)</f>
        <v>910.80000000000007</v>
      </c>
      <c r="C49" s="35">
        <v>2013</v>
      </c>
    </row>
    <row r="50" spans="1:3">
      <c r="A50" s="32">
        <v>0.5</v>
      </c>
      <c r="B50" s="30">
        <f>SUM($A$2:A50)</f>
        <v>911.30000000000007</v>
      </c>
      <c r="C50" s="34">
        <v>2013</v>
      </c>
    </row>
    <row r="51" spans="1:3">
      <c r="A51" s="33">
        <v>0.5</v>
      </c>
      <c r="B51" s="31">
        <f>SUM($A$2:A51)</f>
        <v>911.80000000000007</v>
      </c>
      <c r="C51" s="35">
        <v>2013</v>
      </c>
    </row>
    <row r="52" spans="1:3">
      <c r="A52" s="32">
        <v>66</v>
      </c>
      <c r="B52" s="30">
        <f>SUM($A$2:A52)</f>
        <v>977.80000000000007</v>
      </c>
      <c r="C52" s="34">
        <v>2013</v>
      </c>
    </row>
    <row r="53" spans="1:3">
      <c r="A53" s="33">
        <v>128.9</v>
      </c>
      <c r="B53" s="31">
        <f>SUM($A$2:A53)</f>
        <v>1106.7</v>
      </c>
      <c r="C53" s="35">
        <v>2013</v>
      </c>
    </row>
    <row r="54" spans="1:3">
      <c r="A54" s="32">
        <v>2</v>
      </c>
      <c r="B54" s="30">
        <f>SUM($A$2:A54)</f>
        <v>1108.7</v>
      </c>
      <c r="C54" s="34">
        <v>2013</v>
      </c>
    </row>
    <row r="55" spans="1:3">
      <c r="A55" s="33">
        <v>4</v>
      </c>
      <c r="B55" s="31">
        <f>SUM($A$2:A55)</f>
        <v>1112.7</v>
      </c>
      <c r="C55" s="35">
        <v>2013</v>
      </c>
    </row>
    <row r="56" spans="1:3">
      <c r="A56" s="32">
        <v>25</v>
      </c>
      <c r="B56" s="30">
        <f>SUM($A$2:A56)</f>
        <v>1137.7</v>
      </c>
      <c r="C56" s="34">
        <v>2013</v>
      </c>
    </row>
    <row r="57" spans="1:3">
      <c r="A57" s="33">
        <v>129.80000000000001</v>
      </c>
      <c r="B57" s="31">
        <f>SUM($A$2:A57)</f>
        <v>1267.5</v>
      </c>
      <c r="C57" s="35">
        <v>2013</v>
      </c>
    </row>
    <row r="58" spans="1:3">
      <c r="A58" s="32">
        <v>151.19999999999999</v>
      </c>
      <c r="B58" s="30">
        <f>SUM($A$2:A58)</f>
        <v>1418.7</v>
      </c>
      <c r="C58" s="34">
        <v>2013</v>
      </c>
    </row>
    <row r="59" spans="1:3">
      <c r="A59" s="33">
        <v>40.299999999999997</v>
      </c>
      <c r="B59" s="31">
        <f>SUM($A$2:A59)</f>
        <v>1459</v>
      </c>
      <c r="C59" s="35">
        <v>2013</v>
      </c>
    </row>
    <row r="60" spans="1:3">
      <c r="A60" s="32">
        <v>30.2</v>
      </c>
      <c r="B60" s="30">
        <f>SUM($A$2:A60)</f>
        <v>1489.2</v>
      </c>
      <c r="C60" s="34">
        <v>2013</v>
      </c>
    </row>
    <row r="61" spans="1:3">
      <c r="A61" s="33">
        <v>20.2</v>
      </c>
      <c r="B61" s="31">
        <f>SUM($A$2:A61)</f>
        <v>1509.4</v>
      </c>
      <c r="C61" s="35">
        <v>2013</v>
      </c>
    </row>
    <row r="62" spans="1:3">
      <c r="A62" s="32">
        <v>40.299999999999997</v>
      </c>
      <c r="B62" s="30">
        <f>SUM($A$2:A62)</f>
        <v>1549.7</v>
      </c>
      <c r="C62" s="34">
        <v>2013</v>
      </c>
    </row>
    <row r="63" spans="1:3">
      <c r="A63" s="33">
        <v>40.299999999999997</v>
      </c>
      <c r="B63" s="31">
        <f>SUM($A$2:A63)</f>
        <v>1590</v>
      </c>
      <c r="C63" s="35">
        <v>2013</v>
      </c>
    </row>
    <row r="64" spans="1:3">
      <c r="A64" s="32">
        <v>30.2</v>
      </c>
      <c r="B64" s="30">
        <f>SUM($A$2:A64)</f>
        <v>1620.2</v>
      </c>
      <c r="C64" s="34">
        <v>2013</v>
      </c>
    </row>
    <row r="65" spans="1:3">
      <c r="A65" s="33">
        <v>27</v>
      </c>
      <c r="B65" s="31">
        <f>SUM($A$2:A65)</f>
        <v>1647.2</v>
      </c>
      <c r="C65" s="35">
        <v>2013</v>
      </c>
    </row>
    <row r="66" spans="1:3">
      <c r="A66" s="32">
        <v>147.4</v>
      </c>
      <c r="B66" s="30">
        <f>SUM($A$2:A66)</f>
        <v>1794.6000000000001</v>
      </c>
      <c r="C66" s="34">
        <v>2013</v>
      </c>
    </row>
    <row r="67" spans="1:3">
      <c r="A67" s="33">
        <v>8</v>
      </c>
      <c r="B67" s="31">
        <f>SUM($A$2:A67)</f>
        <v>1802.6000000000001</v>
      </c>
      <c r="C67" s="35">
        <v>2013</v>
      </c>
    </row>
    <row r="68" spans="1:3">
      <c r="A68" s="32">
        <v>8.4</v>
      </c>
      <c r="B68" s="30">
        <f>SUM($A$2:A68)</f>
        <v>1811.0000000000002</v>
      </c>
      <c r="C68" s="34">
        <v>2013</v>
      </c>
    </row>
    <row r="69" spans="1:3">
      <c r="A69" s="33">
        <v>39.1</v>
      </c>
      <c r="B69" s="31">
        <f>SUM($A$2:A69)</f>
        <v>1850.1000000000001</v>
      </c>
      <c r="C69" s="35">
        <v>2013</v>
      </c>
    </row>
    <row r="70" spans="1:3">
      <c r="A70" s="32">
        <v>22.7</v>
      </c>
      <c r="B70" s="30">
        <f>SUM($A$2:A70)</f>
        <v>1872.8000000000002</v>
      </c>
      <c r="C70" s="34">
        <v>2013</v>
      </c>
    </row>
    <row r="71" spans="1:3">
      <c r="A71" s="33">
        <v>29</v>
      </c>
      <c r="B71" s="31">
        <f>SUM($A$2:A71)</f>
        <v>1901.8000000000002</v>
      </c>
      <c r="C71" s="35">
        <v>2013</v>
      </c>
    </row>
    <row r="72" spans="1:3">
      <c r="A72" s="32">
        <v>25.2</v>
      </c>
      <c r="B72" s="30">
        <f>SUM($A$2:A72)</f>
        <v>1927.0000000000002</v>
      </c>
      <c r="C72" s="34">
        <v>2013</v>
      </c>
    </row>
    <row r="73" spans="1:3">
      <c r="A73" s="33">
        <v>34.299999999999997</v>
      </c>
      <c r="B73" s="31">
        <f>SUM($A$2:A73)</f>
        <v>1961.3000000000002</v>
      </c>
      <c r="C73" s="35">
        <v>2014</v>
      </c>
    </row>
    <row r="74" spans="1:3">
      <c r="A74" s="32">
        <v>121</v>
      </c>
      <c r="B74" s="30">
        <f>SUM($A$2:A74)</f>
        <v>2082.3000000000002</v>
      </c>
      <c r="C74" s="34">
        <v>2014</v>
      </c>
    </row>
    <row r="75" spans="1:3">
      <c r="A75" s="33">
        <v>253</v>
      </c>
      <c r="B75" s="31">
        <f>SUM($A$2:A75)</f>
        <v>2335.3000000000002</v>
      </c>
      <c r="C75" s="35">
        <v>2014</v>
      </c>
    </row>
    <row r="76" spans="1:3">
      <c r="A76" s="32">
        <v>102.1</v>
      </c>
      <c r="B76" s="30">
        <f>SUM($A$2:A76)</f>
        <v>2437.4</v>
      </c>
      <c r="C76" s="34">
        <v>2014</v>
      </c>
    </row>
    <row r="77" spans="1:3">
      <c r="A77" s="33">
        <v>90.3</v>
      </c>
      <c r="B77" s="31">
        <f>SUM($A$2:A77)</f>
        <v>2527.7000000000003</v>
      </c>
      <c r="C77" s="35">
        <v>2014</v>
      </c>
    </row>
    <row r="78" spans="1:3">
      <c r="A78" s="32">
        <v>112.5</v>
      </c>
      <c r="B78" s="30">
        <f>SUM($A$2:A78)</f>
        <v>2640.2000000000003</v>
      </c>
      <c r="C78" s="34">
        <v>2014</v>
      </c>
    </row>
    <row r="79" spans="1:3">
      <c r="A79" s="33">
        <v>25.2</v>
      </c>
      <c r="B79" s="31">
        <f>SUM($A$2:A79)</f>
        <v>2665.4</v>
      </c>
      <c r="C79" s="35">
        <v>2014</v>
      </c>
    </row>
    <row r="80" spans="1:3">
      <c r="A80" s="32">
        <v>25.2</v>
      </c>
      <c r="B80" s="30">
        <f>SUM($A$2:A80)</f>
        <v>2690.6</v>
      </c>
      <c r="C80" s="34">
        <v>2014</v>
      </c>
    </row>
    <row r="81" spans="1:3">
      <c r="A81" s="33">
        <v>20.2</v>
      </c>
      <c r="B81" s="31">
        <f>SUM($A$2:A81)</f>
        <v>2710.7999999999997</v>
      </c>
      <c r="C81" s="35">
        <v>2014</v>
      </c>
    </row>
    <row r="82" spans="1:3">
      <c r="A82" s="32">
        <v>18.899999999999999</v>
      </c>
      <c r="B82" s="30">
        <f>SUM($A$2:A82)</f>
        <v>2729.7</v>
      </c>
      <c r="C82" s="34">
        <v>2014</v>
      </c>
    </row>
    <row r="83" spans="1:3">
      <c r="A83" s="33">
        <v>22.7</v>
      </c>
      <c r="B83" s="31">
        <f>SUM($A$2:A83)</f>
        <v>2752.3999999999996</v>
      </c>
      <c r="C83" s="35">
        <v>2014</v>
      </c>
    </row>
    <row r="84" spans="1:3">
      <c r="A84" s="32">
        <v>39.1</v>
      </c>
      <c r="B84" s="30">
        <f>SUM($A$2:A84)</f>
        <v>2791.4999999999995</v>
      </c>
      <c r="C84" s="34">
        <v>2014</v>
      </c>
    </row>
    <row r="85" spans="1:3">
      <c r="A85" s="33">
        <v>26.5</v>
      </c>
      <c r="B85" s="31">
        <f>SUM($A$2:A85)</f>
        <v>2817.9999999999995</v>
      </c>
      <c r="C85" s="35">
        <v>2014</v>
      </c>
    </row>
    <row r="86" spans="1:3">
      <c r="A86" s="32">
        <v>13.9</v>
      </c>
      <c r="B86" s="30">
        <f>SUM($A$2:A86)</f>
        <v>2831.8999999999996</v>
      </c>
      <c r="C86" s="34">
        <v>2014</v>
      </c>
    </row>
    <row r="87" spans="1:3">
      <c r="A87" s="33">
        <v>29</v>
      </c>
      <c r="B87" s="31">
        <f>SUM($A$2:A87)</f>
        <v>2860.8999999999996</v>
      </c>
      <c r="C87" s="35">
        <v>2014</v>
      </c>
    </row>
    <row r="88" spans="1:3">
      <c r="A88" s="32">
        <v>25.2</v>
      </c>
      <c r="B88" s="30">
        <f>SUM($A$2:A88)</f>
        <v>2886.0999999999995</v>
      </c>
      <c r="C88" s="34">
        <v>2014</v>
      </c>
    </row>
    <row r="89" spans="1:3">
      <c r="A89" s="33">
        <v>54.4</v>
      </c>
      <c r="B89" s="31">
        <f>SUM($A$2:A89)</f>
        <v>2940.4999999999995</v>
      </c>
      <c r="C89" s="35">
        <v>2014</v>
      </c>
    </row>
    <row r="90" spans="1:3">
      <c r="A90" s="32">
        <v>54.4</v>
      </c>
      <c r="B90" s="30">
        <f>SUM($A$2:A90)</f>
        <v>2994.8999999999996</v>
      </c>
      <c r="C90" s="34">
        <v>2014</v>
      </c>
    </row>
    <row r="91" spans="1:3">
      <c r="A91" s="33">
        <v>54.4</v>
      </c>
      <c r="B91" s="31">
        <f>SUM($A$2:A91)</f>
        <v>3049.2999999999997</v>
      </c>
      <c r="C91" s="35">
        <v>2014</v>
      </c>
    </row>
    <row r="92" spans="1:3">
      <c r="A92" s="32">
        <v>19</v>
      </c>
      <c r="B92" s="30">
        <f>SUM($A$2:A92)</f>
        <v>3068.2999999999997</v>
      </c>
      <c r="C92" s="34">
        <v>2014</v>
      </c>
    </row>
    <row r="93" spans="1:3">
      <c r="A93" s="33">
        <v>20</v>
      </c>
      <c r="B93" s="31">
        <f>SUM($A$2:A93)</f>
        <v>3088.2999999999997</v>
      </c>
      <c r="C93" s="35">
        <v>2014</v>
      </c>
    </row>
    <row r="94" spans="1:3">
      <c r="A94" s="32">
        <v>20</v>
      </c>
      <c r="B94" s="30">
        <f>SUM($A$2:A94)</f>
        <v>3108.2999999999997</v>
      </c>
      <c r="C94" s="34">
        <v>2014</v>
      </c>
    </row>
    <row r="95" spans="1:3">
      <c r="A95" s="33">
        <v>20</v>
      </c>
      <c r="B95" s="31">
        <f>SUM($A$2:A95)</f>
        <v>3128.2999999999997</v>
      </c>
      <c r="C95" s="35">
        <v>2014</v>
      </c>
    </row>
    <row r="96" spans="1:3">
      <c r="A96" s="32">
        <v>55</v>
      </c>
      <c r="B96" s="30">
        <f>SUM($A$2:A96)</f>
        <v>3183.2999999999997</v>
      </c>
      <c r="C96" s="34">
        <v>2014</v>
      </c>
    </row>
    <row r="97" spans="1:3">
      <c r="A97" s="33">
        <v>5</v>
      </c>
      <c r="B97" s="31">
        <f>SUM($A$2:A97)</f>
        <v>3188.2999999999997</v>
      </c>
      <c r="C97" s="35">
        <v>2014</v>
      </c>
    </row>
    <row r="98" spans="1:3">
      <c r="A98" s="32">
        <v>5</v>
      </c>
      <c r="B98" s="30">
        <f>SUM($A$2:A98)</f>
        <v>3193.2999999999997</v>
      </c>
      <c r="C98" s="34">
        <v>2014</v>
      </c>
    </row>
    <row r="99" spans="1:3">
      <c r="A99" s="33">
        <v>1.9</v>
      </c>
      <c r="B99" s="31">
        <f>SUM($A$2:A99)</f>
        <v>3195.2</v>
      </c>
      <c r="C99" s="35">
        <v>2014</v>
      </c>
    </row>
    <row r="100" spans="1:3">
      <c r="A100" s="32">
        <v>5</v>
      </c>
      <c r="B100" s="30">
        <f>SUM($A$2:A100)</f>
        <v>3200.2</v>
      </c>
      <c r="C100" s="34">
        <v>2014</v>
      </c>
    </row>
    <row r="101" spans="1:3">
      <c r="A101" s="33">
        <v>5</v>
      </c>
      <c r="B101" s="31">
        <f>SUM($A$2:A101)</f>
        <v>3205.2</v>
      </c>
      <c r="C101" s="35">
        <v>2014</v>
      </c>
    </row>
    <row r="102" spans="1:3">
      <c r="A102" s="32">
        <v>5</v>
      </c>
      <c r="B102" s="30">
        <f>SUM($A$2:A102)</f>
        <v>3210.2</v>
      </c>
      <c r="C102" s="34">
        <v>2014</v>
      </c>
    </row>
    <row r="103" spans="1:3">
      <c r="A103" s="33">
        <v>5</v>
      </c>
      <c r="B103" s="31">
        <f>SUM($A$2:A103)</f>
        <v>3215.2</v>
      </c>
      <c r="C103" s="35">
        <v>2014</v>
      </c>
    </row>
    <row r="104" spans="1:3">
      <c r="A104" s="32">
        <v>5</v>
      </c>
      <c r="B104" s="30">
        <f>SUM($A$2:A104)</f>
        <v>3220.2</v>
      </c>
      <c r="C104" s="34">
        <v>2014</v>
      </c>
    </row>
    <row r="105" spans="1:3">
      <c r="A105" s="33">
        <v>5</v>
      </c>
      <c r="B105" s="31">
        <f>SUM($A$2:A105)</f>
        <v>3225.2</v>
      </c>
      <c r="C105" s="35">
        <v>2014</v>
      </c>
    </row>
    <row r="106" spans="1:3">
      <c r="A106" s="32">
        <v>5</v>
      </c>
      <c r="B106" s="30">
        <f>SUM($A$2:A106)</f>
        <v>3230.2</v>
      </c>
      <c r="C106" s="34">
        <v>2014</v>
      </c>
    </row>
    <row r="107" spans="1:3">
      <c r="A107" s="33">
        <v>20</v>
      </c>
      <c r="B107" s="31">
        <f>SUM($A$2:A107)</f>
        <v>3250.2</v>
      </c>
      <c r="C107" s="35">
        <v>2014</v>
      </c>
    </row>
    <row r="108" spans="1:3">
      <c r="A108" s="32">
        <v>5</v>
      </c>
      <c r="B108" s="30">
        <f>SUM($A$2:A108)</f>
        <v>3255.2</v>
      </c>
      <c r="C108" s="34">
        <v>2014</v>
      </c>
    </row>
    <row r="109" spans="1:3">
      <c r="A109" s="33">
        <v>1.7</v>
      </c>
      <c r="B109" s="31">
        <f>SUM($A$2:A109)</f>
        <v>3256.8999999999996</v>
      </c>
      <c r="C109" s="35">
        <v>2014</v>
      </c>
    </row>
    <row r="110" spans="1:3">
      <c r="A110" s="32">
        <v>6.1</v>
      </c>
      <c r="B110" s="30">
        <f>SUM($A$2:A110)</f>
        <v>3262.9999999999995</v>
      </c>
      <c r="C110" s="34">
        <v>2014</v>
      </c>
    </row>
    <row r="111" spans="1:3">
      <c r="A111" s="33">
        <v>5</v>
      </c>
      <c r="B111" s="31">
        <f>SUM($A$2:A111)</f>
        <v>3267.9999999999995</v>
      </c>
      <c r="C111" s="35">
        <v>2014</v>
      </c>
    </row>
    <row r="112" spans="1:3">
      <c r="A112" s="32">
        <v>5</v>
      </c>
      <c r="B112" s="30">
        <f>SUM($A$2:A112)</f>
        <v>3272.9999999999995</v>
      </c>
      <c r="C112" s="34">
        <v>2014</v>
      </c>
    </row>
    <row r="113" spans="1:3">
      <c r="A113" s="33">
        <v>5</v>
      </c>
      <c r="B113" s="31">
        <f>SUM($A$2:A113)</f>
        <v>3277.9999999999995</v>
      </c>
      <c r="C113" s="35">
        <v>2014</v>
      </c>
    </row>
    <row r="114" spans="1:3">
      <c r="A114" s="32">
        <v>30</v>
      </c>
      <c r="B114" s="30">
        <f>SUM($A$2:A114)</f>
        <v>3307.9999999999995</v>
      </c>
      <c r="C114" s="34">
        <v>2015</v>
      </c>
    </row>
    <row r="115" spans="1:3">
      <c r="A115" s="33">
        <v>30</v>
      </c>
      <c r="B115" s="31">
        <f>SUM($A$2:A115)</f>
        <v>3337.9999999999995</v>
      </c>
      <c r="C115" s="35">
        <v>2015</v>
      </c>
    </row>
    <row r="116" spans="1:3">
      <c r="A116" s="32">
        <v>31.4</v>
      </c>
      <c r="B116" s="30">
        <f>SUM($A$2:A116)</f>
        <v>3369.3999999999996</v>
      </c>
      <c r="C116" s="34">
        <v>2015</v>
      </c>
    </row>
    <row r="117" spans="1:3">
      <c r="A117" s="33">
        <v>31.4</v>
      </c>
      <c r="B117" s="31">
        <f>SUM($A$2:A117)</f>
        <v>3400.7999999999997</v>
      </c>
      <c r="C117" s="35">
        <v>2015</v>
      </c>
    </row>
    <row r="118" spans="1:3">
      <c r="A118" s="32">
        <v>26.9</v>
      </c>
      <c r="B118" s="30">
        <f>SUM($A$2:A118)</f>
        <v>3427.7</v>
      </c>
      <c r="C118" s="34">
        <v>2015</v>
      </c>
    </row>
    <row r="119" spans="1:3">
      <c r="A119" s="33">
        <v>36.5</v>
      </c>
      <c r="B119" s="31">
        <f>SUM($A$2:A119)</f>
        <v>3464.2</v>
      </c>
      <c r="C119" s="35">
        <v>2015</v>
      </c>
    </row>
    <row r="120" spans="1:3">
      <c r="A120" s="32">
        <v>20</v>
      </c>
      <c r="B120" s="30">
        <f>SUM($A$2:A120)</f>
        <v>3484.2</v>
      </c>
      <c r="C120" s="34">
        <v>2015</v>
      </c>
    </row>
    <row r="121" spans="1:3">
      <c r="A121" s="33">
        <v>26.4</v>
      </c>
      <c r="B121" s="31">
        <f>SUM($A$2:A121)</f>
        <v>3510.6</v>
      </c>
      <c r="C121" s="35">
        <v>2015</v>
      </c>
    </row>
    <row r="122" spans="1:3">
      <c r="A122" s="32">
        <v>27.9</v>
      </c>
      <c r="B122" s="30">
        <f>SUM($A$2:A122)</f>
        <v>3538.5</v>
      </c>
      <c r="C122" s="34">
        <v>2015</v>
      </c>
    </row>
    <row r="123" spans="1:3">
      <c r="A123" s="33">
        <v>37.200000000000003</v>
      </c>
      <c r="B123" s="31">
        <f>SUM($A$2:A123)</f>
        <v>3575.7</v>
      </c>
      <c r="C123" s="35">
        <v>2015</v>
      </c>
    </row>
    <row r="124" spans="1:3">
      <c r="A124" s="32">
        <v>75.900000000000006</v>
      </c>
      <c r="B124" s="30">
        <f>SUM($A$2:A124)</f>
        <v>3651.6</v>
      </c>
      <c r="C124" s="34">
        <v>2015</v>
      </c>
    </row>
    <row r="125" spans="1:3">
      <c r="A125" s="33">
        <v>34.1</v>
      </c>
      <c r="B125" s="31">
        <f>SUM($A$2:A125)</f>
        <v>3685.7</v>
      </c>
      <c r="C125" s="35">
        <v>2015</v>
      </c>
    </row>
    <row r="126" spans="1:3">
      <c r="A126" s="32">
        <v>30.2</v>
      </c>
      <c r="B126" s="30">
        <f>SUM($A$2:A126)</f>
        <v>3715.8999999999996</v>
      </c>
      <c r="C126" s="34">
        <v>2015</v>
      </c>
    </row>
    <row r="127" spans="1:3">
      <c r="A127" s="33">
        <v>12</v>
      </c>
      <c r="B127" s="31">
        <f>SUM($A$2:A127)</f>
        <v>3727.8999999999996</v>
      </c>
      <c r="C127" s="35">
        <v>2015</v>
      </c>
    </row>
    <row r="128" spans="1:3">
      <c r="A128" s="32">
        <v>20</v>
      </c>
      <c r="B128" s="30">
        <f>SUM($A$2:A128)</f>
        <v>3747.8999999999996</v>
      </c>
      <c r="C128" s="34">
        <v>2015</v>
      </c>
    </row>
    <row r="129" spans="1:3">
      <c r="A129" s="33">
        <v>61.6</v>
      </c>
      <c r="B129" s="31">
        <f>SUM($A$2:A129)</f>
        <v>3809.4999999999995</v>
      </c>
      <c r="C129" s="35">
        <v>2015</v>
      </c>
    </row>
    <row r="130" spans="1:3">
      <c r="A130" s="32">
        <v>16.600000000000001</v>
      </c>
      <c r="B130" s="30">
        <f>SUM($A$2:A130)</f>
        <v>3826.0999999999995</v>
      </c>
      <c r="C130" s="34">
        <v>2015</v>
      </c>
    </row>
    <row r="131" spans="1:3">
      <c r="A131" s="33">
        <v>65</v>
      </c>
      <c r="B131" s="31">
        <f>SUM($A$2:A131)</f>
        <v>3891.0999999999995</v>
      </c>
      <c r="C131" s="35">
        <v>2015</v>
      </c>
    </row>
    <row r="132" spans="1:3">
      <c r="A132" s="32">
        <v>15</v>
      </c>
      <c r="B132" s="30">
        <f>SUM($A$2:A132)</f>
        <v>3906.0999999999995</v>
      </c>
      <c r="C132" s="34">
        <v>2015</v>
      </c>
    </row>
    <row r="133" spans="1:3">
      <c r="A133" s="33">
        <v>27</v>
      </c>
      <c r="B133" s="31">
        <f>SUM($A$2:A133)</f>
        <v>3933.0999999999995</v>
      </c>
      <c r="C133" s="35">
        <v>2015</v>
      </c>
    </row>
    <row r="134" spans="1:3">
      <c r="A134" s="32">
        <v>12</v>
      </c>
      <c r="B134" s="30">
        <f>SUM($A$2:A134)</f>
        <v>3945.0999999999995</v>
      </c>
      <c r="C134" s="34">
        <v>2015</v>
      </c>
    </row>
    <row r="135" spans="1:3">
      <c r="A135" s="33">
        <v>12</v>
      </c>
      <c r="B135" s="31">
        <f>SUM($A$2:A135)</f>
        <v>3957.0999999999995</v>
      </c>
      <c r="C135" s="35">
        <v>2015</v>
      </c>
    </row>
    <row r="136" spans="1:3">
      <c r="A136" s="32">
        <v>5</v>
      </c>
      <c r="B136" s="30">
        <f>SUM($A$2:A136)</f>
        <v>3962.0999999999995</v>
      </c>
      <c r="C136" s="34">
        <v>2015</v>
      </c>
    </row>
    <row r="137" spans="1:3">
      <c r="A137" s="33">
        <v>20</v>
      </c>
      <c r="B137" s="31">
        <f>SUM($A$2:A137)</f>
        <v>3982.0999999999995</v>
      </c>
      <c r="C137" s="35">
        <v>2015</v>
      </c>
    </row>
    <row r="138" spans="1:3">
      <c r="A138" s="32">
        <v>5</v>
      </c>
      <c r="B138" s="30">
        <f>SUM($A$2:A138)</f>
        <v>3987.0999999999995</v>
      </c>
      <c r="C138" s="34">
        <v>2015</v>
      </c>
    </row>
    <row r="139" spans="1:3">
      <c r="A139" s="33">
        <v>4</v>
      </c>
      <c r="B139" s="31">
        <f>SUM($A$2:A139)</f>
        <v>3991.0999999999995</v>
      </c>
      <c r="C139" s="35">
        <v>2015</v>
      </c>
    </row>
    <row r="140" spans="1:3">
      <c r="A140" s="32">
        <v>9.1</v>
      </c>
      <c r="B140" s="30">
        <f>SUM($A$2:A140)</f>
        <v>4000.1999999999994</v>
      </c>
      <c r="C140" s="34">
        <v>2015</v>
      </c>
    </row>
    <row r="141" spans="1:3">
      <c r="A141" s="33">
        <v>7.6</v>
      </c>
      <c r="B141" s="31">
        <f>SUM($A$2:A141)</f>
        <v>4007.7999999999993</v>
      </c>
      <c r="C141" s="35">
        <v>2015</v>
      </c>
    </row>
    <row r="142" spans="1:3">
      <c r="A142" s="32">
        <v>45</v>
      </c>
      <c r="B142" s="30">
        <f>SUM($A$2:A142)</f>
        <v>4052.7999999999993</v>
      </c>
      <c r="C142" s="34">
        <v>2015</v>
      </c>
    </row>
    <row r="143" spans="1:3">
      <c r="A143" s="33">
        <v>20</v>
      </c>
      <c r="B143" s="31">
        <f>SUM($A$2:A143)</f>
        <v>4072.7999999999993</v>
      </c>
      <c r="C143" s="35">
        <v>2015</v>
      </c>
    </row>
    <row r="144" spans="1:3">
      <c r="A144" s="32">
        <v>30</v>
      </c>
      <c r="B144" s="30">
        <f>SUM($A$2:A144)</f>
        <v>4102.7999999999993</v>
      </c>
      <c r="C144" s="34">
        <v>2015</v>
      </c>
    </row>
    <row r="145" spans="1:3">
      <c r="A145" s="33">
        <v>12</v>
      </c>
      <c r="B145" s="31">
        <f>SUM($A$2:A145)</f>
        <v>4114.7999999999993</v>
      </c>
      <c r="C145" s="35">
        <v>2015</v>
      </c>
    </row>
    <row r="146" spans="1:3">
      <c r="A146" s="32">
        <v>3</v>
      </c>
      <c r="B146" s="30">
        <f>SUM($A$2:A146)</f>
        <v>4117.7999999999993</v>
      </c>
      <c r="C146" s="34">
        <v>2015</v>
      </c>
    </row>
    <row r="147" spans="1:3">
      <c r="A147" s="33">
        <v>2</v>
      </c>
      <c r="B147" s="31">
        <f>SUM($A$2:A147)</f>
        <v>4119.7999999999993</v>
      </c>
      <c r="C147" s="35">
        <v>2015</v>
      </c>
    </row>
    <row r="148" spans="1:3">
      <c r="A148" s="32">
        <v>4.9000000000000004</v>
      </c>
      <c r="B148" s="30">
        <f>SUM($A$2:A148)</f>
        <v>4124.6999999999989</v>
      </c>
      <c r="C148" s="34">
        <v>2015</v>
      </c>
    </row>
    <row r="149" spans="1:3">
      <c r="A149" s="33">
        <v>4</v>
      </c>
      <c r="B149" s="31">
        <f>SUM($A$2:A149)</f>
        <v>4128.6999999999989</v>
      </c>
      <c r="C149" s="35">
        <v>2015</v>
      </c>
    </row>
    <row r="150" spans="1:3">
      <c r="A150" s="32">
        <v>4</v>
      </c>
      <c r="B150" s="30">
        <f>SUM($A$2:A150)</f>
        <v>4132.6999999999989</v>
      </c>
      <c r="C150" s="34">
        <v>2015</v>
      </c>
    </row>
    <row r="151" spans="1:3">
      <c r="A151" s="33">
        <v>4.9000000000000004</v>
      </c>
      <c r="B151" s="31">
        <f>SUM($A$2:A151)</f>
        <v>4137.5999999999985</v>
      </c>
      <c r="C151" s="35">
        <v>2015</v>
      </c>
    </row>
    <row r="152" spans="1:3">
      <c r="A152" s="32">
        <v>5</v>
      </c>
      <c r="B152" s="30">
        <f>SUM($A$2:A152)</f>
        <v>4142.5999999999985</v>
      </c>
      <c r="C152" s="34">
        <v>2015</v>
      </c>
    </row>
    <row r="153" spans="1:3">
      <c r="A153" s="33">
        <v>5</v>
      </c>
      <c r="B153" s="31">
        <f>SUM($A$2:A153)</f>
        <v>4147.5999999999985</v>
      </c>
      <c r="C153" s="35">
        <v>2015</v>
      </c>
    </row>
    <row r="154" spans="1:3">
      <c r="A154" s="32">
        <v>5</v>
      </c>
      <c r="B154" s="30">
        <f>SUM($A$2:A154)</f>
        <v>4152.5999999999985</v>
      </c>
      <c r="C154" s="34">
        <v>2015</v>
      </c>
    </row>
    <row r="155" spans="1:3">
      <c r="A155" s="33">
        <v>5</v>
      </c>
      <c r="B155" s="31">
        <f>SUM($A$2:A155)</f>
        <v>4157.5999999999985</v>
      </c>
      <c r="C155" s="35">
        <v>2015</v>
      </c>
    </row>
    <row r="156" spans="1:3">
      <c r="A156" s="32">
        <v>5</v>
      </c>
      <c r="B156" s="30">
        <f>SUM($A$2:A156)</f>
        <v>4162.5999999999985</v>
      </c>
      <c r="C156" s="34">
        <v>2015</v>
      </c>
    </row>
    <row r="157" spans="1:3">
      <c r="A157" s="33">
        <v>5</v>
      </c>
      <c r="B157" s="31">
        <f>SUM($A$2:A157)</f>
        <v>4167.5999999999985</v>
      </c>
      <c r="C157" s="35">
        <v>2015</v>
      </c>
    </row>
    <row r="158" spans="1:3">
      <c r="A158" s="32">
        <v>5</v>
      </c>
      <c r="B158" s="30">
        <f>SUM($A$2:A158)</f>
        <v>4172.5999999999985</v>
      </c>
      <c r="C158" s="34">
        <v>2015</v>
      </c>
    </row>
    <row r="159" spans="1:3">
      <c r="A159" s="33">
        <v>5</v>
      </c>
      <c r="B159" s="31">
        <f>SUM($A$2:A159)</f>
        <v>4177.5999999999985</v>
      </c>
      <c r="C159" s="35">
        <v>2015</v>
      </c>
    </row>
    <row r="160" spans="1:3">
      <c r="A160" s="32">
        <v>5</v>
      </c>
      <c r="B160" s="30">
        <f>SUM($A$2:A160)</f>
        <v>4182.5999999999985</v>
      </c>
      <c r="C160" s="34">
        <v>2015</v>
      </c>
    </row>
    <row r="161" spans="1:3">
      <c r="A161" s="33">
        <v>2</v>
      </c>
      <c r="B161" s="31">
        <f>SUM($A$2:A161)</f>
        <v>4184.5999999999985</v>
      </c>
      <c r="C161" s="35">
        <v>2015</v>
      </c>
    </row>
    <row r="162" spans="1:3">
      <c r="A162" s="32">
        <v>1.6</v>
      </c>
      <c r="B162" s="30">
        <f>SUM($A$2:A162)</f>
        <v>4186.1999999999989</v>
      </c>
      <c r="C162" s="34">
        <v>2015</v>
      </c>
    </row>
    <row r="163" spans="1:3">
      <c r="A163" s="33">
        <v>148.69999999999999</v>
      </c>
      <c r="B163" s="31">
        <f>SUM($A$2:A163)</f>
        <v>4334.8999999999987</v>
      </c>
      <c r="C163" s="35">
        <v>2016</v>
      </c>
    </row>
    <row r="164" spans="1:3">
      <c r="A164" s="32">
        <v>250</v>
      </c>
      <c r="B164" s="30">
        <f>SUM($A$2:A164)</f>
        <v>4584.8999999999987</v>
      </c>
      <c r="C164" s="34">
        <v>2016</v>
      </c>
    </row>
    <row r="165" spans="1:3">
      <c r="A165" s="33">
        <v>41.9</v>
      </c>
      <c r="B165" s="31">
        <f>SUM($A$2:A165)</f>
        <v>4626.7999999999984</v>
      </c>
      <c r="C165" s="35">
        <v>2016</v>
      </c>
    </row>
    <row r="166" spans="1:3">
      <c r="A166" s="32">
        <v>21</v>
      </c>
      <c r="B166" s="30">
        <f>SUM($A$2:A166)</f>
        <v>4647.7999999999984</v>
      </c>
      <c r="C166" s="34">
        <v>2016</v>
      </c>
    </row>
    <row r="167" spans="1:3">
      <c r="A167" s="33">
        <v>39.6</v>
      </c>
      <c r="B167" s="31">
        <f>SUM($A$2:A167)</f>
        <v>4687.3999999999987</v>
      </c>
      <c r="C167" s="35">
        <v>2016</v>
      </c>
    </row>
    <row r="168" spans="1:3">
      <c r="A168" s="32">
        <v>41.9</v>
      </c>
      <c r="B168" s="30">
        <f>SUM($A$2:A168)</f>
        <v>4729.2999999999984</v>
      </c>
      <c r="C168" s="34">
        <v>2016</v>
      </c>
    </row>
    <row r="169" spans="1:3">
      <c r="A169" s="33">
        <v>10</v>
      </c>
      <c r="B169" s="31">
        <f>SUM($A$2:A169)</f>
        <v>4739.2999999999984</v>
      </c>
      <c r="C169" s="35">
        <v>2016</v>
      </c>
    </row>
    <row r="170" spans="1:3">
      <c r="A170" s="32">
        <v>35.700000000000003</v>
      </c>
      <c r="B170" s="30">
        <f>SUM($A$2:A170)</f>
        <v>4774.9999999999982</v>
      </c>
      <c r="C170" s="34">
        <v>2016</v>
      </c>
    </row>
    <row r="171" spans="1:3">
      <c r="A171" s="33">
        <v>35</v>
      </c>
      <c r="B171" s="31">
        <f>SUM($A$2:A171)</f>
        <v>4809.9999999999982</v>
      </c>
      <c r="C171" s="35">
        <v>2016</v>
      </c>
    </row>
    <row r="172" spans="1:3">
      <c r="A172" s="32">
        <v>36.6</v>
      </c>
      <c r="B172" s="30">
        <f>SUM($A$2:A172)</f>
        <v>4846.5999999999985</v>
      </c>
      <c r="C172" s="34">
        <v>2016</v>
      </c>
    </row>
    <row r="173" spans="1:3">
      <c r="A173" s="33">
        <v>35</v>
      </c>
      <c r="B173" s="31">
        <f>SUM($A$2:A173)</f>
        <v>4881.5999999999985</v>
      </c>
      <c r="C173" s="35">
        <v>2016</v>
      </c>
    </row>
    <row r="174" spans="1:3">
      <c r="A174" s="32">
        <v>26.3</v>
      </c>
      <c r="B174" s="30">
        <f>SUM($A$2:A174)</f>
        <v>4907.8999999999987</v>
      </c>
      <c r="C174" s="34">
        <v>2016</v>
      </c>
    </row>
    <row r="175" spans="1:3">
      <c r="A175" s="33">
        <v>37.9</v>
      </c>
      <c r="B175" s="31">
        <f>SUM($A$2:A175)</f>
        <v>4945.7999999999984</v>
      </c>
      <c r="C175" s="35">
        <v>2016</v>
      </c>
    </row>
    <row r="176" spans="1:3">
      <c r="A176" s="32">
        <v>37.9</v>
      </c>
      <c r="B176" s="30">
        <f>SUM($A$2:A176)</f>
        <v>4983.699999999998</v>
      </c>
      <c r="C176" s="34">
        <v>2016</v>
      </c>
    </row>
    <row r="177" spans="1:3">
      <c r="A177" s="33">
        <v>37.9</v>
      </c>
      <c r="B177" s="31">
        <f>SUM($A$2:A177)</f>
        <v>5021.5999999999976</v>
      </c>
      <c r="C177" s="35">
        <v>2016</v>
      </c>
    </row>
    <row r="178" spans="1:3">
      <c r="A178" s="32">
        <v>37.9</v>
      </c>
      <c r="B178" s="30">
        <f>SUM($A$2:A178)</f>
        <v>5059.4999999999973</v>
      </c>
      <c r="C178" s="34">
        <v>2016</v>
      </c>
    </row>
    <row r="179" spans="1:3">
      <c r="A179" s="33">
        <v>37.9</v>
      </c>
      <c r="B179" s="31">
        <f>SUM($A$2:A179)</f>
        <v>5097.3999999999969</v>
      </c>
      <c r="C179" s="35">
        <v>2016</v>
      </c>
    </row>
    <row r="180" spans="1:3">
      <c r="A180" s="32">
        <v>20</v>
      </c>
      <c r="B180" s="30">
        <f>SUM($A$2:A180)</f>
        <v>5117.3999999999969</v>
      </c>
      <c r="C180" s="34">
        <v>2016</v>
      </c>
    </row>
    <row r="181" spans="1:3">
      <c r="A181" s="33">
        <v>40</v>
      </c>
      <c r="B181" s="31">
        <f>SUM($A$2:A181)</f>
        <v>5157.3999999999969</v>
      </c>
      <c r="C181" s="35">
        <v>2016</v>
      </c>
    </row>
    <row r="182" spans="1:3">
      <c r="A182" s="32">
        <v>20</v>
      </c>
      <c r="B182" s="30">
        <f>SUM($A$2:A182)</f>
        <v>5177.3999999999969</v>
      </c>
      <c r="C182" s="34">
        <v>2016</v>
      </c>
    </row>
    <row r="183" spans="1:3">
      <c r="A183" s="33">
        <v>4.5999999999999996</v>
      </c>
      <c r="B183" s="31">
        <f>SUM($A$2:A183)</f>
        <v>5181.9999999999973</v>
      </c>
      <c r="C183" s="35">
        <v>2016</v>
      </c>
    </row>
    <row r="184" spans="1:3">
      <c r="A184" s="32">
        <v>5</v>
      </c>
      <c r="B184" s="30">
        <f>SUM($A$2:A184)</f>
        <v>5186.9999999999973</v>
      </c>
      <c r="C184" s="34">
        <v>2016</v>
      </c>
    </row>
    <row r="185" spans="1:3">
      <c r="A185" s="33">
        <v>2.6</v>
      </c>
      <c r="B185" s="31">
        <f>SUM($A$2:A185)</f>
        <v>5189.5999999999976</v>
      </c>
      <c r="C185" s="35">
        <v>2016</v>
      </c>
    </row>
    <row r="186" spans="1:3">
      <c r="A186" s="32">
        <v>20</v>
      </c>
      <c r="B186" s="30">
        <f>SUM($A$2:A186)</f>
        <v>5209.5999999999976</v>
      </c>
      <c r="C186" s="34">
        <v>2016</v>
      </c>
    </row>
    <row r="187" spans="1:3">
      <c r="A187" s="33">
        <v>22</v>
      </c>
      <c r="B187" s="31">
        <f>SUM($A$2:A187)</f>
        <v>5231.5999999999976</v>
      </c>
      <c r="C187" s="35">
        <v>2016</v>
      </c>
    </row>
    <row r="188" spans="1:3">
      <c r="A188" s="32">
        <v>104</v>
      </c>
      <c r="B188" s="30">
        <f>SUM($A$2:A188)</f>
        <v>5335.5999999999976</v>
      </c>
      <c r="C188" s="34">
        <v>2016</v>
      </c>
    </row>
    <row r="189" spans="1:3">
      <c r="A189" s="33">
        <v>148</v>
      </c>
      <c r="B189" s="31">
        <f>SUM($A$2:A189)</f>
        <v>5483.5999999999976</v>
      </c>
      <c r="C189" s="35">
        <v>2016</v>
      </c>
    </row>
    <row r="190" spans="1:3">
      <c r="A190" s="32">
        <v>4.9000000000000004</v>
      </c>
      <c r="B190" s="30">
        <f>SUM($A$2:A190)</f>
        <v>5488.4999999999973</v>
      </c>
      <c r="C190" s="34">
        <v>2016</v>
      </c>
    </row>
    <row r="191" spans="1:3">
      <c r="A191" s="33">
        <v>13</v>
      </c>
      <c r="B191" s="31">
        <f>SUM($A$2:A191)</f>
        <v>5501.4999999999973</v>
      </c>
      <c r="C191" s="35">
        <v>2016</v>
      </c>
    </row>
    <row r="192" spans="1:3">
      <c r="A192" s="32">
        <v>20</v>
      </c>
      <c r="B192" s="30">
        <f>SUM($A$2:A192)</f>
        <v>5521.4999999999973</v>
      </c>
      <c r="C192" s="34">
        <v>2016</v>
      </c>
    </row>
    <row r="193" spans="1:3">
      <c r="A193" s="33">
        <v>10.8</v>
      </c>
      <c r="B193" s="31">
        <f>SUM($A$2:A193)</f>
        <v>5532.2999999999975</v>
      </c>
      <c r="C193" s="35">
        <v>2016</v>
      </c>
    </row>
    <row r="194" spans="1:3">
      <c r="A194" s="32">
        <v>7.8</v>
      </c>
      <c r="B194" s="30">
        <f>SUM($A$2:A194)</f>
        <v>5540.0999999999976</v>
      </c>
      <c r="C194" s="34">
        <v>2016</v>
      </c>
    </row>
    <row r="195" spans="1:3">
      <c r="A195" s="33">
        <v>3.4</v>
      </c>
      <c r="B195" s="31">
        <f>SUM($A$2:A195)</f>
        <v>5543.4999999999973</v>
      </c>
      <c r="C195" s="35">
        <v>2016</v>
      </c>
    </row>
    <row r="196" spans="1:3">
      <c r="A196" s="32">
        <v>1</v>
      </c>
      <c r="B196" s="30">
        <f>SUM($A$2:A196)</f>
        <v>5544.4999999999973</v>
      </c>
      <c r="C196" s="34">
        <v>2016</v>
      </c>
    </row>
    <row r="197" spans="1:3">
      <c r="A197" s="33">
        <v>2</v>
      </c>
      <c r="B197" s="31">
        <f>SUM($A$2:A197)</f>
        <v>5546.4999999999973</v>
      </c>
      <c r="C197" s="35">
        <v>2016</v>
      </c>
    </row>
    <row r="198" spans="1:3">
      <c r="A198" s="32">
        <v>52.5</v>
      </c>
      <c r="B198" s="30">
        <f>SUM($A$2:A198)</f>
        <v>5598.9999999999973</v>
      </c>
      <c r="C198" s="34">
        <v>2016</v>
      </c>
    </row>
    <row r="199" spans="1:3">
      <c r="A199" s="33">
        <v>16</v>
      </c>
      <c r="B199" s="31">
        <f>SUM($A$2:A199)</f>
        <v>5614.9999999999973</v>
      </c>
      <c r="C199" s="35">
        <v>2016</v>
      </c>
    </row>
    <row r="200" spans="1:3">
      <c r="A200" s="32">
        <v>8</v>
      </c>
      <c r="B200" s="30">
        <f>SUM($A$2:A200)</f>
        <v>5622.9999999999973</v>
      </c>
      <c r="C200" s="34">
        <v>2016</v>
      </c>
    </row>
    <row r="201" spans="1:3">
      <c r="A201" s="33">
        <v>5</v>
      </c>
      <c r="B201" s="31">
        <f>SUM($A$2:A201)</f>
        <v>5627.9999999999973</v>
      </c>
      <c r="C201" s="35">
        <v>2016</v>
      </c>
    </row>
    <row r="202" spans="1:3">
      <c r="A202" s="32">
        <v>5</v>
      </c>
      <c r="B202" s="30">
        <f>SUM($A$2:A202)</f>
        <v>5632.9999999999973</v>
      </c>
      <c r="C202" s="34">
        <v>2016</v>
      </c>
    </row>
    <row r="203" spans="1:3">
      <c r="A203" s="33">
        <v>5</v>
      </c>
      <c r="B203" s="31">
        <f>SUM($A$2:A203)</f>
        <v>5637.9999999999973</v>
      </c>
      <c r="C203" s="35">
        <v>2016</v>
      </c>
    </row>
    <row r="204" spans="1:3">
      <c r="A204" s="32">
        <v>1</v>
      </c>
      <c r="B204" s="30">
        <f>SUM($A$2:A204)</f>
        <v>5638.9999999999973</v>
      </c>
      <c r="C204" s="34">
        <v>2016</v>
      </c>
    </row>
    <row r="205" spans="1:3">
      <c r="A205" s="33">
        <v>1</v>
      </c>
      <c r="B205" s="31">
        <f>SUM($A$2:A205)</f>
        <v>5639.9999999999973</v>
      </c>
      <c r="C205" s="35">
        <v>2016</v>
      </c>
    </row>
    <row r="206" spans="1:3">
      <c r="A206" s="32">
        <v>1</v>
      </c>
      <c r="B206" s="30">
        <f>SUM($A$2:A206)</f>
        <v>5640.9999999999973</v>
      </c>
      <c r="C206" s="34">
        <v>2016</v>
      </c>
    </row>
    <row r="207" spans="1:3">
      <c r="A207" s="33">
        <v>1</v>
      </c>
      <c r="B207" s="31">
        <f>SUM($A$2:A207)</f>
        <v>5641.9999999999973</v>
      </c>
      <c r="C207" s="35">
        <v>2016</v>
      </c>
    </row>
    <row r="208" spans="1:3">
      <c r="A208" s="32">
        <v>1</v>
      </c>
      <c r="B208" s="30">
        <f>SUM($A$2:A208)</f>
        <v>5642.9999999999973</v>
      </c>
      <c r="C208" s="34">
        <v>2016</v>
      </c>
    </row>
    <row r="209" spans="1:3">
      <c r="A209" s="33">
        <v>1</v>
      </c>
      <c r="B209" s="31">
        <f>SUM($A$2:A209)</f>
        <v>5643.9999999999973</v>
      </c>
      <c r="C209" s="35">
        <v>2016</v>
      </c>
    </row>
    <row r="210" spans="1:3">
      <c r="A210" s="32">
        <v>1</v>
      </c>
      <c r="B210" s="30">
        <f>SUM($A$2:A210)</f>
        <v>5644.9999999999973</v>
      </c>
      <c r="C210" s="34">
        <v>2016</v>
      </c>
    </row>
    <row r="211" spans="1:3">
      <c r="A211" s="33">
        <v>1</v>
      </c>
      <c r="B211" s="31">
        <f>SUM($A$2:A211)</f>
        <v>5645.9999999999973</v>
      </c>
      <c r="C211" s="35">
        <v>2016</v>
      </c>
    </row>
    <row r="212" spans="1:3">
      <c r="A212" s="32">
        <v>1</v>
      </c>
      <c r="B212" s="30">
        <f>SUM($A$2:A212)</f>
        <v>5646.9999999999973</v>
      </c>
      <c r="C212" s="34">
        <v>2016</v>
      </c>
    </row>
    <row r="213" spans="1:3">
      <c r="A213" s="33">
        <v>1</v>
      </c>
      <c r="B213" s="31">
        <f>SUM($A$2:A213)</f>
        <v>5647.9999999999973</v>
      </c>
      <c r="C213" s="35">
        <v>2016</v>
      </c>
    </row>
    <row r="214" spans="1:3">
      <c r="A214" s="32">
        <v>1</v>
      </c>
      <c r="B214" s="30">
        <f>SUM($A$2:A214)</f>
        <v>5648.9999999999973</v>
      </c>
      <c r="C214" s="34">
        <v>2016</v>
      </c>
    </row>
    <row r="215" spans="1:3">
      <c r="A215" s="33">
        <v>1</v>
      </c>
      <c r="B215" s="31">
        <f>SUM($A$2:A215)</f>
        <v>5649.9999999999973</v>
      </c>
      <c r="C215" s="35">
        <v>2016</v>
      </c>
    </row>
    <row r="216" spans="1:3">
      <c r="A216" s="32">
        <v>1</v>
      </c>
      <c r="B216" s="30">
        <f>SUM($A$2:A216)</f>
        <v>5650.9999999999973</v>
      </c>
      <c r="C216" s="34">
        <v>2016</v>
      </c>
    </row>
    <row r="217" spans="1:3">
      <c r="A217" s="33">
        <v>1</v>
      </c>
      <c r="B217" s="31">
        <f>SUM($A$2:A217)</f>
        <v>5651.9999999999973</v>
      </c>
      <c r="C217" s="35">
        <v>2016</v>
      </c>
    </row>
    <row r="218" spans="1:3">
      <c r="A218" s="32">
        <v>1</v>
      </c>
      <c r="B218" s="30">
        <f>SUM($A$2:A218)</f>
        <v>5652.9999999999973</v>
      </c>
      <c r="C218" s="34">
        <v>2016</v>
      </c>
    </row>
    <row r="219" spans="1:3">
      <c r="A219" s="33">
        <v>1</v>
      </c>
      <c r="B219" s="31">
        <f>SUM($A$2:A219)</f>
        <v>5653.9999999999973</v>
      </c>
      <c r="C219" s="35">
        <v>2016</v>
      </c>
    </row>
    <row r="220" spans="1:3">
      <c r="A220" s="32">
        <v>1</v>
      </c>
      <c r="B220" s="30">
        <f>SUM($A$2:A220)</f>
        <v>5654.9999999999973</v>
      </c>
      <c r="C220" s="34">
        <v>2016</v>
      </c>
    </row>
    <row r="221" spans="1:3">
      <c r="A221" s="33">
        <v>1</v>
      </c>
      <c r="B221" s="31">
        <f>SUM($A$2:A221)</f>
        <v>5655.9999999999973</v>
      </c>
      <c r="C221" s="35">
        <v>2016</v>
      </c>
    </row>
    <row r="222" spans="1:3">
      <c r="A222" s="32">
        <v>1</v>
      </c>
      <c r="B222" s="30">
        <f>SUM($A$2:A222)</f>
        <v>5656.9999999999973</v>
      </c>
      <c r="C222" s="34">
        <v>2016</v>
      </c>
    </row>
    <row r="223" spans="1:3">
      <c r="A223" s="33">
        <v>2</v>
      </c>
      <c r="B223" s="31">
        <f>SUM($A$2:A223)</f>
        <v>5658.9999999999973</v>
      </c>
      <c r="C223" s="35">
        <v>2016</v>
      </c>
    </row>
    <row r="224" spans="1:3">
      <c r="A224" s="32">
        <v>5</v>
      </c>
      <c r="B224" s="30">
        <f>SUM($A$2:A224)</f>
        <v>5663.9999999999973</v>
      </c>
      <c r="C224" s="34">
        <v>2016</v>
      </c>
    </row>
    <row r="225" spans="1:3">
      <c r="A225" s="33">
        <v>5</v>
      </c>
      <c r="B225" s="31">
        <f>SUM($A$2:A225)</f>
        <v>5668.9999999999973</v>
      </c>
      <c r="C225" s="35">
        <v>2016</v>
      </c>
    </row>
    <row r="226" spans="1:3">
      <c r="A226" s="32">
        <v>5</v>
      </c>
      <c r="B226" s="30">
        <f>SUM($A$2:A226)</f>
        <v>5673.9999999999973</v>
      </c>
      <c r="C226" s="34">
        <v>2016</v>
      </c>
    </row>
    <row r="227" spans="1:3">
      <c r="A227" s="33">
        <v>5</v>
      </c>
      <c r="B227" s="31">
        <f>SUM($A$2:A227)</f>
        <v>5678.9999999999973</v>
      </c>
      <c r="C227" s="35">
        <v>2016</v>
      </c>
    </row>
    <row r="228" spans="1:3">
      <c r="A228" s="32">
        <v>5</v>
      </c>
      <c r="B228" s="30">
        <f>SUM($A$2:A228)</f>
        <v>5683.9999999999973</v>
      </c>
      <c r="C228" s="34">
        <v>2016</v>
      </c>
    </row>
    <row r="229" spans="1:3">
      <c r="A229" s="33">
        <v>10.9</v>
      </c>
      <c r="B229" s="31">
        <f>SUM($A$2:A229)</f>
        <v>5694.8999999999969</v>
      </c>
      <c r="C229" s="35">
        <v>2016</v>
      </c>
    </row>
    <row r="230" spans="1:3">
      <c r="A230" s="32">
        <v>19.8</v>
      </c>
      <c r="B230" s="30">
        <f>SUM($A$2:A230)</f>
        <v>5714.6999999999971</v>
      </c>
      <c r="C230" s="34">
        <v>2017</v>
      </c>
    </row>
    <row r="231" spans="1:3">
      <c r="A231" s="33">
        <v>4.0999999999999996</v>
      </c>
      <c r="B231" s="31">
        <f>SUM($A$2:A231)</f>
        <v>5718.7999999999975</v>
      </c>
      <c r="C231" s="35">
        <v>2017</v>
      </c>
    </row>
    <row r="232" spans="1:3">
      <c r="A232" s="32">
        <v>5</v>
      </c>
      <c r="B232" s="30">
        <f>SUM($A$2:A232)</f>
        <v>5723.7999999999975</v>
      </c>
      <c r="C232" s="34">
        <v>2017</v>
      </c>
    </row>
    <row r="233" spans="1:3">
      <c r="A233" s="33">
        <v>20</v>
      </c>
      <c r="B233" s="31">
        <f>SUM($A$2:A233)</f>
        <v>5743.7999999999975</v>
      </c>
      <c r="C233" s="35">
        <v>2017</v>
      </c>
    </row>
    <row r="234" spans="1:3">
      <c r="A234" s="32">
        <v>30</v>
      </c>
      <c r="B234" s="30">
        <f>SUM($A$2:A234)</f>
        <v>5773.7999999999975</v>
      </c>
      <c r="C234" s="34">
        <v>2017</v>
      </c>
    </row>
    <row r="235" spans="1:3">
      <c r="A235" s="33">
        <v>40</v>
      </c>
      <c r="B235" s="31">
        <f>SUM($A$2:A235)</f>
        <v>5813.7999999999975</v>
      </c>
      <c r="C235" s="35">
        <v>2017</v>
      </c>
    </row>
    <row r="236" spans="1:3">
      <c r="A236" s="32">
        <v>50</v>
      </c>
      <c r="B236" s="30">
        <f>SUM($A$2:A236)</f>
        <v>5863.7999999999975</v>
      </c>
      <c r="C236" s="34">
        <v>2017</v>
      </c>
    </row>
    <row r="237" spans="1:3">
      <c r="A237" s="33">
        <v>79</v>
      </c>
      <c r="B237" s="31">
        <f>SUM($A$2:A237)</f>
        <v>5942.7999999999975</v>
      </c>
      <c r="C237" s="35">
        <v>2017</v>
      </c>
    </row>
    <row r="238" spans="1:3">
      <c r="A238" s="32">
        <v>130</v>
      </c>
      <c r="B238" s="30">
        <f>SUM($A$2:A238)</f>
        <v>6072.7999999999975</v>
      </c>
      <c r="C238" s="34">
        <v>2017</v>
      </c>
    </row>
    <row r="239" spans="1:3">
      <c r="A239" s="33">
        <v>100</v>
      </c>
      <c r="B239" s="31">
        <f>SUM($A$2:A239)</f>
        <v>6172.7999999999975</v>
      </c>
      <c r="C239" s="35">
        <v>2017</v>
      </c>
    </row>
    <row r="240" spans="1:3">
      <c r="A240" s="32">
        <v>3</v>
      </c>
      <c r="B240" s="30">
        <f>SUM($A$2:A240)</f>
        <v>6175.7999999999975</v>
      </c>
      <c r="C240" s="34">
        <v>2017</v>
      </c>
    </row>
    <row r="241" spans="1:3">
      <c r="A241" s="33">
        <v>16</v>
      </c>
      <c r="B241" s="31">
        <f>SUM($A$2:A241)</f>
        <v>6191.7999999999975</v>
      </c>
      <c r="C241" s="35">
        <v>2017</v>
      </c>
    </row>
    <row r="242" spans="1:3">
      <c r="A242" s="32">
        <v>54.6</v>
      </c>
      <c r="B242" s="30">
        <f>SUM($A$2:A242)</f>
        <v>6246.3999999999978</v>
      </c>
      <c r="C242" s="34">
        <v>2017</v>
      </c>
    </row>
    <row r="243" spans="1:3">
      <c r="A243" s="33">
        <v>118.5</v>
      </c>
      <c r="B243" s="31">
        <f>SUM($A$2:A243)</f>
        <v>6364.8999999999978</v>
      </c>
      <c r="C243" s="35">
        <v>2017</v>
      </c>
    </row>
    <row r="244" spans="1:3">
      <c r="A244" s="32">
        <v>20</v>
      </c>
      <c r="B244" s="30">
        <f>SUM($A$2:A244)</f>
        <v>6384.8999999999978</v>
      </c>
      <c r="C244" s="34">
        <v>2017</v>
      </c>
    </row>
    <row r="245" spans="1:3">
      <c r="A245" s="33">
        <v>17.600000000000001</v>
      </c>
      <c r="B245" s="31">
        <f>SUM($A$2:A245)</f>
        <v>6402.4999999999982</v>
      </c>
      <c r="C245" s="35">
        <v>2017</v>
      </c>
    </row>
    <row r="246" spans="1:3">
      <c r="A246" s="32">
        <v>10.6</v>
      </c>
      <c r="B246" s="30">
        <f>SUM($A$2:A246)</f>
        <v>6413.0999999999985</v>
      </c>
      <c r="C246" s="34">
        <v>2017</v>
      </c>
    </row>
    <row r="247" spans="1:3">
      <c r="A247" s="33">
        <v>7.4</v>
      </c>
      <c r="B247" s="31">
        <f>SUM($A$2:A247)</f>
        <v>6420.4999999999982</v>
      </c>
      <c r="C247" s="35">
        <v>2017</v>
      </c>
    </row>
    <row r="248" spans="1:3">
      <c r="A248" s="32">
        <v>1</v>
      </c>
      <c r="B248" s="30">
        <f>SUM($A$2:A248)</f>
        <v>6421.4999999999982</v>
      </c>
      <c r="C248" s="34">
        <v>2017</v>
      </c>
    </row>
    <row r="249" spans="1:3">
      <c r="A249" s="33">
        <v>1</v>
      </c>
      <c r="B249" s="31">
        <f>SUM($A$2:A249)</f>
        <v>6422.4999999999982</v>
      </c>
      <c r="C249" s="35">
        <v>2017</v>
      </c>
    </row>
    <row r="250" spans="1:3">
      <c r="A250" s="32">
        <v>1</v>
      </c>
      <c r="B250" s="30">
        <f>SUM($A$2:A250)</f>
        <v>6423.4999999999982</v>
      </c>
      <c r="C250" s="34">
        <v>2017</v>
      </c>
    </row>
    <row r="251" spans="1:3">
      <c r="A251" s="33">
        <v>1</v>
      </c>
      <c r="B251" s="31">
        <f>SUM($A$2:A251)</f>
        <v>6424.4999999999982</v>
      </c>
      <c r="C251" s="35">
        <v>2017</v>
      </c>
    </row>
    <row r="252" spans="1:3">
      <c r="A252" s="32">
        <v>1</v>
      </c>
      <c r="B252" s="30">
        <f>SUM($A$2:A252)</f>
        <v>6425.4999999999982</v>
      </c>
      <c r="C252" s="34">
        <v>2017</v>
      </c>
    </row>
    <row r="253" spans="1:3">
      <c r="A253" s="33">
        <v>1</v>
      </c>
      <c r="B253" s="31">
        <f>SUM($A$2:A253)</f>
        <v>6426.4999999999982</v>
      </c>
      <c r="C253" s="35">
        <v>2017</v>
      </c>
    </row>
    <row r="254" spans="1:3">
      <c r="A254" s="32">
        <v>1</v>
      </c>
      <c r="B254" s="30">
        <f>SUM($A$2:A254)</f>
        <v>6427.4999999999982</v>
      </c>
      <c r="C254" s="34">
        <v>2017</v>
      </c>
    </row>
    <row r="255" spans="1:3">
      <c r="A255" s="33">
        <v>1</v>
      </c>
      <c r="B255" s="31">
        <f>SUM($A$2:A255)</f>
        <v>6428.4999999999982</v>
      </c>
      <c r="C255" s="35">
        <v>2017</v>
      </c>
    </row>
    <row r="256" spans="1:3">
      <c r="A256" s="32">
        <v>1</v>
      </c>
      <c r="B256" s="30">
        <f>SUM($A$2:A256)</f>
        <v>6429.4999999999982</v>
      </c>
      <c r="C256" s="34">
        <v>2017</v>
      </c>
    </row>
    <row r="257" spans="1:3">
      <c r="A257" s="33">
        <v>1</v>
      </c>
      <c r="B257" s="31">
        <f>SUM($A$2:A257)</f>
        <v>6430.4999999999982</v>
      </c>
      <c r="C257" s="35">
        <v>2017</v>
      </c>
    </row>
    <row r="258" spans="1:3">
      <c r="A258" s="32">
        <v>1</v>
      </c>
      <c r="B258" s="30">
        <f>SUM($A$2:A258)</f>
        <v>6431.4999999999982</v>
      </c>
      <c r="C258" s="34">
        <v>2017</v>
      </c>
    </row>
    <row r="259" spans="1:3">
      <c r="A259" s="33">
        <v>1</v>
      </c>
      <c r="B259" s="31">
        <f>SUM($A$2:A259)</f>
        <v>6432.4999999999982</v>
      </c>
      <c r="C259" s="35">
        <v>2017</v>
      </c>
    </row>
    <row r="260" spans="1:3">
      <c r="A260" s="32">
        <v>1</v>
      </c>
      <c r="B260" s="30">
        <f>SUM($A$2:A260)</f>
        <v>6433.4999999999982</v>
      </c>
      <c r="C260" s="34">
        <v>2017</v>
      </c>
    </row>
    <row r="261" spans="1:3">
      <c r="A261" s="33">
        <v>1</v>
      </c>
      <c r="B261" s="31">
        <f>SUM($A$2:A261)</f>
        <v>6434.4999999999982</v>
      </c>
      <c r="C261" s="35">
        <v>2017</v>
      </c>
    </row>
    <row r="262" spans="1:3">
      <c r="A262" s="32">
        <v>1</v>
      </c>
      <c r="B262" s="30">
        <f>SUM($A$2:A262)</f>
        <v>6435.4999999999982</v>
      </c>
      <c r="C262" s="34">
        <v>2017</v>
      </c>
    </row>
    <row r="263" spans="1:3">
      <c r="A263" s="33">
        <v>1</v>
      </c>
      <c r="B263" s="31">
        <f>SUM($A$2:A263)</f>
        <v>6436.4999999999982</v>
      </c>
      <c r="C263" s="35">
        <v>2017</v>
      </c>
    </row>
    <row r="264" spans="1:3">
      <c r="A264" s="32">
        <v>1</v>
      </c>
      <c r="B264" s="30">
        <f>SUM($A$2:A264)</f>
        <v>6437.4999999999982</v>
      </c>
      <c r="C264" s="34">
        <v>2017</v>
      </c>
    </row>
    <row r="265" spans="1:3">
      <c r="A265" s="33">
        <v>1</v>
      </c>
      <c r="B265" s="31">
        <f>SUM($A$2:A265)</f>
        <v>6438.4999999999982</v>
      </c>
      <c r="C265" s="35">
        <v>2017</v>
      </c>
    </row>
    <row r="266" spans="1:3">
      <c r="A266" s="32">
        <v>1</v>
      </c>
      <c r="B266" s="30">
        <f>SUM($A$2:A266)</f>
        <v>6439.4999999999982</v>
      </c>
      <c r="C266" s="34">
        <v>2017</v>
      </c>
    </row>
    <row r="267" spans="1:3">
      <c r="A267" s="33">
        <v>1</v>
      </c>
      <c r="B267" s="31">
        <f>SUM($A$2:A267)</f>
        <v>6440.4999999999982</v>
      </c>
      <c r="C267" s="35">
        <v>2017</v>
      </c>
    </row>
    <row r="268" spans="1:3">
      <c r="A268" s="32">
        <v>1</v>
      </c>
      <c r="B268" s="30">
        <f>SUM($A$2:A268)</f>
        <v>6441.4999999999982</v>
      </c>
      <c r="C268" s="34">
        <v>2017</v>
      </c>
    </row>
    <row r="269" spans="1:3">
      <c r="A269" s="33">
        <v>1</v>
      </c>
      <c r="B269" s="31">
        <f>SUM($A$2:A269)</f>
        <v>6442.4999999999982</v>
      </c>
      <c r="C269" s="35">
        <v>2017</v>
      </c>
    </row>
    <row r="270" spans="1:3">
      <c r="A270" s="32">
        <v>1</v>
      </c>
      <c r="B270" s="30">
        <f>SUM($A$2:A270)</f>
        <v>6443.4999999999982</v>
      </c>
      <c r="C270" s="34">
        <v>2017</v>
      </c>
    </row>
    <row r="271" spans="1:3">
      <c r="A271" s="33">
        <v>1</v>
      </c>
      <c r="B271" s="31">
        <f>SUM($A$2:A271)</f>
        <v>6444.4999999999982</v>
      </c>
      <c r="C271" s="35">
        <v>2017</v>
      </c>
    </row>
    <row r="272" spans="1:3">
      <c r="A272" s="32">
        <v>1</v>
      </c>
      <c r="B272" s="30">
        <f>SUM($A$2:A272)</f>
        <v>6445.4999999999982</v>
      </c>
      <c r="C272" s="34">
        <v>2017</v>
      </c>
    </row>
    <row r="273" spans="1:3">
      <c r="A273" s="33">
        <v>1</v>
      </c>
      <c r="B273" s="31">
        <f>SUM($A$2:A273)</f>
        <v>6446.4999999999982</v>
      </c>
      <c r="C273" s="35">
        <v>2017</v>
      </c>
    </row>
    <row r="274" spans="1:3">
      <c r="A274" s="32">
        <v>1</v>
      </c>
      <c r="B274" s="30">
        <f>SUM($A$2:A274)</f>
        <v>6447.4999999999982</v>
      </c>
      <c r="C274" s="34">
        <v>2017</v>
      </c>
    </row>
    <row r="275" spans="1:3">
      <c r="A275" s="33">
        <v>1</v>
      </c>
      <c r="B275" s="31">
        <f>SUM($A$2:A275)</f>
        <v>6448.4999999999982</v>
      </c>
      <c r="C275" s="35">
        <v>2017</v>
      </c>
    </row>
    <row r="276" spans="1:3">
      <c r="A276" s="32">
        <v>1</v>
      </c>
      <c r="B276" s="30">
        <f>SUM($A$2:A276)</f>
        <v>6449.4999999999982</v>
      </c>
      <c r="C276" s="34">
        <v>2017</v>
      </c>
    </row>
    <row r="277" spans="1:3">
      <c r="A277" s="33">
        <v>1</v>
      </c>
      <c r="B277" s="31">
        <f>SUM($A$2:A277)</f>
        <v>6450.4999999999982</v>
      </c>
      <c r="C277" s="35">
        <v>2017</v>
      </c>
    </row>
    <row r="278" spans="1:3">
      <c r="A278" s="32">
        <v>1</v>
      </c>
      <c r="B278" s="30">
        <f>SUM($A$2:A278)</f>
        <v>6451.4999999999982</v>
      </c>
      <c r="C278" s="34">
        <v>2017</v>
      </c>
    </row>
    <row r="279" spans="1:3">
      <c r="A279" s="33">
        <v>1</v>
      </c>
      <c r="B279" s="31">
        <f>SUM($A$2:A279)</f>
        <v>6452.4999999999982</v>
      </c>
      <c r="C279" s="35">
        <v>2017</v>
      </c>
    </row>
    <row r="280" spans="1:3">
      <c r="A280" s="32">
        <v>1</v>
      </c>
      <c r="B280" s="30">
        <f>SUM($A$2:A280)</f>
        <v>6453.4999999999982</v>
      </c>
      <c r="C280" s="34">
        <v>2017</v>
      </c>
    </row>
    <row r="281" spans="1:3">
      <c r="A281" s="33">
        <v>1</v>
      </c>
      <c r="B281" s="31">
        <f>SUM($A$2:A281)</f>
        <v>6454.4999999999982</v>
      </c>
      <c r="C281" s="35">
        <v>2017</v>
      </c>
    </row>
    <row r="282" spans="1:3">
      <c r="A282" s="32">
        <v>1</v>
      </c>
      <c r="B282" s="30">
        <f>SUM($A$2:A282)</f>
        <v>6455.4999999999982</v>
      </c>
      <c r="C282" s="34">
        <v>2017</v>
      </c>
    </row>
    <row r="283" spans="1:3">
      <c r="A283" s="33">
        <v>1</v>
      </c>
      <c r="B283" s="31">
        <f>SUM($A$2:A283)</f>
        <v>6456.4999999999982</v>
      </c>
      <c r="C283" s="35">
        <v>2017</v>
      </c>
    </row>
    <row r="284" spans="1:3">
      <c r="A284" s="32">
        <v>1</v>
      </c>
      <c r="B284" s="30">
        <f>SUM($A$2:A284)</f>
        <v>6457.4999999999982</v>
      </c>
      <c r="C284" s="34">
        <v>2017</v>
      </c>
    </row>
    <row r="285" spans="1:3">
      <c r="A285" s="33">
        <v>1</v>
      </c>
      <c r="B285" s="31">
        <f>SUM($A$2:A285)</f>
        <v>6458.4999999999982</v>
      </c>
      <c r="C285" s="35">
        <v>2017</v>
      </c>
    </row>
    <row r="286" spans="1:3">
      <c r="A286" s="32">
        <v>1</v>
      </c>
      <c r="B286" s="30">
        <f>SUM($A$2:A286)</f>
        <v>6459.4999999999982</v>
      </c>
      <c r="C286" s="34">
        <v>2017</v>
      </c>
    </row>
    <row r="287" spans="1:3">
      <c r="A287" s="33">
        <v>1</v>
      </c>
      <c r="B287" s="31">
        <f>SUM($A$2:A287)</f>
        <v>6460.4999999999982</v>
      </c>
      <c r="C287" s="35">
        <v>2017</v>
      </c>
    </row>
    <row r="288" spans="1:3">
      <c r="A288" s="32">
        <v>1</v>
      </c>
      <c r="B288" s="30">
        <f>SUM($A$2:A288)</f>
        <v>6461.4999999999982</v>
      </c>
      <c r="C288" s="34">
        <v>2017</v>
      </c>
    </row>
    <row r="289" spans="1:3">
      <c r="A289" s="33">
        <v>1</v>
      </c>
      <c r="B289" s="31">
        <f>SUM($A$2:A289)</f>
        <v>6462.4999999999982</v>
      </c>
      <c r="C289" s="35">
        <v>2017</v>
      </c>
    </row>
    <row r="290" spans="1:3">
      <c r="A290" s="32">
        <v>1</v>
      </c>
      <c r="B290" s="30">
        <f>SUM($A$2:A290)</f>
        <v>6463.4999999999982</v>
      </c>
      <c r="C290" s="34">
        <v>2017</v>
      </c>
    </row>
    <row r="291" spans="1:3">
      <c r="A291" s="33">
        <v>1</v>
      </c>
      <c r="B291" s="31">
        <f>SUM($A$2:A291)</f>
        <v>6464.4999999999982</v>
      </c>
      <c r="C291" s="35">
        <v>2017</v>
      </c>
    </row>
    <row r="292" spans="1:3">
      <c r="A292" s="32">
        <v>1</v>
      </c>
      <c r="B292" s="30">
        <f>SUM($A$2:A292)</f>
        <v>6465.4999999999982</v>
      </c>
      <c r="C292" s="34">
        <v>2017</v>
      </c>
    </row>
    <row r="293" spans="1:3">
      <c r="A293" s="33">
        <v>1</v>
      </c>
      <c r="B293" s="31">
        <f>SUM($A$2:A293)</f>
        <v>6466.4999999999982</v>
      </c>
      <c r="C293" s="35">
        <v>2017</v>
      </c>
    </row>
    <row r="294" spans="1:3">
      <c r="A294" s="32">
        <v>1</v>
      </c>
      <c r="B294" s="30">
        <f>SUM($A$2:A294)</f>
        <v>6467.4999999999982</v>
      </c>
      <c r="C294" s="34">
        <v>2017</v>
      </c>
    </row>
    <row r="295" spans="1:3">
      <c r="A295" s="33">
        <v>5</v>
      </c>
      <c r="B295" s="31">
        <f>SUM($A$2:A295)</f>
        <v>6472.4999999999982</v>
      </c>
      <c r="C295" s="35">
        <v>2017</v>
      </c>
    </row>
    <row r="296" spans="1:3">
      <c r="A296" s="32">
        <v>3.5</v>
      </c>
      <c r="B296" s="30">
        <f>SUM($A$2:A296)</f>
        <v>6475.9999999999982</v>
      </c>
      <c r="C296" s="34">
        <v>2017</v>
      </c>
    </row>
    <row r="297" spans="1:3">
      <c r="A297" s="33">
        <v>1</v>
      </c>
      <c r="B297" s="31">
        <f>SUM($A$2:A297)</f>
        <v>6476.9999999999982</v>
      </c>
      <c r="C297" s="35">
        <v>2017</v>
      </c>
    </row>
    <row r="298" spans="1:3">
      <c r="A298" s="32">
        <v>1</v>
      </c>
      <c r="B298" s="30">
        <f>SUM($A$2:A298)</f>
        <v>6477.9999999999982</v>
      </c>
      <c r="C298" s="34">
        <v>2017</v>
      </c>
    </row>
    <row r="299" spans="1:3">
      <c r="A299" s="33">
        <v>1</v>
      </c>
      <c r="B299" s="31">
        <f>SUM($A$2:A299)</f>
        <v>6478.9999999999982</v>
      </c>
      <c r="C299" s="35">
        <v>2017</v>
      </c>
    </row>
    <row r="300" spans="1:3">
      <c r="A300" s="32">
        <v>5</v>
      </c>
      <c r="B300" s="30">
        <f>SUM($A$2:A300)</f>
        <v>6483.9999999999982</v>
      </c>
      <c r="C300" s="34">
        <v>2017</v>
      </c>
    </row>
    <row r="301" spans="1:3">
      <c r="A301" s="33">
        <v>5</v>
      </c>
      <c r="B301" s="31">
        <f>SUM($A$2:A301)</f>
        <v>6488.9999999999982</v>
      </c>
      <c r="C301" s="35">
        <v>2017</v>
      </c>
    </row>
    <row r="302" spans="1:3">
      <c r="A302" s="32">
        <v>16</v>
      </c>
      <c r="B302" s="30">
        <f>SUM($A$2:A302)</f>
        <v>6504.9999999999982</v>
      </c>
      <c r="C302" s="34">
        <v>2017</v>
      </c>
    </row>
    <row r="303" spans="1:3">
      <c r="A303" s="33">
        <v>3</v>
      </c>
      <c r="B303" s="31">
        <f>SUM($A$2:A303)</f>
        <v>6507.9999999999982</v>
      </c>
      <c r="C303" s="35">
        <v>2017</v>
      </c>
    </row>
    <row r="304" spans="1:3">
      <c r="A304" s="32">
        <v>5</v>
      </c>
      <c r="B304" s="30">
        <f>SUM($A$2:A304)</f>
        <v>6512.9999999999982</v>
      </c>
      <c r="C304" s="34">
        <v>2017</v>
      </c>
    </row>
    <row r="305" spans="1:3">
      <c r="A305" s="33">
        <v>5</v>
      </c>
      <c r="B305" s="31">
        <f>SUM($A$2:A305)</f>
        <v>6517.9999999999982</v>
      </c>
      <c r="C305" s="35">
        <v>2017</v>
      </c>
    </row>
    <row r="306" spans="1:3">
      <c r="A306" s="32">
        <v>6.9</v>
      </c>
      <c r="B306" s="30">
        <f>SUM($A$2:A306)</f>
        <v>6524.8999999999978</v>
      </c>
      <c r="C306" s="34">
        <v>2018</v>
      </c>
    </row>
    <row r="307" spans="1:3">
      <c r="A307" s="33">
        <v>74.900000000000006</v>
      </c>
      <c r="B307" s="31">
        <f>SUM($A$2:A307)</f>
        <v>6599.7999999999975</v>
      </c>
      <c r="C307" s="35">
        <v>2018</v>
      </c>
    </row>
    <row r="308" spans="1:3">
      <c r="A308" s="32">
        <v>154</v>
      </c>
      <c r="B308" s="30">
        <f>SUM($A$2:A308)</f>
        <v>6753.7999999999975</v>
      </c>
      <c r="C308" s="34">
        <v>2018</v>
      </c>
    </row>
    <row r="309" spans="1:3">
      <c r="A309" s="33">
        <v>5</v>
      </c>
      <c r="B309" s="31">
        <f>SUM($A$2:A309)</f>
        <v>6758.7999999999975</v>
      </c>
      <c r="C309" s="35">
        <v>2018</v>
      </c>
    </row>
    <row r="310" spans="1:3">
      <c r="A310" s="32">
        <v>53</v>
      </c>
      <c r="B310" s="30">
        <f>SUM($A$2:A310)</f>
        <v>6811.7999999999975</v>
      </c>
      <c r="C310" s="34">
        <v>2018</v>
      </c>
    </row>
    <row r="311" spans="1:3">
      <c r="A311" s="33">
        <v>5</v>
      </c>
      <c r="B311" s="31">
        <f>SUM($A$2:A311)</f>
        <v>6816.7999999999975</v>
      </c>
      <c r="C311" s="35">
        <v>2018</v>
      </c>
    </row>
    <row r="312" spans="1:3">
      <c r="A312" s="32">
        <v>19.8</v>
      </c>
      <c r="B312" s="30">
        <f>SUM($A$2:A312)</f>
        <v>6836.5999999999976</v>
      </c>
      <c r="C312" s="34">
        <v>2018</v>
      </c>
    </row>
    <row r="313" spans="1:3">
      <c r="A313" s="33">
        <v>1</v>
      </c>
      <c r="B313" s="31">
        <f>SUM($A$2:A313)</f>
        <v>6837.5999999999976</v>
      </c>
      <c r="C313" s="35">
        <v>2018</v>
      </c>
    </row>
    <row r="314" spans="1:3">
      <c r="A314" s="32">
        <v>1</v>
      </c>
      <c r="B314" s="30">
        <f>SUM($A$2:A314)</f>
        <v>6838.5999999999976</v>
      </c>
      <c r="C314" s="34">
        <v>2018</v>
      </c>
    </row>
    <row r="315" spans="1:3">
      <c r="A315" s="33">
        <v>1</v>
      </c>
      <c r="B315" s="31">
        <f>SUM($A$2:A315)</f>
        <v>6839.5999999999976</v>
      </c>
      <c r="C315" s="35">
        <v>2018</v>
      </c>
    </row>
    <row r="316" spans="1:3">
      <c r="A316" s="32">
        <v>1</v>
      </c>
      <c r="B316" s="30">
        <f>SUM($A$2:A316)</f>
        <v>6840.5999999999976</v>
      </c>
      <c r="C316" s="34">
        <v>2018</v>
      </c>
    </row>
    <row r="317" spans="1:3">
      <c r="A317" s="33">
        <v>1</v>
      </c>
      <c r="B317" s="31">
        <f>SUM($A$2:A317)</f>
        <v>6841.5999999999976</v>
      </c>
      <c r="C317" s="35">
        <v>2018</v>
      </c>
    </row>
    <row r="318" spans="1:3">
      <c r="A318" s="32">
        <v>1</v>
      </c>
      <c r="B318" s="30">
        <f>SUM($A$2:A318)</f>
        <v>6842.5999999999976</v>
      </c>
      <c r="C318" s="34">
        <v>2018</v>
      </c>
    </row>
    <row r="319" spans="1:3">
      <c r="A319" s="33">
        <v>1</v>
      </c>
      <c r="B319" s="31">
        <f>SUM($A$2:A319)</f>
        <v>6843.5999999999976</v>
      </c>
      <c r="C319" s="35">
        <v>2018</v>
      </c>
    </row>
    <row r="320" spans="1:3">
      <c r="A320" s="32">
        <v>1</v>
      </c>
      <c r="B320" s="30">
        <f>SUM($A$2:A320)</f>
        <v>6844.5999999999976</v>
      </c>
      <c r="C320" s="34">
        <v>2018</v>
      </c>
    </row>
    <row r="321" spans="1:3">
      <c r="A321" s="33">
        <v>1</v>
      </c>
      <c r="B321" s="31">
        <f>SUM($A$2:A321)</f>
        <v>6845.5999999999976</v>
      </c>
      <c r="C321" s="35">
        <v>2018</v>
      </c>
    </row>
    <row r="322" spans="1:3">
      <c r="A322" s="32">
        <v>1</v>
      </c>
      <c r="B322" s="30">
        <f>SUM($A$2:A322)</f>
        <v>6846.5999999999976</v>
      </c>
      <c r="C322" s="34">
        <v>2018</v>
      </c>
    </row>
    <row r="323" spans="1:3">
      <c r="A323" s="33">
        <v>1</v>
      </c>
      <c r="B323" s="31">
        <f>SUM($A$2:A323)</f>
        <v>6847.5999999999976</v>
      </c>
      <c r="C323" s="35">
        <v>2018</v>
      </c>
    </row>
    <row r="324" spans="1:3">
      <c r="A324" s="32">
        <v>1</v>
      </c>
      <c r="B324" s="30">
        <f>SUM($A$2:A324)</f>
        <v>6848.5999999999976</v>
      </c>
      <c r="C324" s="34">
        <v>2018</v>
      </c>
    </row>
    <row r="325" spans="1:3">
      <c r="A325" s="33">
        <v>1</v>
      </c>
      <c r="B325" s="31">
        <f>SUM($A$2:A325)</f>
        <v>6849.5999999999976</v>
      </c>
      <c r="C325" s="35">
        <v>2018</v>
      </c>
    </row>
    <row r="326" spans="1:3">
      <c r="A326" s="32">
        <v>1</v>
      </c>
      <c r="B326" s="30">
        <f>SUM($A$2:A326)</f>
        <v>6850.5999999999976</v>
      </c>
      <c r="C326" s="34">
        <v>2018</v>
      </c>
    </row>
    <row r="327" spans="1:3">
      <c r="A327" s="33">
        <v>1</v>
      </c>
      <c r="B327" s="31">
        <f>SUM($A$2:A327)</f>
        <v>6851.5999999999976</v>
      </c>
      <c r="C327" s="35">
        <v>2018</v>
      </c>
    </row>
    <row r="328" spans="1:3">
      <c r="A328" s="32">
        <v>1</v>
      </c>
      <c r="B328" s="30">
        <f>SUM($A$2:A328)</f>
        <v>6852.5999999999976</v>
      </c>
      <c r="C328" s="34">
        <v>2018</v>
      </c>
    </row>
    <row r="329" spans="1:3">
      <c r="A329" s="33">
        <v>1</v>
      </c>
      <c r="B329" s="31">
        <f>SUM($A$2:A329)</f>
        <v>6853.5999999999976</v>
      </c>
      <c r="C329" s="35">
        <v>2018</v>
      </c>
    </row>
    <row r="330" spans="1:3">
      <c r="A330" s="32">
        <v>1</v>
      </c>
      <c r="B330" s="30">
        <f>SUM($A$2:A330)</f>
        <v>6854.5999999999976</v>
      </c>
      <c r="C330" s="34">
        <v>2018</v>
      </c>
    </row>
    <row r="331" spans="1:3">
      <c r="A331" s="33">
        <v>1</v>
      </c>
      <c r="B331" s="31">
        <f>SUM($A$2:A331)</f>
        <v>6855.5999999999976</v>
      </c>
      <c r="C331" s="35">
        <v>2018</v>
      </c>
    </row>
    <row r="332" spans="1:3">
      <c r="A332" s="32">
        <v>1</v>
      </c>
      <c r="B332" s="30">
        <f>SUM($A$2:A332)</f>
        <v>6856.5999999999976</v>
      </c>
      <c r="C332" s="34">
        <v>2018</v>
      </c>
    </row>
    <row r="333" spans="1:3">
      <c r="A333" s="33">
        <v>1</v>
      </c>
      <c r="B333" s="31">
        <f>SUM($A$2:A333)</f>
        <v>6857.5999999999976</v>
      </c>
      <c r="C333" s="35">
        <v>2018</v>
      </c>
    </row>
    <row r="334" spans="1:3">
      <c r="A334" s="32">
        <v>1</v>
      </c>
      <c r="B334" s="30">
        <f>SUM($A$2:A334)</f>
        <v>6858.5999999999976</v>
      </c>
      <c r="C334" s="34">
        <v>2018</v>
      </c>
    </row>
    <row r="335" spans="1:3">
      <c r="A335" s="33">
        <v>1</v>
      </c>
      <c r="B335" s="31">
        <f>SUM($A$2:A335)</f>
        <v>6859.5999999999976</v>
      </c>
      <c r="C335" s="35">
        <v>2018</v>
      </c>
    </row>
    <row r="336" spans="1:3">
      <c r="A336" s="32">
        <v>1</v>
      </c>
      <c r="B336" s="30">
        <f>SUM($A$2:A336)</f>
        <v>6860.5999999999976</v>
      </c>
      <c r="C336" s="34">
        <v>2018</v>
      </c>
    </row>
    <row r="337" spans="1:3">
      <c r="A337" s="33">
        <v>1</v>
      </c>
      <c r="B337" s="31">
        <f>SUM($A$2:A337)</f>
        <v>6861.5999999999976</v>
      </c>
      <c r="C337" s="35">
        <v>2018</v>
      </c>
    </row>
    <row r="338" spans="1:3">
      <c r="A338" s="32">
        <v>1</v>
      </c>
      <c r="B338" s="30">
        <f>SUM($A$2:A338)</f>
        <v>6862.5999999999976</v>
      </c>
      <c r="C338" s="34">
        <v>2018</v>
      </c>
    </row>
    <row r="339" spans="1:3">
      <c r="A339" s="33">
        <v>1</v>
      </c>
      <c r="B339" s="31">
        <f>SUM($A$2:A339)</f>
        <v>6863.5999999999976</v>
      </c>
      <c r="C339" s="35">
        <v>2018</v>
      </c>
    </row>
    <row r="340" spans="1:3">
      <c r="A340" s="32">
        <v>252.3</v>
      </c>
      <c r="B340" s="30">
        <f>SUM($A$2:A340)</f>
        <v>7115.8999999999978</v>
      </c>
      <c r="C340" s="34">
        <v>2018</v>
      </c>
    </row>
    <row r="341" spans="1:3">
      <c r="A341" s="33">
        <v>1</v>
      </c>
      <c r="B341" s="31">
        <f>SUM($A$2:A341)</f>
        <v>7116.8999999999978</v>
      </c>
      <c r="C341" s="35">
        <v>2018</v>
      </c>
    </row>
    <row r="342" spans="1:3">
      <c r="A342" s="32">
        <v>1</v>
      </c>
      <c r="B342" s="30">
        <f>SUM($A$2:A342)</f>
        <v>7117.8999999999978</v>
      </c>
      <c r="C342" s="34">
        <v>2018</v>
      </c>
    </row>
    <row r="343" spans="1:3">
      <c r="A343" s="33">
        <v>1</v>
      </c>
      <c r="B343" s="31">
        <f>SUM($A$2:A343)</f>
        <v>7118.8999999999978</v>
      </c>
      <c r="C343" s="35">
        <v>2018</v>
      </c>
    </row>
    <row r="344" spans="1:3">
      <c r="A344" s="32">
        <v>1</v>
      </c>
      <c r="B344" s="30">
        <f>SUM($A$2:A344)</f>
        <v>7119.8999999999978</v>
      </c>
      <c r="C344" s="34">
        <v>2018</v>
      </c>
    </row>
    <row r="345" spans="1:3">
      <c r="A345" s="33">
        <v>1</v>
      </c>
      <c r="B345" s="31">
        <f>SUM($A$2:A345)</f>
        <v>7120.8999999999978</v>
      </c>
      <c r="C345" s="35">
        <v>2018</v>
      </c>
    </row>
    <row r="346" spans="1:3">
      <c r="A346" s="32">
        <v>15</v>
      </c>
      <c r="B346" s="30">
        <f>SUM($A$2:A346)</f>
        <v>7135.8999999999978</v>
      </c>
      <c r="C346" s="34">
        <v>2018</v>
      </c>
    </row>
    <row r="347" spans="1:3">
      <c r="A347" s="33">
        <v>8</v>
      </c>
      <c r="B347" s="31">
        <f>SUM($A$2:A347)</f>
        <v>7143.8999999999978</v>
      </c>
      <c r="C347" s="35">
        <v>2018</v>
      </c>
    </row>
    <row r="348" spans="1:3">
      <c r="A348" s="32">
        <v>6.1</v>
      </c>
      <c r="B348" s="30">
        <f>SUM($A$2:A348)</f>
        <v>7149.9999999999982</v>
      </c>
      <c r="C348" s="34">
        <v>2018</v>
      </c>
    </row>
    <row r="349" spans="1:3">
      <c r="A349" s="33">
        <v>74.400000000000006</v>
      </c>
      <c r="B349" s="31">
        <f>SUM($A$2:A349)</f>
        <v>7224.3999999999978</v>
      </c>
      <c r="C349" s="35">
        <v>2018</v>
      </c>
    </row>
    <row r="350" spans="1:3">
      <c r="A350" s="32">
        <v>70.3</v>
      </c>
      <c r="B350" s="30">
        <f>SUM($A$2:A350)</f>
        <v>7294.699999999998</v>
      </c>
      <c r="C350" s="34">
        <v>2018</v>
      </c>
    </row>
    <row r="351" spans="1:3">
      <c r="A351" s="33">
        <v>1</v>
      </c>
      <c r="B351" s="31">
        <f>SUM($A$2:A351)</f>
        <v>7295.699999999998</v>
      </c>
      <c r="C351" s="35">
        <v>2018</v>
      </c>
    </row>
    <row r="352" spans="1:3">
      <c r="A352" s="32">
        <v>1</v>
      </c>
      <c r="B352" s="30">
        <f>SUM($A$2:A352)</f>
        <v>7296.699999999998</v>
      </c>
      <c r="C352" s="34">
        <v>2018</v>
      </c>
    </row>
    <row r="353" spans="1:3">
      <c r="A353" s="33">
        <v>1</v>
      </c>
      <c r="B353" s="31">
        <f>SUM($A$2:A353)</f>
        <v>7297.699999999998</v>
      </c>
      <c r="C353" s="35">
        <v>2018</v>
      </c>
    </row>
    <row r="354" spans="1:3">
      <c r="A354" s="32">
        <v>1</v>
      </c>
      <c r="B354" s="30">
        <f>SUM($A$2:A354)</f>
        <v>7298.699999999998</v>
      </c>
      <c r="C354" s="34">
        <v>2018</v>
      </c>
    </row>
    <row r="355" spans="1:3">
      <c r="A355" s="33">
        <v>1</v>
      </c>
      <c r="B355" s="31">
        <f>SUM($A$2:A355)</f>
        <v>7299.699999999998</v>
      </c>
      <c r="C355" s="35">
        <v>2018</v>
      </c>
    </row>
    <row r="356" spans="1:3">
      <c r="A356" s="32">
        <v>14.7</v>
      </c>
      <c r="B356" s="30">
        <f>SUM($A$2:A356)</f>
        <v>7314.3999999999978</v>
      </c>
      <c r="C356" s="34">
        <v>2018</v>
      </c>
    </row>
    <row r="357" spans="1:3">
      <c r="A357" s="33">
        <v>52</v>
      </c>
      <c r="B357" s="31">
        <f>SUM($A$2:A357)</f>
        <v>7366.3999999999978</v>
      </c>
      <c r="C357" s="35">
        <v>2018</v>
      </c>
    </row>
    <row r="358" spans="1:3">
      <c r="A358" s="32">
        <v>3.7</v>
      </c>
      <c r="B358" s="30">
        <f>SUM($A$2:A358)</f>
        <v>7370.0999999999976</v>
      </c>
      <c r="C358" s="34">
        <v>2018</v>
      </c>
    </row>
    <row r="359" spans="1:3">
      <c r="A359" s="33">
        <v>5</v>
      </c>
      <c r="B359" s="31">
        <f>SUM($A$2:A359)</f>
        <v>7375.0999999999976</v>
      </c>
      <c r="C359" s="35">
        <v>2018</v>
      </c>
    </row>
    <row r="360" spans="1:3">
      <c r="A360" s="32">
        <v>4.4000000000000004</v>
      </c>
      <c r="B360" s="30">
        <f>SUM($A$2:A360)</f>
        <v>7379.4999999999973</v>
      </c>
      <c r="C360" s="34">
        <v>2018</v>
      </c>
    </row>
    <row r="361" spans="1:3">
      <c r="A361" s="33">
        <v>1.6</v>
      </c>
      <c r="B361" s="31">
        <f>SUM($A$2:A361)</f>
        <v>7381.0999999999976</v>
      </c>
      <c r="C361" s="35">
        <v>2018</v>
      </c>
    </row>
    <row r="362" spans="1:3">
      <c r="A362" s="32">
        <v>0.1</v>
      </c>
      <c r="B362" s="30">
        <f>SUM($A$2:A362)</f>
        <v>7381.199999999998</v>
      </c>
      <c r="C362" s="34">
        <v>2018</v>
      </c>
    </row>
    <row r="363" spans="1:3">
      <c r="A363" s="33">
        <v>5</v>
      </c>
      <c r="B363" s="31">
        <f>SUM($A$2:A363)</f>
        <v>7386.199999999998</v>
      </c>
      <c r="C363" s="35">
        <v>2018</v>
      </c>
    </row>
    <row r="364" spans="1:3">
      <c r="A364" s="32">
        <v>4.8</v>
      </c>
      <c r="B364" s="30">
        <f>SUM($A$2:A364)</f>
        <v>7390.9999999999982</v>
      </c>
      <c r="C364" s="34">
        <v>2018</v>
      </c>
    </row>
    <row r="365" spans="1:3">
      <c r="A365" s="33">
        <v>5</v>
      </c>
      <c r="B365" s="31">
        <f>SUM($A$2:A365)</f>
        <v>7395.9999999999982</v>
      </c>
      <c r="C365" s="35">
        <v>2018</v>
      </c>
    </row>
    <row r="366" spans="1:3">
      <c r="A366" s="32">
        <v>14.7</v>
      </c>
      <c r="B366" s="30">
        <f>SUM($A$2:A366)</f>
        <v>7410.699999999998</v>
      </c>
      <c r="C366" s="34">
        <v>2019</v>
      </c>
    </row>
    <row r="367" spans="1:3">
      <c r="A367" s="33">
        <v>103.5</v>
      </c>
      <c r="B367" s="31">
        <f>SUM($A$2:A367)</f>
        <v>7514.199999999998</v>
      </c>
      <c r="C367" s="35">
        <v>2019</v>
      </c>
    </row>
    <row r="368" spans="1:3">
      <c r="A368" s="32">
        <v>20</v>
      </c>
      <c r="B368" s="30">
        <f>SUM($A$2:A368)</f>
        <v>7534.199999999998</v>
      </c>
      <c r="C368" s="34">
        <v>2019</v>
      </c>
    </row>
    <row r="369" spans="1:3">
      <c r="A369" s="33">
        <v>151.1</v>
      </c>
      <c r="B369" s="31">
        <f>SUM($A$2:A369)</f>
        <v>7685.2999999999984</v>
      </c>
      <c r="C369" s="35">
        <v>2019</v>
      </c>
    </row>
    <row r="370" spans="1:3">
      <c r="A370" s="32">
        <v>45.9</v>
      </c>
      <c r="B370" s="30">
        <f>SUM($A$2:A370)</f>
        <v>7731.199999999998</v>
      </c>
      <c r="C370" s="34">
        <v>2019</v>
      </c>
    </row>
    <row r="371" spans="1:3">
      <c r="A371" s="33">
        <v>150</v>
      </c>
      <c r="B371" s="31">
        <f>SUM($A$2:A371)</f>
        <v>7881.199999999998</v>
      </c>
      <c r="C371" s="35">
        <v>2019</v>
      </c>
    </row>
    <row r="372" spans="1:3">
      <c r="A372" s="32">
        <v>49</v>
      </c>
      <c r="B372" s="30">
        <f>SUM($A$2:A372)</f>
        <v>7930.199999999998</v>
      </c>
      <c r="C372" s="34">
        <v>2019</v>
      </c>
    </row>
    <row r="373" spans="1:3">
      <c r="A373" s="33">
        <v>5</v>
      </c>
      <c r="B373" s="31">
        <f>SUM($A$2:A373)</f>
        <v>7935.199999999998</v>
      </c>
      <c r="C373" s="35">
        <v>2019</v>
      </c>
    </row>
    <row r="374" spans="1:3">
      <c r="A374" s="32">
        <v>5</v>
      </c>
      <c r="B374" s="30">
        <f>SUM($A$2:A374)</f>
        <v>7940.199999999998</v>
      </c>
      <c r="C374" s="34">
        <v>2019</v>
      </c>
    </row>
    <row r="375" spans="1:3">
      <c r="A375" s="33">
        <v>5</v>
      </c>
      <c r="B375" s="31">
        <f>SUM($A$2:A375)</f>
        <v>7945.199999999998</v>
      </c>
      <c r="C375" s="35">
        <v>2019</v>
      </c>
    </row>
    <row r="376" spans="1:3">
      <c r="A376" s="32">
        <v>90</v>
      </c>
      <c r="B376" s="30">
        <f>SUM($A$2:A376)</f>
        <v>8035.199999999998</v>
      </c>
      <c r="C376" s="34">
        <v>2019</v>
      </c>
    </row>
    <row r="377" spans="1:3">
      <c r="A377" s="33">
        <v>1.5</v>
      </c>
      <c r="B377" s="31">
        <f>SUM($A$2:A377)</f>
        <v>8036.699999999998</v>
      </c>
      <c r="C377" s="35">
        <v>2019</v>
      </c>
    </row>
    <row r="378" spans="1:3">
      <c r="A378" s="32">
        <v>5</v>
      </c>
      <c r="B378" s="30">
        <f>SUM($A$2:A378)</f>
        <v>8041.699999999998</v>
      </c>
      <c r="C378" s="34">
        <v>2019</v>
      </c>
    </row>
    <row r="379" spans="1:3">
      <c r="A379" s="33">
        <v>2</v>
      </c>
      <c r="B379" s="31">
        <f>SUM($A$2:A379)</f>
        <v>8043.699999999998</v>
      </c>
      <c r="C379" s="35">
        <v>2019</v>
      </c>
    </row>
    <row r="380" spans="1:3">
      <c r="A380" s="32">
        <v>1</v>
      </c>
      <c r="B380" s="30">
        <f>SUM($A$2:A380)</f>
        <v>8044.699999999998</v>
      </c>
      <c r="C380" s="34">
        <v>2019</v>
      </c>
    </row>
    <row r="381" spans="1:3">
      <c r="A381" s="33">
        <v>1</v>
      </c>
      <c r="B381" s="31">
        <f>SUM($A$2:A381)</f>
        <v>8045.699999999998</v>
      </c>
      <c r="C381" s="35">
        <v>2019</v>
      </c>
    </row>
    <row r="382" spans="1:3">
      <c r="A382" s="32">
        <v>37.5</v>
      </c>
      <c r="B382" s="30">
        <f>SUM($A$2:A382)</f>
        <v>8083.199999999998</v>
      </c>
      <c r="C382" s="34">
        <v>2019</v>
      </c>
    </row>
    <row r="383" spans="1:3">
      <c r="A383" s="33">
        <v>61.1</v>
      </c>
      <c r="B383" s="31">
        <f>SUM($A$2:A383)</f>
        <v>8144.2999999999984</v>
      </c>
      <c r="C383" s="35">
        <v>2019</v>
      </c>
    </row>
    <row r="384" spans="1:3">
      <c r="A384" s="32">
        <v>49.5</v>
      </c>
      <c r="B384" s="30">
        <f>SUM($A$2:A384)</f>
        <v>8193.7999999999993</v>
      </c>
      <c r="C384" s="34">
        <v>2019</v>
      </c>
    </row>
    <row r="385" spans="1:3">
      <c r="A385" s="33">
        <v>74.5</v>
      </c>
      <c r="B385" s="31">
        <f>SUM($A$2:A385)</f>
        <v>8268.2999999999993</v>
      </c>
      <c r="C385" s="35">
        <v>2019</v>
      </c>
    </row>
    <row r="386" spans="1:3">
      <c r="A386" s="32">
        <v>55.4</v>
      </c>
      <c r="B386" s="30">
        <f>SUM($A$2:A386)</f>
        <v>8323.6999999999989</v>
      </c>
      <c r="C386" s="34">
        <v>2019</v>
      </c>
    </row>
    <row r="387" spans="1:3">
      <c r="A387" s="33">
        <v>72.5</v>
      </c>
      <c r="B387" s="31">
        <f>SUM($A$2:A387)</f>
        <v>8396.1999999999989</v>
      </c>
      <c r="C387" s="35">
        <v>2019</v>
      </c>
    </row>
    <row r="388" spans="1:3">
      <c r="A388" s="32">
        <v>1</v>
      </c>
      <c r="B388" s="30">
        <f>SUM($A$2:A388)</f>
        <v>8397.1999999999989</v>
      </c>
      <c r="C388" s="34">
        <v>2019</v>
      </c>
    </row>
    <row r="389" spans="1:3">
      <c r="A389" s="33">
        <v>1</v>
      </c>
      <c r="B389" s="31">
        <f>SUM($A$2:A389)</f>
        <v>8398.1999999999989</v>
      </c>
      <c r="C389" s="35">
        <v>2019</v>
      </c>
    </row>
    <row r="390" spans="1:3">
      <c r="A390" s="32">
        <v>1</v>
      </c>
      <c r="B390" s="30">
        <f>SUM($A$2:A390)</f>
        <v>8399.1999999999989</v>
      </c>
      <c r="C390" s="34">
        <v>2019</v>
      </c>
    </row>
    <row r="391" spans="1:3">
      <c r="A391" s="33">
        <v>1</v>
      </c>
      <c r="B391" s="31">
        <f>SUM($A$2:A391)</f>
        <v>8400.1999999999989</v>
      </c>
      <c r="C391" s="35">
        <v>2019</v>
      </c>
    </row>
    <row r="392" spans="1:3">
      <c r="A392" s="32">
        <v>1</v>
      </c>
      <c r="B392" s="30">
        <f>SUM($A$2:A392)</f>
        <v>8401.1999999999989</v>
      </c>
      <c r="C392" s="34">
        <v>2019</v>
      </c>
    </row>
    <row r="393" spans="1:3">
      <c r="A393" s="33">
        <v>1</v>
      </c>
      <c r="B393" s="31">
        <f>SUM($A$2:A393)</f>
        <v>8402.1999999999989</v>
      </c>
      <c r="C393" s="35">
        <v>2019</v>
      </c>
    </row>
    <row r="394" spans="1:3">
      <c r="A394" s="32">
        <v>1</v>
      </c>
      <c r="B394" s="30">
        <f>SUM($A$2:A394)</f>
        <v>8403.1999999999989</v>
      </c>
      <c r="C394" s="34">
        <v>2019</v>
      </c>
    </row>
    <row r="395" spans="1:3">
      <c r="A395" s="33">
        <v>250</v>
      </c>
      <c r="B395" s="31">
        <f>SUM($A$2:A395)</f>
        <v>8653.1999999999989</v>
      </c>
      <c r="C395" s="35">
        <v>2019</v>
      </c>
    </row>
    <row r="396" spans="1:3">
      <c r="A396" s="32">
        <v>5</v>
      </c>
      <c r="B396" s="30">
        <f>SUM($A$2:A396)</f>
        <v>8658.1999999999989</v>
      </c>
      <c r="C396" s="34">
        <v>2019</v>
      </c>
    </row>
    <row r="397" spans="1:3">
      <c r="A397" s="33">
        <v>5</v>
      </c>
      <c r="B397" s="31">
        <f>SUM($A$2:A397)</f>
        <v>8663.1999999999989</v>
      </c>
      <c r="C397" s="35">
        <v>2019</v>
      </c>
    </row>
    <row r="398" spans="1:3">
      <c r="A398" s="32">
        <v>111.2</v>
      </c>
      <c r="B398" s="30">
        <f>SUM($A$2:A398)</f>
        <v>8774.4</v>
      </c>
      <c r="C398" s="34">
        <v>2019</v>
      </c>
    </row>
    <row r="399" spans="1:3">
      <c r="A399" s="33">
        <v>5</v>
      </c>
      <c r="B399" s="31">
        <f>SUM($A$2:A399)</f>
        <v>8779.4</v>
      </c>
      <c r="C399" s="35">
        <v>2019</v>
      </c>
    </row>
    <row r="400" spans="1:3">
      <c r="A400" s="32">
        <v>5</v>
      </c>
      <c r="B400" s="30">
        <f>SUM($A$2:A400)</f>
        <v>8784.4</v>
      </c>
      <c r="C400" s="34">
        <v>2019</v>
      </c>
    </row>
    <row r="401" spans="1:3">
      <c r="A401" s="33">
        <v>57.6</v>
      </c>
      <c r="B401" s="31">
        <f>SUM($A$2:A401)</f>
        <v>8842</v>
      </c>
      <c r="C401" s="35">
        <v>2019</v>
      </c>
    </row>
    <row r="402" spans="1:3">
      <c r="A402" s="32">
        <v>5</v>
      </c>
      <c r="B402" s="30">
        <f>SUM($A$2:A402)</f>
        <v>8847</v>
      </c>
      <c r="C402" s="34">
        <v>2019</v>
      </c>
    </row>
    <row r="403" spans="1:3">
      <c r="A403" s="33">
        <v>5</v>
      </c>
      <c r="B403" s="31">
        <f>SUM($A$2:A403)</f>
        <v>8852</v>
      </c>
      <c r="C403" s="35">
        <v>2019</v>
      </c>
    </row>
    <row r="404" spans="1:3">
      <c r="A404" s="32">
        <v>3</v>
      </c>
      <c r="B404" s="30">
        <f>SUM($A$2:A404)</f>
        <v>8855</v>
      </c>
      <c r="C404" s="34">
        <v>2019</v>
      </c>
    </row>
    <row r="405" spans="1:3">
      <c r="A405" s="33">
        <v>5</v>
      </c>
      <c r="B405" s="31">
        <f>SUM($A$2:A405)</f>
        <v>8860</v>
      </c>
      <c r="C405" s="35">
        <v>2019</v>
      </c>
    </row>
    <row r="406" spans="1:3">
      <c r="A406" s="32">
        <v>1.6</v>
      </c>
      <c r="B406" s="30">
        <f>SUM($A$2:A406)</f>
        <v>8861.6</v>
      </c>
      <c r="C406" s="34">
        <v>2019</v>
      </c>
    </row>
    <row r="407" spans="1:3">
      <c r="A407" s="33">
        <v>70.099999999999994</v>
      </c>
      <c r="B407" s="31">
        <f>SUM($A$2:A407)</f>
        <v>8931.7000000000007</v>
      </c>
      <c r="C407" s="35">
        <v>2019</v>
      </c>
    </row>
    <row r="408" spans="1:3">
      <c r="A408" s="32">
        <v>75</v>
      </c>
      <c r="B408" s="30">
        <f>SUM($A$2:A408)</f>
        <v>9006.7000000000007</v>
      </c>
      <c r="C408" s="34">
        <v>2019</v>
      </c>
    </row>
    <row r="409" spans="1:3">
      <c r="A409" s="33">
        <v>1</v>
      </c>
      <c r="B409" s="31">
        <f>SUM($A$2:A409)</f>
        <v>9007.7000000000007</v>
      </c>
      <c r="C409" s="35">
        <v>2019</v>
      </c>
    </row>
    <row r="410" spans="1:3">
      <c r="A410" s="32">
        <v>1</v>
      </c>
      <c r="B410" s="30">
        <f>SUM($A$2:A410)</f>
        <v>9008.7000000000007</v>
      </c>
      <c r="C410" s="34">
        <v>2019</v>
      </c>
    </row>
    <row r="411" spans="1:3">
      <c r="A411" s="33">
        <v>10</v>
      </c>
      <c r="B411" s="31">
        <f>SUM($A$2:A411)</f>
        <v>9018.7000000000007</v>
      </c>
      <c r="C411" s="35">
        <v>2019</v>
      </c>
    </row>
    <row r="412" spans="1:3">
      <c r="A412" s="32">
        <v>2</v>
      </c>
      <c r="B412" s="30">
        <f>SUM($A$2:A412)</f>
        <v>9020.7000000000007</v>
      </c>
      <c r="C412" s="34">
        <v>2019</v>
      </c>
    </row>
    <row r="413" spans="1:3">
      <c r="A413" s="33">
        <v>10</v>
      </c>
      <c r="B413" s="31">
        <f>SUM($A$2:A413)</f>
        <v>9030.7000000000007</v>
      </c>
      <c r="C413" s="35">
        <v>2019</v>
      </c>
    </row>
    <row r="414" spans="1:3">
      <c r="A414" s="32">
        <v>79.900000000000006</v>
      </c>
      <c r="B414" s="30">
        <f>SUM($A$2:A414)</f>
        <v>9110.6</v>
      </c>
      <c r="C414" s="34">
        <v>2019</v>
      </c>
    </row>
    <row r="415" spans="1:3">
      <c r="A415" s="33">
        <v>42</v>
      </c>
      <c r="B415" s="31">
        <f>SUM($A$2:A415)</f>
        <v>9152.6</v>
      </c>
      <c r="C415" s="35">
        <v>2019</v>
      </c>
    </row>
    <row r="416" spans="1:3">
      <c r="A416" s="32">
        <v>1</v>
      </c>
      <c r="B416" s="30">
        <f>SUM($A$2:A416)</f>
        <v>9153.6</v>
      </c>
      <c r="C416" s="34">
        <v>2019</v>
      </c>
    </row>
    <row r="417" spans="1:3">
      <c r="A417" s="33">
        <v>1</v>
      </c>
      <c r="B417" s="31">
        <f>SUM($A$2:A417)</f>
        <v>9154.6</v>
      </c>
      <c r="C417" s="35">
        <v>2019</v>
      </c>
    </row>
    <row r="418" spans="1:3">
      <c r="A418" s="32">
        <v>1</v>
      </c>
      <c r="B418" s="30">
        <f>SUM($A$2:A418)</f>
        <v>9155.6</v>
      </c>
      <c r="C418" s="34">
        <v>2019</v>
      </c>
    </row>
    <row r="419" spans="1:3">
      <c r="A419" s="33">
        <v>1</v>
      </c>
      <c r="B419" s="31">
        <f>SUM($A$2:A419)</f>
        <v>9156.6</v>
      </c>
      <c r="C419" s="35">
        <v>2019</v>
      </c>
    </row>
    <row r="420" spans="1:3">
      <c r="A420" s="32">
        <v>2</v>
      </c>
      <c r="B420" s="30">
        <f>SUM($A$2:A420)</f>
        <v>9158.6</v>
      </c>
      <c r="C420" s="34">
        <v>2019</v>
      </c>
    </row>
    <row r="421" spans="1:3">
      <c r="A421" s="33">
        <v>40</v>
      </c>
      <c r="B421" s="31">
        <f>SUM($A$2:A421)</f>
        <v>9198.6</v>
      </c>
      <c r="C421" s="35">
        <v>2020</v>
      </c>
    </row>
    <row r="422" spans="1:3">
      <c r="A422" s="32">
        <v>4</v>
      </c>
      <c r="B422" s="30">
        <f>SUM($A$2:A422)</f>
        <v>9202.6</v>
      </c>
      <c r="C422" s="34">
        <v>2020</v>
      </c>
    </row>
    <row r="423" spans="1:3">
      <c r="A423" s="33">
        <v>5</v>
      </c>
      <c r="B423" s="31">
        <f>SUM($A$2:A423)</f>
        <v>9207.6</v>
      </c>
      <c r="C423" s="35">
        <v>2020</v>
      </c>
    </row>
    <row r="424" spans="1:3">
      <c r="A424" s="32">
        <v>5</v>
      </c>
      <c r="B424" s="30">
        <f>SUM($A$2:A424)</f>
        <v>9212.6</v>
      </c>
      <c r="C424" s="34">
        <v>2020</v>
      </c>
    </row>
    <row r="425" spans="1:3">
      <c r="A425" s="33">
        <v>160</v>
      </c>
      <c r="B425" s="31">
        <f>SUM($A$2:A425)</f>
        <v>9372.6</v>
      </c>
      <c r="C425" s="35">
        <v>2020</v>
      </c>
    </row>
    <row r="426" spans="1:3">
      <c r="A426" s="32">
        <v>74.8</v>
      </c>
      <c r="B426" s="30">
        <f>SUM($A$2:A426)</f>
        <v>9447.4</v>
      </c>
      <c r="C426" s="34">
        <v>2020</v>
      </c>
    </row>
    <row r="427" spans="1:3">
      <c r="A427" s="33">
        <v>204</v>
      </c>
      <c r="B427" s="31">
        <f>SUM($A$2:A427)</f>
        <v>9651.4</v>
      </c>
      <c r="C427" s="35">
        <v>2020</v>
      </c>
    </row>
    <row r="428" spans="1:3">
      <c r="A428" s="32">
        <v>74.900000000000006</v>
      </c>
      <c r="B428" s="30">
        <f>SUM($A$2:A428)</f>
        <v>9726.2999999999993</v>
      </c>
      <c r="C428" s="34">
        <v>2020</v>
      </c>
    </row>
    <row r="429" spans="1:3">
      <c r="A429" s="33">
        <v>74</v>
      </c>
      <c r="B429" s="31">
        <f>SUM($A$2:A429)</f>
        <v>9800.2999999999993</v>
      </c>
      <c r="C429" s="35">
        <v>2020</v>
      </c>
    </row>
    <row r="430" spans="1:3">
      <c r="A430" s="32">
        <v>86</v>
      </c>
      <c r="B430" s="30">
        <f>SUM($A$2:A430)</f>
        <v>9886.2999999999993</v>
      </c>
      <c r="C430" s="34">
        <v>2020</v>
      </c>
    </row>
    <row r="431" spans="1:3">
      <c r="A431" s="33">
        <v>80</v>
      </c>
      <c r="B431" s="31">
        <f>SUM($A$2:A431)</f>
        <v>9966.2999999999993</v>
      </c>
      <c r="C431" s="35">
        <v>2020</v>
      </c>
    </row>
    <row r="432" spans="1:3">
      <c r="A432" s="32">
        <v>74.5</v>
      </c>
      <c r="B432" s="30">
        <f>SUM($A$2:A432)</f>
        <v>10040.799999999999</v>
      </c>
      <c r="C432" s="34">
        <v>2020</v>
      </c>
    </row>
    <row r="433" spans="1:3">
      <c r="A433" s="33">
        <v>20</v>
      </c>
      <c r="B433" s="31">
        <f>SUM($A$2:A433)</f>
        <v>10060.799999999999</v>
      </c>
      <c r="C433" s="35">
        <v>2020</v>
      </c>
    </row>
    <row r="434" spans="1:3">
      <c r="A434" s="32">
        <v>50</v>
      </c>
      <c r="B434" s="30">
        <f>SUM($A$2:A434)</f>
        <v>10110.799999999999</v>
      </c>
      <c r="C434" s="34">
        <v>2020</v>
      </c>
    </row>
    <row r="435" spans="1:3">
      <c r="A435" s="33">
        <v>50</v>
      </c>
      <c r="B435" s="31">
        <f>SUM($A$2:A435)</f>
        <v>10160.799999999999</v>
      </c>
      <c r="C435" s="35">
        <v>2020</v>
      </c>
    </row>
    <row r="436" spans="1:3">
      <c r="A436" s="32">
        <v>58</v>
      </c>
      <c r="B436" s="30">
        <f>SUM($A$2:A436)</f>
        <v>10218.799999999999</v>
      </c>
      <c r="C436" s="34">
        <v>2020</v>
      </c>
    </row>
    <row r="437" spans="1:3">
      <c r="A437" s="33">
        <v>122</v>
      </c>
      <c r="B437" s="31">
        <f>SUM($A$2:A437)</f>
        <v>10340.799999999999</v>
      </c>
      <c r="C437" s="35">
        <v>2020</v>
      </c>
    </row>
    <row r="438" spans="1:3">
      <c r="A438" s="32">
        <v>74.5</v>
      </c>
      <c r="B438" s="30">
        <f>SUM($A$2:A438)</f>
        <v>10415.299999999999</v>
      </c>
      <c r="C438" s="34">
        <v>2020</v>
      </c>
    </row>
    <row r="439" spans="1:3">
      <c r="A439" s="33">
        <v>74.5</v>
      </c>
      <c r="B439" s="31">
        <f>SUM($A$2:A439)</f>
        <v>10489.8</v>
      </c>
      <c r="C439" s="35">
        <v>2020</v>
      </c>
    </row>
    <row r="440" spans="1:3">
      <c r="A440" s="32">
        <v>300</v>
      </c>
      <c r="B440" s="30">
        <f>SUM($A$2:A440)</f>
        <v>10789.8</v>
      </c>
      <c r="C440" s="34">
        <v>2020</v>
      </c>
    </row>
    <row r="441" spans="1:3">
      <c r="A441" s="33">
        <v>99</v>
      </c>
      <c r="B441" s="31">
        <f>SUM($A$2:A441)</f>
        <v>10888.8</v>
      </c>
      <c r="C441" s="35">
        <v>2020</v>
      </c>
    </row>
    <row r="442" spans="1:3">
      <c r="A442" s="32">
        <v>100</v>
      </c>
      <c r="B442" s="30">
        <f>SUM($A$2:A442)</f>
        <v>10988.8</v>
      </c>
      <c r="C442" s="34">
        <v>2020</v>
      </c>
    </row>
    <row r="443" spans="1:3">
      <c r="A443" s="33">
        <v>15.7</v>
      </c>
      <c r="B443" s="31">
        <f>SUM($A$2:A443)</f>
        <v>11004.5</v>
      </c>
      <c r="C443" s="35">
        <v>2020</v>
      </c>
    </row>
    <row r="444" spans="1:3">
      <c r="A444" s="32">
        <v>20</v>
      </c>
      <c r="B444" s="30">
        <f>SUM($A$2:A444)</f>
        <v>11024.5</v>
      </c>
      <c r="C444" s="34">
        <v>2020</v>
      </c>
    </row>
    <row r="445" spans="1:3">
      <c r="A445" s="33">
        <v>12</v>
      </c>
      <c r="B445" s="31">
        <f>SUM($A$2:A445)</f>
        <v>11036.5</v>
      </c>
      <c r="C445" s="35">
        <v>2020</v>
      </c>
    </row>
    <row r="446" spans="1:3">
      <c r="A446" s="32">
        <v>19.7</v>
      </c>
      <c r="B446" s="30">
        <f>SUM($A$2:A446)</f>
        <v>11056.2</v>
      </c>
      <c r="C446" s="34">
        <v>2020</v>
      </c>
    </row>
    <row r="447" spans="1:3">
      <c r="A447" s="33">
        <v>75</v>
      </c>
      <c r="B447" s="31">
        <f>SUM($A$2:A447)</f>
        <v>11131.2</v>
      </c>
      <c r="C447" s="35">
        <v>2020</v>
      </c>
    </row>
    <row r="448" spans="1:3">
      <c r="A448" s="32">
        <v>120</v>
      </c>
      <c r="B448" s="30">
        <f>SUM($A$2:A448)</f>
        <v>11251.2</v>
      </c>
      <c r="C448" s="34">
        <v>2020</v>
      </c>
    </row>
    <row r="449" spans="1:3">
      <c r="A449" s="33">
        <v>1</v>
      </c>
      <c r="B449" s="31">
        <f>SUM($A$2:A449)</f>
        <v>11252.2</v>
      </c>
      <c r="C449" s="35">
        <v>2020</v>
      </c>
    </row>
    <row r="450" spans="1:3">
      <c r="A450" s="32">
        <v>1</v>
      </c>
      <c r="B450" s="30">
        <f>SUM($A$2:A450)</f>
        <v>11253.2</v>
      </c>
      <c r="C450" s="34">
        <v>2020</v>
      </c>
    </row>
    <row r="451" spans="1:3">
      <c r="A451" s="33">
        <v>1</v>
      </c>
      <c r="B451" s="31">
        <f>SUM($A$2:A451)</f>
        <v>11254.2</v>
      </c>
      <c r="C451" s="35">
        <v>2020</v>
      </c>
    </row>
    <row r="452" spans="1:3">
      <c r="A452" s="32">
        <v>1</v>
      </c>
      <c r="B452" s="30">
        <f>SUM($A$2:A452)</f>
        <v>11255.2</v>
      </c>
      <c r="C452" s="34">
        <v>2020</v>
      </c>
    </row>
    <row r="453" spans="1:3">
      <c r="A453" s="33">
        <v>1</v>
      </c>
      <c r="B453" s="31">
        <f>SUM($A$2:A453)</f>
        <v>11256.2</v>
      </c>
      <c r="C453" s="35">
        <v>2020</v>
      </c>
    </row>
    <row r="454" spans="1:3">
      <c r="A454" s="32">
        <v>1</v>
      </c>
      <c r="B454" s="30">
        <f>SUM($A$2:A454)</f>
        <v>11257.2</v>
      </c>
      <c r="C454" s="34">
        <v>2020</v>
      </c>
    </row>
    <row r="455" spans="1:3">
      <c r="A455" s="33">
        <v>1</v>
      </c>
      <c r="B455" s="31">
        <f>SUM($A$2:A455)</f>
        <v>11258.2</v>
      </c>
      <c r="C455" s="35">
        <v>2020</v>
      </c>
    </row>
    <row r="456" spans="1:3">
      <c r="A456" s="32">
        <v>2</v>
      </c>
      <c r="B456" s="30">
        <f>SUM($A$2:A456)</f>
        <v>11260.2</v>
      </c>
      <c r="C456" s="34">
        <v>2020</v>
      </c>
    </row>
    <row r="457" spans="1:3">
      <c r="A457" s="33">
        <v>32.5</v>
      </c>
      <c r="B457" s="31">
        <f>SUM($A$2:A457)</f>
        <v>11292.7</v>
      </c>
      <c r="C457" s="35">
        <v>2020</v>
      </c>
    </row>
    <row r="458" spans="1:3">
      <c r="A458" s="32">
        <v>57.5</v>
      </c>
      <c r="B458" s="30">
        <f>SUM($A$2:A458)</f>
        <v>11350.2</v>
      </c>
      <c r="C458" s="34">
        <v>2020</v>
      </c>
    </row>
    <row r="459" spans="1:3">
      <c r="A459" s="33">
        <v>115</v>
      </c>
      <c r="B459" s="31">
        <f>SUM($A$2:A459)</f>
        <v>11465.2</v>
      </c>
      <c r="C459" s="35">
        <v>2020</v>
      </c>
    </row>
    <row r="460" spans="1:3">
      <c r="A460" s="32">
        <v>16.8</v>
      </c>
      <c r="B460" s="30">
        <f>SUM($A$2:A460)</f>
        <v>11482</v>
      </c>
      <c r="C460" s="34">
        <v>2020</v>
      </c>
    </row>
    <row r="461" spans="1:3">
      <c r="A461" s="33">
        <v>1</v>
      </c>
      <c r="B461" s="31">
        <f>SUM($A$2:A461)</f>
        <v>11483</v>
      </c>
      <c r="C461" s="35">
        <v>2020</v>
      </c>
    </row>
    <row r="462" spans="1:3">
      <c r="A462" s="32">
        <v>2.8</v>
      </c>
      <c r="B462" s="30">
        <f>SUM($A$2:A462)</f>
        <v>11485.8</v>
      </c>
      <c r="C462" s="34">
        <v>2020</v>
      </c>
    </row>
    <row r="463" spans="1:3">
      <c r="A463" s="33">
        <v>5</v>
      </c>
      <c r="B463" s="31">
        <f>SUM($A$2:A463)</f>
        <v>11490.8</v>
      </c>
      <c r="C463" s="35">
        <v>2020</v>
      </c>
    </row>
    <row r="464" spans="1:3">
      <c r="A464" s="32">
        <v>5</v>
      </c>
      <c r="B464" s="30">
        <f>SUM($A$2:A464)</f>
        <v>11495.8</v>
      </c>
      <c r="C464" s="34">
        <v>2020</v>
      </c>
    </row>
    <row r="465" spans="1:3">
      <c r="A465" s="33">
        <v>1.3</v>
      </c>
      <c r="B465" s="31">
        <f>SUM($A$2:A465)</f>
        <v>11497.099999999999</v>
      </c>
      <c r="C465" s="35">
        <v>2020</v>
      </c>
    </row>
    <row r="466" spans="1:3">
      <c r="A466" s="32">
        <v>1</v>
      </c>
      <c r="B466" s="30">
        <f>SUM($A$2:A466)</f>
        <v>11498.099999999999</v>
      </c>
      <c r="C466" s="34">
        <v>2020</v>
      </c>
    </row>
    <row r="467" spans="1:3">
      <c r="A467" s="33">
        <v>20</v>
      </c>
      <c r="B467" s="31">
        <f>SUM($A$2:A467)</f>
        <v>11518.099999999999</v>
      </c>
      <c r="C467" s="35">
        <v>2020</v>
      </c>
    </row>
    <row r="468" spans="1:3">
      <c r="A468" s="32">
        <v>4.9000000000000004</v>
      </c>
      <c r="B468" s="30">
        <f>SUM($A$2:A468)</f>
        <v>11522.999999999998</v>
      </c>
      <c r="C468" s="34">
        <v>2020</v>
      </c>
    </row>
    <row r="469" spans="1:3">
      <c r="A469" s="33">
        <v>4.9000000000000004</v>
      </c>
      <c r="B469" s="31">
        <f>SUM($A$2:A469)</f>
        <v>11527.899999999998</v>
      </c>
      <c r="C469" s="35">
        <v>2020</v>
      </c>
    </row>
    <row r="470" spans="1:3">
      <c r="A470" s="32">
        <v>12</v>
      </c>
      <c r="B470" s="30">
        <f>SUM($A$2:A470)</f>
        <v>11539.899999999998</v>
      </c>
      <c r="C470" s="34">
        <v>2020</v>
      </c>
    </row>
    <row r="471" spans="1:3">
      <c r="A471" s="33">
        <v>1</v>
      </c>
      <c r="B471" s="31">
        <f>SUM($A$2:A471)</f>
        <v>11540.899999999998</v>
      </c>
      <c r="C471" s="35">
        <v>2020</v>
      </c>
    </row>
    <row r="472" spans="1:3">
      <c r="A472" s="32">
        <v>5</v>
      </c>
      <c r="B472" s="30">
        <f>SUM($A$2:A472)</f>
        <v>11545.899999999998</v>
      </c>
      <c r="C472" s="34">
        <v>2020</v>
      </c>
    </row>
    <row r="473" spans="1:3">
      <c r="A473" s="33">
        <v>1.6</v>
      </c>
      <c r="B473" s="31">
        <f>SUM($A$2:A473)</f>
        <v>11547.499999999998</v>
      </c>
      <c r="C473" s="35">
        <v>2020</v>
      </c>
    </row>
    <row r="474" spans="1:3">
      <c r="A474" s="32">
        <v>1.6</v>
      </c>
      <c r="B474" s="30">
        <f>SUM($A$2:A474)</f>
        <v>11549.099999999999</v>
      </c>
      <c r="C474" s="34">
        <v>2020</v>
      </c>
    </row>
    <row r="475" spans="1:3">
      <c r="A475" s="33">
        <v>10</v>
      </c>
      <c r="B475" s="31">
        <f>SUM($A$2:A475)</f>
        <v>11559.099999999999</v>
      </c>
      <c r="C475" s="35">
        <v>2020</v>
      </c>
    </row>
    <row r="476" spans="1:3">
      <c r="A476" s="32">
        <v>70</v>
      </c>
      <c r="B476" s="30">
        <f>SUM($A$2:A476)</f>
        <v>11629.099999999999</v>
      </c>
      <c r="C476" s="34">
        <v>2020</v>
      </c>
    </row>
    <row r="477" spans="1:3">
      <c r="A477" s="33">
        <v>6</v>
      </c>
      <c r="B477" s="31">
        <f>SUM($A$2:A477)</f>
        <v>11635.099999999999</v>
      </c>
      <c r="C477" s="35">
        <v>2020</v>
      </c>
    </row>
    <row r="478" spans="1:3">
      <c r="A478" s="32">
        <v>5</v>
      </c>
      <c r="B478" s="30">
        <f>SUM($A$2:A478)</f>
        <v>11640.099999999999</v>
      </c>
      <c r="C478" s="34">
        <v>2020</v>
      </c>
    </row>
    <row r="479" spans="1:3">
      <c r="A479" s="33">
        <v>5</v>
      </c>
      <c r="B479" s="31">
        <f>SUM($A$2:A479)</f>
        <v>11645.099999999999</v>
      </c>
      <c r="C479" s="35">
        <v>2020</v>
      </c>
    </row>
    <row r="480" spans="1:3">
      <c r="A480" s="32">
        <v>3</v>
      </c>
      <c r="B480" s="30">
        <f>SUM($A$2:A480)</f>
        <v>11648.099999999999</v>
      </c>
      <c r="C480" s="34">
        <v>2020</v>
      </c>
    </row>
    <row r="481" spans="1:3">
      <c r="A481" s="33">
        <v>180</v>
      </c>
      <c r="B481" s="31">
        <f>SUM($A$2:A481)</f>
        <v>11828.099999999999</v>
      </c>
      <c r="C481" s="35">
        <v>2021</v>
      </c>
    </row>
    <row r="482" spans="1:3">
      <c r="A482" s="32">
        <v>15.7</v>
      </c>
      <c r="B482" s="30">
        <f>SUM($A$2:A482)</f>
        <v>11843.8</v>
      </c>
      <c r="C482" s="34">
        <v>2021</v>
      </c>
    </row>
    <row r="483" spans="1:3">
      <c r="A483" s="33">
        <v>200</v>
      </c>
      <c r="B483" s="31">
        <f>SUM($A$2:A483)</f>
        <v>12043.8</v>
      </c>
      <c r="C483" s="35">
        <v>2021</v>
      </c>
    </row>
    <row r="484" spans="1:3">
      <c r="A484" s="32">
        <v>20</v>
      </c>
      <c r="B484" s="30">
        <f>SUM($A$2:A484)</f>
        <v>12063.8</v>
      </c>
      <c r="C484" s="34">
        <v>2021</v>
      </c>
    </row>
    <row r="485" spans="1:3">
      <c r="A485" s="33">
        <v>227</v>
      </c>
      <c r="B485" s="31">
        <f>SUM($A$2:A485)</f>
        <v>12290.8</v>
      </c>
      <c r="C485" s="35">
        <v>2021</v>
      </c>
    </row>
    <row r="486" spans="1:3">
      <c r="A486" s="32">
        <v>83</v>
      </c>
      <c r="B486" s="30">
        <f>SUM($A$2:A486)</f>
        <v>12373.8</v>
      </c>
      <c r="C486" s="34">
        <v>2021</v>
      </c>
    </row>
    <row r="487" spans="1:3">
      <c r="A487" s="33">
        <v>200</v>
      </c>
      <c r="B487" s="31">
        <f>SUM($A$2:A487)</f>
        <v>12573.8</v>
      </c>
      <c r="C487" s="35">
        <v>2021</v>
      </c>
    </row>
    <row r="488" spans="1:3">
      <c r="A488" s="32">
        <v>80</v>
      </c>
      <c r="B488" s="30">
        <f>SUM($A$2:A488)</f>
        <v>12653.8</v>
      </c>
      <c r="C488" s="34">
        <v>2021</v>
      </c>
    </row>
    <row r="489" spans="1:3">
      <c r="A489" s="33">
        <v>1</v>
      </c>
      <c r="B489" s="31">
        <f>SUM($A$2:A489)</f>
        <v>12654.8</v>
      </c>
      <c r="C489" s="35">
        <v>2021</v>
      </c>
    </row>
    <row r="490" spans="1:3">
      <c r="A490" s="32">
        <v>1</v>
      </c>
      <c r="B490" s="30">
        <f>SUM($A$2:A490)</f>
        <v>12655.8</v>
      </c>
      <c r="C490" s="34">
        <v>2021</v>
      </c>
    </row>
    <row r="491" spans="1:3">
      <c r="A491" s="33">
        <v>1</v>
      </c>
      <c r="B491" s="31">
        <f>SUM($A$2:A491)</f>
        <v>12656.8</v>
      </c>
      <c r="C491" s="35">
        <v>2021</v>
      </c>
    </row>
    <row r="492" spans="1:3">
      <c r="A492" s="32">
        <v>1</v>
      </c>
      <c r="B492" s="30">
        <f>SUM($A$2:A492)</f>
        <v>12657.8</v>
      </c>
      <c r="C492" s="34">
        <v>2021</v>
      </c>
    </row>
    <row r="493" spans="1:3">
      <c r="A493" s="33">
        <v>1</v>
      </c>
      <c r="B493" s="31">
        <f>SUM($A$2:A493)</f>
        <v>12658.8</v>
      </c>
      <c r="C493" s="35">
        <v>2021</v>
      </c>
    </row>
    <row r="494" spans="1:3">
      <c r="A494" s="32">
        <v>1</v>
      </c>
      <c r="B494" s="30">
        <f>SUM($A$2:A494)</f>
        <v>12659.8</v>
      </c>
      <c r="C494" s="34">
        <v>2021</v>
      </c>
    </row>
    <row r="495" spans="1:3">
      <c r="A495" s="33">
        <v>260</v>
      </c>
      <c r="B495" s="31">
        <f>SUM($A$2:A495)</f>
        <v>12919.8</v>
      </c>
      <c r="C495" s="35">
        <v>2021</v>
      </c>
    </row>
    <row r="496" spans="1:3">
      <c r="A496" s="32">
        <v>141</v>
      </c>
      <c r="B496" s="30">
        <f>SUM($A$2:A496)</f>
        <v>13060.8</v>
      </c>
      <c r="C496" s="34">
        <v>2021</v>
      </c>
    </row>
    <row r="497" spans="1:3">
      <c r="A497" s="33">
        <v>159</v>
      </c>
      <c r="B497" s="31">
        <f>SUM($A$2:A497)</f>
        <v>13219.8</v>
      </c>
      <c r="C497" s="35">
        <v>2021</v>
      </c>
    </row>
    <row r="498" spans="1:3">
      <c r="A498" s="32">
        <v>180</v>
      </c>
      <c r="B498" s="30">
        <f>SUM($A$2:A498)</f>
        <v>13399.8</v>
      </c>
      <c r="C498" s="34">
        <v>2021</v>
      </c>
    </row>
    <row r="499" spans="1:3">
      <c r="A499" s="33">
        <v>5</v>
      </c>
      <c r="B499" s="31">
        <f>SUM($A$2:A499)</f>
        <v>13404.8</v>
      </c>
      <c r="C499" s="35">
        <v>2021</v>
      </c>
    </row>
    <row r="500" spans="1:3">
      <c r="A500" s="32">
        <v>150</v>
      </c>
      <c r="B500" s="30">
        <f>SUM($A$2:A500)</f>
        <v>13554.8</v>
      </c>
      <c r="C500" s="34">
        <v>2021</v>
      </c>
    </row>
    <row r="501" spans="1:3">
      <c r="A501" s="33">
        <v>60</v>
      </c>
      <c r="B501" s="31">
        <f>SUM($A$2:A501)</f>
        <v>13614.8</v>
      </c>
      <c r="C501" s="35">
        <v>2021</v>
      </c>
    </row>
    <row r="502" spans="1:3">
      <c r="A502" s="32">
        <v>74.900000000000006</v>
      </c>
      <c r="B502" s="30">
        <f>SUM($A$2:A502)</f>
        <v>13689.699999999999</v>
      </c>
      <c r="C502" s="34">
        <v>2021</v>
      </c>
    </row>
    <row r="503" spans="1:3">
      <c r="A503" s="33">
        <v>134.69999999999999</v>
      </c>
      <c r="B503" s="31">
        <f>SUM($A$2:A503)</f>
        <v>13824.4</v>
      </c>
      <c r="C503" s="35">
        <v>2021</v>
      </c>
    </row>
    <row r="504" spans="1:3">
      <c r="A504" s="32">
        <v>127</v>
      </c>
      <c r="B504" s="30">
        <f>SUM($A$2:A504)</f>
        <v>13951.4</v>
      </c>
      <c r="C504" s="34">
        <v>2021</v>
      </c>
    </row>
    <row r="505" spans="1:3">
      <c r="A505" s="33">
        <v>240</v>
      </c>
      <c r="B505" s="31">
        <f>SUM($A$2:A505)</f>
        <v>14191.4</v>
      </c>
      <c r="C505" s="35">
        <v>2021</v>
      </c>
    </row>
    <row r="506" spans="1:3">
      <c r="A506" s="32">
        <v>20</v>
      </c>
      <c r="B506" s="30">
        <f>SUM($A$2:A506)</f>
        <v>14211.4</v>
      </c>
      <c r="C506" s="34">
        <v>2021</v>
      </c>
    </row>
    <row r="507" spans="1:3">
      <c r="A507" s="33">
        <v>50.4</v>
      </c>
      <c r="B507" s="31">
        <f>SUM($A$2:A507)</f>
        <v>14261.8</v>
      </c>
      <c r="C507" s="35">
        <v>2021</v>
      </c>
    </row>
    <row r="508" spans="1:3">
      <c r="A508" s="32">
        <v>70.099999999999994</v>
      </c>
      <c r="B508" s="30">
        <f>SUM($A$2:A508)</f>
        <v>14331.9</v>
      </c>
      <c r="C508" s="34">
        <v>2021</v>
      </c>
    </row>
    <row r="509" spans="1:3">
      <c r="A509" s="33">
        <v>13</v>
      </c>
      <c r="B509" s="31">
        <f>SUM($A$2:A509)</f>
        <v>14344.9</v>
      </c>
      <c r="C509" s="35">
        <v>2021</v>
      </c>
    </row>
    <row r="510" spans="1:3">
      <c r="A510" s="32">
        <v>20</v>
      </c>
      <c r="B510" s="30">
        <f>SUM($A$2:A510)</f>
        <v>14364.9</v>
      </c>
      <c r="C510" s="34">
        <v>2021</v>
      </c>
    </row>
    <row r="511" spans="1:3">
      <c r="A511" s="33">
        <v>80</v>
      </c>
      <c r="B511" s="31">
        <f>SUM($A$2:A511)</f>
        <v>14444.9</v>
      </c>
      <c r="C511" s="35">
        <v>2021</v>
      </c>
    </row>
    <row r="512" spans="1:3">
      <c r="A512" s="32">
        <v>68</v>
      </c>
      <c r="B512" s="30">
        <f>SUM($A$2:A512)</f>
        <v>14512.9</v>
      </c>
      <c r="C512" s="34">
        <v>2021</v>
      </c>
    </row>
    <row r="513" spans="1:3">
      <c r="A513" s="33">
        <v>100</v>
      </c>
      <c r="B513" s="31">
        <f>SUM($A$2:A513)</f>
        <v>14612.9</v>
      </c>
      <c r="C513" s="35">
        <v>2021</v>
      </c>
    </row>
    <row r="514" spans="1:3">
      <c r="A514" s="32">
        <v>1.6</v>
      </c>
      <c r="B514" s="30">
        <f>SUM($A$2:A514)</f>
        <v>14614.5</v>
      </c>
      <c r="C514" s="34">
        <v>2021</v>
      </c>
    </row>
    <row r="515" spans="1:3">
      <c r="A515" s="33">
        <v>200</v>
      </c>
      <c r="B515" s="31">
        <f>SUM($A$2:A515)</f>
        <v>14814.5</v>
      </c>
      <c r="C515" s="35">
        <v>2021</v>
      </c>
    </row>
    <row r="516" spans="1:3">
      <c r="A516" s="32">
        <v>250</v>
      </c>
      <c r="B516" s="30">
        <f>SUM($A$2:A516)</f>
        <v>15064.5</v>
      </c>
      <c r="C516" s="34">
        <v>2021</v>
      </c>
    </row>
    <row r="517" spans="1:3">
      <c r="A517" s="33">
        <v>4.9000000000000004</v>
      </c>
      <c r="B517" s="31">
        <f>SUM($A$2:A517)</f>
        <v>15069.4</v>
      </c>
      <c r="C517" s="35">
        <v>2021</v>
      </c>
    </row>
    <row r="518" spans="1:3">
      <c r="A518" s="32">
        <v>2.4</v>
      </c>
      <c r="B518" s="30">
        <f>SUM($A$2:A518)</f>
        <v>15071.8</v>
      </c>
      <c r="C518" s="34">
        <v>2021</v>
      </c>
    </row>
    <row r="519" spans="1:3">
      <c r="A519" s="33">
        <v>4.9000000000000004</v>
      </c>
      <c r="B519" s="31">
        <f>SUM($A$2:A519)</f>
        <v>15076.699999999999</v>
      </c>
      <c r="C519" s="35">
        <v>2021</v>
      </c>
    </row>
    <row r="520" spans="1:3">
      <c r="A520" s="32">
        <v>74.5</v>
      </c>
      <c r="B520" s="30">
        <f>SUM($A$2:A520)</f>
        <v>15151.199999999999</v>
      </c>
      <c r="C520" s="34">
        <v>2021</v>
      </c>
    </row>
    <row r="521" spans="1:3">
      <c r="A521" s="33">
        <v>20</v>
      </c>
      <c r="B521" s="31">
        <f>SUM($A$2:A521)</f>
        <v>15171.199999999999</v>
      </c>
      <c r="C521" s="35">
        <v>2021</v>
      </c>
    </row>
    <row r="522" spans="1:3">
      <c r="A522" s="32">
        <v>27.4</v>
      </c>
      <c r="B522" s="30">
        <f>SUM($A$2:A522)</f>
        <v>15198.599999999999</v>
      </c>
      <c r="C522" s="34">
        <v>2021</v>
      </c>
    </row>
    <row r="523" spans="1:3">
      <c r="A523" s="33">
        <v>140.6</v>
      </c>
      <c r="B523" s="31">
        <f>SUM($A$2:A523)</f>
        <v>15339.199999999999</v>
      </c>
      <c r="C523" s="35">
        <v>2021</v>
      </c>
    </row>
    <row r="524" spans="1:3">
      <c r="A524" s="32">
        <v>107</v>
      </c>
      <c r="B524" s="30">
        <f>SUM($A$2:A524)</f>
        <v>15446.199999999999</v>
      </c>
      <c r="C524" s="34">
        <v>2021</v>
      </c>
    </row>
    <row r="525" spans="1:3">
      <c r="A525" s="39">
        <v>2.9</v>
      </c>
      <c r="B525" s="40">
        <f>SUM($A$2:A525)</f>
        <v>15449.099999999999</v>
      </c>
      <c r="C525" s="41">
        <v>2021</v>
      </c>
    </row>
  </sheetData>
  <pageMargins left="0.7" right="0.7" top="0.75" bottom="0.75" header="0.3" footer="0.3"/>
  <drawing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F4EE6B-A574-3442-AC60-403CE2743B16}">
  <dimension ref="B2:I37"/>
  <sheetViews>
    <sheetView workbookViewId="0">
      <selection activeCell="D36" sqref="D36"/>
    </sheetView>
  </sheetViews>
  <sheetFormatPr baseColWidth="10" defaultRowHeight="16"/>
  <cols>
    <col min="1" max="2" width="5" customWidth="1"/>
    <col min="3" max="3" width="10.1640625" customWidth="1"/>
    <col min="4" max="4" width="35.33203125" customWidth="1"/>
    <col min="5" max="5" width="25" customWidth="1"/>
    <col min="6" max="6" width="30.6640625" customWidth="1"/>
    <col min="7" max="7" width="31.6640625" customWidth="1"/>
    <col min="8" max="8" width="18.6640625" customWidth="1"/>
  </cols>
  <sheetData>
    <row r="2" spans="2:9" s="1" customFormat="1">
      <c r="B2" s="1" t="s">
        <v>100</v>
      </c>
      <c r="C2" s="1" t="s">
        <v>97</v>
      </c>
      <c r="D2" s="1" t="s">
        <v>62</v>
      </c>
      <c r="E2" s="1" t="s">
        <v>68</v>
      </c>
      <c r="F2" s="1" t="s">
        <v>71</v>
      </c>
      <c r="G2" s="1" t="s">
        <v>86</v>
      </c>
      <c r="H2" s="1" t="s">
        <v>88</v>
      </c>
      <c r="I2" s="1" t="s">
        <v>96</v>
      </c>
    </row>
    <row r="3" spans="2:9">
      <c r="B3">
        <v>2005</v>
      </c>
      <c r="C3" t="s">
        <v>101</v>
      </c>
      <c r="D3" t="s">
        <v>63</v>
      </c>
      <c r="E3" t="s">
        <v>70</v>
      </c>
      <c r="F3" t="s">
        <v>83</v>
      </c>
      <c r="G3" t="b">
        <v>0</v>
      </c>
      <c r="H3">
        <v>0</v>
      </c>
      <c r="I3">
        <v>10</v>
      </c>
    </row>
    <row r="4" spans="2:9">
      <c r="B4">
        <v>2005</v>
      </c>
      <c r="C4" t="s">
        <v>101</v>
      </c>
      <c r="D4" t="s">
        <v>64</v>
      </c>
      <c r="E4" t="s">
        <v>83</v>
      </c>
      <c r="F4" t="s">
        <v>84</v>
      </c>
      <c r="G4" t="b">
        <v>0</v>
      </c>
      <c r="H4">
        <v>0</v>
      </c>
      <c r="I4">
        <v>10</v>
      </c>
    </row>
    <row r="5" spans="2:9">
      <c r="B5">
        <v>2005</v>
      </c>
      <c r="C5" t="s">
        <v>101</v>
      </c>
      <c r="D5" t="s">
        <v>65</v>
      </c>
      <c r="E5" t="s">
        <v>84</v>
      </c>
      <c r="F5" t="s">
        <v>85</v>
      </c>
      <c r="G5" t="b">
        <v>0</v>
      </c>
      <c r="H5">
        <v>0</v>
      </c>
      <c r="I5">
        <v>10</v>
      </c>
    </row>
    <row r="6" spans="2:9">
      <c r="B6">
        <v>2005</v>
      </c>
      <c r="C6" t="s">
        <v>101</v>
      </c>
      <c r="D6" t="s">
        <v>66</v>
      </c>
      <c r="E6" t="s">
        <v>85</v>
      </c>
      <c r="F6" t="s">
        <v>79</v>
      </c>
      <c r="G6" t="b">
        <v>0</v>
      </c>
      <c r="H6">
        <v>0</v>
      </c>
      <c r="I6">
        <v>10</v>
      </c>
    </row>
    <row r="7" spans="2:9">
      <c r="B7">
        <v>2005</v>
      </c>
      <c r="C7" t="s">
        <v>101</v>
      </c>
      <c r="D7" t="s">
        <v>66</v>
      </c>
      <c r="E7" t="s">
        <v>85</v>
      </c>
      <c r="F7" t="s">
        <v>80</v>
      </c>
      <c r="G7" t="b">
        <v>0</v>
      </c>
      <c r="H7">
        <v>0</v>
      </c>
      <c r="I7">
        <v>10</v>
      </c>
    </row>
    <row r="8" spans="2:9">
      <c r="B8">
        <v>2005</v>
      </c>
      <c r="C8" t="s">
        <v>101</v>
      </c>
      <c r="D8" t="s">
        <v>67</v>
      </c>
      <c r="E8" t="s">
        <v>79</v>
      </c>
      <c r="F8" t="s">
        <v>87</v>
      </c>
      <c r="G8" t="b">
        <v>0</v>
      </c>
      <c r="H8">
        <v>0</v>
      </c>
      <c r="I8">
        <v>10</v>
      </c>
    </row>
    <row r="9" spans="2:9">
      <c r="B9">
        <v>2005</v>
      </c>
      <c r="C9" t="s">
        <v>101</v>
      </c>
      <c r="D9" t="s">
        <v>69</v>
      </c>
      <c r="E9" t="s">
        <v>87</v>
      </c>
      <c r="F9" t="s">
        <v>77</v>
      </c>
      <c r="G9" t="b">
        <v>1</v>
      </c>
      <c r="H9">
        <v>0.9</v>
      </c>
      <c r="I9">
        <v>10</v>
      </c>
    </row>
    <row r="10" spans="2:9">
      <c r="B10">
        <v>2005</v>
      </c>
      <c r="C10" t="s">
        <v>101</v>
      </c>
      <c r="D10" t="s">
        <v>78</v>
      </c>
      <c r="E10" t="s">
        <v>80</v>
      </c>
      <c r="F10" t="s">
        <v>81</v>
      </c>
      <c r="G10" t="b">
        <v>1</v>
      </c>
      <c r="I10">
        <v>10</v>
      </c>
    </row>
    <row r="11" spans="2:9">
      <c r="B11">
        <v>2005</v>
      </c>
      <c r="C11" t="s">
        <v>101</v>
      </c>
      <c r="D11" t="s">
        <v>78</v>
      </c>
      <c r="E11" t="s">
        <v>80</v>
      </c>
      <c r="F11" t="s">
        <v>82</v>
      </c>
      <c r="G11" t="b">
        <v>1</v>
      </c>
      <c r="H11">
        <v>0.9</v>
      </c>
      <c r="I11">
        <v>10</v>
      </c>
    </row>
    <row r="12" spans="2:9">
      <c r="B12">
        <v>2011</v>
      </c>
      <c r="C12" t="s">
        <v>99</v>
      </c>
      <c r="D12" t="s">
        <v>63</v>
      </c>
      <c r="E12" t="s">
        <v>70</v>
      </c>
      <c r="F12" t="s">
        <v>83</v>
      </c>
      <c r="G12" t="b">
        <v>0</v>
      </c>
      <c r="H12">
        <v>0</v>
      </c>
      <c r="I12">
        <v>30</v>
      </c>
    </row>
    <row r="13" spans="2:9">
      <c r="B13">
        <v>2011</v>
      </c>
      <c r="C13" t="s">
        <v>99</v>
      </c>
      <c r="D13" t="s">
        <v>64</v>
      </c>
      <c r="E13" t="s">
        <v>83</v>
      </c>
      <c r="F13" t="s">
        <v>84</v>
      </c>
      <c r="G13" t="b">
        <v>0</v>
      </c>
      <c r="H13">
        <v>0</v>
      </c>
      <c r="I13">
        <v>30</v>
      </c>
    </row>
    <row r="14" spans="2:9">
      <c r="B14">
        <v>2011</v>
      </c>
      <c r="C14" t="s">
        <v>99</v>
      </c>
      <c r="D14" t="s">
        <v>65</v>
      </c>
      <c r="E14" t="s">
        <v>84</v>
      </c>
      <c r="F14" t="s">
        <v>85</v>
      </c>
      <c r="G14" t="b">
        <v>0</v>
      </c>
      <c r="H14">
        <v>0</v>
      </c>
      <c r="I14">
        <v>30</v>
      </c>
    </row>
    <row r="15" spans="2:9">
      <c r="B15">
        <v>2011</v>
      </c>
      <c r="C15" t="s">
        <v>99</v>
      </c>
      <c r="D15" t="s">
        <v>66</v>
      </c>
      <c r="E15" t="s">
        <v>85</v>
      </c>
      <c r="F15" t="s">
        <v>79</v>
      </c>
      <c r="G15" t="b">
        <v>0</v>
      </c>
      <c r="H15">
        <v>0</v>
      </c>
      <c r="I15">
        <v>30</v>
      </c>
    </row>
    <row r="16" spans="2:9">
      <c r="B16">
        <v>2011</v>
      </c>
      <c r="C16" t="s">
        <v>99</v>
      </c>
      <c r="D16" t="s">
        <v>66</v>
      </c>
      <c r="E16" t="s">
        <v>85</v>
      </c>
      <c r="F16" t="s">
        <v>80</v>
      </c>
      <c r="G16" t="b">
        <v>0</v>
      </c>
      <c r="H16">
        <v>0</v>
      </c>
      <c r="I16">
        <v>30</v>
      </c>
    </row>
    <row r="17" spans="2:9">
      <c r="B17">
        <v>2011</v>
      </c>
      <c r="C17" t="s">
        <v>99</v>
      </c>
      <c r="D17" t="s">
        <v>67</v>
      </c>
      <c r="E17" t="s">
        <v>79</v>
      </c>
      <c r="F17" t="s">
        <v>87</v>
      </c>
      <c r="G17" t="b">
        <v>0</v>
      </c>
      <c r="H17">
        <v>0</v>
      </c>
      <c r="I17">
        <v>30</v>
      </c>
    </row>
    <row r="18" spans="2:9">
      <c r="B18">
        <v>2011</v>
      </c>
      <c r="C18" t="s">
        <v>99</v>
      </c>
      <c r="D18" t="s">
        <v>69</v>
      </c>
      <c r="E18" t="s">
        <v>87</v>
      </c>
      <c r="F18" t="s">
        <v>77</v>
      </c>
      <c r="G18" t="b">
        <v>1</v>
      </c>
      <c r="H18">
        <v>0.9</v>
      </c>
      <c r="I18">
        <v>30</v>
      </c>
    </row>
    <row r="19" spans="2:9">
      <c r="B19">
        <v>2011</v>
      </c>
      <c r="C19" t="s">
        <v>99</v>
      </c>
      <c r="D19" t="s">
        <v>78</v>
      </c>
      <c r="E19" t="s">
        <v>80</v>
      </c>
      <c r="F19" t="s">
        <v>81</v>
      </c>
      <c r="G19" t="b">
        <v>1</v>
      </c>
      <c r="I19">
        <v>30</v>
      </c>
    </row>
    <row r="20" spans="2:9">
      <c r="B20">
        <v>2011</v>
      </c>
      <c r="C20" t="s">
        <v>99</v>
      </c>
      <c r="D20" t="s">
        <v>78</v>
      </c>
      <c r="E20" t="s">
        <v>80</v>
      </c>
      <c r="F20" t="s">
        <v>82</v>
      </c>
      <c r="G20" t="b">
        <v>1</v>
      </c>
      <c r="H20">
        <v>0.9</v>
      </c>
      <c r="I20">
        <v>30</v>
      </c>
    </row>
    <row r="21" spans="2:9">
      <c r="B21">
        <v>2015</v>
      </c>
      <c r="C21" t="s">
        <v>98</v>
      </c>
      <c r="D21" t="s">
        <v>63</v>
      </c>
      <c r="E21" t="s">
        <v>70</v>
      </c>
      <c r="F21" t="s">
        <v>83</v>
      </c>
      <c r="G21" t="b">
        <v>0</v>
      </c>
      <c r="H21">
        <v>0</v>
      </c>
      <c r="I21">
        <v>150</v>
      </c>
    </row>
    <row r="22" spans="2:9">
      <c r="B22">
        <v>2015</v>
      </c>
      <c r="C22" t="s">
        <v>98</v>
      </c>
      <c r="D22" t="s">
        <v>64</v>
      </c>
      <c r="E22" t="s">
        <v>83</v>
      </c>
      <c r="F22" t="s">
        <v>84</v>
      </c>
      <c r="G22" t="b">
        <v>0</v>
      </c>
      <c r="H22">
        <v>0</v>
      </c>
      <c r="I22">
        <v>150</v>
      </c>
    </row>
    <row r="23" spans="2:9">
      <c r="B23">
        <v>2015</v>
      </c>
      <c r="C23" t="s">
        <v>98</v>
      </c>
      <c r="D23" t="s">
        <v>65</v>
      </c>
      <c r="E23" t="s">
        <v>84</v>
      </c>
      <c r="F23" t="s">
        <v>85</v>
      </c>
      <c r="G23" t="b">
        <v>0</v>
      </c>
      <c r="H23">
        <v>0</v>
      </c>
      <c r="I23">
        <v>150</v>
      </c>
    </row>
    <row r="24" spans="2:9">
      <c r="B24">
        <v>2015</v>
      </c>
      <c r="C24" t="s">
        <v>98</v>
      </c>
      <c r="D24" t="s">
        <v>66</v>
      </c>
      <c r="E24" t="s">
        <v>85</v>
      </c>
      <c r="F24" t="s">
        <v>79</v>
      </c>
      <c r="G24" t="b">
        <v>0</v>
      </c>
      <c r="H24">
        <v>0</v>
      </c>
      <c r="I24">
        <v>150</v>
      </c>
    </row>
    <row r="25" spans="2:9">
      <c r="B25">
        <v>2015</v>
      </c>
      <c r="C25" t="s">
        <v>98</v>
      </c>
      <c r="D25" t="s">
        <v>66</v>
      </c>
      <c r="E25" t="s">
        <v>85</v>
      </c>
      <c r="F25" t="s">
        <v>80</v>
      </c>
      <c r="G25" t="b">
        <v>0</v>
      </c>
      <c r="H25">
        <v>0</v>
      </c>
      <c r="I25">
        <v>150</v>
      </c>
    </row>
    <row r="26" spans="2:9">
      <c r="B26">
        <v>2015</v>
      </c>
      <c r="C26" t="s">
        <v>98</v>
      </c>
      <c r="D26" t="s">
        <v>67</v>
      </c>
      <c r="E26" t="s">
        <v>79</v>
      </c>
      <c r="F26" t="s">
        <v>87</v>
      </c>
      <c r="G26" t="b">
        <v>0</v>
      </c>
      <c r="H26">
        <v>0</v>
      </c>
      <c r="I26">
        <v>150</v>
      </c>
    </row>
    <row r="27" spans="2:9">
      <c r="B27">
        <v>2015</v>
      </c>
      <c r="C27" t="s">
        <v>98</v>
      </c>
      <c r="D27" t="s">
        <v>69</v>
      </c>
      <c r="E27" t="s">
        <v>87</v>
      </c>
      <c r="F27" t="s">
        <v>77</v>
      </c>
      <c r="G27" t="b">
        <v>1</v>
      </c>
      <c r="H27">
        <v>0.9</v>
      </c>
      <c r="I27">
        <v>150</v>
      </c>
    </row>
    <row r="28" spans="2:9">
      <c r="B28">
        <v>2015</v>
      </c>
      <c r="C28" t="s">
        <v>98</v>
      </c>
      <c r="D28" t="s">
        <v>78</v>
      </c>
      <c r="E28" t="s">
        <v>80</v>
      </c>
      <c r="F28" t="s">
        <v>81</v>
      </c>
      <c r="G28" t="b">
        <v>1</v>
      </c>
      <c r="I28">
        <v>150</v>
      </c>
    </row>
    <row r="29" spans="2:9">
      <c r="B29">
        <v>2015</v>
      </c>
      <c r="C29" t="s">
        <v>98</v>
      </c>
      <c r="D29" t="s">
        <v>78</v>
      </c>
      <c r="E29" t="s">
        <v>80</v>
      </c>
      <c r="F29" t="s">
        <v>82</v>
      </c>
      <c r="G29" t="b">
        <v>1</v>
      </c>
      <c r="H29">
        <v>0.9</v>
      </c>
      <c r="I29">
        <v>150</v>
      </c>
    </row>
    <row r="33" spans="4:6">
      <c r="D33" t="s">
        <v>89</v>
      </c>
      <c r="E33" t="s">
        <v>72</v>
      </c>
      <c r="F33" t="s">
        <v>92</v>
      </c>
    </row>
    <row r="34" spans="4:6">
      <c r="D34" t="s">
        <v>90</v>
      </c>
      <c r="E34" t="s">
        <v>73</v>
      </c>
      <c r="F34" t="s">
        <v>93</v>
      </c>
    </row>
    <row r="35" spans="4:6">
      <c r="D35" t="s">
        <v>91</v>
      </c>
      <c r="E35" t="s">
        <v>74</v>
      </c>
    </row>
    <row r="36" spans="4:6">
      <c r="D36" s="8" t="s">
        <v>94</v>
      </c>
      <c r="E36" t="s">
        <v>75</v>
      </c>
    </row>
    <row r="37" spans="4:6">
      <c r="E37" t="s">
        <v>76</v>
      </c>
    </row>
  </sheetData>
  <phoneticPr fontId="4" type="noConversion"/>
  <hyperlinks>
    <hyperlink ref="D36" r:id="rId1" xr:uid="{6C1E1B93-1446-D442-B8AE-EE7DB1EBF6E4}"/>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EF16B7-4AE7-E64D-BF6F-677BA6F7DEB5}">
  <dimension ref="B2:I13"/>
  <sheetViews>
    <sheetView workbookViewId="0">
      <selection activeCell="C14" sqref="C14"/>
    </sheetView>
  </sheetViews>
  <sheetFormatPr baseColWidth="10" defaultRowHeight="16"/>
  <cols>
    <col min="2" max="2" width="90.6640625" style="9" customWidth="1"/>
    <col min="3" max="3" width="20" style="9" customWidth="1"/>
    <col min="4" max="4" width="19.1640625" style="9" customWidth="1"/>
    <col min="5" max="5" width="10.83203125" style="10"/>
    <col min="6" max="6" width="46" style="9" customWidth="1"/>
    <col min="8" max="8" width="27.1640625" customWidth="1"/>
  </cols>
  <sheetData>
    <row r="2" spans="2:9">
      <c r="B2" s="9" t="s">
        <v>112</v>
      </c>
      <c r="C2" s="9" t="s">
        <v>95</v>
      </c>
      <c r="D2" s="9" t="s">
        <v>111</v>
      </c>
      <c r="E2" s="10" t="s">
        <v>116</v>
      </c>
      <c r="F2" s="9" t="s">
        <v>120</v>
      </c>
      <c r="G2" t="s">
        <v>92</v>
      </c>
      <c r="I2" t="s">
        <v>114</v>
      </c>
    </row>
    <row r="3" spans="2:9">
      <c r="B3" s="9" t="s">
        <v>118</v>
      </c>
      <c r="C3" s="9" t="s">
        <v>117</v>
      </c>
      <c r="D3" s="9" t="s">
        <v>113</v>
      </c>
      <c r="E3" s="10">
        <v>44682</v>
      </c>
      <c r="F3" s="10" t="s">
        <v>121</v>
      </c>
      <c r="G3" t="s">
        <v>160</v>
      </c>
      <c r="I3" t="s">
        <v>115</v>
      </c>
    </row>
    <row r="4" spans="2:9">
      <c r="B4" s="9" t="s">
        <v>123</v>
      </c>
      <c r="C4" s="9" t="s">
        <v>119</v>
      </c>
      <c r="D4" s="9" t="s">
        <v>124</v>
      </c>
      <c r="E4" s="10">
        <v>43862</v>
      </c>
      <c r="F4" s="9" t="s">
        <v>128</v>
      </c>
      <c r="I4" t="s">
        <v>122</v>
      </c>
    </row>
    <row r="5" spans="2:9">
      <c r="B5" s="9" t="s">
        <v>125</v>
      </c>
      <c r="C5" s="9" t="s">
        <v>126</v>
      </c>
      <c r="D5" s="9" t="s">
        <v>127</v>
      </c>
      <c r="E5" s="10">
        <v>44013</v>
      </c>
      <c r="F5" s="9" t="s">
        <v>129</v>
      </c>
      <c r="G5" t="s">
        <v>130</v>
      </c>
      <c r="I5" t="s">
        <v>153</v>
      </c>
    </row>
    <row r="6" spans="2:9">
      <c r="B6" s="9" t="s">
        <v>134</v>
      </c>
      <c r="C6" s="9" t="s">
        <v>135</v>
      </c>
      <c r="D6" s="9" t="s">
        <v>136</v>
      </c>
      <c r="E6" s="10">
        <v>42675</v>
      </c>
      <c r="F6" s="9" t="s">
        <v>131</v>
      </c>
      <c r="G6" t="s">
        <v>133</v>
      </c>
      <c r="I6" t="s">
        <v>138</v>
      </c>
    </row>
    <row r="7" spans="2:9">
      <c r="B7" s="9" t="s">
        <v>139</v>
      </c>
      <c r="C7" s="9" t="s">
        <v>135</v>
      </c>
      <c r="D7" s="9" t="s">
        <v>145</v>
      </c>
      <c r="E7" s="10">
        <v>42485</v>
      </c>
      <c r="F7" s="9" t="s">
        <v>140</v>
      </c>
      <c r="G7" t="s">
        <v>133</v>
      </c>
      <c r="I7" t="s">
        <v>137</v>
      </c>
    </row>
    <row r="8" spans="2:9">
      <c r="B8" s="9" t="s">
        <v>142</v>
      </c>
      <c r="C8" s="9" t="s">
        <v>143</v>
      </c>
      <c r="D8" s="9" t="s">
        <v>144</v>
      </c>
      <c r="F8" s="9" t="s">
        <v>140</v>
      </c>
      <c r="I8" t="s">
        <v>141</v>
      </c>
    </row>
    <row r="9" spans="2:9">
      <c r="B9" s="9" t="s">
        <v>147</v>
      </c>
      <c r="C9" s="9" t="s">
        <v>146</v>
      </c>
      <c r="D9" s="9" t="s">
        <v>152</v>
      </c>
      <c r="E9" s="10">
        <v>42795</v>
      </c>
      <c r="F9" s="9" t="s">
        <v>132</v>
      </c>
    </row>
    <row r="10" spans="2:9">
      <c r="B10" s="9" t="s">
        <v>151</v>
      </c>
      <c r="C10" s="9" t="s">
        <v>150</v>
      </c>
      <c r="E10" s="10">
        <v>44228</v>
      </c>
      <c r="F10" s="9" t="s">
        <v>148</v>
      </c>
      <c r="I10" t="s">
        <v>149</v>
      </c>
    </row>
    <row r="11" spans="2:9">
      <c r="B11" s="9" t="s">
        <v>156</v>
      </c>
      <c r="C11" s="9" t="s">
        <v>155</v>
      </c>
      <c r="D11" s="9" t="s">
        <v>157</v>
      </c>
      <c r="E11" s="10">
        <v>44896</v>
      </c>
      <c r="F11" s="9" t="s">
        <v>158</v>
      </c>
      <c r="G11" t="s">
        <v>159</v>
      </c>
      <c r="I11" t="s">
        <v>154</v>
      </c>
    </row>
    <row r="13" spans="2:9">
      <c r="B13" s="9" t="s">
        <v>94</v>
      </c>
      <c r="C13" s="9" t="s">
        <v>611</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019763-38AA-E54C-A502-9B08C9E78785}">
  <dimension ref="A1:G4"/>
  <sheetViews>
    <sheetView workbookViewId="0">
      <selection activeCell="B2" sqref="B2"/>
    </sheetView>
  </sheetViews>
  <sheetFormatPr baseColWidth="10" defaultRowHeight="16"/>
  <cols>
    <col min="2" max="2" width="13" customWidth="1"/>
    <col min="3" max="3" width="13.83203125" customWidth="1"/>
    <col min="4" max="4" width="20" customWidth="1"/>
  </cols>
  <sheetData>
    <row r="1" spans="1:7">
      <c r="A1" t="s">
        <v>102</v>
      </c>
      <c r="B1" t="s">
        <v>103</v>
      </c>
      <c r="C1" t="s">
        <v>104</v>
      </c>
      <c r="D1" t="s">
        <v>106</v>
      </c>
      <c r="F1" t="s">
        <v>89</v>
      </c>
      <c r="G1" t="s">
        <v>92</v>
      </c>
    </row>
    <row r="2" spans="1:7">
      <c r="A2" t="s">
        <v>105</v>
      </c>
      <c r="C2" t="b">
        <v>1</v>
      </c>
      <c r="F2" t="s">
        <v>107</v>
      </c>
    </row>
    <row r="3" spans="1:7">
      <c r="A3" t="s">
        <v>108</v>
      </c>
      <c r="F3" t="s">
        <v>107</v>
      </c>
    </row>
    <row r="4" spans="1:7">
      <c r="A4" t="s">
        <v>109</v>
      </c>
      <c r="D4" t="s">
        <v>110</v>
      </c>
      <c r="F4" t="s">
        <v>107</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289EFA-4234-B848-900E-4967CE3C28FF}">
  <dimension ref="A1:L43"/>
  <sheetViews>
    <sheetView workbookViewId="0">
      <selection activeCell="C43" sqref="C43"/>
    </sheetView>
  </sheetViews>
  <sheetFormatPr baseColWidth="10" defaultRowHeight="16"/>
  <cols>
    <col min="1" max="1" width="21" customWidth="1"/>
  </cols>
  <sheetData>
    <row r="1" spans="1:12">
      <c r="A1" s="60" t="s">
        <v>77</v>
      </c>
      <c r="B1" s="60"/>
      <c r="C1" s="60"/>
      <c r="D1" s="60"/>
      <c r="E1" s="13"/>
      <c r="F1" s="60" t="s">
        <v>173</v>
      </c>
      <c r="G1" s="60"/>
      <c r="H1" s="60"/>
      <c r="I1" s="14"/>
      <c r="J1" s="60" t="s">
        <v>174</v>
      </c>
      <c r="K1" s="60"/>
      <c r="L1" s="60"/>
    </row>
    <row r="2" spans="1:12">
      <c r="A2" s="12" t="s">
        <v>175</v>
      </c>
      <c r="B2" s="12" t="s">
        <v>176</v>
      </c>
      <c r="C2" s="12" t="s">
        <v>177</v>
      </c>
      <c r="D2" s="12" t="s">
        <v>37</v>
      </c>
      <c r="E2" s="13"/>
      <c r="F2" s="12" t="s">
        <v>176</v>
      </c>
      <c r="G2" s="12" t="s">
        <v>177</v>
      </c>
      <c r="H2" s="12" t="s">
        <v>37</v>
      </c>
      <c r="I2" s="14"/>
      <c r="J2" s="15" t="s">
        <v>176</v>
      </c>
      <c r="K2" s="13" t="s">
        <v>177</v>
      </c>
      <c r="L2" s="13" t="s">
        <v>37</v>
      </c>
    </row>
    <row r="3" spans="1:12">
      <c r="A3" s="14" t="s">
        <v>178</v>
      </c>
      <c r="B3" s="14" t="s">
        <v>179</v>
      </c>
      <c r="C3" s="14">
        <v>4.09</v>
      </c>
      <c r="D3" s="14" t="s">
        <v>180</v>
      </c>
      <c r="E3" s="14"/>
      <c r="F3" s="14" t="s">
        <v>181</v>
      </c>
      <c r="G3" s="14">
        <v>1.86</v>
      </c>
      <c r="H3" s="14" t="s">
        <v>180</v>
      </c>
      <c r="I3" s="14"/>
      <c r="J3" s="15" t="s">
        <v>182</v>
      </c>
      <c r="K3" s="14">
        <v>920</v>
      </c>
      <c r="L3" s="14" t="s">
        <v>183</v>
      </c>
    </row>
    <row r="4" spans="1:12">
      <c r="A4" s="14" t="s">
        <v>184</v>
      </c>
      <c r="B4" s="14" t="s">
        <v>185</v>
      </c>
      <c r="C4" s="14">
        <v>16.79</v>
      </c>
      <c r="D4" s="14" t="s">
        <v>180</v>
      </c>
      <c r="E4" s="14"/>
      <c r="F4" s="14" t="s">
        <v>186</v>
      </c>
      <c r="G4" s="14">
        <v>7.0000000000000007E-2</v>
      </c>
      <c r="H4" s="14" t="s">
        <v>180</v>
      </c>
      <c r="I4" s="14"/>
      <c r="J4" s="15" t="s">
        <v>187</v>
      </c>
      <c r="K4" s="14">
        <v>97.7</v>
      </c>
      <c r="L4" s="14" t="s">
        <v>180</v>
      </c>
    </row>
    <row r="5" spans="1:12">
      <c r="A5" s="14" t="s">
        <v>188</v>
      </c>
      <c r="B5" s="14" t="s">
        <v>189</v>
      </c>
      <c r="C5" s="14">
        <v>13.58</v>
      </c>
      <c r="D5" s="14" t="s">
        <v>180</v>
      </c>
      <c r="E5" s="14"/>
      <c r="F5" s="14" t="s">
        <v>190</v>
      </c>
      <c r="G5" s="14">
        <v>14.41</v>
      </c>
      <c r="H5" s="14" t="s">
        <v>180</v>
      </c>
      <c r="I5" s="14"/>
      <c r="J5" s="15" t="s">
        <v>191</v>
      </c>
      <c r="K5" s="14">
        <v>0.1</v>
      </c>
      <c r="L5" s="14" t="s">
        <v>180</v>
      </c>
    </row>
    <row r="6" spans="1:12">
      <c r="A6" s="14" t="s">
        <v>192</v>
      </c>
      <c r="B6" s="14" t="s">
        <v>193</v>
      </c>
      <c r="C6" s="14">
        <v>0.97799999999999998</v>
      </c>
      <c r="D6" s="14" t="s">
        <v>180</v>
      </c>
      <c r="E6" s="14"/>
      <c r="F6" s="14" t="s">
        <v>194</v>
      </c>
      <c r="G6" s="14">
        <v>1.44</v>
      </c>
      <c r="H6" s="14" t="s">
        <v>180</v>
      </c>
      <c r="I6" s="14"/>
      <c r="J6" s="15" t="s">
        <v>195</v>
      </c>
      <c r="K6" s="14">
        <v>0.1</v>
      </c>
      <c r="L6" s="14" t="s">
        <v>180</v>
      </c>
    </row>
    <row r="7" spans="1:12">
      <c r="A7" s="14" t="s">
        <v>196</v>
      </c>
      <c r="B7" s="14" t="s">
        <v>197</v>
      </c>
      <c r="C7" s="14">
        <v>0.28499999999999998</v>
      </c>
      <c r="D7" s="14" t="s">
        <v>180</v>
      </c>
      <c r="E7" s="14"/>
      <c r="F7" s="14" t="s">
        <v>198</v>
      </c>
      <c r="G7" s="14">
        <v>1.44</v>
      </c>
      <c r="H7" s="14" t="s">
        <v>180</v>
      </c>
      <c r="I7" s="14"/>
      <c r="J7" s="15" t="s">
        <v>199</v>
      </c>
      <c r="K7" s="14">
        <v>0.1</v>
      </c>
      <c r="L7" s="14" t="s">
        <v>180</v>
      </c>
    </row>
    <row r="8" spans="1:12">
      <c r="A8" s="14" t="s">
        <v>200</v>
      </c>
      <c r="B8" s="14" t="s">
        <v>201</v>
      </c>
      <c r="C8" s="14">
        <v>0.24</v>
      </c>
      <c r="D8" s="14" t="s">
        <v>180</v>
      </c>
      <c r="E8" s="14"/>
      <c r="F8" s="14" t="s">
        <v>202</v>
      </c>
      <c r="G8" s="14">
        <v>1.44</v>
      </c>
      <c r="H8" s="14" t="s">
        <v>180</v>
      </c>
      <c r="I8" s="14"/>
      <c r="J8" s="15" t="s">
        <v>203</v>
      </c>
      <c r="K8" s="14">
        <v>0.1</v>
      </c>
      <c r="L8" s="14" t="s">
        <v>180</v>
      </c>
    </row>
    <row r="9" spans="1:12">
      <c r="A9" s="14" t="s">
        <v>204</v>
      </c>
      <c r="B9" s="14" t="s">
        <v>77</v>
      </c>
      <c r="C9" s="14">
        <v>4.2999999999999997E-2</v>
      </c>
      <c r="D9" s="14" t="s">
        <v>180</v>
      </c>
      <c r="E9" s="14"/>
      <c r="F9" s="14" t="s">
        <v>205</v>
      </c>
      <c r="G9" s="14">
        <v>1.44</v>
      </c>
      <c r="H9" s="14" t="s">
        <v>180</v>
      </c>
      <c r="I9" s="14"/>
      <c r="J9" s="15" t="s">
        <v>206</v>
      </c>
      <c r="K9" s="14">
        <v>0.6</v>
      </c>
      <c r="L9" s="14" t="s">
        <v>180</v>
      </c>
    </row>
    <row r="10" spans="1:12">
      <c r="A10" s="14" t="s">
        <v>207</v>
      </c>
      <c r="B10" s="14" t="s">
        <v>208</v>
      </c>
      <c r="C10" s="14">
        <v>0.126</v>
      </c>
      <c r="D10" s="14" t="s">
        <v>180</v>
      </c>
      <c r="E10" s="14"/>
      <c r="F10" s="14" t="s">
        <v>209</v>
      </c>
      <c r="G10" s="14">
        <v>1.44</v>
      </c>
      <c r="H10" s="14" t="s">
        <v>180</v>
      </c>
      <c r="I10" s="14"/>
      <c r="J10" s="15" t="s">
        <v>210</v>
      </c>
      <c r="K10" s="14">
        <v>2600</v>
      </c>
      <c r="L10" s="14" t="s">
        <v>183</v>
      </c>
    </row>
    <row r="11" spans="1:12">
      <c r="A11" s="14" t="s">
        <v>211</v>
      </c>
      <c r="B11" s="14" t="s">
        <v>212</v>
      </c>
      <c r="C11" s="14">
        <v>6.0000000000000001E-3</v>
      </c>
      <c r="D11" s="14" t="s">
        <v>180</v>
      </c>
      <c r="E11" s="14"/>
      <c r="F11" s="14" t="s">
        <v>213</v>
      </c>
      <c r="G11" s="14">
        <v>1.44</v>
      </c>
      <c r="H11" s="14" t="s">
        <v>180</v>
      </c>
      <c r="I11" s="14"/>
      <c r="J11" s="15" t="s">
        <v>214</v>
      </c>
      <c r="K11" s="14">
        <v>0.9</v>
      </c>
      <c r="L11" s="14" t="s">
        <v>180</v>
      </c>
    </row>
    <row r="12" spans="1:12">
      <c r="A12" s="14" t="s">
        <v>215</v>
      </c>
      <c r="B12" s="14" t="s">
        <v>216</v>
      </c>
      <c r="C12" s="14">
        <v>4.0000000000000001E-3</v>
      </c>
      <c r="D12" s="14" t="s">
        <v>180</v>
      </c>
      <c r="E12" s="14"/>
      <c r="F12" s="14" t="s">
        <v>217</v>
      </c>
      <c r="G12" s="14">
        <v>1.44</v>
      </c>
      <c r="H12" s="14" t="s">
        <v>180</v>
      </c>
      <c r="I12" s="14"/>
      <c r="J12" s="15" t="s">
        <v>218</v>
      </c>
      <c r="K12" s="14">
        <v>0.35</v>
      </c>
      <c r="L12" s="14" t="s">
        <v>180</v>
      </c>
    </row>
    <row r="13" spans="1:12">
      <c r="A13" s="14" t="s">
        <v>219</v>
      </c>
      <c r="B13" s="14" t="s">
        <v>220</v>
      </c>
      <c r="C13" s="14">
        <v>1.7000000000000001E-2</v>
      </c>
      <c r="D13" s="14" t="s">
        <v>180</v>
      </c>
      <c r="E13" s="14"/>
      <c r="F13" s="14" t="s">
        <v>221</v>
      </c>
      <c r="G13" s="14">
        <v>1.44</v>
      </c>
      <c r="H13" s="14" t="s">
        <v>180</v>
      </c>
      <c r="I13" s="14"/>
      <c r="J13" s="16" t="s">
        <v>222</v>
      </c>
      <c r="K13" s="17">
        <v>0.1</v>
      </c>
      <c r="L13" s="17" t="s">
        <v>180</v>
      </c>
    </row>
    <row r="14" spans="1:12">
      <c r="A14" s="14" t="s">
        <v>223</v>
      </c>
      <c r="B14" s="14" t="s">
        <v>224</v>
      </c>
      <c r="C14" s="14">
        <v>1.9E-2</v>
      </c>
      <c r="D14" s="14" t="s">
        <v>180</v>
      </c>
      <c r="E14" s="14"/>
      <c r="F14" s="14" t="s">
        <v>225</v>
      </c>
      <c r="G14" s="14">
        <v>1.44</v>
      </c>
      <c r="H14" s="14" t="s">
        <v>180</v>
      </c>
      <c r="I14" s="14"/>
      <c r="J14" s="15"/>
      <c r="K14" s="14"/>
      <c r="L14" s="14"/>
    </row>
    <row r="15" spans="1:12">
      <c r="A15" s="14" t="s">
        <v>226</v>
      </c>
      <c r="B15" s="14" t="s">
        <v>227</v>
      </c>
      <c r="C15" s="14">
        <v>1.6E-2</v>
      </c>
      <c r="D15" s="14" t="s">
        <v>180</v>
      </c>
      <c r="E15" s="14"/>
      <c r="F15" s="14" t="s">
        <v>228</v>
      </c>
      <c r="G15" s="14">
        <v>1.44</v>
      </c>
      <c r="H15" s="14" t="s">
        <v>180</v>
      </c>
      <c r="I15" s="14"/>
      <c r="J15" s="14" t="s">
        <v>89</v>
      </c>
      <c r="K15" s="14"/>
      <c r="L15" s="14"/>
    </row>
    <row r="16" spans="1:12">
      <c r="A16" s="14" t="s">
        <v>229</v>
      </c>
      <c r="B16" s="14" t="s">
        <v>230</v>
      </c>
      <c r="C16" s="14">
        <v>6.0000000000000001E-3</v>
      </c>
      <c r="D16" s="14" t="s">
        <v>180</v>
      </c>
      <c r="E16" s="14"/>
      <c r="F16" s="14" t="s">
        <v>231</v>
      </c>
      <c r="G16" s="14">
        <v>0.47</v>
      </c>
      <c r="H16" s="14" t="s">
        <v>180</v>
      </c>
      <c r="I16" s="14"/>
      <c r="J16" s="14" t="s">
        <v>232</v>
      </c>
      <c r="K16" s="14"/>
      <c r="L16" s="14"/>
    </row>
    <row r="17" spans="1:12">
      <c r="A17" s="14" t="s">
        <v>233</v>
      </c>
      <c r="B17" s="14" t="s">
        <v>234</v>
      </c>
      <c r="C17" s="14">
        <v>2E-3</v>
      </c>
      <c r="D17" s="14" t="s">
        <v>180</v>
      </c>
      <c r="E17" s="14"/>
      <c r="F17" s="14" t="s">
        <v>235</v>
      </c>
      <c r="G17" s="14" t="s">
        <v>236</v>
      </c>
      <c r="H17" s="14" t="s">
        <v>180</v>
      </c>
      <c r="I17" s="14"/>
      <c r="J17" s="14" t="s">
        <v>237</v>
      </c>
      <c r="K17" s="14"/>
      <c r="L17" s="14"/>
    </row>
    <row r="18" spans="1:12">
      <c r="A18" s="14" t="s">
        <v>207</v>
      </c>
      <c r="B18" s="14" t="s">
        <v>238</v>
      </c>
      <c r="C18" s="14">
        <v>1.6E-2</v>
      </c>
      <c r="D18" s="14" t="s">
        <v>180</v>
      </c>
      <c r="E18" s="14"/>
      <c r="F18" s="14" t="s">
        <v>239</v>
      </c>
      <c r="G18" s="14">
        <v>5.28</v>
      </c>
      <c r="H18" s="14" t="s">
        <v>180</v>
      </c>
      <c r="I18" s="14"/>
      <c r="J18" s="14" t="s">
        <v>240</v>
      </c>
      <c r="K18" s="14"/>
      <c r="L18" s="14"/>
    </row>
    <row r="19" spans="1:12">
      <c r="A19" s="14" t="s">
        <v>241</v>
      </c>
      <c r="B19" s="14" t="s">
        <v>242</v>
      </c>
      <c r="C19" s="14">
        <v>3.0000000000000001E-3</v>
      </c>
      <c r="D19" s="14" t="s">
        <v>180</v>
      </c>
      <c r="E19" s="14"/>
      <c r="F19" s="14" t="s">
        <v>243</v>
      </c>
      <c r="G19" s="14" t="s">
        <v>236</v>
      </c>
      <c r="H19" s="14" t="s">
        <v>180</v>
      </c>
      <c r="I19" s="14"/>
      <c r="J19" s="61" t="s">
        <v>189</v>
      </c>
      <c r="K19" s="61"/>
      <c r="L19" s="61"/>
    </row>
    <row r="20" spans="1:12">
      <c r="A20" s="14" t="s">
        <v>244</v>
      </c>
      <c r="B20" s="14" t="s">
        <v>245</v>
      </c>
      <c r="C20" s="14">
        <v>2E-3</v>
      </c>
      <c r="D20" s="14" t="s">
        <v>180</v>
      </c>
      <c r="E20" s="14"/>
      <c r="F20" s="14" t="s">
        <v>246</v>
      </c>
      <c r="G20" s="14" t="s">
        <v>236</v>
      </c>
      <c r="H20" s="14" t="s">
        <v>180</v>
      </c>
      <c r="I20" s="14"/>
      <c r="J20" s="18" t="s">
        <v>176</v>
      </c>
      <c r="K20" s="12" t="s">
        <v>177</v>
      </c>
      <c r="L20" s="12" t="s">
        <v>37</v>
      </c>
    </row>
    <row r="21" spans="1:12">
      <c r="A21" s="14" t="s">
        <v>233</v>
      </c>
      <c r="B21" s="14" t="s">
        <v>247</v>
      </c>
      <c r="C21" s="14">
        <v>1E-3</v>
      </c>
      <c r="D21" s="14" t="s">
        <v>180</v>
      </c>
      <c r="E21" s="14"/>
      <c r="F21" s="14" t="s">
        <v>248</v>
      </c>
      <c r="G21" s="14">
        <v>47.3</v>
      </c>
      <c r="H21" s="14" t="s">
        <v>180</v>
      </c>
      <c r="I21" s="14"/>
      <c r="J21" s="14" t="s">
        <v>249</v>
      </c>
      <c r="K21" s="14">
        <v>0.72099999999999997</v>
      </c>
      <c r="L21" s="14" t="s">
        <v>180</v>
      </c>
    </row>
    <row r="22" spans="1:12">
      <c r="A22" s="14" t="s">
        <v>204</v>
      </c>
      <c r="B22" s="14" t="s">
        <v>250</v>
      </c>
      <c r="C22" s="14">
        <v>1E-3</v>
      </c>
      <c r="D22" s="14" t="s">
        <v>180</v>
      </c>
      <c r="E22" s="14"/>
      <c r="F22" s="14" t="s">
        <v>251</v>
      </c>
      <c r="G22" s="14">
        <v>5.1100000000000003</v>
      </c>
      <c r="H22" s="14" t="s">
        <v>180</v>
      </c>
      <c r="I22" s="14"/>
      <c r="J22" s="14" t="s">
        <v>252</v>
      </c>
      <c r="K22" s="14">
        <v>1.0349999999999999</v>
      </c>
      <c r="L22" s="14" t="s">
        <v>183</v>
      </c>
    </row>
    <row r="23" spans="1:12">
      <c r="A23" s="14" t="s">
        <v>233</v>
      </c>
      <c r="B23" s="14" t="s">
        <v>253</v>
      </c>
      <c r="C23" s="14">
        <v>1E-3</v>
      </c>
      <c r="D23" s="14" t="s">
        <v>180</v>
      </c>
      <c r="E23" s="14"/>
      <c r="F23" s="14" t="s">
        <v>254</v>
      </c>
      <c r="G23" s="14">
        <v>418</v>
      </c>
      <c r="H23" s="14" t="s">
        <v>180</v>
      </c>
      <c r="I23" s="14"/>
      <c r="J23" s="14" t="s">
        <v>255</v>
      </c>
      <c r="K23" s="14">
        <v>9.9000000000000005E-2</v>
      </c>
      <c r="L23" s="14" t="s">
        <v>180</v>
      </c>
    </row>
    <row r="24" spans="1:12">
      <c r="A24" s="14" t="s">
        <v>207</v>
      </c>
      <c r="B24" s="14" t="s">
        <v>256</v>
      </c>
      <c r="C24" s="14">
        <v>3.3000000000000002E-2</v>
      </c>
      <c r="D24" s="14" t="s">
        <v>180</v>
      </c>
      <c r="E24" s="14"/>
      <c r="F24" s="17" t="s">
        <v>252</v>
      </c>
      <c r="G24" s="17">
        <v>54.5</v>
      </c>
      <c r="H24" s="17" t="s">
        <v>257</v>
      </c>
      <c r="I24" s="14"/>
      <c r="J24" s="14" t="s">
        <v>258</v>
      </c>
      <c r="K24" s="14">
        <v>0.183</v>
      </c>
      <c r="L24" s="14" t="s">
        <v>180</v>
      </c>
    </row>
    <row r="25" spans="1:12">
      <c r="A25" s="14" t="s">
        <v>241</v>
      </c>
      <c r="B25" s="14" t="s">
        <v>259</v>
      </c>
      <c r="C25" s="14">
        <v>1E-3</v>
      </c>
      <c r="D25" s="14" t="s">
        <v>180</v>
      </c>
      <c r="E25" s="14"/>
      <c r="F25" s="14" t="s">
        <v>260</v>
      </c>
      <c r="G25" s="14"/>
      <c r="H25" s="14"/>
      <c r="I25" s="14"/>
      <c r="J25" s="14" t="s">
        <v>261</v>
      </c>
      <c r="K25" s="14">
        <v>8.64</v>
      </c>
      <c r="L25" s="14" t="s">
        <v>180</v>
      </c>
    </row>
    <row r="26" spans="1:12">
      <c r="A26" s="14" t="s">
        <v>215</v>
      </c>
      <c r="B26" s="14" t="s">
        <v>262</v>
      </c>
      <c r="C26" s="14">
        <v>2.1999999999999999E-2</v>
      </c>
      <c r="D26" s="14" t="s">
        <v>180</v>
      </c>
      <c r="E26" s="14"/>
      <c r="F26" s="14" t="s">
        <v>263</v>
      </c>
      <c r="G26" s="14"/>
      <c r="H26" s="14"/>
      <c r="I26" s="14"/>
      <c r="J26" s="14" t="s">
        <v>264</v>
      </c>
      <c r="K26" s="14">
        <v>0.23200000000000001</v>
      </c>
      <c r="L26" s="14" t="s">
        <v>180</v>
      </c>
    </row>
    <row r="27" spans="1:12">
      <c r="A27" s="14" t="s">
        <v>207</v>
      </c>
      <c r="B27" s="14" t="s">
        <v>265</v>
      </c>
      <c r="C27" s="14">
        <v>1.6E-2</v>
      </c>
      <c r="D27" s="14" t="s">
        <v>180</v>
      </c>
      <c r="E27" s="14"/>
      <c r="F27" s="14" t="s">
        <v>266</v>
      </c>
      <c r="G27" s="14"/>
      <c r="H27" s="14"/>
      <c r="I27" s="14"/>
      <c r="J27" s="17" t="s">
        <v>267</v>
      </c>
      <c r="K27" s="17">
        <v>0.29099999999999998</v>
      </c>
      <c r="L27" s="17" t="s">
        <v>180</v>
      </c>
    </row>
    <row r="28" spans="1:12">
      <c r="A28" s="19" t="s">
        <v>268</v>
      </c>
      <c r="B28" s="19" t="s">
        <v>269</v>
      </c>
      <c r="C28" s="19">
        <v>4.0000000000000003E-5</v>
      </c>
      <c r="D28" s="17" t="s">
        <v>180</v>
      </c>
      <c r="E28" s="14"/>
      <c r="F28" s="14" t="s">
        <v>89</v>
      </c>
      <c r="G28" s="14"/>
      <c r="H28" s="14"/>
      <c r="I28" s="14"/>
      <c r="J28" s="15"/>
      <c r="K28" s="14"/>
      <c r="L28" s="14"/>
    </row>
    <row r="29" spans="1:12">
      <c r="A29" s="14" t="s">
        <v>270</v>
      </c>
      <c r="B29" s="14"/>
      <c r="C29" s="14"/>
      <c r="D29" s="14"/>
      <c r="E29" s="14"/>
      <c r="F29" s="14" t="s">
        <v>271</v>
      </c>
      <c r="G29" s="14"/>
      <c r="H29" s="14"/>
      <c r="I29" s="14"/>
      <c r="J29" s="14" t="s">
        <v>89</v>
      </c>
      <c r="K29" s="14"/>
      <c r="L29" s="14"/>
    </row>
    <row r="30" spans="1:12">
      <c r="A30" s="14" t="s">
        <v>89</v>
      </c>
      <c r="B30" s="14"/>
      <c r="C30" s="14"/>
      <c r="D30" s="14"/>
      <c r="E30" s="14"/>
      <c r="F30" s="14" t="s">
        <v>272</v>
      </c>
      <c r="G30" s="14"/>
      <c r="H30" s="14"/>
      <c r="I30" s="14"/>
      <c r="J30" s="14" t="s">
        <v>273</v>
      </c>
      <c r="K30" s="14"/>
      <c r="L30" s="14"/>
    </row>
    <row r="31" spans="1:12">
      <c r="A31" s="17" t="s">
        <v>273</v>
      </c>
      <c r="B31" s="17"/>
      <c r="C31" s="17"/>
      <c r="D31" s="17"/>
      <c r="E31" s="14"/>
      <c r="F31" s="17" t="s">
        <v>273</v>
      </c>
      <c r="G31" s="17"/>
      <c r="H31" s="17"/>
      <c r="I31" s="14"/>
      <c r="J31" s="20" t="s">
        <v>274</v>
      </c>
      <c r="K31" s="21"/>
      <c r="L31" s="21"/>
    </row>
    <row r="32" spans="1:12">
      <c r="A32" s="14"/>
      <c r="B32" s="14"/>
      <c r="C32" s="14"/>
      <c r="D32" s="14"/>
      <c r="E32" s="14"/>
      <c r="F32" s="14"/>
      <c r="G32" s="14"/>
      <c r="H32" s="14"/>
      <c r="I32" s="14"/>
      <c r="J32" s="15"/>
      <c r="K32" s="14"/>
      <c r="L32" s="14"/>
    </row>
    <row r="33" spans="1:12">
      <c r="A33" s="60" t="s">
        <v>275</v>
      </c>
      <c r="B33" s="60"/>
      <c r="C33" s="60"/>
      <c r="D33" s="60"/>
      <c r="E33" s="14"/>
      <c r="F33" s="14"/>
      <c r="G33" s="14"/>
      <c r="H33" s="14"/>
      <c r="I33" s="14"/>
      <c r="J33" s="15"/>
      <c r="K33" s="14"/>
      <c r="L33" s="14"/>
    </row>
    <row r="34" spans="1:12">
      <c r="A34" s="12" t="s">
        <v>175</v>
      </c>
      <c r="B34" s="12" t="s">
        <v>176</v>
      </c>
      <c r="C34" s="12" t="s">
        <v>177</v>
      </c>
      <c r="D34" s="12" t="s">
        <v>37</v>
      </c>
      <c r="E34" s="14"/>
      <c r="F34" s="14"/>
      <c r="G34" s="14"/>
      <c r="H34" s="14"/>
      <c r="I34" s="14"/>
      <c r="J34" s="15"/>
      <c r="K34" s="14"/>
      <c r="L34" s="14"/>
    </row>
    <row r="35" spans="1:12">
      <c r="A35" s="14" t="s">
        <v>252</v>
      </c>
      <c r="B35" s="14" t="s">
        <v>252</v>
      </c>
      <c r="C35" s="14">
        <v>78.61</v>
      </c>
      <c r="D35" s="14" t="s">
        <v>276</v>
      </c>
      <c r="E35" s="14"/>
      <c r="F35" s="14">
        <f>C5+C4</f>
        <v>30.369999999999997</v>
      </c>
      <c r="G35" s="14"/>
      <c r="H35" s="14"/>
      <c r="I35" s="14"/>
      <c r="J35" s="15"/>
      <c r="K35" s="14"/>
      <c r="L35" s="14"/>
    </row>
    <row r="36" spans="1:12">
      <c r="A36" s="14" t="s">
        <v>304</v>
      </c>
      <c r="B36" s="14" t="s">
        <v>277</v>
      </c>
      <c r="C36" s="14">
        <v>4.09</v>
      </c>
      <c r="D36" s="14" t="s">
        <v>180</v>
      </c>
      <c r="E36" s="14"/>
      <c r="F36" s="14"/>
      <c r="G36" s="14"/>
      <c r="H36" s="14"/>
      <c r="I36" s="14"/>
      <c r="J36" s="15"/>
      <c r="K36" s="14"/>
      <c r="L36" s="14"/>
    </row>
    <row r="37" spans="1:12">
      <c r="A37" s="14" t="s">
        <v>305</v>
      </c>
      <c r="B37" s="14" t="s">
        <v>278</v>
      </c>
      <c r="C37" s="14">
        <v>30.37</v>
      </c>
      <c r="D37" s="14" t="s">
        <v>180</v>
      </c>
      <c r="E37" s="14"/>
      <c r="F37" s="14"/>
      <c r="G37" s="14"/>
      <c r="H37" s="14"/>
      <c r="I37" s="14"/>
      <c r="J37" s="15"/>
      <c r="K37" s="14"/>
      <c r="L37" s="14"/>
    </row>
    <row r="38" spans="1:12">
      <c r="A38" s="14" t="s">
        <v>306</v>
      </c>
      <c r="B38" s="14" t="s">
        <v>279</v>
      </c>
      <c r="C38" s="14">
        <v>0.97799999999999998</v>
      </c>
      <c r="D38" s="14" t="s">
        <v>180</v>
      </c>
      <c r="E38" s="14"/>
      <c r="F38" s="14"/>
      <c r="G38" s="14"/>
      <c r="H38" s="14"/>
      <c r="I38" s="14"/>
      <c r="J38" s="15"/>
      <c r="K38" s="14"/>
      <c r="L38" s="14"/>
    </row>
    <row r="39" spans="1:12">
      <c r="A39" s="14" t="s">
        <v>280</v>
      </c>
      <c r="B39" s="14" t="s">
        <v>307</v>
      </c>
      <c r="C39" s="14">
        <v>0.28499999999999998</v>
      </c>
      <c r="D39" s="14" t="s">
        <v>180</v>
      </c>
      <c r="E39" s="14"/>
      <c r="F39" s="14"/>
      <c r="G39" s="14"/>
      <c r="H39" s="14"/>
      <c r="I39" s="14"/>
      <c r="J39" s="15"/>
      <c r="K39" s="14"/>
      <c r="L39" s="14"/>
    </row>
    <row r="40" spans="1:12">
      <c r="A40" s="14" t="s">
        <v>309</v>
      </c>
      <c r="B40" s="14" t="s">
        <v>281</v>
      </c>
      <c r="C40" s="14">
        <v>0.22</v>
      </c>
      <c r="D40" s="14" t="s">
        <v>180</v>
      </c>
      <c r="E40" s="14" t="s">
        <v>308</v>
      </c>
      <c r="F40" s="14"/>
      <c r="G40" s="14"/>
      <c r="H40" s="14"/>
      <c r="I40" s="14"/>
      <c r="J40" s="15"/>
      <c r="K40" s="14"/>
      <c r="L40" s="14"/>
    </row>
    <row r="41" spans="1:12">
      <c r="A41" s="17" t="s">
        <v>282</v>
      </c>
      <c r="B41" s="17" t="s">
        <v>282</v>
      </c>
      <c r="C41" s="17">
        <v>4.2999999999999997E-2</v>
      </c>
      <c r="D41" s="17" t="s">
        <v>180</v>
      </c>
      <c r="E41" s="14"/>
      <c r="F41" s="14"/>
      <c r="G41" s="14"/>
      <c r="H41" s="14"/>
      <c r="I41" s="14"/>
      <c r="J41" s="15"/>
      <c r="K41" s="14"/>
      <c r="L41" s="14"/>
    </row>
    <row r="42" spans="1:12">
      <c r="A42" s="14" t="s">
        <v>270</v>
      </c>
      <c r="B42" s="14"/>
      <c r="C42" s="14"/>
      <c r="D42" s="14"/>
      <c r="E42" s="14"/>
      <c r="F42" s="14"/>
      <c r="G42" s="14"/>
      <c r="H42" s="14"/>
      <c r="I42" s="14"/>
      <c r="J42" s="15"/>
      <c r="K42" s="14"/>
      <c r="L42" s="14"/>
    </row>
    <row r="43" spans="1:12">
      <c r="C43">
        <f>SUM(C36:C41)</f>
        <v>35.985999999999997</v>
      </c>
    </row>
  </sheetData>
  <mergeCells count="5">
    <mergeCell ref="A1:D1"/>
    <mergeCell ref="F1:H1"/>
    <mergeCell ref="J1:L1"/>
    <mergeCell ref="J19:L19"/>
    <mergeCell ref="A33:D3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5C8D29-C40E-5A47-BE32-857FE83CA24C}">
  <dimension ref="A2:N41"/>
  <sheetViews>
    <sheetView tabSelected="1" workbookViewId="0">
      <selection activeCell="D17" sqref="D17"/>
    </sheetView>
  </sheetViews>
  <sheetFormatPr baseColWidth="10" defaultRowHeight="16"/>
  <cols>
    <col min="1" max="1" width="14.33203125" customWidth="1"/>
    <col min="3" max="3" width="6.6640625" customWidth="1"/>
    <col min="5" max="5" width="9.83203125" customWidth="1"/>
    <col min="7" max="7" width="4.1640625" customWidth="1"/>
    <col min="10" max="10" width="5.5" customWidth="1"/>
    <col min="12" max="12" width="5.33203125" customWidth="1"/>
    <col min="14" max="14" width="5.1640625" customWidth="1"/>
  </cols>
  <sheetData>
    <row r="2" spans="1:14" ht="17" thickBot="1">
      <c r="B2" s="66" t="s">
        <v>645</v>
      </c>
      <c r="C2" s="66"/>
      <c r="D2" s="65" t="s">
        <v>174</v>
      </c>
      <c r="E2" s="65"/>
      <c r="F2" s="65" t="s">
        <v>646</v>
      </c>
      <c r="G2" s="65"/>
      <c r="I2" s="65" t="s">
        <v>310</v>
      </c>
      <c r="J2" s="65"/>
      <c r="K2" s="65" t="s">
        <v>647</v>
      </c>
      <c r="L2" s="65"/>
      <c r="M2" s="65" t="s">
        <v>189</v>
      </c>
      <c r="N2" s="65"/>
    </row>
    <row r="3" spans="1:14" ht="17" thickTop="1">
      <c r="A3" s="90" t="s">
        <v>648</v>
      </c>
      <c r="B3" s="91"/>
      <c r="C3" s="91"/>
      <c r="D3" s="91"/>
      <c r="E3" s="91"/>
      <c r="F3" s="91"/>
      <c r="G3" s="91"/>
      <c r="H3" s="91"/>
      <c r="I3" s="91"/>
      <c r="J3" s="91"/>
      <c r="K3" s="91"/>
      <c r="L3" s="91"/>
      <c r="M3" s="91"/>
      <c r="N3" s="91"/>
    </row>
    <row r="4" spans="1:14">
      <c r="A4" s="6" t="s">
        <v>649</v>
      </c>
      <c r="B4" t="s">
        <v>657</v>
      </c>
      <c r="D4" s="3" t="s">
        <v>670</v>
      </c>
    </row>
    <row r="5" spans="1:14">
      <c r="A5" t="s">
        <v>668</v>
      </c>
      <c r="D5" s="62" t="s">
        <v>467</v>
      </c>
      <c r="E5" t="s">
        <v>677</v>
      </c>
    </row>
    <row r="6" spans="1:14">
      <c r="D6" s="62" t="s">
        <v>475</v>
      </c>
      <c r="E6" t="s">
        <v>678</v>
      </c>
    </row>
    <row r="7" spans="1:14">
      <c r="D7" s="62" t="s">
        <v>680</v>
      </c>
      <c r="E7" t="s">
        <v>681</v>
      </c>
    </row>
    <row r="8" spans="1:14">
      <c r="A8" t="s">
        <v>669</v>
      </c>
      <c r="D8" t="s">
        <v>671</v>
      </c>
    </row>
    <row r="9" spans="1:14">
      <c r="A9" s="6" t="s">
        <v>650</v>
      </c>
      <c r="B9" t="s">
        <v>475</v>
      </c>
      <c r="C9" s="68">
        <f>330/B20</f>
        <v>0.56896551724137934</v>
      </c>
      <c r="D9" t="s">
        <v>475</v>
      </c>
      <c r="E9" s="68">
        <f>39000/68000</f>
        <v>0.57352941176470584</v>
      </c>
    </row>
    <row r="10" spans="1:14">
      <c r="B10" t="s">
        <v>481</v>
      </c>
      <c r="C10" s="68">
        <f>71/B20</f>
        <v>0.12241379310344827</v>
      </c>
      <c r="D10" t="s">
        <v>483</v>
      </c>
      <c r="E10" s="68">
        <f>3900/D20</f>
        <v>5.735294117647059E-5</v>
      </c>
    </row>
    <row r="11" spans="1:14">
      <c r="B11" t="s">
        <v>476</v>
      </c>
      <c r="C11" s="68">
        <f>75/B20</f>
        <v>0.12931034482758622</v>
      </c>
      <c r="D11" t="s">
        <v>481</v>
      </c>
      <c r="E11" s="68">
        <f>3700/D20</f>
        <v>5.4411764705882355E-5</v>
      </c>
    </row>
    <row r="12" spans="1:14">
      <c r="A12" s="89" t="s">
        <v>656</v>
      </c>
      <c r="B12" s="87">
        <f>57+19+17+4+3</f>
        <v>100</v>
      </c>
      <c r="C12" s="87"/>
      <c r="D12" s="3">
        <v>44</v>
      </c>
      <c r="E12" s="68"/>
    </row>
    <row r="13" spans="1:14">
      <c r="A13" s="88" t="s">
        <v>660</v>
      </c>
      <c r="B13" t="s">
        <v>394</v>
      </c>
      <c r="C13" s="68">
        <v>0.56999999999999995</v>
      </c>
      <c r="D13" t="s">
        <v>394</v>
      </c>
      <c r="E13" s="68">
        <v>0.5</v>
      </c>
    </row>
    <row r="14" spans="1:14">
      <c r="B14" t="s">
        <v>74</v>
      </c>
      <c r="C14" s="68">
        <v>0.19</v>
      </c>
      <c r="D14" t="s">
        <v>661</v>
      </c>
      <c r="E14" s="68">
        <v>0.09</v>
      </c>
    </row>
    <row r="15" spans="1:14" ht="17" thickBot="1">
      <c r="B15" t="s">
        <v>475</v>
      </c>
      <c r="C15" s="68">
        <v>0.17</v>
      </c>
      <c r="D15" t="s">
        <v>481</v>
      </c>
      <c r="E15" s="68">
        <v>0.06</v>
      </c>
    </row>
    <row r="16" spans="1:14" ht="17" thickTop="1">
      <c r="A16" s="91" t="s">
        <v>651</v>
      </c>
      <c r="B16" s="91">
        <v>40</v>
      </c>
      <c r="C16" s="91"/>
      <c r="D16" s="94">
        <v>7.0000000000000001E-3</v>
      </c>
      <c r="E16" s="92"/>
      <c r="F16" s="91"/>
      <c r="G16" s="91"/>
      <c r="H16" s="91"/>
      <c r="I16" s="91"/>
      <c r="J16" s="91"/>
      <c r="K16" s="91"/>
      <c r="L16" s="91"/>
      <c r="M16" s="91">
        <v>30</v>
      </c>
      <c r="N16" s="91"/>
    </row>
    <row r="17" spans="1:7">
      <c r="A17" t="s">
        <v>653</v>
      </c>
      <c r="B17" t="s">
        <v>654</v>
      </c>
      <c r="D17" t="s">
        <v>654</v>
      </c>
    </row>
    <row r="18" spans="1:7">
      <c r="A18" t="s">
        <v>655</v>
      </c>
      <c r="B18">
        <v>71</v>
      </c>
      <c r="D18">
        <v>3.1</v>
      </c>
    </row>
    <row r="19" spans="1:7">
      <c r="A19" t="s">
        <v>659</v>
      </c>
    </row>
    <row r="20" spans="1:7">
      <c r="A20" t="s">
        <v>662</v>
      </c>
      <c r="B20">
        <v>580</v>
      </c>
      <c r="D20">
        <v>68000000</v>
      </c>
    </row>
    <row r="21" spans="1:7">
      <c r="A21" t="s">
        <v>658</v>
      </c>
    </row>
    <row r="23" spans="1:7">
      <c r="A23" t="s">
        <v>92</v>
      </c>
      <c r="D23" t="s">
        <v>667</v>
      </c>
    </row>
    <row r="24" spans="1:7">
      <c r="D24" t="s">
        <v>683</v>
      </c>
      <c r="G24" t="s">
        <v>684</v>
      </c>
    </row>
    <row r="25" spans="1:7">
      <c r="A25" t="s">
        <v>663</v>
      </c>
      <c r="B25" t="s">
        <v>652</v>
      </c>
      <c r="C25" t="s">
        <v>666</v>
      </c>
      <c r="D25" t="s">
        <v>664</v>
      </c>
      <c r="E25" t="s">
        <v>666</v>
      </c>
    </row>
    <row r="26" spans="1:7">
      <c r="D26" t="s">
        <v>665</v>
      </c>
      <c r="E26" t="s">
        <v>666</v>
      </c>
    </row>
    <row r="27" spans="1:7">
      <c r="D27" t="s">
        <v>675</v>
      </c>
      <c r="E27" t="s">
        <v>676</v>
      </c>
    </row>
    <row r="28" spans="1:7">
      <c r="C28" t="s">
        <v>672</v>
      </c>
      <c r="D28">
        <f>110000/390000</f>
        <v>0.28205128205128205</v>
      </c>
      <c r="E28">
        <f>21000/140000</f>
        <v>0.15</v>
      </c>
    </row>
    <row r="29" spans="1:7">
      <c r="C29" t="s">
        <v>673</v>
      </c>
      <c r="D29">
        <f>86000/390000</f>
        <v>0.22051282051282051</v>
      </c>
      <c r="E29">
        <f>74000/140000</f>
        <v>0.52857142857142858</v>
      </c>
    </row>
    <row r="30" spans="1:7">
      <c r="C30" t="s">
        <v>674</v>
      </c>
      <c r="D30">
        <f>85000/390000</f>
        <v>0.21794871794871795</v>
      </c>
    </row>
    <row r="31" spans="1:7">
      <c r="C31" t="s">
        <v>679</v>
      </c>
      <c r="E31">
        <f>11000/140000</f>
        <v>7.857142857142857E-2</v>
      </c>
    </row>
    <row r="33" spans="4:5">
      <c r="D33">
        <v>1.4</v>
      </c>
      <c r="E33" t="s">
        <v>682</v>
      </c>
    </row>
    <row r="34" spans="4:5">
      <c r="D34">
        <f>1.4/0.45</f>
        <v>3.1111111111111107</v>
      </c>
    </row>
    <row r="36" spans="4:5" ht="17">
      <c r="D36" s="93" t="s">
        <v>685</v>
      </c>
    </row>
    <row r="37" spans="4:5">
      <c r="D37" t="s">
        <v>686</v>
      </c>
    </row>
    <row r="38" spans="4:5">
      <c r="D38" t="s">
        <v>687</v>
      </c>
    </row>
    <row r="40" spans="4:5">
      <c r="D40">
        <f>23565*21</f>
        <v>494865</v>
      </c>
      <c r="E40" t="s">
        <v>688</v>
      </c>
    </row>
    <row r="41" spans="4:5">
      <c r="D41" s="72">
        <f>D40/D20</f>
        <v>7.2774264705882351E-3</v>
      </c>
    </row>
  </sheetData>
  <mergeCells count="5">
    <mergeCell ref="D2:E2"/>
    <mergeCell ref="F2:G2"/>
    <mergeCell ref="I2:J2"/>
    <mergeCell ref="K2:L2"/>
    <mergeCell ref="M2:N2"/>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8EEF90-A739-8F4A-8473-03C115AD32D1}">
  <dimension ref="A1:P24"/>
  <sheetViews>
    <sheetView topLeftCell="R1" workbookViewId="0">
      <selection activeCell="L32" sqref="L32"/>
    </sheetView>
  </sheetViews>
  <sheetFormatPr baseColWidth="10" defaultRowHeight="16"/>
  <cols>
    <col min="1" max="1" width="20.83203125" customWidth="1"/>
    <col min="4" max="4" width="19.6640625" customWidth="1"/>
    <col min="6" max="6" width="13.6640625" customWidth="1"/>
    <col min="10" max="10" width="13.33203125" style="42" customWidth="1"/>
    <col min="11" max="13" width="10.83203125" style="42"/>
    <col min="15" max="16" width="16" customWidth="1"/>
  </cols>
  <sheetData>
    <row r="1" spans="1:16">
      <c r="A1" s="25"/>
      <c r="B1" s="25"/>
      <c r="C1" s="25"/>
      <c r="D1" s="25"/>
      <c r="E1" s="25"/>
      <c r="F1" s="25"/>
      <c r="G1" s="25"/>
      <c r="H1" s="25"/>
      <c r="I1" s="25"/>
      <c r="J1" s="48"/>
      <c r="K1" s="48"/>
      <c r="L1" s="48"/>
      <c r="M1" s="48"/>
    </row>
    <row r="2" spans="1:16">
      <c r="A2" s="25"/>
      <c r="B2" s="25" t="s">
        <v>310</v>
      </c>
      <c r="C2" s="25" t="s">
        <v>311</v>
      </c>
      <c r="D2" s="25" t="s">
        <v>312</v>
      </c>
      <c r="E2" s="25" t="s">
        <v>77</v>
      </c>
      <c r="F2" s="25" t="s">
        <v>313</v>
      </c>
      <c r="G2" s="25"/>
      <c r="H2" s="25"/>
      <c r="I2" s="25"/>
      <c r="J2" s="48"/>
      <c r="K2" s="48"/>
      <c r="L2" s="48"/>
      <c r="M2" s="48"/>
    </row>
    <row r="3" spans="1:16">
      <c r="A3" s="25" t="s">
        <v>314</v>
      </c>
      <c r="B3" s="25">
        <v>48</v>
      </c>
      <c r="C3" s="25">
        <v>52</v>
      </c>
      <c r="D3" s="25">
        <v>16</v>
      </c>
      <c r="E3" s="25" t="s">
        <v>236</v>
      </c>
      <c r="F3" s="25" t="s">
        <v>236</v>
      </c>
      <c r="G3" s="25"/>
      <c r="H3" s="25"/>
      <c r="I3" s="25"/>
      <c r="J3" s="49" t="s">
        <v>315</v>
      </c>
      <c r="K3" s="49" t="s">
        <v>316</v>
      </c>
      <c r="L3" s="49" t="s">
        <v>317</v>
      </c>
      <c r="M3" s="49" t="s">
        <v>318</v>
      </c>
      <c r="O3" s="46" t="s">
        <v>367</v>
      </c>
      <c r="P3" s="46" t="s">
        <v>368</v>
      </c>
    </row>
    <row r="4" spans="1:16">
      <c r="A4" s="25" t="s">
        <v>319</v>
      </c>
      <c r="B4" s="25">
        <v>112.411</v>
      </c>
      <c r="C4" s="25">
        <v>127.6</v>
      </c>
      <c r="D4" s="25">
        <v>32.06</v>
      </c>
      <c r="E4" s="25">
        <v>240.011</v>
      </c>
      <c r="F4" s="25">
        <v>144.471</v>
      </c>
      <c r="G4" s="25"/>
      <c r="H4" s="25"/>
      <c r="I4" s="26"/>
      <c r="J4" s="47">
        <f>3/1000000</f>
        <v>3.0000000000000001E-6</v>
      </c>
      <c r="K4" s="47">
        <v>1</v>
      </c>
      <c r="L4" s="47">
        <v>1</v>
      </c>
      <c r="M4" s="47">
        <f>J4*K4*L4</f>
        <v>3.0000000000000001E-6</v>
      </c>
    </row>
    <row r="5" spans="1:16">
      <c r="A5" s="25" t="s">
        <v>320</v>
      </c>
      <c r="B5" s="25">
        <v>8.9938000000000002</v>
      </c>
      <c r="C5" s="25">
        <v>9.0096000000000007</v>
      </c>
      <c r="D5" s="25"/>
      <c r="E5" s="25" t="s">
        <v>236</v>
      </c>
      <c r="F5" s="25" t="s">
        <v>236</v>
      </c>
      <c r="G5" s="25"/>
      <c r="H5" s="25"/>
      <c r="I5" s="26"/>
      <c r="J5" s="47">
        <f>2/1000000</f>
        <v>1.9999999999999999E-6</v>
      </c>
      <c r="K5" s="47">
        <v>1</v>
      </c>
      <c r="L5" s="47">
        <v>1</v>
      </c>
      <c r="M5" s="47">
        <f>J5*K5*L5</f>
        <v>1.9999999999999999E-6</v>
      </c>
    </row>
    <row r="6" spans="1:16">
      <c r="A6" s="25" t="s">
        <v>321</v>
      </c>
      <c r="B6" s="25">
        <v>767</v>
      </c>
      <c r="C6" s="25">
        <v>988</v>
      </c>
      <c r="D6" s="25" t="s">
        <v>322</v>
      </c>
      <c r="E6" s="27" t="s">
        <v>323</v>
      </c>
      <c r="F6" s="25">
        <v>980</v>
      </c>
      <c r="G6" s="25"/>
      <c r="H6" s="25"/>
      <c r="J6" s="47">
        <f>2.2/1000000</f>
        <v>2.2000000000000001E-6</v>
      </c>
      <c r="K6" s="47">
        <v>1</v>
      </c>
      <c r="L6" s="47">
        <v>1</v>
      </c>
      <c r="M6" s="47">
        <f>J6*K6*L6</f>
        <v>2.2000000000000001E-6</v>
      </c>
    </row>
    <row r="7" spans="1:16">
      <c r="A7" s="25" t="s">
        <v>327</v>
      </c>
      <c r="B7" s="25" t="s">
        <v>236</v>
      </c>
      <c r="C7" s="25" t="s">
        <v>236</v>
      </c>
      <c r="D7" s="25">
        <v>115.21</v>
      </c>
      <c r="E7" s="25">
        <v>1041</v>
      </c>
      <c r="F7" s="25">
        <v>1750</v>
      </c>
      <c r="G7" s="25"/>
      <c r="H7" s="25"/>
      <c r="I7" s="26"/>
      <c r="J7" s="48"/>
      <c r="K7" s="48"/>
      <c r="L7" s="48"/>
      <c r="M7" s="48"/>
    </row>
    <row r="8" spans="1:16">
      <c r="A8" s="25" t="s">
        <v>328</v>
      </c>
      <c r="B8" s="28" t="s">
        <v>329</v>
      </c>
      <c r="C8" s="25" t="s">
        <v>330</v>
      </c>
      <c r="D8" s="25" t="s">
        <v>331</v>
      </c>
      <c r="E8" s="25" t="s">
        <v>332</v>
      </c>
      <c r="F8" s="25" t="s">
        <v>333</v>
      </c>
      <c r="G8" s="25"/>
      <c r="H8" s="25"/>
      <c r="I8" s="26"/>
      <c r="J8" s="50" t="s">
        <v>324</v>
      </c>
      <c r="K8" s="50" t="s">
        <v>325</v>
      </c>
      <c r="L8" s="50" t="s">
        <v>326</v>
      </c>
      <c r="M8" s="48"/>
    </row>
    <row r="9" spans="1:16">
      <c r="A9" s="25" t="s">
        <v>334</v>
      </c>
      <c r="B9" s="25">
        <v>8.65</v>
      </c>
      <c r="C9" s="25">
        <v>6.24</v>
      </c>
      <c r="D9" s="25">
        <v>2.0699999999999998</v>
      </c>
      <c r="E9" s="25">
        <v>5.85</v>
      </c>
      <c r="F9" s="25">
        <v>4.8259999999999996</v>
      </c>
      <c r="G9" s="25"/>
      <c r="H9" s="25"/>
      <c r="I9" s="25" t="s">
        <v>623</v>
      </c>
      <c r="J9" s="51">
        <f>M4*$E$9*1000000</f>
        <v>17.55</v>
      </c>
      <c r="K9" s="51">
        <f>J9*$E$14</f>
        <v>8.2196776397748437</v>
      </c>
      <c r="L9" s="51">
        <f>J9*$E$15</f>
        <v>9.3303223602251553</v>
      </c>
      <c r="M9" s="48"/>
    </row>
    <row r="10" spans="1:16">
      <c r="A10" s="25" t="s">
        <v>319</v>
      </c>
      <c r="B10" s="25"/>
      <c r="C10" s="25"/>
      <c r="D10" s="25"/>
      <c r="E10" s="25">
        <v>240.01</v>
      </c>
      <c r="F10" s="25">
        <v>144.47</v>
      </c>
      <c r="G10" s="25"/>
      <c r="H10" s="25"/>
      <c r="I10" s="25" t="s">
        <v>624</v>
      </c>
      <c r="J10" s="51">
        <f>M5*$E$9*1000000</f>
        <v>11.699999999999998</v>
      </c>
      <c r="K10" s="51">
        <f>J10*$E$14</f>
        <v>5.4797850931832279</v>
      </c>
      <c r="L10" s="51">
        <f>J10*$E$15</f>
        <v>6.2202149068167687</v>
      </c>
      <c r="M10" s="48"/>
    </row>
    <row r="11" spans="1:16">
      <c r="A11" s="25" t="s">
        <v>335</v>
      </c>
      <c r="B11" s="25"/>
      <c r="C11" s="25"/>
      <c r="D11" s="25"/>
      <c r="E11" s="25">
        <v>1.5</v>
      </c>
      <c r="F11" s="25">
        <v>2.42</v>
      </c>
      <c r="G11" s="25"/>
      <c r="H11" s="25"/>
      <c r="I11" s="25" t="s">
        <v>625</v>
      </c>
      <c r="J11" s="51">
        <f>M6*$E$9*1000000</f>
        <v>12.870000000000001</v>
      </c>
      <c r="K11" s="51">
        <f>J11*$E$14</f>
        <v>6.027763602501552</v>
      </c>
      <c r="L11" s="51">
        <f>J11*$E$15</f>
        <v>6.8422363974984481</v>
      </c>
      <c r="M11" s="48"/>
    </row>
    <row r="12" spans="1:16">
      <c r="A12" s="25" t="s">
        <v>336</v>
      </c>
      <c r="B12" s="25"/>
      <c r="C12" s="25"/>
      <c r="D12" s="25"/>
      <c r="E12" s="25" t="s">
        <v>337</v>
      </c>
      <c r="F12" s="25" t="s">
        <v>338</v>
      </c>
      <c r="G12" s="25"/>
      <c r="H12" s="25"/>
      <c r="I12" s="25"/>
      <c r="J12" s="48"/>
      <c r="K12" s="48"/>
      <c r="L12" s="48"/>
      <c r="M12" s="48"/>
    </row>
    <row r="13" spans="1:16">
      <c r="A13" s="25"/>
      <c r="B13" s="25"/>
      <c r="C13" s="25"/>
      <c r="D13" s="25"/>
      <c r="E13" s="25"/>
      <c r="F13" s="25" t="s">
        <v>339</v>
      </c>
      <c r="G13" s="25"/>
      <c r="H13" s="25"/>
      <c r="I13" s="25"/>
      <c r="J13" s="52" t="s">
        <v>315</v>
      </c>
      <c r="K13" s="52" t="s">
        <v>316</v>
      </c>
      <c r="L13" s="52" t="s">
        <v>317</v>
      </c>
      <c r="M13" s="52" t="s">
        <v>318</v>
      </c>
    </row>
    <row r="14" spans="1:16">
      <c r="A14" s="25" t="s">
        <v>340</v>
      </c>
      <c r="B14" s="25"/>
      <c r="C14" s="25"/>
      <c r="D14" t="s">
        <v>344</v>
      </c>
      <c r="E14" s="25">
        <f>B4/E4</f>
        <v>0.46835770027207085</v>
      </c>
      <c r="F14" s="25">
        <v>0.778086952</v>
      </c>
      <c r="G14" s="25"/>
      <c r="H14" s="25"/>
      <c r="I14" s="25"/>
      <c r="J14" s="53">
        <v>6.0000000000000002E-6</v>
      </c>
      <c r="K14" s="53">
        <v>1</v>
      </c>
      <c r="L14" s="53">
        <v>1</v>
      </c>
      <c r="M14" s="53">
        <v>6.0000000000000002E-6</v>
      </c>
    </row>
    <row r="15" spans="1:16">
      <c r="A15" s="25"/>
      <c r="B15" s="25"/>
      <c r="C15" s="25"/>
      <c r="D15" t="s">
        <v>345</v>
      </c>
      <c r="E15" s="25">
        <f>C4/E4</f>
        <v>0.53164229972792909</v>
      </c>
      <c r="F15" s="25">
        <v>0.221913048</v>
      </c>
      <c r="G15" s="25"/>
      <c r="H15" s="25"/>
      <c r="I15" s="25"/>
      <c r="J15" s="48"/>
      <c r="K15" s="48"/>
      <c r="L15" s="48"/>
      <c r="M15" s="48"/>
    </row>
    <row r="16" spans="1:16">
      <c r="A16" s="25"/>
      <c r="B16" s="25"/>
      <c r="C16" s="25"/>
      <c r="D16" s="25"/>
      <c r="E16" s="25"/>
      <c r="F16" s="25"/>
      <c r="G16" s="25"/>
      <c r="H16" s="25"/>
      <c r="I16" s="25"/>
      <c r="J16" s="54" t="s">
        <v>341</v>
      </c>
      <c r="K16" s="54" t="s">
        <v>325</v>
      </c>
      <c r="L16" s="54" t="s">
        <v>342</v>
      </c>
      <c r="M16" s="48"/>
    </row>
    <row r="17" spans="1:14">
      <c r="A17" s="25"/>
      <c r="B17" s="25"/>
      <c r="C17" s="25"/>
      <c r="D17" s="25"/>
      <c r="E17" s="25"/>
      <c r="F17" s="25"/>
      <c r="G17" s="25"/>
      <c r="H17" s="25"/>
      <c r="I17" s="25"/>
      <c r="J17" s="55">
        <v>2.9E-5</v>
      </c>
      <c r="K17" s="55">
        <v>2.2500000000000001E-5</v>
      </c>
      <c r="L17" s="55">
        <v>6.4300000000000003E-6</v>
      </c>
      <c r="M17" s="48"/>
    </row>
    <row r="18" spans="1:14">
      <c r="A18" s="25"/>
      <c r="B18" s="25"/>
      <c r="C18" s="25"/>
      <c r="D18" s="25"/>
      <c r="E18" s="25"/>
      <c r="F18" s="25"/>
      <c r="G18" s="25"/>
      <c r="H18" s="25"/>
      <c r="I18" s="25"/>
      <c r="J18" s="48"/>
      <c r="K18" s="48"/>
      <c r="L18" s="48"/>
      <c r="M18" s="48"/>
      <c r="N18" t="s">
        <v>343</v>
      </c>
    </row>
    <row r="19" spans="1:14">
      <c r="A19" s="25"/>
      <c r="B19" s="25"/>
      <c r="C19" s="25"/>
      <c r="D19" s="25"/>
      <c r="E19" s="25"/>
      <c r="F19" s="25"/>
      <c r="G19" s="25"/>
      <c r="H19" s="25"/>
      <c r="I19" s="25"/>
      <c r="J19" s="48"/>
      <c r="K19" s="48"/>
      <c r="L19" s="48"/>
      <c r="M19" s="48"/>
      <c r="N19">
        <v>17</v>
      </c>
    </row>
    <row r="20" spans="1:14">
      <c r="A20" s="25"/>
      <c r="B20" s="25"/>
      <c r="C20" s="25"/>
      <c r="D20" s="25"/>
      <c r="E20" s="25"/>
      <c r="F20" s="25"/>
      <c r="G20" s="25"/>
      <c r="H20" s="25"/>
      <c r="I20" s="25"/>
      <c r="J20" s="48"/>
      <c r="K20" s="48"/>
      <c r="L20" s="48"/>
      <c r="M20" s="48"/>
    </row>
    <row r="21" spans="1:14">
      <c r="A21" s="25"/>
      <c r="B21" s="25"/>
      <c r="C21" s="25"/>
      <c r="D21" s="25"/>
      <c r="E21" s="25"/>
      <c r="F21" s="25"/>
      <c r="G21" s="25"/>
      <c r="H21" s="25"/>
      <c r="I21" s="25"/>
      <c r="J21" s="48"/>
      <c r="K21" s="48"/>
      <c r="L21" s="48"/>
      <c r="M21" s="48"/>
    </row>
    <row r="22" spans="1:14">
      <c r="A22" s="25"/>
      <c r="B22" s="25"/>
      <c r="C22" s="25"/>
      <c r="D22" s="25"/>
      <c r="E22" s="25"/>
      <c r="F22" s="25"/>
      <c r="G22" s="25"/>
      <c r="H22" s="25"/>
      <c r="I22" s="25"/>
      <c r="J22" s="48"/>
      <c r="K22" s="48"/>
      <c r="L22" s="48"/>
      <c r="M22" s="48"/>
    </row>
    <row r="23" spans="1:14">
      <c r="A23" s="25"/>
      <c r="B23" s="25"/>
      <c r="C23" s="25"/>
      <c r="D23" s="25"/>
      <c r="E23" s="25"/>
      <c r="F23" s="25"/>
      <c r="G23" s="25"/>
      <c r="H23" s="25"/>
      <c r="I23" s="25"/>
      <c r="J23" s="48"/>
      <c r="K23" s="48"/>
      <c r="L23" s="48"/>
      <c r="M23" s="48"/>
    </row>
    <row r="24" spans="1:14">
      <c r="J24" s="48"/>
      <c r="K24" s="48"/>
      <c r="L24" s="48"/>
      <c r="M24" s="48"/>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4D64AD-0974-8B4C-8C3D-C30735C3DB6C}">
  <dimension ref="A1:E27"/>
  <sheetViews>
    <sheetView workbookViewId="0">
      <selection activeCell="K31" sqref="K31"/>
    </sheetView>
  </sheetViews>
  <sheetFormatPr baseColWidth="10" defaultRowHeight="16"/>
  <sheetData>
    <row r="1" spans="1:5">
      <c r="A1" t="s">
        <v>613</v>
      </c>
      <c r="C1" t="s">
        <v>28</v>
      </c>
      <c r="D1" s="8" t="s">
        <v>614</v>
      </c>
    </row>
    <row r="2" spans="1:5">
      <c r="A2" t="s">
        <v>553</v>
      </c>
      <c r="B2" t="s">
        <v>479</v>
      </c>
      <c r="E2" s="8"/>
    </row>
    <row r="3" spans="1:5">
      <c r="A3" t="s">
        <v>475</v>
      </c>
      <c r="B3" s="68">
        <v>0.61</v>
      </c>
    </row>
    <row r="4" spans="1:5">
      <c r="A4" t="s">
        <v>476</v>
      </c>
      <c r="B4" s="68">
        <v>0.11</v>
      </c>
    </row>
    <row r="5" spans="1:5">
      <c r="A5" t="s">
        <v>615</v>
      </c>
      <c r="B5" s="68">
        <v>0.09</v>
      </c>
    </row>
    <row r="6" spans="1:5">
      <c r="A6" t="s">
        <v>481</v>
      </c>
      <c r="B6" s="68">
        <v>0.08</v>
      </c>
    </row>
    <row r="7" spans="1:5">
      <c r="A7" t="s">
        <v>394</v>
      </c>
      <c r="B7" s="68">
        <v>0.08</v>
      </c>
    </row>
    <row r="8" spans="1:5">
      <c r="A8" t="s">
        <v>172</v>
      </c>
      <c r="B8" s="68">
        <v>0.03</v>
      </c>
    </row>
    <row r="9" spans="1:5">
      <c r="A9" t="s">
        <v>553</v>
      </c>
      <c r="B9" t="s">
        <v>479</v>
      </c>
    </row>
    <row r="10" spans="1:5">
      <c r="A10" t="s">
        <v>616</v>
      </c>
    </row>
    <row r="12" spans="1:5">
      <c r="A12" t="s">
        <v>475</v>
      </c>
      <c r="B12" s="81">
        <v>0.34</v>
      </c>
      <c r="C12" t="s">
        <v>617</v>
      </c>
      <c r="D12" s="8" t="s">
        <v>618</v>
      </c>
    </row>
    <row r="13" spans="1:5">
      <c r="A13" t="s">
        <v>482</v>
      </c>
      <c r="B13" s="81">
        <v>0.18</v>
      </c>
    </row>
    <row r="14" spans="1:5">
      <c r="A14" t="s">
        <v>476</v>
      </c>
      <c r="B14" s="81">
        <v>0.08</v>
      </c>
    </row>
    <row r="15" spans="1:5">
      <c r="A15" t="s">
        <v>394</v>
      </c>
      <c r="B15" s="81">
        <v>7.0000000000000007E-2</v>
      </c>
    </row>
    <row r="16" spans="1:5">
      <c r="A16" t="s">
        <v>480</v>
      </c>
      <c r="B16" s="81">
        <v>0.06</v>
      </c>
    </row>
    <row r="17" spans="1:2">
      <c r="A17" t="s">
        <v>395</v>
      </c>
      <c r="B17" s="81">
        <v>0.06</v>
      </c>
    </row>
    <row r="18" spans="1:2">
      <c r="A18" t="s">
        <v>172</v>
      </c>
      <c r="B18" s="81">
        <f>1-SUM(B12:B17)</f>
        <v>0.20999999999999996</v>
      </c>
    </row>
    <row r="20" spans="1:2">
      <c r="A20" t="s">
        <v>619</v>
      </c>
    </row>
    <row r="23" spans="1:2">
      <c r="B23" s="81"/>
    </row>
    <row r="24" spans="1:2">
      <c r="B24" s="81"/>
    </row>
    <row r="25" spans="1:2">
      <c r="B25" s="81"/>
    </row>
    <row r="26" spans="1:2">
      <c r="B26" s="81"/>
    </row>
    <row r="27" spans="1:2">
      <c r="B27" s="81"/>
    </row>
  </sheetData>
  <hyperlinks>
    <hyperlink ref="D1" r:id="rId1" location="bib0001" display="https://www.sciencedirect.com/science/article/pii/S0921344922002774?via%3Dihub - bib0001" xr:uid="{33D8D4CE-C864-A54E-9D6A-E7C894CEBB29}"/>
    <hyperlink ref="D12" r:id="rId2" xr:uid="{C4DC3BB3-CFA6-3441-956C-DCB5C71BEB56}"/>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FCEC7B-1D8C-494D-BEBA-D576DFAD71C1}">
  <dimension ref="A1:H32"/>
  <sheetViews>
    <sheetView workbookViewId="0">
      <selection activeCell="P28" sqref="P28"/>
    </sheetView>
  </sheetViews>
  <sheetFormatPr baseColWidth="10" defaultRowHeight="16"/>
  <cols>
    <col min="2" max="2" width="9.83203125" bestFit="1" customWidth="1"/>
  </cols>
  <sheetData>
    <row r="1" spans="1:8">
      <c r="A1" t="s">
        <v>605</v>
      </c>
      <c r="B1" t="s">
        <v>606</v>
      </c>
      <c r="C1" t="s">
        <v>607</v>
      </c>
    </row>
    <row r="2" spans="1:8">
      <c r="A2" s="83">
        <v>2023</v>
      </c>
      <c r="B2" s="84">
        <v>24236.415969999998</v>
      </c>
      <c r="C2">
        <v>23596.72896</v>
      </c>
    </row>
    <row r="3" spans="1:8">
      <c r="A3">
        <v>2024</v>
      </c>
      <c r="B3" s="69">
        <v>24236.415969999998</v>
      </c>
      <c r="C3">
        <v>23596.72896</v>
      </c>
    </row>
    <row r="4" spans="1:8">
      <c r="A4">
        <v>2025</v>
      </c>
      <c r="B4" s="69">
        <v>74146.088489999995</v>
      </c>
      <c r="C4">
        <v>24236.415969999998</v>
      </c>
    </row>
    <row r="5" spans="1:8">
      <c r="A5">
        <v>2026</v>
      </c>
      <c r="B5" s="69">
        <v>74146.088489999995</v>
      </c>
      <c r="C5">
        <v>24236.415969999998</v>
      </c>
      <c r="H5">
        <v>23596.72896</v>
      </c>
    </row>
    <row r="6" spans="1:8">
      <c r="A6">
        <v>2027</v>
      </c>
      <c r="B6" s="69">
        <v>57401.30156</v>
      </c>
      <c r="C6">
        <v>26258.301319999999</v>
      </c>
      <c r="H6">
        <v>23596.72896</v>
      </c>
    </row>
    <row r="7" spans="1:8">
      <c r="A7">
        <v>2028</v>
      </c>
      <c r="B7" s="69">
        <v>57401.30156</v>
      </c>
      <c r="C7">
        <v>26258.301319999999</v>
      </c>
      <c r="H7">
        <v>24236.415969999998</v>
      </c>
    </row>
    <row r="8" spans="1:8">
      <c r="A8">
        <v>2029</v>
      </c>
      <c r="B8" s="69">
        <v>81197.986510000002</v>
      </c>
      <c r="C8">
        <v>29613.993350000001</v>
      </c>
      <c r="H8">
        <v>24236.415969999998</v>
      </c>
    </row>
    <row r="9" spans="1:8">
      <c r="A9">
        <v>2030</v>
      </c>
      <c r="B9" s="69">
        <v>81197.986510000002</v>
      </c>
      <c r="C9">
        <v>29613.993350000001</v>
      </c>
      <c r="H9">
        <v>26258.301319999999</v>
      </c>
    </row>
    <row r="10" spans="1:8">
      <c r="A10">
        <v>2031</v>
      </c>
      <c r="B10" s="69">
        <v>66012.061780000004</v>
      </c>
      <c r="C10">
        <v>35203.627130000001</v>
      </c>
      <c r="H10">
        <v>26258.301319999999</v>
      </c>
    </row>
    <row r="11" spans="1:8">
      <c r="A11">
        <v>2032</v>
      </c>
      <c r="B11" s="69">
        <v>66012.061780000004</v>
      </c>
      <c r="C11">
        <v>35203.627130000001</v>
      </c>
      <c r="H11">
        <v>29613.993350000001</v>
      </c>
    </row>
    <row r="12" spans="1:8">
      <c r="A12">
        <v>2033</v>
      </c>
      <c r="B12" s="69">
        <v>59935.855219999998</v>
      </c>
      <c r="C12">
        <v>51033.75604</v>
      </c>
      <c r="H12">
        <v>29613.993350000001</v>
      </c>
    </row>
    <row r="13" spans="1:8">
      <c r="A13">
        <v>2034</v>
      </c>
      <c r="B13" s="69">
        <v>59935.855219999998</v>
      </c>
      <c r="C13">
        <v>51033.75604</v>
      </c>
      <c r="H13">
        <v>35203.627130000001</v>
      </c>
    </row>
    <row r="14" spans="1:8">
      <c r="A14">
        <v>2035</v>
      </c>
      <c r="B14" s="69">
        <v>67039.351509999993</v>
      </c>
      <c r="C14">
        <v>57401.30156</v>
      </c>
      <c r="H14">
        <v>35203.627130000001</v>
      </c>
    </row>
    <row r="15" spans="1:8">
      <c r="A15">
        <v>2036</v>
      </c>
      <c r="B15" s="69">
        <v>67039.351509999993</v>
      </c>
      <c r="C15">
        <v>57401.30156</v>
      </c>
      <c r="H15">
        <v>51033.75604</v>
      </c>
    </row>
    <row r="16" spans="1:8">
      <c r="A16">
        <v>2037</v>
      </c>
      <c r="B16" s="69">
        <v>78553.287849999993</v>
      </c>
      <c r="C16">
        <v>59935.855219999998</v>
      </c>
      <c r="H16">
        <v>51033.75604</v>
      </c>
    </row>
    <row r="17" spans="1:8">
      <c r="A17">
        <v>2038</v>
      </c>
      <c r="B17" s="69">
        <v>78553.287849999993</v>
      </c>
      <c r="C17">
        <v>59935.855219999998</v>
      </c>
      <c r="H17">
        <v>57401.30156</v>
      </c>
    </row>
    <row r="18" spans="1:8">
      <c r="A18">
        <v>2039</v>
      </c>
      <c r="B18" s="69">
        <v>87426.894740000003</v>
      </c>
      <c r="C18">
        <v>66012.061780000004</v>
      </c>
      <c r="H18">
        <v>57401.30156</v>
      </c>
    </row>
    <row r="19" spans="1:8">
      <c r="A19">
        <v>2040</v>
      </c>
      <c r="B19" s="69">
        <v>87426.894740000003</v>
      </c>
      <c r="C19">
        <v>66012.061780000004</v>
      </c>
      <c r="H19">
        <v>59935.855219999998</v>
      </c>
    </row>
    <row r="20" spans="1:8">
      <c r="A20">
        <v>2041</v>
      </c>
      <c r="B20" s="69">
        <v>26258.301319999999</v>
      </c>
      <c r="C20">
        <v>67039.351509999993</v>
      </c>
      <c r="H20">
        <v>59935.855219999998</v>
      </c>
    </row>
    <row r="21" spans="1:8">
      <c r="A21">
        <v>2042</v>
      </c>
      <c r="B21" s="69">
        <v>26258.301319999999</v>
      </c>
      <c r="C21">
        <v>67039.351509999993</v>
      </c>
      <c r="H21">
        <v>66012.061780000004</v>
      </c>
    </row>
    <row r="22" spans="1:8">
      <c r="A22">
        <v>2043</v>
      </c>
      <c r="B22" s="69">
        <v>23596.72896</v>
      </c>
      <c r="C22">
        <v>74146.088489999995</v>
      </c>
      <c r="H22">
        <v>66012.061780000004</v>
      </c>
    </row>
    <row r="23" spans="1:8">
      <c r="A23">
        <v>2044</v>
      </c>
      <c r="B23" s="69">
        <v>23596.72896</v>
      </c>
      <c r="C23">
        <v>74146.088489999995</v>
      </c>
      <c r="H23">
        <v>67039.351509999993</v>
      </c>
    </row>
    <row r="24" spans="1:8">
      <c r="A24">
        <v>2045</v>
      </c>
      <c r="B24" s="69">
        <v>29613.993350000001</v>
      </c>
      <c r="C24">
        <v>78553.287849999993</v>
      </c>
      <c r="H24">
        <v>67039.351509999993</v>
      </c>
    </row>
    <row r="25" spans="1:8">
      <c r="A25">
        <v>2046</v>
      </c>
      <c r="B25" s="69">
        <v>29613.993350000001</v>
      </c>
      <c r="C25">
        <v>78553.287849999993</v>
      </c>
      <c r="H25">
        <v>74146.088489999995</v>
      </c>
    </row>
    <row r="26" spans="1:8">
      <c r="A26">
        <v>2047</v>
      </c>
      <c r="B26" s="69">
        <v>35203.627130000001</v>
      </c>
      <c r="C26">
        <v>81197.986510000002</v>
      </c>
      <c r="H26">
        <v>74146.088489999995</v>
      </c>
    </row>
    <row r="27" spans="1:8">
      <c r="A27">
        <v>2048</v>
      </c>
      <c r="B27" s="69">
        <v>35203.627130000001</v>
      </c>
      <c r="C27">
        <v>81197.986510000002</v>
      </c>
      <c r="H27">
        <v>78553.287849999993</v>
      </c>
    </row>
    <row r="28" spans="1:8">
      <c r="A28">
        <v>2049</v>
      </c>
      <c r="B28" s="69">
        <v>51033.75604</v>
      </c>
      <c r="C28">
        <v>87426.894740000003</v>
      </c>
      <c r="H28">
        <v>78553.287849999993</v>
      </c>
    </row>
    <row r="29" spans="1:8">
      <c r="A29">
        <v>2050</v>
      </c>
      <c r="B29" s="69">
        <v>51033.75604</v>
      </c>
      <c r="C29">
        <v>87426.894740000003</v>
      </c>
      <c r="H29">
        <v>81197.986510000002</v>
      </c>
    </row>
    <row r="30" spans="1:8">
      <c r="B30" s="85">
        <v>1523311.3008599994</v>
      </c>
      <c r="H30">
        <v>81197.986510000002</v>
      </c>
    </row>
    <row r="31" spans="1:8">
      <c r="H31">
        <v>87426.894740000003</v>
      </c>
    </row>
    <row r="32" spans="1:8">
      <c r="H32">
        <v>87426.894740000003</v>
      </c>
    </row>
  </sheetData>
  <pageMargins left="0.7" right="0.7" top="0.75" bottom="0.75" header="0.3" footer="0.3"/>
  <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371510-053C-6F44-BCB2-6741464A8681}">
  <dimension ref="A1:K36"/>
  <sheetViews>
    <sheetView workbookViewId="0">
      <selection activeCell="F7" sqref="F7:G7"/>
    </sheetView>
  </sheetViews>
  <sheetFormatPr baseColWidth="10" defaultRowHeight="16"/>
  <cols>
    <col min="2" max="2" width="29.5" customWidth="1"/>
    <col min="3" max="3" width="37" customWidth="1"/>
    <col min="4" max="4" width="41.6640625" customWidth="1"/>
    <col min="5" max="5" width="24.1640625" customWidth="1"/>
  </cols>
  <sheetData>
    <row r="1" spans="1:11">
      <c r="A1" t="s">
        <v>100</v>
      </c>
      <c r="B1" t="s">
        <v>163</v>
      </c>
      <c r="C1" t="s">
        <v>167</v>
      </c>
      <c r="D1" t="s">
        <v>168</v>
      </c>
      <c r="E1" t="s">
        <v>169</v>
      </c>
      <c r="F1" t="s">
        <v>283</v>
      </c>
    </row>
    <row r="2" spans="1:11">
      <c r="A2">
        <v>2013</v>
      </c>
      <c r="B2" t="s">
        <v>161</v>
      </c>
      <c r="C2">
        <v>6.863068181818182</v>
      </c>
      <c r="D2">
        <v>33.828571428571429</v>
      </c>
      <c r="E2">
        <v>7.8945355191256832</v>
      </c>
    </row>
    <row r="3" spans="1:11">
      <c r="A3">
        <v>2013</v>
      </c>
      <c r="B3" t="s">
        <v>162</v>
      </c>
      <c r="C3">
        <v>74.459999999999994</v>
      </c>
      <c r="D3">
        <v>24</v>
      </c>
      <c r="E3">
        <v>66.05</v>
      </c>
    </row>
    <row r="4" spans="1:11">
      <c r="A4">
        <v>2014</v>
      </c>
      <c r="B4" t="s">
        <v>164</v>
      </c>
      <c r="C4">
        <v>5</v>
      </c>
      <c r="D4">
        <v>8</v>
      </c>
      <c r="E4">
        <v>5</v>
      </c>
    </row>
    <row r="5" spans="1:11">
      <c r="A5">
        <v>2014</v>
      </c>
      <c r="B5" t="s">
        <v>165</v>
      </c>
      <c r="C5">
        <v>16</v>
      </c>
      <c r="D5">
        <v>46</v>
      </c>
      <c r="E5">
        <v>16</v>
      </c>
    </row>
    <row r="6" spans="1:11">
      <c r="A6">
        <v>2014</v>
      </c>
      <c r="B6" t="s">
        <v>166</v>
      </c>
      <c r="C6">
        <v>21</v>
      </c>
      <c r="D6">
        <v>141</v>
      </c>
      <c r="E6">
        <v>42</v>
      </c>
    </row>
    <row r="7" spans="1:11">
      <c r="A7">
        <v>2015</v>
      </c>
      <c r="B7" t="s">
        <v>164</v>
      </c>
      <c r="C7">
        <v>5</v>
      </c>
      <c r="D7">
        <v>23</v>
      </c>
      <c r="E7">
        <v>5</v>
      </c>
    </row>
    <row r="8" spans="1:11">
      <c r="A8">
        <v>2015</v>
      </c>
      <c r="B8" t="s">
        <v>165</v>
      </c>
      <c r="C8">
        <v>17</v>
      </c>
      <c r="D8">
        <v>47</v>
      </c>
      <c r="E8">
        <v>19</v>
      </c>
    </row>
    <row r="9" spans="1:11">
      <c r="A9">
        <v>2015</v>
      </c>
      <c r="B9" t="s">
        <v>170</v>
      </c>
      <c r="C9">
        <v>22</v>
      </c>
      <c r="D9">
        <v>60</v>
      </c>
      <c r="E9">
        <v>26</v>
      </c>
    </row>
    <row r="10" spans="1:11">
      <c r="A10">
        <v>2015</v>
      </c>
      <c r="B10" t="s">
        <v>171</v>
      </c>
      <c r="C10">
        <v>29</v>
      </c>
      <c r="D10">
        <v>0</v>
      </c>
      <c r="E10">
        <v>29</v>
      </c>
    </row>
    <row r="11" spans="1:11">
      <c r="A11">
        <v>2015</v>
      </c>
      <c r="B11" t="s">
        <v>172</v>
      </c>
      <c r="C11">
        <v>6</v>
      </c>
      <c r="D11">
        <v>1</v>
      </c>
      <c r="E11">
        <v>6</v>
      </c>
    </row>
    <row r="12" spans="1:11">
      <c r="A12">
        <v>2015</v>
      </c>
      <c r="B12" t="s">
        <v>164</v>
      </c>
      <c r="C12">
        <v>6</v>
      </c>
      <c r="D12">
        <v>3</v>
      </c>
      <c r="E12">
        <v>6</v>
      </c>
    </row>
    <row r="13" spans="1:11">
      <c r="A13">
        <v>2016</v>
      </c>
      <c r="B13" t="s">
        <v>165</v>
      </c>
      <c r="C13">
        <v>34</v>
      </c>
      <c r="D13">
        <v>6</v>
      </c>
      <c r="E13">
        <v>33</v>
      </c>
      <c r="I13" s="11"/>
      <c r="J13" s="11"/>
      <c r="K13" s="11"/>
    </row>
    <row r="14" spans="1:11">
      <c r="A14">
        <v>2016</v>
      </c>
      <c r="B14" t="s">
        <v>170</v>
      </c>
      <c r="C14">
        <v>20</v>
      </c>
      <c r="D14">
        <v>190</v>
      </c>
      <c r="E14">
        <v>29</v>
      </c>
      <c r="I14" s="11"/>
      <c r="J14" s="11"/>
      <c r="K14" s="11"/>
    </row>
    <row r="15" spans="1:11">
      <c r="A15">
        <v>2016</v>
      </c>
      <c r="B15" t="s">
        <v>171</v>
      </c>
      <c r="C15">
        <v>35</v>
      </c>
      <c r="D15">
        <v>151</v>
      </c>
      <c r="E15">
        <v>48</v>
      </c>
      <c r="I15" s="11"/>
      <c r="J15" s="11"/>
      <c r="K15" s="11"/>
    </row>
    <row r="16" spans="1:11">
      <c r="A16">
        <v>2016</v>
      </c>
      <c r="B16" t="s">
        <v>172</v>
      </c>
      <c r="C16">
        <v>25</v>
      </c>
      <c r="D16">
        <v>0</v>
      </c>
      <c r="E16">
        <v>25</v>
      </c>
    </row>
    <row r="17" spans="1:5">
      <c r="A17">
        <v>2017</v>
      </c>
      <c r="B17" t="s">
        <v>164</v>
      </c>
      <c r="C17">
        <v>6</v>
      </c>
      <c r="D17">
        <v>0</v>
      </c>
      <c r="E17">
        <v>6</v>
      </c>
    </row>
    <row r="18" spans="1:5">
      <c r="A18">
        <v>2017</v>
      </c>
      <c r="B18" t="s">
        <v>165</v>
      </c>
      <c r="C18">
        <v>17</v>
      </c>
      <c r="D18">
        <v>15</v>
      </c>
      <c r="E18">
        <v>17</v>
      </c>
    </row>
    <row r="19" spans="1:5">
      <c r="A19">
        <v>2017</v>
      </c>
      <c r="B19" t="s">
        <v>170</v>
      </c>
      <c r="C19">
        <v>11</v>
      </c>
      <c r="D19">
        <v>3</v>
      </c>
      <c r="E19">
        <v>11</v>
      </c>
    </row>
    <row r="20" spans="1:5">
      <c r="A20">
        <v>2017</v>
      </c>
      <c r="B20" t="s">
        <v>171</v>
      </c>
      <c r="C20">
        <v>49</v>
      </c>
      <c r="D20">
        <v>19</v>
      </c>
      <c r="E20">
        <v>46</v>
      </c>
    </row>
    <row r="21" spans="1:5">
      <c r="A21">
        <v>2017</v>
      </c>
      <c r="B21" t="s">
        <v>172</v>
      </c>
      <c r="C21">
        <v>9</v>
      </c>
      <c r="D21">
        <v>0</v>
      </c>
      <c r="E21">
        <v>9</v>
      </c>
    </row>
    <row r="22" spans="1:5">
      <c r="A22">
        <v>2018</v>
      </c>
      <c r="B22" t="s">
        <v>164</v>
      </c>
      <c r="C22">
        <v>7</v>
      </c>
      <c r="D22">
        <v>2</v>
      </c>
      <c r="E22">
        <v>7</v>
      </c>
    </row>
    <row r="23" spans="1:5">
      <c r="A23">
        <v>2018</v>
      </c>
      <c r="B23" t="s">
        <v>165</v>
      </c>
      <c r="C23">
        <v>17</v>
      </c>
      <c r="D23">
        <v>70</v>
      </c>
      <c r="E23">
        <v>18</v>
      </c>
    </row>
    <row r="24" spans="1:5">
      <c r="A24">
        <v>2018</v>
      </c>
      <c r="B24" t="s">
        <v>170</v>
      </c>
      <c r="C24">
        <v>3</v>
      </c>
      <c r="D24">
        <v>0</v>
      </c>
      <c r="E24">
        <v>3</v>
      </c>
    </row>
    <row r="25" spans="1:5">
      <c r="A25">
        <v>2018</v>
      </c>
      <c r="B25" t="s">
        <v>171</v>
      </c>
      <c r="C25">
        <v>51</v>
      </c>
      <c r="D25">
        <v>1</v>
      </c>
      <c r="E25">
        <v>48</v>
      </c>
    </row>
    <row r="26" spans="1:5">
      <c r="A26">
        <v>2018</v>
      </c>
      <c r="B26" t="s">
        <v>172</v>
      </c>
      <c r="C26">
        <v>12</v>
      </c>
      <c r="D26">
        <v>0</v>
      </c>
      <c r="E26">
        <v>12</v>
      </c>
    </row>
    <row r="27" spans="1:5">
      <c r="A27">
        <v>2019</v>
      </c>
      <c r="B27" t="s">
        <v>164</v>
      </c>
      <c r="C27">
        <v>5</v>
      </c>
      <c r="D27">
        <v>1</v>
      </c>
      <c r="E27">
        <v>5</v>
      </c>
    </row>
    <row r="28" spans="1:5">
      <c r="A28">
        <v>2019</v>
      </c>
      <c r="B28" t="s">
        <v>165</v>
      </c>
      <c r="C28">
        <v>13</v>
      </c>
      <c r="D28">
        <v>28</v>
      </c>
      <c r="E28">
        <v>13</v>
      </c>
    </row>
    <row r="29" spans="1:5">
      <c r="A29">
        <v>2019</v>
      </c>
      <c r="B29" t="s">
        <v>170</v>
      </c>
      <c r="C29">
        <v>11</v>
      </c>
      <c r="D29">
        <v>1</v>
      </c>
      <c r="E29">
        <v>10</v>
      </c>
    </row>
    <row r="30" spans="1:5">
      <c r="A30">
        <v>2019</v>
      </c>
      <c r="B30" t="s">
        <v>171</v>
      </c>
      <c r="C30">
        <v>40</v>
      </c>
      <c r="D30">
        <v>2</v>
      </c>
      <c r="E30">
        <v>39</v>
      </c>
    </row>
    <row r="31" spans="1:5">
      <c r="A31">
        <v>2019</v>
      </c>
      <c r="B31" t="s">
        <v>172</v>
      </c>
      <c r="C31">
        <v>14</v>
      </c>
      <c r="D31">
        <v>7</v>
      </c>
      <c r="E31">
        <v>14</v>
      </c>
    </row>
    <row r="32" spans="1:5">
      <c r="A32">
        <v>2020</v>
      </c>
      <c r="B32" t="s">
        <v>164</v>
      </c>
      <c r="C32">
        <v>6</v>
      </c>
      <c r="D32">
        <v>1</v>
      </c>
      <c r="E32">
        <v>6</v>
      </c>
    </row>
    <row r="33" spans="1:5">
      <c r="A33">
        <v>2020</v>
      </c>
      <c r="B33" t="s">
        <v>165</v>
      </c>
      <c r="C33">
        <v>25</v>
      </c>
      <c r="D33">
        <v>1</v>
      </c>
      <c r="E33">
        <v>24</v>
      </c>
    </row>
    <row r="34" spans="1:5">
      <c r="A34">
        <v>2020</v>
      </c>
      <c r="B34" t="s">
        <v>170</v>
      </c>
      <c r="C34">
        <v>19</v>
      </c>
      <c r="D34">
        <v>0</v>
      </c>
      <c r="E34">
        <v>19</v>
      </c>
    </row>
    <row r="35" spans="1:5">
      <c r="A35">
        <v>2020</v>
      </c>
      <c r="B35" t="s">
        <v>171</v>
      </c>
      <c r="C35">
        <v>53</v>
      </c>
      <c r="D35">
        <v>45</v>
      </c>
      <c r="E35">
        <v>53</v>
      </c>
    </row>
    <row r="36" spans="1:5">
      <c r="A36">
        <v>2020</v>
      </c>
      <c r="B36" t="s">
        <v>172</v>
      </c>
      <c r="C36">
        <v>14</v>
      </c>
      <c r="D36">
        <v>2</v>
      </c>
      <c r="E36">
        <v>13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40E28C-6DDA-594E-B988-A846FBE9AD0C}">
  <dimension ref="A1:AC57"/>
  <sheetViews>
    <sheetView topLeftCell="A6" workbookViewId="0">
      <pane xSplit="1" topLeftCell="N1" activePane="topRight" state="frozen"/>
      <selection pane="topRight" activeCell="S22" sqref="S22"/>
    </sheetView>
  </sheetViews>
  <sheetFormatPr baseColWidth="10" defaultRowHeight="16"/>
  <cols>
    <col min="2" max="2" width="21.33203125" customWidth="1"/>
    <col min="3" max="3" width="27.83203125" customWidth="1"/>
    <col min="4" max="5" width="17.1640625" customWidth="1"/>
    <col min="6" max="6" width="17.1640625" style="29" customWidth="1"/>
    <col min="7" max="7" width="21.83203125" customWidth="1"/>
    <col min="8" max="8" width="19" customWidth="1"/>
    <col min="9" max="9" width="18.6640625" customWidth="1"/>
    <col min="10" max="10" width="17.1640625" customWidth="1"/>
    <col min="11" max="11" width="16.5" customWidth="1"/>
    <col min="12" max="12" width="28.33203125" customWidth="1"/>
    <col min="13" max="13" width="23" customWidth="1"/>
    <col min="14" max="14" width="23.6640625" customWidth="1"/>
    <col min="15" max="16" width="17.1640625" customWidth="1"/>
    <col min="17" max="17" width="26.5" customWidth="1"/>
    <col min="18" max="18" width="18.6640625" customWidth="1"/>
    <col min="19" max="19" width="11.6640625" customWidth="1"/>
    <col min="20" max="20" width="17.1640625" customWidth="1"/>
  </cols>
  <sheetData>
    <row r="1" spans="1:20" ht="19">
      <c r="A1" t="s">
        <v>100</v>
      </c>
      <c r="B1" t="s">
        <v>289</v>
      </c>
      <c r="C1" t="s">
        <v>302</v>
      </c>
      <c r="D1" t="s">
        <v>290</v>
      </c>
      <c r="E1" t="s">
        <v>291</v>
      </c>
      <c r="F1" t="s">
        <v>296</v>
      </c>
      <c r="G1" t="s">
        <v>365</v>
      </c>
      <c r="H1" t="s">
        <v>297</v>
      </c>
      <c r="I1" t="s">
        <v>298</v>
      </c>
      <c r="J1" t="s">
        <v>300</v>
      </c>
      <c r="K1" t="s">
        <v>292</v>
      </c>
      <c r="L1" t="s">
        <v>364</v>
      </c>
      <c r="M1" t="s">
        <v>287</v>
      </c>
      <c r="N1" t="s">
        <v>288</v>
      </c>
      <c r="O1" t="s">
        <v>295</v>
      </c>
      <c r="P1" t="s">
        <v>293</v>
      </c>
      <c r="Q1" t="s">
        <v>294</v>
      </c>
      <c r="R1" t="s">
        <v>357</v>
      </c>
      <c r="S1" t="s">
        <v>346</v>
      </c>
      <c r="T1" t="s">
        <v>284</v>
      </c>
    </row>
    <row r="2" spans="1:20">
      <c r="A2">
        <v>1995</v>
      </c>
      <c r="D2" s="43">
        <v>10.6</v>
      </c>
      <c r="F2" s="29">
        <v>0.63800000000000001</v>
      </c>
      <c r="S2" t="s">
        <v>350</v>
      </c>
    </row>
    <row r="3" spans="1:20">
      <c r="A3">
        <v>1996</v>
      </c>
      <c r="D3" s="43">
        <v>9.1</v>
      </c>
      <c r="F3" s="29">
        <v>0.67279999999999995</v>
      </c>
      <c r="S3" t="s">
        <v>351</v>
      </c>
    </row>
    <row r="4" spans="1:20">
      <c r="A4">
        <v>1997</v>
      </c>
      <c r="D4" s="43">
        <v>9.1999999999999993</v>
      </c>
      <c r="F4" s="29">
        <v>0.33660000000000001</v>
      </c>
      <c r="S4" t="s">
        <v>352</v>
      </c>
    </row>
    <row r="5" spans="1:20">
      <c r="A5">
        <v>1998</v>
      </c>
      <c r="D5" s="43"/>
    </row>
    <row r="6" spans="1:20">
      <c r="A6">
        <v>1999</v>
      </c>
      <c r="D6" s="43">
        <v>10.5</v>
      </c>
      <c r="F6" s="29">
        <v>0.1376</v>
      </c>
      <c r="S6" t="s">
        <v>349</v>
      </c>
    </row>
    <row r="7" spans="1:20">
      <c r="A7">
        <v>2000</v>
      </c>
      <c r="D7" s="43">
        <v>10.5</v>
      </c>
      <c r="F7" s="29">
        <v>0.4874</v>
      </c>
      <c r="S7" t="s">
        <v>353</v>
      </c>
    </row>
    <row r="8" spans="1:20">
      <c r="A8">
        <v>2001</v>
      </c>
      <c r="D8" s="43"/>
      <c r="J8">
        <v>25</v>
      </c>
      <c r="S8" t="s">
        <v>347</v>
      </c>
    </row>
    <row r="9" spans="1:20">
      <c r="A9">
        <v>2002</v>
      </c>
      <c r="D9" s="43"/>
      <c r="G9">
        <f>E13*0.001/F13</f>
        <v>8.8888888888888892E-2</v>
      </c>
      <c r="J9">
        <v>25</v>
      </c>
      <c r="S9" t="s">
        <v>347</v>
      </c>
      <c r="T9" t="s">
        <v>286</v>
      </c>
    </row>
    <row r="10" spans="1:20">
      <c r="A10">
        <v>2003</v>
      </c>
      <c r="D10" s="43">
        <v>7</v>
      </c>
      <c r="E10">
        <v>49</v>
      </c>
      <c r="I10">
        <v>3</v>
      </c>
      <c r="J10">
        <v>25</v>
      </c>
      <c r="M10">
        <v>3.21</v>
      </c>
      <c r="N10">
        <v>-28.042999999999999</v>
      </c>
      <c r="O10">
        <v>11.494999999999999</v>
      </c>
      <c r="P10">
        <v>-8.2850000000000001</v>
      </c>
      <c r="Q10">
        <v>3.8410000000000002</v>
      </c>
      <c r="S10" t="s">
        <v>347</v>
      </c>
    </row>
    <row r="11" spans="1:20">
      <c r="A11">
        <v>2004</v>
      </c>
      <c r="C11">
        <v>6.5</v>
      </c>
      <c r="D11" s="43"/>
      <c r="I11">
        <v>3</v>
      </c>
      <c r="J11">
        <v>25</v>
      </c>
      <c r="L11">
        <v>25</v>
      </c>
      <c r="M11">
        <v>13.522</v>
      </c>
      <c r="N11">
        <v>-16771</v>
      </c>
      <c r="O11">
        <v>18.850999999999999</v>
      </c>
      <c r="P11">
        <v>-5.3289999999999997</v>
      </c>
      <c r="Q11">
        <v>1.24</v>
      </c>
      <c r="S11" t="s">
        <v>347</v>
      </c>
      <c r="T11" t="s">
        <v>285</v>
      </c>
    </row>
    <row r="12" spans="1:20">
      <c r="A12">
        <v>2005</v>
      </c>
      <c r="C12">
        <v>21.4</v>
      </c>
      <c r="D12" s="43"/>
      <c r="I12">
        <v>3</v>
      </c>
      <c r="J12">
        <v>25</v>
      </c>
      <c r="M12">
        <v>48.063000000000002</v>
      </c>
      <c r="N12">
        <v>-6462</v>
      </c>
      <c r="O12">
        <v>31.483000000000001</v>
      </c>
      <c r="P12">
        <v>16.579999999999998</v>
      </c>
      <c r="Q12">
        <v>2.3719999999999999</v>
      </c>
      <c r="R12">
        <v>0.91700000000000004</v>
      </c>
      <c r="S12" t="s">
        <v>347</v>
      </c>
      <c r="T12" t="s">
        <v>303</v>
      </c>
    </row>
    <row r="13" spans="1:20">
      <c r="A13">
        <v>2006</v>
      </c>
      <c r="B13">
        <v>0</v>
      </c>
      <c r="C13">
        <v>60</v>
      </c>
      <c r="D13" s="43">
        <v>9</v>
      </c>
      <c r="E13">
        <v>64</v>
      </c>
      <c r="F13" s="29">
        <f>0.6*1.2</f>
        <v>0.72</v>
      </c>
      <c r="H13">
        <v>1</v>
      </c>
      <c r="I13">
        <v>3</v>
      </c>
      <c r="J13">
        <v>25</v>
      </c>
      <c r="K13">
        <v>2.39</v>
      </c>
      <c r="L13">
        <v>50</v>
      </c>
      <c r="M13">
        <v>134.97399999999999</v>
      </c>
      <c r="N13">
        <v>3.9740000000000002</v>
      </c>
      <c r="O13">
        <v>80.73</v>
      </c>
      <c r="P13">
        <v>54.244</v>
      </c>
      <c r="Q13">
        <v>6.3609999999999998</v>
      </c>
      <c r="R13">
        <v>3.7240000000000002</v>
      </c>
      <c r="S13" t="s">
        <v>347</v>
      </c>
      <c r="T13" t="s">
        <v>299</v>
      </c>
    </row>
    <row r="14" spans="1:20">
      <c r="A14">
        <v>2007</v>
      </c>
      <c r="B14">
        <v>0</v>
      </c>
      <c r="C14">
        <v>206</v>
      </c>
      <c r="D14" s="43">
        <f>E14*0.001/F14*100</f>
        <v>9.7222222222222232</v>
      </c>
      <c r="E14">
        <v>70</v>
      </c>
      <c r="F14" s="29">
        <f>0.6*1.2</f>
        <v>0.72</v>
      </c>
      <c r="H14">
        <v>1</v>
      </c>
      <c r="I14">
        <v>3</v>
      </c>
      <c r="J14">
        <v>25</v>
      </c>
      <c r="K14">
        <v>2.48</v>
      </c>
      <c r="L14">
        <f>308-75</f>
        <v>233</v>
      </c>
      <c r="M14">
        <v>503.976</v>
      </c>
      <c r="N14">
        <v>158.35400000000001</v>
      </c>
      <c r="O14">
        <v>252.57300000000001</v>
      </c>
      <c r="P14">
        <v>251.40299999999999</v>
      </c>
      <c r="Q14">
        <v>15.106999999999999</v>
      </c>
      <c r="R14">
        <v>13.079000000000001</v>
      </c>
      <c r="S14" t="s">
        <v>347</v>
      </c>
      <c r="T14" t="s">
        <v>301</v>
      </c>
    </row>
    <row r="15" spans="1:20">
      <c r="A15">
        <v>2008</v>
      </c>
      <c r="B15">
        <v>10</v>
      </c>
      <c r="C15">
        <v>504</v>
      </c>
      <c r="D15" s="43">
        <f t="shared" ref="D15:D17" si="0">E15*0.001/F15*100</f>
        <v>10.138888888888889</v>
      </c>
      <c r="E15">
        <v>73</v>
      </c>
      <c r="F15" s="29">
        <f>0.6*1.2</f>
        <v>0.72</v>
      </c>
      <c r="H15">
        <v>1</v>
      </c>
      <c r="I15">
        <v>3</v>
      </c>
      <c r="J15">
        <v>25</v>
      </c>
      <c r="K15">
        <v>0.98</v>
      </c>
      <c r="M15">
        <v>1246.3009999999999</v>
      </c>
      <c r="N15">
        <v>348.33</v>
      </c>
      <c r="O15">
        <v>567.90800000000002</v>
      </c>
      <c r="P15">
        <v>678.39300000000003</v>
      </c>
      <c r="Q15">
        <v>33.5</v>
      </c>
      <c r="R15">
        <v>35.238</v>
      </c>
    </row>
    <row r="16" spans="1:20">
      <c r="A16">
        <v>2009</v>
      </c>
      <c r="B16">
        <v>51</v>
      </c>
      <c r="C16">
        <v>1113</v>
      </c>
      <c r="D16" s="43">
        <f t="shared" si="0"/>
        <v>10.416666666666668</v>
      </c>
      <c r="E16">
        <v>75</v>
      </c>
      <c r="F16" s="29">
        <v>0.72</v>
      </c>
      <c r="H16">
        <v>1</v>
      </c>
      <c r="I16">
        <v>3</v>
      </c>
      <c r="J16">
        <v>25</v>
      </c>
      <c r="K16">
        <v>0.84</v>
      </c>
      <c r="L16">
        <v>1228</v>
      </c>
      <c r="M16">
        <v>2066</v>
      </c>
      <c r="N16">
        <v>640</v>
      </c>
      <c r="O16">
        <v>1021.6180000000001</v>
      </c>
      <c r="P16">
        <v>1044.5820000000001</v>
      </c>
      <c r="Q16">
        <v>78.161000000000001</v>
      </c>
      <c r="R16">
        <v>92.799000000000007</v>
      </c>
    </row>
    <row r="17" spans="1:22">
      <c r="A17">
        <v>2010</v>
      </c>
      <c r="B17">
        <f>1.7*1000</f>
        <v>1700</v>
      </c>
      <c r="C17">
        <v>1412</v>
      </c>
      <c r="D17" s="43">
        <f t="shared" si="0"/>
        <v>10.555555555555555</v>
      </c>
      <c r="E17">
        <v>76</v>
      </c>
      <c r="F17" s="29">
        <v>0.72</v>
      </c>
      <c r="H17">
        <v>0.8</v>
      </c>
      <c r="I17">
        <v>3</v>
      </c>
      <c r="J17">
        <v>25</v>
      </c>
      <c r="K17">
        <v>0.75</v>
      </c>
      <c r="L17">
        <v>1500</v>
      </c>
      <c r="M17">
        <v>2564</v>
      </c>
      <c r="N17">
        <v>664</v>
      </c>
      <c r="O17">
        <v>1378.6690000000001</v>
      </c>
      <c r="P17">
        <v>1184.864</v>
      </c>
      <c r="Q17">
        <v>94.796999999999997</v>
      </c>
      <c r="R17">
        <v>132.95099999999999</v>
      </c>
      <c r="S17" t="s">
        <v>354</v>
      </c>
      <c r="V17" s="8" t="s">
        <v>366</v>
      </c>
    </row>
    <row r="18" spans="1:22">
      <c r="A18">
        <v>2011</v>
      </c>
      <c r="D18" s="43">
        <v>12.8</v>
      </c>
      <c r="F18" s="29">
        <v>0.66869999999999996</v>
      </c>
      <c r="I18">
        <v>2.2000000000000002</v>
      </c>
      <c r="S18" t="s">
        <v>355</v>
      </c>
      <c r="T18" s="8" t="s">
        <v>622</v>
      </c>
      <c r="V18" t="s">
        <v>356</v>
      </c>
    </row>
    <row r="19" spans="1:22">
      <c r="A19">
        <v>2012</v>
      </c>
      <c r="D19" s="43">
        <v>15.3</v>
      </c>
      <c r="F19" s="29">
        <v>0.67508999999999997</v>
      </c>
      <c r="I19">
        <v>2.2000000000000002</v>
      </c>
      <c r="S19" t="s">
        <v>348</v>
      </c>
    </row>
    <row r="20" spans="1:22">
      <c r="A20">
        <v>2013</v>
      </c>
      <c r="D20" s="43">
        <v>16.100000000000001</v>
      </c>
      <c r="F20" s="29">
        <v>0.72</v>
      </c>
      <c r="I20">
        <v>2.2000000000000002</v>
      </c>
      <c r="S20" t="s">
        <v>348</v>
      </c>
    </row>
    <row r="21" spans="1:22">
      <c r="A21">
        <v>2014</v>
      </c>
      <c r="D21" s="43">
        <v>17.5</v>
      </c>
      <c r="F21" s="29">
        <v>0.70209999999999995</v>
      </c>
      <c r="H21">
        <v>0.3</v>
      </c>
      <c r="I21">
        <v>2.2000000000000002</v>
      </c>
      <c r="S21" t="s">
        <v>348</v>
      </c>
    </row>
    <row r="22" spans="1:22">
      <c r="A22">
        <v>2015</v>
      </c>
      <c r="D22" s="43">
        <v>18.2</v>
      </c>
      <c r="F22" s="29">
        <v>0.70387999999999995</v>
      </c>
      <c r="H22">
        <v>0.3</v>
      </c>
      <c r="I22">
        <v>2.2000000000000002</v>
      </c>
      <c r="S22" t="s">
        <v>348</v>
      </c>
    </row>
    <row r="23" spans="1:22">
      <c r="A23">
        <v>2016</v>
      </c>
      <c r="D23" s="43"/>
      <c r="H23">
        <v>0.3</v>
      </c>
      <c r="I23">
        <v>2.2000000000000002</v>
      </c>
    </row>
    <row r="24" spans="1:22">
      <c r="A24">
        <v>2017</v>
      </c>
      <c r="D24" s="43"/>
      <c r="H24">
        <v>0.3</v>
      </c>
      <c r="I24">
        <v>2.2000000000000002</v>
      </c>
      <c r="S24" s="8"/>
    </row>
    <row r="25" spans="1:22">
      <c r="A25">
        <v>2018</v>
      </c>
      <c r="D25" s="43"/>
      <c r="H25">
        <v>0.3</v>
      </c>
      <c r="I25">
        <v>2.2000000000000002</v>
      </c>
    </row>
    <row r="26" spans="1:22">
      <c r="A26">
        <v>2019</v>
      </c>
      <c r="D26" s="43">
        <v>19</v>
      </c>
      <c r="F26" s="29">
        <v>2.3573</v>
      </c>
      <c r="H26">
        <v>0.3</v>
      </c>
      <c r="I26">
        <v>2.2000000000000002</v>
      </c>
      <c r="J26">
        <v>30</v>
      </c>
      <c r="S26" t="s">
        <v>348</v>
      </c>
    </row>
    <row r="27" spans="1:22">
      <c r="A27">
        <v>2020</v>
      </c>
      <c r="D27" s="43"/>
      <c r="H27">
        <v>0.3</v>
      </c>
      <c r="I27">
        <v>2.2000000000000002</v>
      </c>
      <c r="J27">
        <v>30</v>
      </c>
    </row>
    <row r="28" spans="1:22">
      <c r="A28">
        <v>2021</v>
      </c>
      <c r="D28" s="43"/>
      <c r="H28">
        <v>0.3</v>
      </c>
      <c r="I28">
        <v>2.2000000000000002</v>
      </c>
      <c r="J28">
        <v>30</v>
      </c>
    </row>
    <row r="29" spans="1:22">
      <c r="A29">
        <v>2022</v>
      </c>
      <c r="D29" s="43">
        <v>19.2</v>
      </c>
      <c r="E29">
        <v>485</v>
      </c>
      <c r="H29">
        <v>0.3</v>
      </c>
      <c r="I29">
        <v>2.2000000000000002</v>
      </c>
      <c r="J29">
        <v>30</v>
      </c>
    </row>
    <row r="30" spans="1:22">
      <c r="A30">
        <v>2023</v>
      </c>
      <c r="D30" s="43">
        <v>19.3</v>
      </c>
      <c r="E30">
        <v>540</v>
      </c>
      <c r="F30" s="29">
        <v>2.76</v>
      </c>
      <c r="H30">
        <v>0.3</v>
      </c>
      <c r="I30">
        <v>2.2000000000000002</v>
      </c>
      <c r="J30">
        <v>30</v>
      </c>
      <c r="S30" t="s">
        <v>363</v>
      </c>
    </row>
    <row r="31" spans="1:22">
      <c r="A31">
        <v>2024</v>
      </c>
      <c r="D31" s="43"/>
      <c r="I31">
        <v>2.2000000000000002</v>
      </c>
    </row>
    <row r="32" spans="1:22">
      <c r="A32">
        <v>2025</v>
      </c>
      <c r="D32" s="43">
        <v>24</v>
      </c>
      <c r="I32">
        <v>2.2000000000000002</v>
      </c>
      <c r="S32" t="s">
        <v>361</v>
      </c>
      <c r="T32" s="8" t="s">
        <v>362</v>
      </c>
    </row>
    <row r="33" spans="1:29">
      <c r="A33">
        <v>2026</v>
      </c>
      <c r="D33" s="43"/>
      <c r="I33">
        <v>2.2000000000000002</v>
      </c>
    </row>
    <row r="34" spans="1:29">
      <c r="A34">
        <v>2027</v>
      </c>
      <c r="B34" s="22"/>
      <c r="C34" s="22"/>
      <c r="D34" s="45"/>
      <c r="E34" s="22"/>
      <c r="F34" s="44"/>
      <c r="G34" s="22"/>
      <c r="H34" s="22"/>
      <c r="I34">
        <v>2.2000000000000002</v>
      </c>
      <c r="J34" s="22"/>
      <c r="K34" s="22"/>
      <c r="L34" s="22"/>
      <c r="M34" s="23"/>
      <c r="N34" s="23"/>
      <c r="O34" s="23"/>
      <c r="P34" s="23"/>
      <c r="Q34" s="23"/>
      <c r="R34" s="23"/>
      <c r="S34" s="23"/>
      <c r="T34" s="23"/>
      <c r="U34" s="23"/>
      <c r="V34" s="23"/>
      <c r="W34" s="23"/>
      <c r="X34" s="23"/>
      <c r="Y34" s="23"/>
      <c r="Z34" s="23"/>
      <c r="AA34" s="23"/>
      <c r="AB34" s="23"/>
      <c r="AC34" s="24"/>
    </row>
    <row r="35" spans="1:29">
      <c r="A35">
        <v>2028</v>
      </c>
      <c r="D35" s="43"/>
      <c r="I35">
        <v>2.2000000000000002</v>
      </c>
    </row>
    <row r="36" spans="1:29">
      <c r="A36">
        <v>2029</v>
      </c>
      <c r="D36" s="43"/>
      <c r="I36">
        <v>2.2000000000000002</v>
      </c>
    </row>
    <row r="37" spans="1:29">
      <c r="A37">
        <v>2030</v>
      </c>
      <c r="D37" s="43"/>
      <c r="I37">
        <v>2.2000000000000002</v>
      </c>
      <c r="S37" t="s">
        <v>361</v>
      </c>
      <c r="T37" t="s">
        <v>362</v>
      </c>
    </row>
    <row r="38" spans="1:29">
      <c r="A38">
        <v>2031</v>
      </c>
      <c r="D38" s="43"/>
      <c r="I38">
        <v>2.2000000000000002</v>
      </c>
    </row>
    <row r="39" spans="1:29">
      <c r="A39">
        <v>2032</v>
      </c>
      <c r="D39" s="43"/>
      <c r="I39">
        <v>2.2000000000000002</v>
      </c>
      <c r="S39" s="8" t="s">
        <v>369</v>
      </c>
      <c r="T39" t="s">
        <v>370</v>
      </c>
    </row>
    <row r="40" spans="1:29">
      <c r="A40">
        <v>2033</v>
      </c>
      <c r="D40" s="43"/>
      <c r="I40">
        <v>2.2000000000000002</v>
      </c>
      <c r="T40" t="s">
        <v>371</v>
      </c>
    </row>
    <row r="41" spans="1:29">
      <c r="A41">
        <v>2034</v>
      </c>
      <c r="D41" s="43"/>
      <c r="I41">
        <v>2.2000000000000002</v>
      </c>
      <c r="T41" t="s">
        <v>372</v>
      </c>
    </row>
    <row r="42" spans="1:29">
      <c r="A42">
        <v>2035</v>
      </c>
      <c r="D42" s="43">
        <v>26</v>
      </c>
      <c r="I42">
        <v>2.2000000000000002</v>
      </c>
      <c r="T42" s="56" t="s">
        <v>373</v>
      </c>
    </row>
    <row r="43" spans="1:29">
      <c r="A43">
        <v>2036</v>
      </c>
      <c r="D43" s="43"/>
      <c r="I43">
        <v>2.2000000000000002</v>
      </c>
      <c r="T43" t="s">
        <v>374</v>
      </c>
    </row>
    <row r="44" spans="1:29">
      <c r="A44">
        <v>2037</v>
      </c>
      <c r="D44" s="43"/>
      <c r="I44">
        <v>2.2000000000000002</v>
      </c>
      <c r="T44" t="s">
        <v>375</v>
      </c>
    </row>
    <row r="45" spans="1:29">
      <c r="A45">
        <v>2038</v>
      </c>
      <c r="D45" s="43"/>
      <c r="I45">
        <v>2.2000000000000002</v>
      </c>
      <c r="T45" t="s">
        <v>376</v>
      </c>
      <c r="U45">
        <v>17.55</v>
      </c>
      <c r="V45" t="s">
        <v>377</v>
      </c>
    </row>
    <row r="46" spans="1:29">
      <c r="A46">
        <v>2039</v>
      </c>
      <c r="D46" s="43"/>
      <c r="I46">
        <v>2.2000000000000002</v>
      </c>
      <c r="T46" t="s">
        <v>378</v>
      </c>
      <c r="U46">
        <f>0.72*U45</f>
        <v>12.635999999999999</v>
      </c>
      <c r="V46" t="s">
        <v>377</v>
      </c>
      <c r="W46" t="s">
        <v>379</v>
      </c>
    </row>
    <row r="47" spans="1:29">
      <c r="A47">
        <v>2040</v>
      </c>
      <c r="D47" s="43"/>
      <c r="I47">
        <v>2.2000000000000002</v>
      </c>
      <c r="T47" t="s">
        <v>380</v>
      </c>
    </row>
    <row r="48" spans="1:29">
      <c r="A48">
        <v>2041</v>
      </c>
      <c r="D48" s="43"/>
      <c r="I48">
        <v>2.2000000000000002</v>
      </c>
    </row>
    <row r="49" spans="1:9">
      <c r="A49">
        <v>2042</v>
      </c>
      <c r="D49" s="43"/>
      <c r="I49">
        <v>2.2000000000000002</v>
      </c>
    </row>
    <row r="50" spans="1:9">
      <c r="A50">
        <v>2043</v>
      </c>
      <c r="D50" s="43"/>
      <c r="I50">
        <v>2.2000000000000002</v>
      </c>
    </row>
    <row r="51" spans="1:9">
      <c r="A51">
        <v>2044</v>
      </c>
      <c r="D51" s="43"/>
      <c r="I51">
        <v>2.2000000000000002</v>
      </c>
    </row>
    <row r="52" spans="1:9">
      <c r="A52">
        <v>2045</v>
      </c>
      <c r="D52" s="43"/>
      <c r="I52">
        <v>2.2000000000000002</v>
      </c>
    </row>
    <row r="53" spans="1:9">
      <c r="A53">
        <v>2046</v>
      </c>
      <c r="D53" s="43"/>
      <c r="I53">
        <v>2.2000000000000002</v>
      </c>
    </row>
    <row r="54" spans="1:9">
      <c r="A54">
        <v>2047</v>
      </c>
      <c r="D54" s="43"/>
      <c r="I54">
        <v>2.2000000000000002</v>
      </c>
    </row>
    <row r="55" spans="1:9">
      <c r="A55">
        <v>2048</v>
      </c>
      <c r="D55" s="43"/>
      <c r="I55">
        <v>2.2000000000000002</v>
      </c>
    </row>
    <row r="56" spans="1:9">
      <c r="A56">
        <v>2049</v>
      </c>
      <c r="D56" s="43"/>
      <c r="I56">
        <v>2.2000000000000002</v>
      </c>
    </row>
    <row r="57" spans="1:9">
      <c r="A57">
        <v>2050</v>
      </c>
      <c r="D57" s="43">
        <v>26.5</v>
      </c>
      <c r="I57">
        <v>2.2000000000000002</v>
      </c>
    </row>
  </sheetData>
  <hyperlinks>
    <hyperlink ref="T32" r:id="rId1" xr:uid="{2C2B7161-4803-B94A-8250-97E1206CF761}"/>
    <hyperlink ref="V17" r:id="rId2" display="https://www.firstsolar.com/-/media/First-Solar/Technical-Documents/Series-3-Datasheets/Series-3-Black-Plus-Module-Datasheet.ashx?la=en" xr:uid="{1C32044E-4C03-BB41-9293-385521C56234}"/>
    <hyperlink ref="S39" r:id="rId3" xr:uid="{83885D3A-05AF-1945-8DD9-F35B158ADAF4}"/>
    <hyperlink ref="T18" r:id="rId4" location="tbl0015" xr:uid="{D6B52210-87C8-F640-A0D9-75B72B8841A6}"/>
  </hyperlinks>
  <pageMargins left="0.7" right="0.7" top="0.75" bottom="0.75" header="0.3" footer="0.3"/>
  <pageSetup orientation="portrait" horizontalDpi="0" verticalDpi="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CD8D55-82D3-6847-9A81-F01E58836B07}">
  <dimension ref="B2:M46"/>
  <sheetViews>
    <sheetView topLeftCell="A6" workbookViewId="0">
      <selection activeCell="C4" sqref="C4:C46"/>
    </sheetView>
  </sheetViews>
  <sheetFormatPr baseColWidth="10" defaultRowHeight="16"/>
  <sheetData>
    <row r="2" spans="2:8">
      <c r="B2" t="s">
        <v>626</v>
      </c>
      <c r="G2" t="s">
        <v>627</v>
      </c>
    </row>
    <row r="3" spans="2:8">
      <c r="C3" t="s">
        <v>629</v>
      </c>
      <c r="F3" t="s">
        <v>630</v>
      </c>
    </row>
    <row r="4" spans="2:8">
      <c r="B4">
        <v>2008</v>
      </c>
      <c r="C4">
        <v>0</v>
      </c>
      <c r="F4" s="86">
        <v>10.14</v>
      </c>
      <c r="G4" t="s">
        <v>634</v>
      </c>
    </row>
    <row r="5" spans="2:8">
      <c r="B5">
        <v>2009</v>
      </c>
      <c r="C5">
        <v>0</v>
      </c>
      <c r="F5" s="86">
        <v>18.579999999999998</v>
      </c>
      <c r="H5" t="s">
        <v>628</v>
      </c>
    </row>
    <row r="6" spans="2:8">
      <c r="B6">
        <v>2010</v>
      </c>
      <c r="C6">
        <v>0</v>
      </c>
      <c r="F6" s="86">
        <v>118.80231999999999</v>
      </c>
    </row>
    <row r="7" spans="2:8">
      <c r="B7">
        <v>2011</v>
      </c>
      <c r="C7">
        <v>0</v>
      </c>
      <c r="F7" s="86">
        <v>115.2306</v>
      </c>
    </row>
    <row r="8" spans="2:8">
      <c r="B8">
        <v>2012</v>
      </c>
      <c r="C8">
        <v>0</v>
      </c>
      <c r="F8" s="86">
        <v>236.13989000000001</v>
      </c>
    </row>
    <row r="9" spans="2:8">
      <c r="B9">
        <v>2013</v>
      </c>
      <c r="C9">
        <v>0</v>
      </c>
      <c r="F9" s="86">
        <v>476.58019999999999</v>
      </c>
    </row>
    <row r="10" spans="2:8">
      <c r="B10">
        <v>2014</v>
      </c>
      <c r="C10">
        <v>0</v>
      </c>
      <c r="F10" s="86">
        <v>2185.3555500000002</v>
      </c>
    </row>
    <row r="11" spans="2:8">
      <c r="B11">
        <v>2015</v>
      </c>
      <c r="C11">
        <v>0</v>
      </c>
      <c r="F11" s="86">
        <v>525.04494</v>
      </c>
    </row>
    <row r="12" spans="2:8">
      <c r="B12">
        <v>2016</v>
      </c>
      <c r="C12">
        <v>0</v>
      </c>
      <c r="F12" s="86">
        <v>1660.5204000000001</v>
      </c>
    </row>
    <row r="13" spans="2:8">
      <c r="B13">
        <v>2017</v>
      </c>
      <c r="C13">
        <v>0</v>
      </c>
      <c r="F13" s="86">
        <v>877.52719999999999</v>
      </c>
    </row>
    <row r="14" spans="2:8">
      <c r="B14">
        <v>2018</v>
      </c>
      <c r="C14">
        <f>$H$26*G14</f>
        <v>117.53268310919591</v>
      </c>
      <c r="D14">
        <f>0.7*1000</f>
        <v>700</v>
      </c>
      <c r="E14" t="s">
        <v>606</v>
      </c>
      <c r="F14" s="86">
        <v>966.63419999999996</v>
      </c>
      <c r="G14">
        <f>D14*0.1/F14</f>
        <v>7.2416225289773525E-2</v>
      </c>
      <c r="H14" t="s">
        <v>643</v>
      </c>
    </row>
    <row r="15" spans="2:8">
      <c r="B15">
        <v>2019</v>
      </c>
      <c r="C15">
        <f t="shared" ref="C15:C29" si="0">$H$26*G15</f>
        <v>202.08028261278324</v>
      </c>
      <c r="D15">
        <f>2*1000</f>
        <v>2000</v>
      </c>
      <c r="E15" t="s">
        <v>606</v>
      </c>
      <c r="F15" s="86">
        <v>1606.308</v>
      </c>
      <c r="G15">
        <f>2*1000*0.1/F15</f>
        <v>0.12450912278342634</v>
      </c>
      <c r="H15" t="s">
        <v>631</v>
      </c>
    </row>
    <row r="16" spans="2:8">
      <c r="B16">
        <v>2020</v>
      </c>
      <c r="C16">
        <f t="shared" si="0"/>
        <v>405.75396825396825</v>
      </c>
      <c r="F16" s="86">
        <v>2883.15</v>
      </c>
      <c r="G16">
        <v>0.25</v>
      </c>
    </row>
    <row r="17" spans="2:13">
      <c r="B17">
        <v>2021</v>
      </c>
      <c r="C17">
        <f t="shared" si="0"/>
        <v>811.50793650793651</v>
      </c>
      <c r="F17" s="86">
        <v>3770.4</v>
      </c>
      <c r="G17">
        <v>0.5</v>
      </c>
      <c r="H17" t="s">
        <v>632</v>
      </c>
    </row>
    <row r="18" spans="2:13">
      <c r="B18">
        <v>2022</v>
      </c>
      <c r="C18">
        <f t="shared" si="0"/>
        <v>811.50793650793651</v>
      </c>
      <c r="F18" s="86">
        <v>2400</v>
      </c>
      <c r="G18">
        <v>0.5</v>
      </c>
    </row>
    <row r="19" spans="2:13">
      <c r="B19">
        <v>2023</v>
      </c>
      <c r="C19">
        <f t="shared" si="0"/>
        <v>811.50793650793651</v>
      </c>
      <c r="F19" s="86">
        <v>3775.4766300000001</v>
      </c>
      <c r="G19">
        <v>0.5</v>
      </c>
      <c r="H19" t="s">
        <v>633</v>
      </c>
    </row>
    <row r="20" spans="2:13">
      <c r="B20">
        <v>2024</v>
      </c>
      <c r="C20">
        <f t="shared" si="0"/>
        <v>1217.2619047619048</v>
      </c>
      <c r="F20" s="86">
        <v>3775.4766300000001</v>
      </c>
      <c r="G20">
        <v>0.75</v>
      </c>
      <c r="H20" t="s">
        <v>635</v>
      </c>
    </row>
    <row r="21" spans="2:13">
      <c r="B21">
        <v>2025</v>
      </c>
      <c r="C21">
        <f t="shared" si="0"/>
        <v>1623.015873015873</v>
      </c>
      <c r="F21" s="86">
        <v>3877.82656</v>
      </c>
      <c r="G21">
        <v>1</v>
      </c>
    </row>
    <row r="22" spans="2:13">
      <c r="B22">
        <v>2026</v>
      </c>
      <c r="C22">
        <f t="shared" si="0"/>
        <v>1623.015873015873</v>
      </c>
      <c r="F22" s="86">
        <v>3877.82656</v>
      </c>
      <c r="G22">
        <v>1</v>
      </c>
    </row>
    <row r="23" spans="2:13">
      <c r="B23">
        <v>2027</v>
      </c>
      <c r="C23">
        <f>$H$26*G24</f>
        <v>1217.2619047619048</v>
      </c>
      <c r="F23" s="86">
        <v>4201.3282099999997</v>
      </c>
      <c r="G23">
        <v>1</v>
      </c>
      <c r="H23" t="s">
        <v>636</v>
      </c>
    </row>
    <row r="24" spans="2:13">
      <c r="B24">
        <v>2028</v>
      </c>
      <c r="C24">
        <f>$H$26*G25</f>
        <v>811.50793650793651</v>
      </c>
      <c r="F24" s="86">
        <v>4201.3282099999997</v>
      </c>
      <c r="G24">
        <v>0.75</v>
      </c>
      <c r="H24" s="14">
        <f>4.09*1000</f>
        <v>4090</v>
      </c>
      <c r="I24" t="s">
        <v>638</v>
      </c>
      <c r="J24" t="s">
        <v>639</v>
      </c>
    </row>
    <row r="25" spans="2:13">
      <c r="B25">
        <v>2029</v>
      </c>
      <c r="C25">
        <f>$H$26*G26</f>
        <v>811.50793650793651</v>
      </c>
      <c r="F25" s="86">
        <v>4738.2389400000002</v>
      </c>
      <c r="G25">
        <v>0.5</v>
      </c>
      <c r="H25" t="s">
        <v>637</v>
      </c>
      <c r="L25">
        <v>4</v>
      </c>
      <c r="M25">
        <v>2</v>
      </c>
    </row>
    <row r="26" spans="2:13">
      <c r="B26">
        <v>2030</v>
      </c>
      <c r="C26">
        <f>$H$26*G27</f>
        <v>811.50793650793651</v>
      </c>
      <c r="F26" s="86">
        <v>4738.2389400000002</v>
      </c>
      <c r="G26">
        <v>0.5</v>
      </c>
      <c r="H26">
        <f>H24/2.52</f>
        <v>1623.015873015873</v>
      </c>
      <c r="I26" t="s">
        <v>638</v>
      </c>
      <c r="J26" t="s">
        <v>641</v>
      </c>
      <c r="L26" t="s">
        <v>640</v>
      </c>
      <c r="M26">
        <v>1</v>
      </c>
    </row>
    <row r="27" spans="2:13">
      <c r="B27">
        <v>2031</v>
      </c>
      <c r="C27">
        <f>$H$26*G28</f>
        <v>405.75396825396825</v>
      </c>
      <c r="F27" s="86">
        <v>5632.5803400000004</v>
      </c>
      <c r="G27">
        <v>0.5</v>
      </c>
    </row>
    <row r="28" spans="2:13">
      <c r="B28">
        <v>2032</v>
      </c>
      <c r="C28">
        <f>$H$26*G29</f>
        <v>202.08028261278324</v>
      </c>
      <c r="F28" s="86">
        <v>5632.5803400000004</v>
      </c>
      <c r="G28">
        <v>0.25</v>
      </c>
    </row>
    <row r="29" spans="2:13">
      <c r="B29">
        <v>2033</v>
      </c>
      <c r="C29">
        <f>$H$26*G30</f>
        <v>117.53268310919591</v>
      </c>
      <c r="F29" s="86">
        <v>8165.4009699999997</v>
      </c>
      <c r="G29">
        <f>G15</f>
        <v>0.12450912278342634</v>
      </c>
    </row>
    <row r="30" spans="2:13">
      <c r="B30">
        <v>2034</v>
      </c>
      <c r="C30">
        <f>$H$26*G31</f>
        <v>81.150793650793659</v>
      </c>
      <c r="F30" s="86">
        <v>8165.4009699999997</v>
      </c>
      <c r="G30">
        <f>G14</f>
        <v>7.2416225289773525E-2</v>
      </c>
    </row>
    <row r="31" spans="2:13">
      <c r="B31">
        <v>2035</v>
      </c>
      <c r="C31">
        <f t="shared" ref="C31:C43" si="1">$H$26*G32</f>
        <v>81.150793650793659</v>
      </c>
      <c r="F31" s="86">
        <v>9184.2082499999997</v>
      </c>
      <c r="G31">
        <v>0.05</v>
      </c>
      <c r="H31" t="s">
        <v>644</v>
      </c>
    </row>
    <row r="32" spans="2:13">
      <c r="B32">
        <v>2036</v>
      </c>
      <c r="C32">
        <f t="shared" si="1"/>
        <v>81.150793650793659</v>
      </c>
      <c r="F32" s="86">
        <v>9184.2082499999997</v>
      </c>
      <c r="G32">
        <v>0.05</v>
      </c>
      <c r="J32" t="s">
        <v>642</v>
      </c>
    </row>
    <row r="33" spans="2:10">
      <c r="B33">
        <v>2037</v>
      </c>
      <c r="C33">
        <f t="shared" si="1"/>
        <v>81.150793650793659</v>
      </c>
      <c r="F33" s="86">
        <v>9589.7368399999996</v>
      </c>
      <c r="G33">
        <v>0.05</v>
      </c>
    </row>
    <row r="34" spans="2:10">
      <c r="B34">
        <v>2038</v>
      </c>
      <c r="C34">
        <f t="shared" si="1"/>
        <v>81.150793650793659</v>
      </c>
      <c r="F34" s="86">
        <v>9589.7368399999996</v>
      </c>
      <c r="G34">
        <v>0.05</v>
      </c>
      <c r="J34">
        <v>30</v>
      </c>
    </row>
    <row r="35" spans="2:10">
      <c r="B35">
        <v>2039</v>
      </c>
      <c r="C35">
        <f t="shared" si="1"/>
        <v>0</v>
      </c>
      <c r="F35" s="86">
        <v>10561.929899999999</v>
      </c>
      <c r="G35">
        <v>0.05</v>
      </c>
    </row>
    <row r="36" spans="2:10">
      <c r="B36">
        <v>2040</v>
      </c>
      <c r="C36">
        <f t="shared" si="1"/>
        <v>0</v>
      </c>
      <c r="F36" s="86">
        <v>10561.929899999999</v>
      </c>
    </row>
    <row r="37" spans="2:10">
      <c r="B37">
        <v>2041</v>
      </c>
      <c r="C37">
        <f t="shared" si="1"/>
        <v>0</v>
      </c>
      <c r="F37" s="86">
        <v>10726.296200000001</v>
      </c>
    </row>
    <row r="38" spans="2:10">
      <c r="B38">
        <v>2042</v>
      </c>
      <c r="C38">
        <f t="shared" si="1"/>
        <v>0</v>
      </c>
      <c r="F38" s="86">
        <v>10726.296200000001</v>
      </c>
    </row>
    <row r="39" spans="2:10">
      <c r="B39">
        <v>2043</v>
      </c>
      <c r="C39">
        <f t="shared" si="1"/>
        <v>0</v>
      </c>
      <c r="F39" s="86">
        <v>11863.3742</v>
      </c>
    </row>
    <row r="40" spans="2:10">
      <c r="B40">
        <v>2044</v>
      </c>
      <c r="C40">
        <f t="shared" si="1"/>
        <v>0</v>
      </c>
      <c r="F40" s="86">
        <v>11863.3742</v>
      </c>
    </row>
    <row r="41" spans="2:10">
      <c r="B41">
        <v>2045</v>
      </c>
      <c r="C41">
        <f t="shared" si="1"/>
        <v>0</v>
      </c>
      <c r="F41" s="86">
        <v>12568.526099999999</v>
      </c>
    </row>
    <row r="42" spans="2:10">
      <c r="B42">
        <v>2046</v>
      </c>
      <c r="C42">
        <f t="shared" si="1"/>
        <v>0</v>
      </c>
      <c r="F42" s="86">
        <v>12568.526099999999</v>
      </c>
    </row>
    <row r="43" spans="2:10">
      <c r="B43">
        <v>2047</v>
      </c>
      <c r="C43">
        <f t="shared" si="1"/>
        <v>0</v>
      </c>
      <c r="F43" s="86">
        <v>12991.677799999999</v>
      </c>
    </row>
    <row r="44" spans="2:10">
      <c r="B44">
        <v>2048</v>
      </c>
      <c r="C44">
        <f>$H$26*G45</f>
        <v>0</v>
      </c>
      <c r="F44" s="86">
        <v>12991.677799999999</v>
      </c>
    </row>
    <row r="45" spans="2:10">
      <c r="B45">
        <v>2049</v>
      </c>
      <c r="C45">
        <f>$H$26*G46</f>
        <v>0</v>
      </c>
      <c r="F45" s="86">
        <v>13988.3032</v>
      </c>
    </row>
    <row r="46" spans="2:10">
      <c r="B46">
        <v>2050</v>
      </c>
      <c r="C46">
        <f>$H$26*G47</f>
        <v>0</v>
      </c>
      <c r="F46" s="86">
        <v>13988.3032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111AE8-A8F8-E14B-8662-08DE90BF3B12}">
  <dimension ref="B2:CE101"/>
  <sheetViews>
    <sheetView topLeftCell="A24" zoomScale="75" workbookViewId="0">
      <selection activeCell="C50" sqref="C50:C65"/>
    </sheetView>
  </sheetViews>
  <sheetFormatPr baseColWidth="10" defaultRowHeight="16"/>
  <cols>
    <col min="1" max="1" width="4.1640625" customWidth="1"/>
    <col min="2" max="2" width="35.6640625" customWidth="1"/>
    <col min="4" max="4" width="11.5" customWidth="1"/>
    <col min="5" max="5" width="10.83203125" customWidth="1"/>
    <col min="6" max="6" width="10" customWidth="1"/>
    <col min="7" max="7" width="10.83203125" customWidth="1"/>
    <col min="8" max="8" width="7.83203125" customWidth="1"/>
    <col min="9" max="9" width="10.83203125" customWidth="1"/>
    <col min="10" max="10" width="7.83203125" customWidth="1"/>
    <col min="11" max="11" width="10.83203125" customWidth="1"/>
    <col min="12" max="12" width="7.83203125" customWidth="1"/>
    <col min="13" max="13" width="10.83203125" customWidth="1"/>
    <col min="14" max="14" width="7.83203125" customWidth="1"/>
    <col min="15" max="15" width="10.83203125" customWidth="1"/>
    <col min="16" max="16" width="7.83203125" customWidth="1"/>
    <col min="17" max="17" width="10.83203125" customWidth="1"/>
    <col min="18" max="18" width="7.83203125" customWidth="1"/>
    <col min="19" max="19" width="10.83203125" customWidth="1"/>
    <col min="20" max="20" width="7.83203125" customWidth="1"/>
    <col min="21" max="21" width="12" customWidth="1"/>
    <col min="22" max="22" width="7.83203125" customWidth="1"/>
    <col min="23" max="23" width="12" customWidth="1"/>
    <col min="24" max="24" width="7.83203125" customWidth="1"/>
    <col min="25" max="25" width="12" customWidth="1"/>
    <col min="26" max="26" width="7.83203125" customWidth="1"/>
    <col min="27" max="27" width="12" customWidth="1"/>
    <col min="28" max="28" width="7.83203125" style="69" customWidth="1"/>
    <col min="29" max="29" width="12" customWidth="1"/>
    <col min="30" max="30" width="7.83203125" customWidth="1"/>
    <col min="31" max="31" width="12" customWidth="1"/>
    <col min="32" max="32" width="7.83203125" customWidth="1"/>
    <col min="33" max="33" width="12" customWidth="1"/>
    <col min="34" max="34" width="7.83203125" customWidth="1"/>
    <col min="35" max="35" width="12" customWidth="1"/>
    <col min="36" max="36" width="7.83203125" customWidth="1"/>
    <col min="37" max="37" width="12" customWidth="1"/>
    <col min="38" max="38" width="7.83203125" customWidth="1"/>
    <col min="39" max="39" width="12" customWidth="1"/>
    <col min="40" max="40" width="7.83203125" customWidth="1"/>
    <col min="41" max="41" width="12" customWidth="1"/>
    <col min="42" max="42" width="7.83203125" customWidth="1"/>
    <col min="43" max="43" width="12" customWidth="1"/>
    <col min="44" max="44" width="7.83203125" customWidth="1"/>
    <col min="45" max="45" width="12" customWidth="1"/>
    <col min="46" max="46" width="7.83203125" customWidth="1"/>
    <col min="47" max="47" width="12" customWidth="1"/>
    <col min="48" max="48" width="7.83203125" customWidth="1"/>
    <col min="49" max="49" width="12" customWidth="1"/>
    <col min="50" max="50" width="7.83203125" customWidth="1"/>
    <col min="51" max="51" width="12" customWidth="1"/>
    <col min="52" max="52" width="7.83203125" customWidth="1"/>
    <col min="53" max="53" width="12" customWidth="1"/>
    <col min="54" max="54" width="7.83203125" customWidth="1"/>
    <col min="55" max="55" width="12" customWidth="1"/>
    <col min="56" max="56" width="7.83203125" customWidth="1"/>
    <col min="57" max="57" width="12" customWidth="1"/>
    <col min="58" max="58" width="7.83203125" customWidth="1"/>
    <col min="59" max="59" width="12" customWidth="1"/>
    <col min="60" max="60" width="7.83203125" customWidth="1"/>
    <col min="61" max="61" width="12" customWidth="1"/>
    <col min="62" max="62" width="5.83203125" customWidth="1"/>
  </cols>
  <sheetData>
    <row r="2" spans="2:68">
      <c r="B2" s="75" t="s">
        <v>489</v>
      </c>
      <c r="C2" s="76"/>
      <c r="D2" s="76"/>
      <c r="E2" s="76"/>
      <c r="F2" s="76"/>
      <c r="G2" s="76"/>
      <c r="H2" s="76"/>
      <c r="I2" s="76"/>
      <c r="J2" s="76"/>
      <c r="K2" s="76"/>
      <c r="L2" s="76"/>
      <c r="M2" s="76"/>
      <c r="N2" s="76"/>
      <c r="O2" s="76"/>
      <c r="P2" s="76"/>
      <c r="Q2" s="76"/>
      <c r="R2" s="76"/>
      <c r="S2" s="76"/>
      <c r="T2" s="76"/>
      <c r="U2" s="76"/>
      <c r="V2" s="75" t="s">
        <v>502</v>
      </c>
    </row>
    <row r="3" spans="2:68">
      <c r="B3" t="s">
        <v>382</v>
      </c>
      <c r="V3" t="s">
        <v>505</v>
      </c>
      <c r="W3" t="s">
        <v>506</v>
      </c>
      <c r="AB3"/>
      <c r="AL3" s="80"/>
      <c r="AM3" s="8" t="s">
        <v>410</v>
      </c>
      <c r="AO3">
        <v>1994</v>
      </c>
      <c r="BP3" s="80"/>
    </row>
    <row r="4" spans="2:68">
      <c r="B4" t="s">
        <v>383</v>
      </c>
      <c r="V4" t="s">
        <v>507</v>
      </c>
      <c r="W4" t="s">
        <v>508</v>
      </c>
      <c r="AB4"/>
      <c r="AL4" s="80"/>
      <c r="AM4" t="s">
        <v>424</v>
      </c>
      <c r="BP4" s="80"/>
    </row>
    <row r="5" spans="2:68">
      <c r="B5" t="s">
        <v>493</v>
      </c>
      <c r="V5" t="s">
        <v>509</v>
      </c>
      <c r="W5" t="s">
        <v>510</v>
      </c>
      <c r="AB5"/>
      <c r="AL5" s="80"/>
      <c r="AM5" t="s">
        <v>412</v>
      </c>
      <c r="BP5" s="80"/>
    </row>
    <row r="6" spans="2:68">
      <c r="B6" t="s">
        <v>384</v>
      </c>
      <c r="V6" t="s">
        <v>511</v>
      </c>
      <c r="W6" t="s">
        <v>512</v>
      </c>
      <c r="AB6"/>
      <c r="AL6" s="80"/>
      <c r="AM6" t="s">
        <v>413</v>
      </c>
      <c r="BP6" s="80"/>
    </row>
    <row r="7" spans="2:68">
      <c r="B7" t="s">
        <v>391</v>
      </c>
      <c r="O7" t="s">
        <v>586</v>
      </c>
      <c r="P7">
        <v>0.453592</v>
      </c>
      <c r="V7" t="s">
        <v>77</v>
      </c>
      <c r="W7" t="s">
        <v>582</v>
      </c>
      <c r="AB7"/>
      <c r="AL7" s="80"/>
      <c r="AM7" t="s">
        <v>414</v>
      </c>
      <c r="BP7" s="80"/>
    </row>
    <row r="8" spans="2:68">
      <c r="B8" t="s">
        <v>404</v>
      </c>
      <c r="AB8"/>
      <c r="AL8" s="80"/>
      <c r="BP8" s="80"/>
    </row>
    <row r="9" spans="2:68">
      <c r="B9" t="s">
        <v>405</v>
      </c>
      <c r="AB9"/>
      <c r="AL9" s="80"/>
      <c r="BP9" s="80"/>
    </row>
    <row r="10" spans="2:68">
      <c r="B10" t="s">
        <v>503</v>
      </c>
      <c r="AB10"/>
      <c r="AL10" s="80"/>
      <c r="BP10" s="80"/>
    </row>
    <row r="11" spans="2:68">
      <c r="B11" t="s">
        <v>504</v>
      </c>
      <c r="AB11"/>
      <c r="AL11" s="80"/>
      <c r="BP11" s="80"/>
    </row>
    <row r="12" spans="2:68">
      <c r="B12" t="s">
        <v>514</v>
      </c>
      <c r="AB12"/>
      <c r="AL12" s="80"/>
      <c r="BP12" s="80"/>
    </row>
    <row r="13" spans="2:68">
      <c r="B13" t="s">
        <v>581</v>
      </c>
      <c r="AB13"/>
      <c r="AL13" s="80"/>
      <c r="BP13" s="80"/>
    </row>
    <row r="14" spans="2:68">
      <c r="B14" t="s">
        <v>585</v>
      </c>
      <c r="AB14"/>
      <c r="AL14" s="80"/>
      <c r="BP14" s="80"/>
    </row>
    <row r="15" spans="2:68">
      <c r="AB15"/>
      <c r="AL15" s="80"/>
      <c r="BP15" s="80"/>
    </row>
    <row r="16" spans="2:68">
      <c r="B16" t="s">
        <v>515</v>
      </c>
      <c r="AB16"/>
      <c r="AL16" s="80"/>
      <c r="BP16" s="80"/>
    </row>
    <row r="17" spans="2:68">
      <c r="AB17"/>
      <c r="AL17" s="80"/>
      <c r="BP17" s="80"/>
    </row>
    <row r="18" spans="2:68">
      <c r="B18" s="78" t="s">
        <v>385</v>
      </c>
      <c r="C18" s="77" t="s">
        <v>517</v>
      </c>
      <c r="D18" s="77" t="s">
        <v>549</v>
      </c>
      <c r="E18" s="77" t="s">
        <v>550</v>
      </c>
      <c r="F18" s="77" t="s">
        <v>551</v>
      </c>
      <c r="G18" s="77" t="s">
        <v>552</v>
      </c>
      <c r="H18" s="77" t="s">
        <v>521</v>
      </c>
      <c r="I18" s="77" t="s">
        <v>522</v>
      </c>
      <c r="J18" s="77" t="s">
        <v>523</v>
      </c>
      <c r="K18" s="77" t="s">
        <v>524</v>
      </c>
      <c r="L18" s="77" t="s">
        <v>525</v>
      </c>
      <c r="M18" s="77" t="s">
        <v>526</v>
      </c>
      <c r="N18" s="77" t="s">
        <v>527</v>
      </c>
      <c r="O18" s="77" t="s">
        <v>528</v>
      </c>
      <c r="P18" s="77" t="s">
        <v>529</v>
      </c>
      <c r="Q18" s="77" t="s">
        <v>530</v>
      </c>
      <c r="R18" s="77" t="s">
        <v>531</v>
      </c>
      <c r="S18" s="77" t="s">
        <v>532</v>
      </c>
      <c r="T18" s="77" t="s">
        <v>533</v>
      </c>
      <c r="U18" s="77" t="s">
        <v>534</v>
      </c>
      <c r="V18" s="77" t="s">
        <v>535</v>
      </c>
      <c r="W18" s="77" t="s">
        <v>536</v>
      </c>
      <c r="X18" s="77" t="s">
        <v>537</v>
      </c>
      <c r="Y18" s="77" t="s">
        <v>538</v>
      </c>
      <c r="Z18" s="77" t="s">
        <v>539</v>
      </c>
      <c r="AA18" s="77" t="s">
        <v>540</v>
      </c>
      <c r="AB18" s="77" t="s">
        <v>541</v>
      </c>
      <c r="AC18" s="77" t="s">
        <v>542</v>
      </c>
      <c r="AD18" s="77" t="s">
        <v>543</v>
      </c>
      <c r="AE18" s="77" t="s">
        <v>544</v>
      </c>
      <c r="AF18" s="77" t="s">
        <v>545</v>
      </c>
      <c r="AG18" s="77" t="s">
        <v>546</v>
      </c>
      <c r="AH18" s="77" t="s">
        <v>547</v>
      </c>
      <c r="AI18" s="77" t="s">
        <v>548</v>
      </c>
      <c r="AL18" s="80"/>
      <c r="BP18" s="80"/>
    </row>
    <row r="19" spans="2:68">
      <c r="B19" t="s">
        <v>472</v>
      </c>
      <c r="C19" t="s">
        <v>386</v>
      </c>
      <c r="D19" s="68"/>
      <c r="E19" s="68"/>
      <c r="F19" s="68"/>
      <c r="G19" s="68"/>
      <c r="H19" s="68">
        <v>0.65</v>
      </c>
      <c r="I19" s="68">
        <v>0.67</v>
      </c>
      <c r="J19" s="68">
        <v>0.69</v>
      </c>
      <c r="K19" s="68">
        <v>0.69</v>
      </c>
      <c r="L19" s="68">
        <v>0.72</v>
      </c>
      <c r="M19" s="68">
        <v>0.75</v>
      </c>
      <c r="N19" s="68">
        <v>0.75</v>
      </c>
      <c r="O19" s="68">
        <v>0.75</v>
      </c>
      <c r="P19" s="68">
        <v>0.78</v>
      </c>
      <c r="Q19" s="68">
        <v>0.78</v>
      </c>
      <c r="R19" s="68">
        <v>0.81</v>
      </c>
      <c r="S19" s="68">
        <v>0.82</v>
      </c>
      <c r="T19" s="68">
        <v>0.83</v>
      </c>
      <c r="U19" s="68">
        <v>0.83</v>
      </c>
      <c r="V19" s="68" t="s">
        <v>486</v>
      </c>
      <c r="W19" s="68" t="s">
        <v>486</v>
      </c>
      <c r="X19" s="68" t="s">
        <v>498</v>
      </c>
      <c r="Y19" s="68" t="s">
        <v>498</v>
      </c>
      <c r="Z19" s="68" t="s">
        <v>498</v>
      </c>
      <c r="AA19" s="68" t="s">
        <v>498</v>
      </c>
      <c r="AB19" s="68" t="s">
        <v>498</v>
      </c>
      <c r="AC19" s="68" t="s">
        <v>498</v>
      </c>
      <c r="AD19" s="68" t="s">
        <v>498</v>
      </c>
      <c r="AE19" s="68" t="s">
        <v>498</v>
      </c>
      <c r="AF19" s="68" t="s">
        <v>498</v>
      </c>
      <c r="AG19" s="68" t="s">
        <v>498</v>
      </c>
      <c r="AH19" s="68"/>
      <c r="AI19" s="68"/>
      <c r="AL19" s="80"/>
      <c r="BP19" s="80"/>
    </row>
    <row r="20" spans="2:68">
      <c r="B20" t="s">
        <v>474</v>
      </c>
      <c r="C20" t="s">
        <v>387</v>
      </c>
      <c r="D20" s="68"/>
      <c r="E20" s="68"/>
      <c r="F20" s="68"/>
      <c r="G20" s="68"/>
      <c r="H20" s="68">
        <v>0.14000000000000001</v>
      </c>
      <c r="I20" s="68">
        <v>0.14000000000000001</v>
      </c>
      <c r="J20" s="68">
        <v>0.13</v>
      </c>
      <c r="K20" s="68">
        <v>0.13</v>
      </c>
      <c r="L20" s="68">
        <v>0.13</v>
      </c>
      <c r="M20" s="68">
        <v>0.13</v>
      </c>
      <c r="N20" s="68">
        <v>0.12</v>
      </c>
      <c r="O20" s="68">
        <v>0.12</v>
      </c>
      <c r="P20" s="68">
        <v>0.13</v>
      </c>
      <c r="Q20" s="68">
        <v>0.12</v>
      </c>
      <c r="R20" s="68">
        <v>0.1</v>
      </c>
      <c r="S20" s="68">
        <v>0.09</v>
      </c>
      <c r="T20" s="68">
        <v>0.08</v>
      </c>
      <c r="U20" s="68">
        <v>0.08</v>
      </c>
      <c r="V20" s="68" t="s">
        <v>486</v>
      </c>
      <c r="W20" s="68" t="s">
        <v>486</v>
      </c>
      <c r="X20" s="68" t="s">
        <v>486</v>
      </c>
      <c r="Y20" s="68" t="s">
        <v>486</v>
      </c>
      <c r="Z20" s="68" t="s">
        <v>486</v>
      </c>
      <c r="AA20" s="68" t="s">
        <v>486</v>
      </c>
      <c r="AB20" s="68" t="s">
        <v>486</v>
      </c>
      <c r="AC20" s="68" t="s">
        <v>486</v>
      </c>
      <c r="AD20" s="68" t="s">
        <v>486</v>
      </c>
      <c r="AE20" s="68" t="s">
        <v>486</v>
      </c>
      <c r="AF20" s="68" t="s">
        <v>486</v>
      </c>
      <c r="AG20" s="68" t="s">
        <v>486</v>
      </c>
      <c r="AH20" s="68"/>
      <c r="AI20" s="68"/>
      <c r="AL20" s="80"/>
      <c r="BP20" s="80"/>
    </row>
    <row r="21" spans="2:68">
      <c r="B21" t="s">
        <v>491</v>
      </c>
      <c r="C21" t="s">
        <v>388</v>
      </c>
      <c r="D21" s="68"/>
      <c r="E21" s="68"/>
      <c r="F21" s="68"/>
      <c r="G21" s="68"/>
      <c r="H21" s="68">
        <v>0.09</v>
      </c>
      <c r="I21" s="68">
        <v>0.08</v>
      </c>
      <c r="J21" s="68">
        <v>0.08</v>
      </c>
      <c r="K21" s="68">
        <v>0.08</v>
      </c>
      <c r="L21" s="68">
        <v>0.08</v>
      </c>
      <c r="M21" s="68">
        <v>7.0000000000000007E-2</v>
      </c>
      <c r="N21" s="68">
        <v>0.08</v>
      </c>
      <c r="O21" s="68">
        <v>0.08</v>
      </c>
      <c r="P21" s="68">
        <v>0.08</v>
      </c>
      <c r="Q21" s="68">
        <v>0.08</v>
      </c>
      <c r="R21" s="68">
        <v>7.0000000000000007E-2</v>
      </c>
      <c r="S21" s="68">
        <v>7.0000000000000007E-2</v>
      </c>
      <c r="T21" s="68">
        <v>7.0000000000000007E-2</v>
      </c>
      <c r="U21" s="68">
        <v>7.0000000000000007E-2</v>
      </c>
      <c r="V21" s="68" t="s">
        <v>486</v>
      </c>
      <c r="W21" s="68" t="s">
        <v>486</v>
      </c>
      <c r="X21" s="68" t="s">
        <v>486</v>
      </c>
      <c r="Y21" s="68" t="s">
        <v>486</v>
      </c>
      <c r="Z21" s="68" t="s">
        <v>486</v>
      </c>
      <c r="AA21" s="68" t="s">
        <v>486</v>
      </c>
      <c r="AB21" s="68" t="s">
        <v>486</v>
      </c>
      <c r="AC21" s="68" t="s">
        <v>486</v>
      </c>
      <c r="AD21" s="68" t="s">
        <v>486</v>
      </c>
      <c r="AE21" s="68" t="s">
        <v>486</v>
      </c>
      <c r="AF21" s="68" t="s">
        <v>486</v>
      </c>
      <c r="AG21" s="68" t="s">
        <v>486</v>
      </c>
      <c r="AH21" s="68"/>
      <c r="AI21" s="68"/>
      <c r="AL21" s="80"/>
      <c r="BP21" s="80"/>
    </row>
    <row r="22" spans="2:68">
      <c r="C22" t="s">
        <v>389</v>
      </c>
      <c r="D22" s="68"/>
      <c r="E22" s="68"/>
      <c r="F22" s="68"/>
      <c r="G22" s="68"/>
      <c r="H22" s="68">
        <v>0.09</v>
      </c>
      <c r="I22" s="68">
        <v>0.08</v>
      </c>
      <c r="J22" s="68">
        <v>7.0000000000000007E-2</v>
      </c>
      <c r="K22" s="68">
        <v>7.0000000000000007E-2</v>
      </c>
      <c r="L22" s="68">
        <v>0.06</v>
      </c>
      <c r="M22" s="68">
        <v>0.04</v>
      </c>
      <c r="N22" s="68">
        <v>0.04</v>
      </c>
      <c r="O22" s="68">
        <v>0.04</v>
      </c>
      <c r="P22" s="68">
        <v>1.4999999999999999E-2</v>
      </c>
      <c r="Q22" s="68">
        <v>1.4999999999999999E-2</v>
      </c>
      <c r="R22" s="68">
        <v>1.4999999999999999E-2</v>
      </c>
      <c r="S22" s="68">
        <v>1.2E-2</v>
      </c>
      <c r="T22" s="68">
        <v>1.2E-2</v>
      </c>
      <c r="U22" s="68">
        <v>1.2E-2</v>
      </c>
      <c r="V22" s="68" t="s">
        <v>486</v>
      </c>
      <c r="W22" s="68" t="s">
        <v>486</v>
      </c>
      <c r="X22" s="68" t="s">
        <v>486</v>
      </c>
      <c r="Y22" s="68" t="s">
        <v>486</v>
      </c>
      <c r="Z22" s="68" t="s">
        <v>486</v>
      </c>
      <c r="AA22" s="68" t="s">
        <v>486</v>
      </c>
      <c r="AB22" s="68" t="s">
        <v>486</v>
      </c>
      <c r="AC22" s="68" t="s">
        <v>486</v>
      </c>
      <c r="AD22" s="68" t="s">
        <v>486</v>
      </c>
      <c r="AE22" s="68" t="s">
        <v>486</v>
      </c>
      <c r="AF22" s="68" t="s">
        <v>486</v>
      </c>
      <c r="AG22" s="68" t="s">
        <v>486</v>
      </c>
      <c r="AH22" s="68"/>
      <c r="AI22" s="68"/>
      <c r="AL22" s="80"/>
      <c r="BP22" s="80"/>
    </row>
    <row r="23" spans="2:68">
      <c r="C23" t="s">
        <v>468</v>
      </c>
      <c r="D23" s="68"/>
      <c r="E23" s="68"/>
      <c r="F23" s="68"/>
      <c r="G23" s="68"/>
      <c r="H23" s="68">
        <v>0.03</v>
      </c>
      <c r="I23" s="68">
        <v>0.02</v>
      </c>
      <c r="J23" s="68">
        <v>0.03</v>
      </c>
      <c r="K23" s="68">
        <v>0.03</v>
      </c>
      <c r="L23" s="68">
        <v>0.01</v>
      </c>
      <c r="M23" s="68">
        <v>0.01</v>
      </c>
      <c r="N23" s="68">
        <v>0.01</v>
      </c>
      <c r="O23" s="68">
        <v>0.01</v>
      </c>
      <c r="P23" s="68">
        <v>5.0000000000000001E-3</v>
      </c>
      <c r="Q23" s="68">
        <v>5.0000000000000001E-3</v>
      </c>
      <c r="R23" s="68">
        <v>5.0000000000000001E-3</v>
      </c>
      <c r="S23" s="68">
        <v>0.08</v>
      </c>
      <c r="T23" s="68" t="s">
        <v>471</v>
      </c>
      <c r="U23" s="73">
        <v>8.0000000000000004E-4</v>
      </c>
      <c r="V23" s="68" t="s">
        <v>486</v>
      </c>
      <c r="W23" s="68" t="s">
        <v>486</v>
      </c>
      <c r="X23" s="68" t="s">
        <v>486</v>
      </c>
      <c r="Y23" s="68" t="s">
        <v>486</v>
      </c>
      <c r="Z23" s="68" t="s">
        <v>486</v>
      </c>
      <c r="AA23" s="68" t="s">
        <v>486</v>
      </c>
      <c r="AB23" s="68" t="s">
        <v>486</v>
      </c>
      <c r="AC23" s="68" t="s">
        <v>486</v>
      </c>
      <c r="AD23" s="68" t="s">
        <v>486</v>
      </c>
      <c r="AE23" s="68" t="s">
        <v>486</v>
      </c>
      <c r="AF23" s="68" t="s">
        <v>486</v>
      </c>
      <c r="AG23" s="68" t="s">
        <v>486</v>
      </c>
      <c r="AH23" s="68"/>
      <c r="AI23" s="68"/>
      <c r="AL23" s="80"/>
      <c r="BP23" s="80"/>
    </row>
    <row r="24" spans="2:68">
      <c r="C24" t="s">
        <v>390</v>
      </c>
      <c r="D24" s="68"/>
      <c r="E24" s="68"/>
      <c r="F24" s="68"/>
      <c r="G24" s="68"/>
      <c r="H24" s="68">
        <v>0</v>
      </c>
      <c r="I24" s="68">
        <v>0</v>
      </c>
      <c r="J24" s="68">
        <v>0</v>
      </c>
      <c r="K24" s="68">
        <v>0</v>
      </c>
      <c r="L24" s="68">
        <v>0</v>
      </c>
      <c r="M24" s="68">
        <v>0</v>
      </c>
      <c r="N24" s="68">
        <v>0</v>
      </c>
      <c r="O24" s="68">
        <v>0</v>
      </c>
      <c r="P24" s="68">
        <v>0</v>
      </c>
      <c r="Q24" s="68">
        <v>0</v>
      </c>
      <c r="R24" s="68">
        <v>0</v>
      </c>
      <c r="S24" s="68">
        <v>0</v>
      </c>
      <c r="T24" s="68" t="s">
        <v>473</v>
      </c>
      <c r="U24" s="68" t="s">
        <v>473</v>
      </c>
      <c r="V24" s="68" t="s">
        <v>486</v>
      </c>
      <c r="W24" s="68" t="s">
        <v>486</v>
      </c>
      <c r="X24" s="68" t="s">
        <v>486</v>
      </c>
      <c r="Y24" s="68" t="s">
        <v>486</v>
      </c>
      <c r="Z24" s="68" t="s">
        <v>486</v>
      </c>
      <c r="AA24" s="68" t="s">
        <v>486</v>
      </c>
      <c r="AB24" s="68" t="s">
        <v>486</v>
      </c>
      <c r="AC24" s="68" t="s">
        <v>486</v>
      </c>
      <c r="AD24" s="68" t="s">
        <v>486</v>
      </c>
      <c r="AE24" s="68" t="s">
        <v>486</v>
      </c>
      <c r="AF24" s="68" t="s">
        <v>486</v>
      </c>
      <c r="AG24" s="68" t="s">
        <v>486</v>
      </c>
      <c r="AH24" s="68"/>
      <c r="AI24" s="68"/>
      <c r="AL24" s="80"/>
      <c r="BP24" s="80"/>
    </row>
    <row r="25" spans="2:68">
      <c r="D25" s="68"/>
      <c r="E25" s="68"/>
      <c r="F25" s="68"/>
      <c r="G25" s="68"/>
      <c r="H25" s="68"/>
      <c r="I25" s="68"/>
      <c r="J25" s="68"/>
      <c r="K25" s="68"/>
      <c r="L25" s="68"/>
      <c r="M25" s="68"/>
      <c r="N25" s="68"/>
      <c r="O25" s="68"/>
      <c r="P25" s="68"/>
      <c r="Q25" s="68"/>
      <c r="R25" s="68"/>
      <c r="S25" s="68"/>
      <c r="T25" s="68"/>
      <c r="U25" s="68"/>
      <c r="V25" s="68"/>
      <c r="W25" s="68"/>
      <c r="X25" s="68"/>
      <c r="Y25" s="68"/>
      <c r="Z25" s="68"/>
      <c r="AA25" s="68"/>
      <c r="AB25" s="68"/>
      <c r="AC25" s="68"/>
      <c r="AD25" s="68"/>
      <c r="AE25" s="68"/>
      <c r="AF25" s="68"/>
      <c r="AG25" s="68"/>
      <c r="AH25" s="68"/>
      <c r="AI25" s="68"/>
      <c r="AL25" s="80"/>
      <c r="BP25" s="80"/>
    </row>
    <row r="26" spans="2:68">
      <c r="AB26"/>
      <c r="AL26" s="80"/>
      <c r="BP26" s="80"/>
    </row>
    <row r="27" spans="2:68">
      <c r="B27" s="78" t="s">
        <v>392</v>
      </c>
      <c r="C27" s="77" t="s">
        <v>553</v>
      </c>
      <c r="D27" s="79" t="s">
        <v>393</v>
      </c>
      <c r="E27" s="79" t="s">
        <v>518</v>
      </c>
      <c r="F27" s="79" t="s">
        <v>519</v>
      </c>
      <c r="G27" s="79" t="s">
        <v>520</v>
      </c>
      <c r="H27" s="77" t="s">
        <v>521</v>
      </c>
      <c r="I27" s="77" t="s">
        <v>522</v>
      </c>
      <c r="J27" s="77" t="s">
        <v>523</v>
      </c>
      <c r="K27" s="77" t="s">
        <v>524</v>
      </c>
      <c r="L27" s="77" t="s">
        <v>525</v>
      </c>
      <c r="M27" s="77" t="s">
        <v>526</v>
      </c>
      <c r="N27" s="77" t="s">
        <v>527</v>
      </c>
      <c r="O27" s="77" t="s">
        <v>528</v>
      </c>
      <c r="P27" s="77" t="s">
        <v>529</v>
      </c>
      <c r="Q27" s="77" t="s">
        <v>530</v>
      </c>
      <c r="R27" s="77" t="s">
        <v>531</v>
      </c>
      <c r="S27" s="77" t="s">
        <v>532</v>
      </c>
      <c r="T27" s="77" t="s">
        <v>533</v>
      </c>
      <c r="U27" s="77" t="s">
        <v>534</v>
      </c>
      <c r="V27" s="77" t="s">
        <v>535</v>
      </c>
      <c r="W27" s="77" t="s">
        <v>536</v>
      </c>
      <c r="X27" s="77" t="s">
        <v>537</v>
      </c>
      <c r="Y27" s="77" t="s">
        <v>538</v>
      </c>
      <c r="Z27" s="77" t="s">
        <v>539</v>
      </c>
      <c r="AA27" s="77" t="s">
        <v>540</v>
      </c>
      <c r="AB27" s="77" t="s">
        <v>541</v>
      </c>
      <c r="AC27" s="77" t="s">
        <v>542</v>
      </c>
      <c r="AD27" s="77" t="s">
        <v>543</v>
      </c>
      <c r="AE27" s="77" t="s">
        <v>544</v>
      </c>
      <c r="AF27" s="77" t="s">
        <v>545</v>
      </c>
      <c r="AG27" s="77" t="s">
        <v>546</v>
      </c>
      <c r="AH27" s="77" t="s">
        <v>547</v>
      </c>
      <c r="AI27" s="77" t="s">
        <v>548</v>
      </c>
      <c r="AL27" s="80"/>
      <c r="BP27" s="80"/>
    </row>
    <row r="28" spans="2:68">
      <c r="B28" t="s">
        <v>488</v>
      </c>
      <c r="C28" t="s">
        <v>394</v>
      </c>
      <c r="D28" s="74">
        <v>0.39</v>
      </c>
      <c r="E28" s="74"/>
      <c r="F28" s="74"/>
      <c r="G28" s="74"/>
      <c r="H28" s="68">
        <v>0.42</v>
      </c>
      <c r="I28" s="68">
        <v>0.45</v>
      </c>
      <c r="J28" s="68">
        <v>0.63</v>
      </c>
      <c r="K28" s="68">
        <v>0.63</v>
      </c>
      <c r="L28" s="68">
        <v>0.59</v>
      </c>
      <c r="M28" s="68">
        <v>0.56000000000000005</v>
      </c>
      <c r="N28" s="68">
        <v>0.49</v>
      </c>
      <c r="O28" s="68">
        <v>0.39</v>
      </c>
      <c r="P28" s="68">
        <v>0.24</v>
      </c>
      <c r="Q28" s="68">
        <v>0.18</v>
      </c>
      <c r="R28" s="68">
        <v>0.12</v>
      </c>
      <c r="S28" s="68">
        <v>0.2</v>
      </c>
      <c r="T28" s="68">
        <v>0.2</v>
      </c>
      <c r="U28" s="68">
        <v>1.4E-2</v>
      </c>
      <c r="V28" s="68">
        <v>0.18</v>
      </c>
      <c r="W28" s="68">
        <v>0</v>
      </c>
      <c r="X28" s="68">
        <v>0.17</v>
      </c>
      <c r="Y28" s="68">
        <v>0.14000000000000001</v>
      </c>
      <c r="Z28" s="68">
        <v>0.25</v>
      </c>
      <c r="AA28" s="68">
        <v>0.4</v>
      </c>
      <c r="AB28" s="68">
        <v>0.47</v>
      </c>
      <c r="AC28" s="68">
        <v>0.5</v>
      </c>
      <c r="AD28" s="68">
        <v>0.36</v>
      </c>
      <c r="AE28" s="68">
        <v>0.21</v>
      </c>
      <c r="AF28" s="68">
        <v>0.17</v>
      </c>
      <c r="AG28" s="68">
        <v>0</v>
      </c>
      <c r="AH28" s="68"/>
      <c r="AI28" s="68"/>
      <c r="AL28" s="80"/>
      <c r="AM28" t="s">
        <v>421</v>
      </c>
      <c r="BP28" s="80"/>
    </row>
    <row r="29" spans="2:68">
      <c r="C29" t="s">
        <v>395</v>
      </c>
      <c r="D29" s="74">
        <v>0.14000000000000001</v>
      </c>
      <c r="E29" s="74"/>
      <c r="F29" s="74"/>
      <c r="G29" s="74"/>
      <c r="H29" s="68">
        <v>0.12</v>
      </c>
      <c r="I29" s="68">
        <v>0.13</v>
      </c>
      <c r="J29" s="68">
        <v>0.03</v>
      </c>
      <c r="K29" s="68">
        <v>0.03</v>
      </c>
      <c r="L29" s="68">
        <v>0</v>
      </c>
      <c r="M29" s="68">
        <v>0</v>
      </c>
      <c r="N29" s="68">
        <v>0</v>
      </c>
      <c r="O29" s="68">
        <v>0</v>
      </c>
      <c r="P29" s="68">
        <v>0</v>
      </c>
      <c r="Q29" s="68">
        <v>0</v>
      </c>
      <c r="R29" s="68">
        <v>0.46</v>
      </c>
      <c r="S29" s="68">
        <v>0</v>
      </c>
      <c r="T29" s="68">
        <v>0</v>
      </c>
      <c r="U29" s="68">
        <v>0.27</v>
      </c>
      <c r="V29" s="68">
        <v>0.32</v>
      </c>
      <c r="W29" s="68">
        <v>0.38</v>
      </c>
      <c r="X29" s="68">
        <v>0.19</v>
      </c>
      <c r="Y29" s="68">
        <v>0.19</v>
      </c>
      <c r="Z29" s="68">
        <v>0.14000000000000001</v>
      </c>
      <c r="AA29" s="68">
        <v>0.1</v>
      </c>
      <c r="AB29" s="68">
        <v>7.0000000000000007E-2</v>
      </c>
      <c r="AC29" s="68">
        <v>7.0000000000000007E-2</v>
      </c>
      <c r="AD29" s="68">
        <v>0</v>
      </c>
      <c r="AE29" s="68">
        <v>0</v>
      </c>
      <c r="AF29" s="68">
        <v>0</v>
      </c>
      <c r="AG29" s="68">
        <v>0</v>
      </c>
      <c r="AH29" s="68"/>
      <c r="AI29" s="68"/>
      <c r="AL29" s="80"/>
      <c r="AM29" t="s">
        <v>416</v>
      </c>
      <c r="BP29" s="80"/>
    </row>
    <row r="30" spans="2:68">
      <c r="C30" t="s">
        <v>396</v>
      </c>
      <c r="D30" s="74">
        <v>0.12</v>
      </c>
      <c r="E30" s="74"/>
      <c r="F30" s="74"/>
      <c r="G30" s="74"/>
      <c r="H30" s="68">
        <v>0.15</v>
      </c>
      <c r="I30" s="68">
        <v>0.12</v>
      </c>
      <c r="J30" s="68">
        <v>0.15</v>
      </c>
      <c r="K30" s="68">
        <v>0.15</v>
      </c>
      <c r="L30" s="68">
        <v>0.12</v>
      </c>
      <c r="M30" s="68">
        <v>0.1</v>
      </c>
      <c r="N30" s="68">
        <v>0.16</v>
      </c>
      <c r="O30" s="68">
        <v>0.23</v>
      </c>
      <c r="P30" s="68">
        <v>0.3</v>
      </c>
      <c r="Q30" s="68">
        <v>0.28999999999999998</v>
      </c>
      <c r="R30" s="68">
        <v>0.08</v>
      </c>
      <c r="S30" s="68">
        <v>0.1</v>
      </c>
      <c r="T30" s="68">
        <v>0</v>
      </c>
      <c r="U30" s="68">
        <v>0</v>
      </c>
      <c r="V30" s="68">
        <v>0</v>
      </c>
      <c r="W30" s="68">
        <v>0</v>
      </c>
      <c r="X30" s="68">
        <v>0</v>
      </c>
      <c r="Y30" s="68">
        <v>0</v>
      </c>
      <c r="Z30" s="68">
        <v>0</v>
      </c>
      <c r="AA30" s="68">
        <v>0</v>
      </c>
      <c r="AB30" s="68">
        <v>0</v>
      </c>
      <c r="AC30" s="68">
        <v>0</v>
      </c>
      <c r="AD30" s="68">
        <v>0.1</v>
      </c>
      <c r="AE30" s="68">
        <v>0</v>
      </c>
      <c r="AF30" s="68">
        <v>0</v>
      </c>
      <c r="AG30" s="68">
        <v>0</v>
      </c>
      <c r="AH30" s="68"/>
      <c r="AI30" s="68"/>
      <c r="AL30" s="80"/>
      <c r="AM30" t="s">
        <v>417</v>
      </c>
      <c r="BP30" s="80"/>
    </row>
    <row r="31" spans="2:68">
      <c r="C31" t="s">
        <v>74</v>
      </c>
      <c r="D31" s="74">
        <v>0.08</v>
      </c>
      <c r="E31" s="74"/>
      <c r="F31" s="74"/>
      <c r="G31" s="74"/>
      <c r="H31" s="68">
        <v>7.0000000000000007E-2</v>
      </c>
      <c r="I31" s="68">
        <v>7.0000000000000007E-2</v>
      </c>
      <c r="J31" s="68">
        <v>0</v>
      </c>
      <c r="K31" s="68">
        <v>0</v>
      </c>
      <c r="L31" s="68">
        <v>0.09</v>
      </c>
      <c r="M31" s="68">
        <v>0</v>
      </c>
      <c r="N31" s="68">
        <v>0.06</v>
      </c>
      <c r="O31" s="68">
        <v>0</v>
      </c>
      <c r="P31" s="68">
        <v>0</v>
      </c>
      <c r="Q31" s="68">
        <v>0</v>
      </c>
      <c r="R31" s="68">
        <v>0</v>
      </c>
      <c r="S31" s="68">
        <v>0</v>
      </c>
      <c r="T31" s="68">
        <v>0</v>
      </c>
      <c r="U31" s="68">
        <v>0</v>
      </c>
      <c r="V31" s="68">
        <v>0</v>
      </c>
      <c r="W31" s="68">
        <v>0.11</v>
      </c>
      <c r="X31" s="68">
        <v>0.12</v>
      </c>
      <c r="Y31" s="68">
        <v>0.11</v>
      </c>
      <c r="Z31" s="68">
        <v>0</v>
      </c>
      <c r="AA31" s="68">
        <v>0</v>
      </c>
      <c r="AB31" s="68">
        <v>0</v>
      </c>
      <c r="AC31" s="68">
        <v>0</v>
      </c>
      <c r="AD31" s="68">
        <v>0</v>
      </c>
      <c r="AE31" s="68">
        <v>0</v>
      </c>
      <c r="AF31" s="68">
        <v>0.13</v>
      </c>
      <c r="AG31" s="68">
        <v>0.19</v>
      </c>
      <c r="AH31" s="68"/>
      <c r="AI31" s="68"/>
      <c r="AL31" s="80"/>
      <c r="AM31" t="s">
        <v>418</v>
      </c>
      <c r="AX31" t="s">
        <v>453</v>
      </c>
      <c r="BP31" s="80"/>
    </row>
    <row r="32" spans="2:68">
      <c r="C32" t="s">
        <v>172</v>
      </c>
      <c r="D32" s="74">
        <v>0.27</v>
      </c>
      <c r="E32" s="74"/>
      <c r="F32" s="74"/>
      <c r="G32" s="74"/>
      <c r="H32" s="68">
        <v>0.24</v>
      </c>
      <c r="I32" s="68">
        <v>0.23</v>
      </c>
      <c r="J32" s="68">
        <v>0.02</v>
      </c>
      <c r="K32" s="68">
        <v>0.02</v>
      </c>
      <c r="L32" s="68">
        <v>0.14000000000000001</v>
      </c>
      <c r="M32" s="68">
        <v>0.2</v>
      </c>
      <c r="N32" s="68">
        <v>0.09</v>
      </c>
      <c r="O32" s="68">
        <v>0.09</v>
      </c>
      <c r="P32" s="68">
        <v>0.1</v>
      </c>
      <c r="Q32" s="68">
        <v>0.06</v>
      </c>
      <c r="R32" s="68">
        <v>0.03</v>
      </c>
      <c r="S32" s="68">
        <v>0.15</v>
      </c>
      <c r="T32" s="68">
        <v>0.2</v>
      </c>
      <c r="U32" s="68">
        <v>0.19</v>
      </c>
      <c r="V32" s="68">
        <v>0.18</v>
      </c>
      <c r="W32" s="68">
        <v>0.2</v>
      </c>
      <c r="X32" s="68">
        <v>0.28000000000000003</v>
      </c>
      <c r="Y32" s="68">
        <v>0.32</v>
      </c>
      <c r="Z32" s="68">
        <v>0.3</v>
      </c>
      <c r="AA32" s="68">
        <v>0.22</v>
      </c>
      <c r="AB32" s="68">
        <v>0.14000000000000001</v>
      </c>
      <c r="AC32" s="68">
        <v>0.11</v>
      </c>
      <c r="AD32" s="68">
        <v>0.19</v>
      </c>
      <c r="AE32" s="68">
        <v>0.22</v>
      </c>
      <c r="AF32" s="68">
        <v>0.28000000000000003</v>
      </c>
      <c r="AG32" s="68">
        <v>0.21</v>
      </c>
      <c r="AH32" s="68"/>
      <c r="AI32" s="68"/>
      <c r="AL32" s="80"/>
      <c r="AM32" t="s">
        <v>422</v>
      </c>
      <c r="AX32" s="82" t="s">
        <v>454</v>
      </c>
      <c r="AY32" s="82"/>
      <c r="AZ32" s="82">
        <v>96.025104600000006</v>
      </c>
      <c r="BA32" s="82">
        <f>1-(57/1434)</f>
        <v>0.96025104602510458</v>
      </c>
      <c r="BP32" s="80"/>
    </row>
    <row r="33" spans="2:83">
      <c r="C33" t="s">
        <v>467</v>
      </c>
      <c r="D33" s="74">
        <v>0</v>
      </c>
      <c r="E33" s="74"/>
      <c r="F33" s="74"/>
      <c r="G33" s="74"/>
      <c r="H33" s="68">
        <v>0</v>
      </c>
      <c r="I33" s="68">
        <v>0</v>
      </c>
      <c r="J33" s="68">
        <v>0.17</v>
      </c>
      <c r="K33" s="68">
        <v>0.17</v>
      </c>
      <c r="L33" s="68">
        <v>0.06</v>
      </c>
      <c r="M33" s="68">
        <v>0.14000000000000001</v>
      </c>
      <c r="N33" s="68">
        <v>0.2</v>
      </c>
      <c r="O33" s="68">
        <v>0.28999999999999998</v>
      </c>
      <c r="P33" s="68">
        <v>0.36</v>
      </c>
      <c r="Q33" s="68">
        <v>0.47</v>
      </c>
      <c r="R33" s="68">
        <v>0.31</v>
      </c>
      <c r="S33" s="68">
        <v>0.46</v>
      </c>
      <c r="T33" s="68">
        <v>0.41</v>
      </c>
      <c r="U33" s="68">
        <v>0.31</v>
      </c>
      <c r="V33" s="68">
        <v>0.25</v>
      </c>
      <c r="W33" s="68">
        <v>0.17</v>
      </c>
      <c r="X33" s="68">
        <v>0.24</v>
      </c>
      <c r="Y33" s="68">
        <v>0.24</v>
      </c>
      <c r="Z33" s="68">
        <v>0.2</v>
      </c>
      <c r="AA33" s="68">
        <v>0.17</v>
      </c>
      <c r="AB33" s="68">
        <v>0.14000000000000001</v>
      </c>
      <c r="AC33" s="68">
        <v>0.14000000000000001</v>
      </c>
      <c r="AD33" s="68">
        <v>0.21</v>
      </c>
      <c r="AE33" s="68">
        <v>0.22</v>
      </c>
      <c r="AF33" s="68">
        <v>0.23</v>
      </c>
      <c r="AG33" s="68">
        <v>0.28999999999999998</v>
      </c>
      <c r="AH33" s="68"/>
      <c r="AI33" s="68"/>
      <c r="AL33" s="80"/>
      <c r="AM33" t="s">
        <v>423</v>
      </c>
      <c r="AX33" t="s">
        <v>600</v>
      </c>
      <c r="AZ33" s="81">
        <v>0.95</v>
      </c>
      <c r="BP33" s="80"/>
      <c r="BQ33" s="8" t="s">
        <v>587</v>
      </c>
    </row>
    <row r="34" spans="2:83">
      <c r="C34" t="s">
        <v>470</v>
      </c>
      <c r="D34" s="74">
        <v>0</v>
      </c>
      <c r="E34" s="74"/>
      <c r="F34" s="74"/>
      <c r="G34" s="74"/>
      <c r="H34" s="68">
        <v>0</v>
      </c>
      <c r="I34" s="68">
        <v>0</v>
      </c>
      <c r="J34" s="68">
        <v>0</v>
      </c>
      <c r="K34" s="68">
        <v>0</v>
      </c>
      <c r="L34" s="68">
        <v>0</v>
      </c>
      <c r="M34" s="68">
        <v>0</v>
      </c>
      <c r="N34" s="68">
        <v>0</v>
      </c>
      <c r="O34" s="68">
        <v>0</v>
      </c>
      <c r="P34" s="68">
        <v>0</v>
      </c>
      <c r="Q34" s="68">
        <v>0</v>
      </c>
      <c r="R34" s="68">
        <v>0</v>
      </c>
      <c r="S34" s="68">
        <v>0.09</v>
      </c>
      <c r="T34" s="68">
        <v>0.09</v>
      </c>
      <c r="U34" s="68">
        <v>0.09</v>
      </c>
      <c r="V34" s="68">
        <v>7.0000000000000007E-2</v>
      </c>
      <c r="W34" s="68">
        <v>0</v>
      </c>
      <c r="X34" s="68">
        <v>0</v>
      </c>
      <c r="Y34" s="68">
        <v>0</v>
      </c>
      <c r="Z34" s="68">
        <v>0</v>
      </c>
      <c r="AA34" s="68">
        <v>0</v>
      </c>
      <c r="AB34" s="68">
        <v>0</v>
      </c>
      <c r="AC34" s="68">
        <v>0</v>
      </c>
      <c r="AD34" s="68">
        <v>0</v>
      </c>
      <c r="AE34" s="68">
        <v>0.1</v>
      </c>
      <c r="AF34" s="68">
        <v>0</v>
      </c>
      <c r="AG34" s="68">
        <v>0.11</v>
      </c>
      <c r="AH34" s="68"/>
      <c r="AI34" s="68"/>
      <c r="AL34" s="80"/>
      <c r="AM34" t="s">
        <v>425</v>
      </c>
      <c r="AN34">
        <v>3973</v>
      </c>
      <c r="BP34" s="80"/>
    </row>
    <row r="35" spans="2:83">
      <c r="C35" t="s">
        <v>475</v>
      </c>
      <c r="D35" s="74">
        <v>0</v>
      </c>
      <c r="E35" s="74"/>
      <c r="F35" s="74"/>
      <c r="G35" s="74"/>
      <c r="H35" s="68">
        <v>0</v>
      </c>
      <c r="I35" s="68">
        <v>0</v>
      </c>
      <c r="J35" s="68">
        <v>0</v>
      </c>
      <c r="K35" s="68">
        <v>0</v>
      </c>
      <c r="L35" s="68">
        <v>0</v>
      </c>
      <c r="M35" s="68">
        <v>0</v>
      </c>
      <c r="N35" s="68">
        <v>0</v>
      </c>
      <c r="O35" s="68">
        <v>0</v>
      </c>
      <c r="P35" s="68">
        <v>0</v>
      </c>
      <c r="Q35" s="68">
        <v>0</v>
      </c>
      <c r="R35" s="68">
        <v>0</v>
      </c>
      <c r="S35" s="68">
        <v>0</v>
      </c>
      <c r="T35" s="68">
        <v>0.1</v>
      </c>
      <c r="U35" s="68">
        <v>0</v>
      </c>
      <c r="V35" s="68">
        <v>0</v>
      </c>
      <c r="W35" s="68">
        <v>0</v>
      </c>
      <c r="X35" s="68">
        <v>0</v>
      </c>
      <c r="Y35" s="68">
        <v>0</v>
      </c>
      <c r="Z35" s="68">
        <v>0.11</v>
      </c>
      <c r="AA35" s="68">
        <v>0.11</v>
      </c>
      <c r="AB35" s="68">
        <v>0.18</v>
      </c>
      <c r="AC35" s="68">
        <v>0.18</v>
      </c>
      <c r="AD35" s="68">
        <v>0.14000000000000001</v>
      </c>
      <c r="AE35" s="68">
        <v>0.25</v>
      </c>
      <c r="AF35" s="68">
        <v>0.19</v>
      </c>
      <c r="AG35" s="68">
        <v>0.2</v>
      </c>
      <c r="AH35" s="68"/>
      <c r="AI35" s="68"/>
      <c r="AL35" s="80"/>
      <c r="AM35" t="s">
        <v>426</v>
      </c>
      <c r="AN35">
        <v>1430</v>
      </c>
      <c r="AO35">
        <f>AN35/AN34</f>
        <v>0.35992952428895042</v>
      </c>
      <c r="BP35" s="80"/>
    </row>
    <row r="36" spans="2:83">
      <c r="D36" s="74"/>
      <c r="E36" s="74"/>
      <c r="F36" s="74"/>
      <c r="G36" s="74"/>
      <c r="H36" s="68"/>
      <c r="I36" s="68"/>
      <c r="J36" s="68"/>
      <c r="K36" s="68"/>
      <c r="L36" s="68"/>
      <c r="M36" s="68"/>
      <c r="N36" s="68"/>
      <c r="O36" s="68"/>
      <c r="P36" s="68"/>
      <c r="Q36" s="68"/>
      <c r="R36" s="68"/>
      <c r="S36" s="68"/>
      <c r="T36" s="68"/>
      <c r="U36" s="68"/>
      <c r="V36" s="68"/>
      <c r="W36" s="68"/>
      <c r="X36" s="68"/>
      <c r="Y36" s="68"/>
      <c r="Z36" s="68"/>
      <c r="AA36" s="68"/>
      <c r="AB36" s="68"/>
      <c r="AC36" s="68"/>
      <c r="AD36" s="68"/>
      <c r="AE36" s="68"/>
      <c r="AF36" s="68"/>
      <c r="AG36" s="68"/>
      <c r="AH36" s="68"/>
      <c r="AI36" s="68"/>
      <c r="AL36" s="80"/>
      <c r="BP36" s="80"/>
      <c r="BQ36" t="s">
        <v>588</v>
      </c>
    </row>
    <row r="37" spans="2:83">
      <c r="AB37"/>
      <c r="AL37" s="80"/>
      <c r="AM37" t="s">
        <v>427</v>
      </c>
      <c r="AN37">
        <v>2543</v>
      </c>
      <c r="AO37">
        <f>AN37/AN34</f>
        <v>0.64007047571104958</v>
      </c>
    </row>
    <row r="38" spans="2:83" ht="19">
      <c r="B38" s="78" t="s">
        <v>492</v>
      </c>
      <c r="C38" s="77" t="s">
        <v>517</v>
      </c>
      <c r="D38" s="77" t="s">
        <v>549</v>
      </c>
      <c r="E38" s="77" t="s">
        <v>550</v>
      </c>
      <c r="F38" s="77" t="s">
        <v>551</v>
      </c>
      <c r="G38" s="77" t="s">
        <v>552</v>
      </c>
      <c r="H38" s="77" t="s">
        <v>521</v>
      </c>
      <c r="I38" s="77" t="s">
        <v>522</v>
      </c>
      <c r="J38" s="77" t="s">
        <v>523</v>
      </c>
      <c r="K38" s="77" t="s">
        <v>524</v>
      </c>
      <c r="L38" s="77" t="s">
        <v>525</v>
      </c>
      <c r="M38" s="77" t="s">
        <v>526</v>
      </c>
      <c r="N38" s="77" t="s">
        <v>527</v>
      </c>
      <c r="O38" s="77" t="s">
        <v>528</v>
      </c>
      <c r="P38" s="77" t="s">
        <v>529</v>
      </c>
      <c r="Q38" s="77" t="s">
        <v>530</v>
      </c>
      <c r="R38" s="77" t="s">
        <v>531</v>
      </c>
      <c r="S38" s="77" t="s">
        <v>532</v>
      </c>
      <c r="T38" s="77" t="s">
        <v>533</v>
      </c>
      <c r="U38" s="77" t="s">
        <v>534</v>
      </c>
      <c r="V38" s="77" t="s">
        <v>535</v>
      </c>
      <c r="W38" s="77" t="s">
        <v>536</v>
      </c>
      <c r="X38" s="77" t="s">
        <v>537</v>
      </c>
      <c r="Y38" s="77" t="s">
        <v>538</v>
      </c>
      <c r="Z38" s="77" t="s">
        <v>539</v>
      </c>
      <c r="AA38" s="77" t="s">
        <v>540</v>
      </c>
      <c r="AB38" s="77" t="s">
        <v>541</v>
      </c>
      <c r="AC38" s="77" t="s">
        <v>542</v>
      </c>
      <c r="AD38" s="77" t="s">
        <v>543</v>
      </c>
      <c r="AE38" s="77" t="s">
        <v>544</v>
      </c>
      <c r="AF38" s="77" t="s">
        <v>545</v>
      </c>
      <c r="AG38" s="77" t="s">
        <v>546</v>
      </c>
      <c r="AH38" s="77" t="s">
        <v>583</v>
      </c>
      <c r="AI38" s="77" t="s">
        <v>548</v>
      </c>
      <c r="AL38" s="80"/>
      <c r="AM38" s="6" t="s">
        <v>428</v>
      </c>
      <c r="AN38" s="6"/>
      <c r="AO38" s="6"/>
      <c r="AP38" s="6"/>
      <c r="AQ38" s="6">
        <f>100*0.94*0.95</f>
        <v>89.3</v>
      </c>
      <c r="BQ38" t="s">
        <v>589</v>
      </c>
    </row>
    <row r="39" spans="2:83">
      <c r="B39" t="s">
        <v>490</v>
      </c>
      <c r="C39" t="s">
        <v>397</v>
      </c>
      <c r="D39">
        <v>1680</v>
      </c>
      <c r="E39">
        <v>1620</v>
      </c>
      <c r="F39">
        <v>1090</v>
      </c>
      <c r="G39">
        <v>1010</v>
      </c>
      <c r="H39">
        <v>1270</v>
      </c>
      <c r="I39">
        <v>1530</v>
      </c>
      <c r="J39" s="58">
        <v>2060</v>
      </c>
      <c r="K39">
        <v>1880</v>
      </c>
      <c r="L39">
        <v>1190</v>
      </c>
      <c r="M39">
        <v>1890</v>
      </c>
      <c r="N39">
        <v>680</v>
      </c>
      <c r="O39">
        <v>700</v>
      </c>
      <c r="P39">
        <v>670</v>
      </c>
      <c r="Q39">
        <v>550</v>
      </c>
      <c r="R39">
        <v>1070</v>
      </c>
      <c r="S39">
        <v>700</v>
      </c>
      <c r="T39">
        <v>735</v>
      </c>
      <c r="U39" s="70">
        <v>777</v>
      </c>
      <c r="V39" s="69">
        <v>633</v>
      </c>
      <c r="W39" s="69">
        <v>637</v>
      </c>
      <c r="X39" s="69" t="s">
        <v>485</v>
      </c>
      <c r="Y39" s="69" t="s">
        <v>485</v>
      </c>
      <c r="Z39" s="69" t="s">
        <v>485</v>
      </c>
      <c r="AA39" s="69" t="s">
        <v>485</v>
      </c>
      <c r="AB39" s="69" t="s">
        <v>485</v>
      </c>
      <c r="AC39" s="69" t="s">
        <v>485</v>
      </c>
      <c r="AD39" s="69" t="s">
        <v>485</v>
      </c>
      <c r="AE39" s="69" t="s">
        <v>485</v>
      </c>
      <c r="AF39" s="69" t="s">
        <v>485</v>
      </c>
      <c r="AG39" s="69" t="s">
        <v>485</v>
      </c>
      <c r="AH39" s="69" t="s">
        <v>485</v>
      </c>
      <c r="AI39" s="69"/>
      <c r="AL39" s="80"/>
      <c r="BR39" t="s">
        <v>590</v>
      </c>
      <c r="BT39" s="82">
        <f>1-6/2015</f>
        <v>0.99702233250620342</v>
      </c>
      <c r="BU39" t="s">
        <v>591</v>
      </c>
    </row>
    <row r="40" spans="2:83">
      <c r="B40" t="s">
        <v>496</v>
      </c>
      <c r="C40" t="s">
        <v>398</v>
      </c>
      <c r="D40" s="58">
        <v>2040</v>
      </c>
      <c r="E40" s="58">
        <v>1960</v>
      </c>
      <c r="F40" s="58">
        <v>1420</v>
      </c>
      <c r="G40" s="58">
        <v>1110</v>
      </c>
      <c r="H40" s="58">
        <v>848</v>
      </c>
      <c r="I40" s="58">
        <v>843</v>
      </c>
      <c r="J40" s="58">
        <v>790</v>
      </c>
      <c r="K40" s="58">
        <v>620</v>
      </c>
      <c r="L40" s="58">
        <v>294</v>
      </c>
      <c r="M40" s="58">
        <v>425</v>
      </c>
      <c r="N40" s="58">
        <v>107</v>
      </c>
      <c r="O40" s="58">
        <v>25</v>
      </c>
      <c r="P40" s="58">
        <v>18</v>
      </c>
      <c r="Q40" s="58">
        <v>365</v>
      </c>
      <c r="R40" s="58">
        <v>495</v>
      </c>
      <c r="S40" s="58">
        <v>359</v>
      </c>
      <c r="T40" s="58">
        <v>631</v>
      </c>
      <c r="U40" s="69">
        <f>153+197</f>
        <v>350</v>
      </c>
      <c r="V40" s="69">
        <f>117+122</f>
        <v>239</v>
      </c>
      <c r="W40" s="69">
        <f>216+221</f>
        <v>437</v>
      </c>
      <c r="X40" s="69">
        <v>412</v>
      </c>
      <c r="Y40" s="69">
        <f>170+21+1</f>
        <v>192</v>
      </c>
      <c r="Z40" s="69">
        <f>284+104</f>
        <v>388</v>
      </c>
      <c r="AA40" s="69">
        <f>133+6</f>
        <v>139</v>
      </c>
      <c r="AB40" s="69">
        <f>237+18+71</f>
        <v>326</v>
      </c>
      <c r="AC40" s="69">
        <f>240+52</f>
        <v>292</v>
      </c>
      <c r="AD40" s="69">
        <f>274+2+20+158</f>
        <v>454</v>
      </c>
      <c r="AE40" s="69">
        <f>273+2+30+310</f>
        <v>615</v>
      </c>
      <c r="AF40" s="69">
        <f>385+20+86+108</f>
        <v>599</v>
      </c>
      <c r="AG40" s="69">
        <f>282+3+90+69</f>
        <v>444</v>
      </c>
      <c r="AH40" s="69">
        <f>140+1+150+90</f>
        <v>381</v>
      </c>
      <c r="AI40" s="69"/>
      <c r="AL40" s="80"/>
      <c r="BR40" t="s">
        <v>592</v>
      </c>
      <c r="BT40">
        <f>5/2015</f>
        <v>2.4813895781637717E-3</v>
      </c>
      <c r="BU40" t="s">
        <v>601</v>
      </c>
      <c r="BV40">
        <f>1/2015</f>
        <v>4.9627791563275434E-4</v>
      </c>
    </row>
    <row r="41" spans="2:83">
      <c r="B41" t="s">
        <v>499</v>
      </c>
      <c r="C41" t="s">
        <v>399</v>
      </c>
      <c r="D41">
        <v>448</v>
      </c>
      <c r="E41">
        <v>213</v>
      </c>
      <c r="F41">
        <v>38</v>
      </c>
      <c r="G41">
        <v>1450</v>
      </c>
      <c r="H41">
        <v>1050</v>
      </c>
      <c r="I41">
        <v>201</v>
      </c>
      <c r="J41">
        <v>554</v>
      </c>
      <c r="K41">
        <v>606</v>
      </c>
      <c r="L41">
        <v>20</v>
      </c>
      <c r="M41">
        <v>312</v>
      </c>
      <c r="N41">
        <v>272</v>
      </c>
      <c r="O41">
        <v>194</v>
      </c>
      <c r="P41">
        <v>558</v>
      </c>
      <c r="Q41">
        <v>176</v>
      </c>
      <c r="R41">
        <v>686</v>
      </c>
      <c r="S41">
        <v>501</v>
      </c>
      <c r="T41">
        <v>694</v>
      </c>
      <c r="U41" s="69">
        <f>295+421</f>
        <v>716</v>
      </c>
      <c r="V41" s="69">
        <f>276+661</f>
        <v>937</v>
      </c>
      <c r="W41" s="69">
        <f>40+306</f>
        <v>346</v>
      </c>
      <c r="X41" s="69">
        <v>334</v>
      </c>
      <c r="Y41" s="69">
        <f>253+378</f>
        <v>631</v>
      </c>
      <c r="Z41" s="69">
        <f>131+266+20</f>
        <v>417</v>
      </c>
      <c r="AA41" s="69">
        <f>198+92</f>
        <v>290</v>
      </c>
      <c r="AB41" s="69">
        <f>350+246</f>
        <v>596</v>
      </c>
      <c r="AC41" s="69">
        <f>157+371+12</f>
        <v>540</v>
      </c>
      <c r="AD41" s="69">
        <f>223+205+617</f>
        <v>1045</v>
      </c>
      <c r="AE41" s="69">
        <f>41+99+565</f>
        <v>705</v>
      </c>
      <c r="AF41" s="69">
        <f>32+84+6+795</f>
        <v>917</v>
      </c>
      <c r="AG41" s="69">
        <f>69+4+480+2120</f>
        <v>2673</v>
      </c>
      <c r="AH41" s="69">
        <f>90+80+210+560</f>
        <v>940</v>
      </c>
      <c r="AI41" s="69"/>
      <c r="AL41" s="80"/>
      <c r="AM41" s="8" t="s">
        <v>452</v>
      </c>
      <c r="BR41" t="s">
        <v>593</v>
      </c>
    </row>
    <row r="42" spans="2:83">
      <c r="B42" t="s">
        <v>500</v>
      </c>
      <c r="C42" t="s">
        <v>400</v>
      </c>
      <c r="D42" s="58">
        <v>3080</v>
      </c>
      <c r="E42" s="58">
        <v>3330</v>
      </c>
      <c r="F42" s="58">
        <v>2940</v>
      </c>
      <c r="G42" s="58">
        <v>1020</v>
      </c>
      <c r="H42" s="58">
        <v>1600</v>
      </c>
      <c r="I42" s="58">
        <v>2250</v>
      </c>
      <c r="J42" s="58">
        <v>2510</v>
      </c>
      <c r="K42" s="58">
        <v>2350</v>
      </c>
      <c r="L42" s="58">
        <v>1300</v>
      </c>
      <c r="M42" s="58">
        <v>2010</v>
      </c>
      <c r="N42" s="58">
        <v>679</v>
      </c>
      <c r="O42" s="58">
        <v>561</v>
      </c>
      <c r="P42" s="58">
        <v>1020</v>
      </c>
      <c r="Q42" s="58">
        <v>1840</v>
      </c>
      <c r="R42" s="58">
        <v>699</v>
      </c>
      <c r="S42" s="58">
        <v>561</v>
      </c>
      <c r="T42" s="58">
        <v>585</v>
      </c>
      <c r="U42" s="69">
        <v>528</v>
      </c>
      <c r="V42" s="69">
        <v>199</v>
      </c>
      <c r="W42" s="69">
        <v>477</v>
      </c>
      <c r="X42" s="69" t="s">
        <v>485</v>
      </c>
      <c r="Y42" s="69" t="s">
        <v>485</v>
      </c>
      <c r="Z42" s="69" t="s">
        <v>485</v>
      </c>
      <c r="AA42" s="69" t="s">
        <v>485</v>
      </c>
      <c r="AB42" s="69" t="s">
        <v>485</v>
      </c>
      <c r="AC42" s="69" t="s">
        <v>485</v>
      </c>
      <c r="AD42" s="69" t="s">
        <v>485</v>
      </c>
      <c r="AE42" s="69" t="s">
        <v>485</v>
      </c>
      <c r="AF42" s="69" t="s">
        <v>485</v>
      </c>
      <c r="AG42" s="69" t="s">
        <v>485</v>
      </c>
      <c r="AH42" s="69" t="s">
        <v>485</v>
      </c>
      <c r="AI42" s="69"/>
      <c r="AL42" s="80"/>
      <c r="AM42" s="8"/>
      <c r="BR42" t="s">
        <v>594</v>
      </c>
    </row>
    <row r="43" spans="2:83" ht="19">
      <c r="B43" t="s">
        <v>584</v>
      </c>
      <c r="C43" t="s">
        <v>401</v>
      </c>
      <c r="D43" s="59">
        <f>2.01/P7</f>
        <v>4.4312950845693919</v>
      </c>
      <c r="E43" s="59">
        <f>0.91/P7</f>
        <v>2.0062082223672375</v>
      </c>
      <c r="F43" s="59">
        <f>0.45/P7</f>
        <v>0.99208098908269993</v>
      </c>
      <c r="G43" s="59">
        <f>1.13/P7</f>
        <v>2.4912255948076685</v>
      </c>
      <c r="H43" s="59">
        <f>1.84/P7</f>
        <v>4.0565089331381508</v>
      </c>
      <c r="I43" s="59">
        <f>1.24/P7</f>
        <v>2.7337342810278842</v>
      </c>
      <c r="J43" s="59">
        <f>0.51/P7</f>
        <v>1.1243584542937266</v>
      </c>
      <c r="K43" s="59">
        <f>0.28/P7</f>
        <v>0.61729483765145776</v>
      </c>
      <c r="L43" s="59">
        <f>0.14/P7</f>
        <v>0.30864741882572888</v>
      </c>
      <c r="M43" s="59">
        <f>0.16/P7</f>
        <v>0.3527399072294044</v>
      </c>
      <c r="N43" s="59">
        <v>0.5</v>
      </c>
      <c r="O43" s="59">
        <v>0.64</v>
      </c>
      <c r="P43" s="59">
        <v>1.31</v>
      </c>
      <c r="Q43" s="59">
        <v>1.2</v>
      </c>
      <c r="R43" s="59">
        <v>3.3</v>
      </c>
      <c r="S43" s="59">
        <v>2.98</v>
      </c>
      <c r="T43" s="59">
        <v>7.61</v>
      </c>
      <c r="U43" s="59">
        <v>5.93</v>
      </c>
      <c r="V43" s="59">
        <v>2.87</v>
      </c>
      <c r="W43" s="59">
        <v>3.9</v>
      </c>
      <c r="X43" s="59">
        <v>2.76</v>
      </c>
      <c r="Y43" s="59">
        <v>2.0299999999999998</v>
      </c>
      <c r="Z43" s="59">
        <v>1.92</v>
      </c>
      <c r="AA43" s="59">
        <v>1.94</v>
      </c>
      <c r="AB43" s="59">
        <v>1.47</v>
      </c>
      <c r="AC43" s="59">
        <v>1.34</v>
      </c>
      <c r="AD43" s="59">
        <v>1.75</v>
      </c>
      <c r="AE43" s="59">
        <v>2.89</v>
      </c>
      <c r="AF43" s="59">
        <v>2.67</v>
      </c>
      <c r="AG43" s="59">
        <v>2.29</v>
      </c>
      <c r="AH43" s="59">
        <v>2.4900000000000002</v>
      </c>
      <c r="AI43" s="59"/>
      <c r="AL43" s="80"/>
      <c r="AM43" s="8"/>
      <c r="BR43" t="s">
        <v>595</v>
      </c>
    </row>
    <row r="44" spans="2:83">
      <c r="C44" t="s">
        <v>402</v>
      </c>
      <c r="D44" s="58">
        <v>46</v>
      </c>
      <c r="E44">
        <v>51</v>
      </c>
      <c r="F44">
        <v>63</v>
      </c>
      <c r="G44">
        <v>1</v>
      </c>
      <c r="H44">
        <v>21</v>
      </c>
      <c r="I44">
        <v>32</v>
      </c>
      <c r="J44" s="58">
        <v>19</v>
      </c>
      <c r="K44">
        <v>38</v>
      </c>
      <c r="L44">
        <v>9</v>
      </c>
      <c r="M44" s="58">
        <v>6</v>
      </c>
      <c r="N44" s="64" t="s">
        <v>469</v>
      </c>
      <c r="O44" s="64">
        <v>2</v>
      </c>
      <c r="P44" s="64" t="s">
        <v>469</v>
      </c>
      <c r="Q44" s="58">
        <v>13</v>
      </c>
      <c r="R44" s="64" t="s">
        <v>469</v>
      </c>
      <c r="S44" s="64" t="s">
        <v>469</v>
      </c>
      <c r="T44" s="64" t="s">
        <v>469</v>
      </c>
      <c r="U44" s="69" t="s">
        <v>469</v>
      </c>
      <c r="V44" s="69" t="s">
        <v>469</v>
      </c>
      <c r="W44" s="69" t="s">
        <v>469</v>
      </c>
      <c r="X44" s="69" t="s">
        <v>469</v>
      </c>
      <c r="Y44" s="69" t="s">
        <v>469</v>
      </c>
      <c r="Z44" s="69" t="s">
        <v>495</v>
      </c>
      <c r="AA44" s="69" t="s">
        <v>494</v>
      </c>
      <c r="AB44" s="69" t="s">
        <v>469</v>
      </c>
      <c r="AC44" s="69" t="s">
        <v>494</v>
      </c>
      <c r="AD44" s="69" t="s">
        <v>494</v>
      </c>
      <c r="AE44" s="69" t="s">
        <v>513</v>
      </c>
      <c r="AF44" s="69" t="s">
        <v>513</v>
      </c>
      <c r="AG44" s="69" t="s">
        <v>513</v>
      </c>
      <c r="AH44" s="69"/>
      <c r="AI44" s="69"/>
      <c r="AJ44" s="8"/>
      <c r="AL44" s="80"/>
    </row>
    <row r="45" spans="2:83">
      <c r="D45" s="58"/>
      <c r="J45" s="58"/>
      <c r="M45" s="58"/>
      <c r="N45" s="64"/>
      <c r="O45" s="64"/>
      <c r="P45" s="64"/>
      <c r="Q45" s="58"/>
      <c r="R45" s="64"/>
      <c r="S45" s="64"/>
      <c r="T45" s="64"/>
      <c r="U45" s="69"/>
      <c r="V45" s="69"/>
      <c r="W45" s="69"/>
      <c r="X45" s="69"/>
      <c r="Y45" s="69"/>
      <c r="Z45" s="69"/>
      <c r="AA45" s="69"/>
      <c r="AC45" s="69"/>
      <c r="AD45" s="69"/>
      <c r="AE45" s="69"/>
      <c r="AF45" s="69"/>
      <c r="AG45" s="69"/>
      <c r="AH45" s="69"/>
      <c r="AI45" s="69"/>
      <c r="AJ45" s="8"/>
      <c r="BQ45" t="s">
        <v>596</v>
      </c>
    </row>
    <row r="46" spans="2:83">
      <c r="AB46"/>
      <c r="BR46" t="s">
        <v>597</v>
      </c>
    </row>
    <row r="47" spans="2:83" s="77" customFormat="1">
      <c r="B47" s="78" t="s">
        <v>477</v>
      </c>
      <c r="C47" s="77" t="s">
        <v>517</v>
      </c>
      <c r="D47" s="79" t="s">
        <v>552</v>
      </c>
      <c r="E47" s="79" t="s">
        <v>518</v>
      </c>
      <c r="F47" s="79" t="s">
        <v>521</v>
      </c>
      <c r="G47" s="79" t="s">
        <v>519</v>
      </c>
      <c r="H47" s="79" t="s">
        <v>522</v>
      </c>
      <c r="I47" s="79" t="s">
        <v>520</v>
      </c>
      <c r="J47" s="79" t="s">
        <v>523</v>
      </c>
      <c r="K47" s="79" t="s">
        <v>554</v>
      </c>
      <c r="L47" s="79" t="s">
        <v>524</v>
      </c>
      <c r="M47" s="79" t="s">
        <v>555</v>
      </c>
      <c r="N47" s="79" t="s">
        <v>525</v>
      </c>
      <c r="O47" s="79" t="s">
        <v>556</v>
      </c>
      <c r="P47" s="79" t="s">
        <v>526</v>
      </c>
      <c r="Q47" s="79" t="s">
        <v>557</v>
      </c>
      <c r="R47" s="79" t="s">
        <v>527</v>
      </c>
      <c r="S47" s="79" t="s">
        <v>558</v>
      </c>
      <c r="T47" s="79" t="s">
        <v>528</v>
      </c>
      <c r="U47" s="79" t="s">
        <v>559</v>
      </c>
      <c r="V47" s="79" t="s">
        <v>529</v>
      </c>
      <c r="W47" s="79" t="s">
        <v>560</v>
      </c>
      <c r="X47" s="79" t="s">
        <v>530</v>
      </c>
      <c r="Y47" s="79" t="s">
        <v>561</v>
      </c>
      <c r="Z47" s="79" t="s">
        <v>531</v>
      </c>
      <c r="AA47" s="79" t="s">
        <v>562</v>
      </c>
      <c r="AB47" s="79" t="s">
        <v>532</v>
      </c>
      <c r="AC47" s="79" t="s">
        <v>563</v>
      </c>
      <c r="AD47" s="79" t="s">
        <v>533</v>
      </c>
      <c r="AE47" s="79" t="s">
        <v>564</v>
      </c>
      <c r="AF47" s="79" t="s">
        <v>534</v>
      </c>
      <c r="AG47" s="79" t="s">
        <v>565</v>
      </c>
      <c r="AH47" s="79" t="s">
        <v>535</v>
      </c>
      <c r="AI47" s="79" t="s">
        <v>566</v>
      </c>
      <c r="AJ47" s="79" t="s">
        <v>536</v>
      </c>
      <c r="AK47" s="79" t="s">
        <v>567</v>
      </c>
      <c r="AL47" s="79" t="s">
        <v>537</v>
      </c>
      <c r="AM47" s="79" t="s">
        <v>568</v>
      </c>
      <c r="AN47" s="79" t="s">
        <v>538</v>
      </c>
      <c r="AO47" s="79" t="s">
        <v>569</v>
      </c>
      <c r="AP47" s="79" t="s">
        <v>539</v>
      </c>
      <c r="AQ47" s="79" t="s">
        <v>570</v>
      </c>
      <c r="AR47" s="79" t="s">
        <v>540</v>
      </c>
      <c r="AS47" s="79" t="s">
        <v>571</v>
      </c>
      <c r="AT47" s="79" t="s">
        <v>541</v>
      </c>
      <c r="AU47" s="79" t="s">
        <v>572</v>
      </c>
      <c r="AV47" s="79" t="s">
        <v>542</v>
      </c>
      <c r="AW47" s="79" t="s">
        <v>573</v>
      </c>
      <c r="AX47" s="79" t="s">
        <v>543</v>
      </c>
      <c r="AY47" s="79" t="s">
        <v>574</v>
      </c>
      <c r="AZ47" s="79" t="s">
        <v>544</v>
      </c>
      <c r="BA47" s="79" t="s">
        <v>575</v>
      </c>
      <c r="BB47" s="79" t="s">
        <v>545</v>
      </c>
      <c r="BC47" s="79" t="s">
        <v>576</v>
      </c>
      <c r="BD47" s="79" t="s">
        <v>546</v>
      </c>
      <c r="BE47" s="79" t="s">
        <v>577</v>
      </c>
      <c r="BF47" s="79" t="s">
        <v>547</v>
      </c>
      <c r="BG47" s="79" t="s">
        <v>578</v>
      </c>
      <c r="BH47" s="79" t="s">
        <v>548</v>
      </c>
      <c r="BI47" s="79" t="s">
        <v>579</v>
      </c>
    </row>
    <row r="48" spans="2:83">
      <c r="B48" t="s">
        <v>501</v>
      </c>
      <c r="D48" s="67" t="s">
        <v>478</v>
      </c>
      <c r="E48" s="67" t="s">
        <v>479</v>
      </c>
      <c r="F48" s="67" t="s">
        <v>478</v>
      </c>
      <c r="G48" s="67" t="s">
        <v>479</v>
      </c>
      <c r="H48" s="67" t="s">
        <v>478</v>
      </c>
      <c r="I48" s="67" t="s">
        <v>479</v>
      </c>
      <c r="J48" s="67" t="s">
        <v>478</v>
      </c>
      <c r="K48" s="67" t="s">
        <v>479</v>
      </c>
      <c r="L48" s="67" t="s">
        <v>478</v>
      </c>
      <c r="M48" s="67" t="s">
        <v>479</v>
      </c>
      <c r="N48" s="67" t="s">
        <v>478</v>
      </c>
      <c r="O48" s="67" t="s">
        <v>479</v>
      </c>
      <c r="P48" s="67" t="s">
        <v>478</v>
      </c>
      <c r="Q48" s="67" t="s">
        <v>479</v>
      </c>
      <c r="R48" s="67" t="s">
        <v>478</v>
      </c>
      <c r="S48" s="67" t="s">
        <v>479</v>
      </c>
      <c r="T48" s="67" t="s">
        <v>478</v>
      </c>
      <c r="U48" s="67" t="s">
        <v>479</v>
      </c>
      <c r="V48" s="67" t="s">
        <v>478</v>
      </c>
      <c r="W48" s="67" t="s">
        <v>479</v>
      </c>
      <c r="X48" s="67" t="s">
        <v>478</v>
      </c>
      <c r="Y48" s="67" t="s">
        <v>479</v>
      </c>
      <c r="Z48" s="67" t="s">
        <v>478</v>
      </c>
      <c r="AA48" s="67" t="s">
        <v>479</v>
      </c>
      <c r="AB48" s="71" t="s">
        <v>478</v>
      </c>
      <c r="AC48" s="67" t="s">
        <v>479</v>
      </c>
      <c r="AD48" s="67" t="s">
        <v>478</v>
      </c>
      <c r="AE48" s="67" t="s">
        <v>479</v>
      </c>
      <c r="AF48" s="67" t="s">
        <v>478</v>
      </c>
      <c r="AG48" s="67" t="s">
        <v>479</v>
      </c>
      <c r="AH48" s="67" t="s">
        <v>478</v>
      </c>
      <c r="AI48" s="67" t="s">
        <v>479</v>
      </c>
      <c r="AJ48" s="67" t="s">
        <v>478</v>
      </c>
      <c r="AK48" s="67" t="s">
        <v>479</v>
      </c>
      <c r="AL48" s="67" t="s">
        <v>478</v>
      </c>
      <c r="AM48" s="67" t="s">
        <v>479</v>
      </c>
      <c r="AN48" s="67" t="s">
        <v>478</v>
      </c>
      <c r="AO48" s="67" t="s">
        <v>479</v>
      </c>
      <c r="AP48" s="67" t="s">
        <v>478</v>
      </c>
      <c r="AQ48" s="67" t="s">
        <v>479</v>
      </c>
      <c r="AR48" s="67" t="s">
        <v>478</v>
      </c>
      <c r="AS48" s="67" t="s">
        <v>479</v>
      </c>
      <c r="AT48" s="67" t="s">
        <v>478</v>
      </c>
      <c r="AU48" s="67" t="s">
        <v>479</v>
      </c>
      <c r="AV48" s="67" t="s">
        <v>478</v>
      </c>
      <c r="AW48" s="67" t="s">
        <v>479</v>
      </c>
      <c r="AX48" s="67" t="s">
        <v>478</v>
      </c>
      <c r="AY48" s="67" t="s">
        <v>479</v>
      </c>
      <c r="AZ48" s="67" t="s">
        <v>478</v>
      </c>
      <c r="BA48" s="67" t="s">
        <v>479</v>
      </c>
      <c r="BB48" s="67" t="s">
        <v>478</v>
      </c>
      <c r="BC48" s="67" t="s">
        <v>479</v>
      </c>
      <c r="BD48" s="67" t="s">
        <v>478</v>
      </c>
      <c r="BE48" s="67" t="s">
        <v>479</v>
      </c>
      <c r="BF48" s="67" t="s">
        <v>478</v>
      </c>
      <c r="BG48" s="67" t="s">
        <v>479</v>
      </c>
      <c r="BH48" s="67" t="s">
        <v>478</v>
      </c>
      <c r="BI48" s="67" t="s">
        <v>479</v>
      </c>
      <c r="BQ48" t="s">
        <v>598</v>
      </c>
      <c r="CE48" t="s">
        <v>599</v>
      </c>
    </row>
    <row r="49" spans="2:55">
      <c r="B49" t="s">
        <v>580</v>
      </c>
      <c r="C49" t="s">
        <v>516</v>
      </c>
      <c r="D49" s="69">
        <v>1010</v>
      </c>
      <c r="E49" s="68">
        <f>D49/SUM(D$49:D$65)</f>
        <v>5.57518215941709E-2</v>
      </c>
      <c r="F49" s="69">
        <v>1270</v>
      </c>
      <c r="G49" s="68">
        <f>F49/SUM(F$49:F$65)</f>
        <v>6.8637518240285356E-2</v>
      </c>
      <c r="H49" s="69">
        <v>1530</v>
      </c>
      <c r="I49" s="68">
        <f>H49/SUM(H$49:H$65)</f>
        <v>8.0965232576599461E-2</v>
      </c>
      <c r="J49" s="69">
        <v>2060</v>
      </c>
      <c r="K49" s="68">
        <f>J49/SUM(J$49:J$65)</f>
        <v>0.10319607253782186</v>
      </c>
      <c r="L49" s="69">
        <v>1880</v>
      </c>
      <c r="M49" s="68">
        <f>L49/SUM(L$49:L$65)</f>
        <v>9.5918367346938774E-2</v>
      </c>
      <c r="N49" s="69">
        <v>1190</v>
      </c>
      <c r="O49" s="68">
        <f>N49/SUM(N$49:N$65)</f>
        <v>6.2303664921465968E-2</v>
      </c>
      <c r="P49" s="69">
        <v>1890</v>
      </c>
      <c r="Q49" s="68">
        <f>P49/SUM(P$49:P$65)</f>
        <v>9.5943956546017561E-2</v>
      </c>
      <c r="R49" s="69">
        <v>680</v>
      </c>
      <c r="S49" s="68">
        <f>R49/SUM(R$49:R$65)</f>
        <v>3.7366743598197603E-2</v>
      </c>
      <c r="T49" s="69">
        <v>700</v>
      </c>
      <c r="U49" s="68">
        <f>T49/SUM(T$49:T$65)</f>
        <v>4.2411390487730988E-2</v>
      </c>
      <c r="V49" s="69">
        <v>670</v>
      </c>
      <c r="W49" s="68">
        <f>V49/SUM(V$49:V$65)</f>
        <v>3.9644970414201182E-2</v>
      </c>
      <c r="X49" s="69">
        <v>550</v>
      </c>
      <c r="Y49" s="68">
        <f>X49/SUM(X$49:X$65)</f>
        <v>2.9252207211998723E-2</v>
      </c>
      <c r="Z49" s="69">
        <v>1070</v>
      </c>
      <c r="AA49" s="68">
        <f>Z49/SUM(Z$49:Z$65)</f>
        <v>5.6047352155465927E-2</v>
      </c>
      <c r="AB49" s="69">
        <v>700</v>
      </c>
      <c r="AC49" s="68">
        <f>AB49/SUM(AB$49:AB$65)</f>
        <v>3.6269430051813469E-2</v>
      </c>
      <c r="AD49" s="58">
        <v>735</v>
      </c>
      <c r="AE49" s="68">
        <f>AD49/SUM(AD$49:AD$65)</f>
        <v>3.6047081902893574E-2</v>
      </c>
      <c r="AF49">
        <v>777</v>
      </c>
      <c r="AG49" s="68">
        <f>AF49/SUM(AF$49:AF$65)</f>
        <v>3.9648925855998364E-2</v>
      </c>
      <c r="AH49">
        <v>633</v>
      </c>
      <c r="AI49" s="68">
        <f>AH49/SUM(AH$49:AH$65)</f>
        <v>3.3673795084583465E-2</v>
      </c>
      <c r="AJ49">
        <v>637</v>
      </c>
      <c r="AK49" s="68">
        <f>AJ49/SUM(AJ$49:AJ$65)</f>
        <v>2.9170673627329762E-2</v>
      </c>
      <c r="AL49" t="s">
        <v>485</v>
      </c>
      <c r="AM49" s="68" t="e">
        <f>AL49/SUM(AL$49:AL$65)</f>
        <v>#VALUE!</v>
      </c>
      <c r="AN49" t="s">
        <v>485</v>
      </c>
      <c r="AO49" s="68" t="e">
        <f>AN49/SUM(AN$49:AN$65)</f>
        <v>#VALUE!</v>
      </c>
      <c r="AP49" t="s">
        <v>485</v>
      </c>
      <c r="AQ49" s="68" t="e">
        <f>AP49/SUM(AP$49:AP$65)</f>
        <v>#VALUE!</v>
      </c>
      <c r="AR49" t="s">
        <v>485</v>
      </c>
      <c r="AS49" s="68" t="e">
        <f>AR49/SUM(AR$49:AR$65)</f>
        <v>#VALUE!</v>
      </c>
      <c r="AT49" t="s">
        <v>485</v>
      </c>
      <c r="AU49" s="68" t="e">
        <f>AT49/SUM(AT$49:AT$65)</f>
        <v>#VALUE!</v>
      </c>
      <c r="AV49" t="s">
        <v>485</v>
      </c>
      <c r="AW49" s="68" t="e">
        <f>AV49/SUM(AV$49:AV$65)</f>
        <v>#VALUE!</v>
      </c>
      <c r="AX49" t="s">
        <v>485</v>
      </c>
      <c r="AY49" s="68" t="e">
        <f>AX49/SUM(AX$49:AX$65)</f>
        <v>#VALUE!</v>
      </c>
      <c r="AZ49" t="s">
        <v>485</v>
      </c>
      <c r="BA49" s="68" t="e">
        <f>AZ49/SUM(AZ$49:AZ$65)</f>
        <v>#VALUE!</v>
      </c>
      <c r="BB49" t="s">
        <v>485</v>
      </c>
      <c r="BC49" s="68" t="e">
        <f>BB49/SUM(BB$49:BB$65)</f>
        <v>#VALUE!</v>
      </c>
    </row>
    <row r="50" spans="2:55">
      <c r="C50" t="s">
        <v>467</v>
      </c>
      <c r="D50" s="69">
        <v>910</v>
      </c>
      <c r="E50" s="68">
        <f>D50/SUM(D$49:D$65)</f>
        <v>5.0231839258114377E-2</v>
      </c>
      <c r="F50" s="69">
        <v>842</v>
      </c>
      <c r="G50" s="68">
        <f>F50/SUM(F$49:F$65)</f>
        <v>4.5506134140409667E-2</v>
      </c>
      <c r="H50" s="69">
        <v>682</v>
      </c>
      <c r="I50" s="68">
        <f>H50/SUM(H$49:H$65)</f>
        <v>3.609038471715087E-2</v>
      </c>
      <c r="J50" s="69">
        <v>632</v>
      </c>
      <c r="K50" s="68">
        <f>J50/SUM(J$49:J$65)</f>
        <v>3.1660154293157002E-2</v>
      </c>
      <c r="L50" s="69">
        <v>600</v>
      </c>
      <c r="M50" s="68">
        <f>L50/SUM(L$49:L$65)</f>
        <v>3.0612244897959183E-2</v>
      </c>
      <c r="N50" s="69">
        <v>600</v>
      </c>
      <c r="O50" s="68">
        <f>N50/SUM(N$49:N$65)</f>
        <v>3.1413612565445025E-2</v>
      </c>
      <c r="P50" s="69">
        <v>552</v>
      </c>
      <c r="Q50" s="68">
        <f>P50/SUM(P$49:P$65)</f>
        <v>2.8021726991217827E-2</v>
      </c>
      <c r="R50" s="69">
        <v>378</v>
      </c>
      <c r="S50" s="68">
        <f>R50/SUM(R$49:R$65)</f>
        <v>2.0771513353115726E-2</v>
      </c>
      <c r="T50" s="69">
        <v>350</v>
      </c>
      <c r="U50" s="68">
        <f>T50/SUM(T$49:T$65)</f>
        <v>2.1205695243865494E-2</v>
      </c>
      <c r="V50" s="69">
        <v>350</v>
      </c>
      <c r="W50" s="68">
        <f>V50/SUM(V$49:V$65)</f>
        <v>2.0710059171597635E-2</v>
      </c>
      <c r="X50" s="69">
        <v>350</v>
      </c>
      <c r="Y50" s="68">
        <f>X50/SUM(X$49:X$65)</f>
        <v>1.8615040953090096E-2</v>
      </c>
      <c r="Z50" s="69">
        <v>8</v>
      </c>
      <c r="AA50" s="68">
        <f>Z50/SUM(Z$49:Z$65)</f>
        <v>4.1904562359226859E-4</v>
      </c>
      <c r="AB50" s="69">
        <v>400</v>
      </c>
      <c r="AC50" s="68">
        <f>AB50/SUM(AB$49:AB$65)</f>
        <v>2.072538860103627E-2</v>
      </c>
      <c r="AD50" s="58">
        <v>350</v>
      </c>
      <c r="AE50" s="68">
        <f>AD50/SUM(AD$49:AD$65)</f>
        <v>1.7165277096615989E-2</v>
      </c>
      <c r="AF50">
        <v>330</v>
      </c>
      <c r="AG50" s="68">
        <f>AF50/SUM(AF$49:AF$65)</f>
        <v>1.6839312139613205E-2</v>
      </c>
      <c r="AH50">
        <v>370</v>
      </c>
      <c r="AI50" s="68">
        <f>AH50/SUM(AH$49:AH$65)</f>
        <v>1.9682944994148313E-2</v>
      </c>
      <c r="AJ50">
        <v>350</v>
      </c>
      <c r="AK50" s="68">
        <f>AJ50/SUM(AJ$49:AJ$65)</f>
        <v>1.6027842652378988E-2</v>
      </c>
      <c r="AL50">
        <v>390</v>
      </c>
      <c r="AM50" s="68">
        <f>AL50/SUM(AL$49:AL$65)</f>
        <v>1.7558076715289032E-2</v>
      </c>
      <c r="AN50" s="58">
        <v>380</v>
      </c>
      <c r="AO50" s="68">
        <f>AN50/SUM(AN$49:AN$65)</f>
        <v>1.7253121452894437E-2</v>
      </c>
      <c r="AP50">
        <v>380</v>
      </c>
      <c r="AQ50" s="68">
        <f>AP50/SUM(AP$49:AP$65)</f>
        <v>1.7253121452894437E-2</v>
      </c>
      <c r="AR50" s="58">
        <v>350</v>
      </c>
      <c r="AS50" s="68">
        <f>AR50/SUM(AR$49:AR$65)</f>
        <v>1.5606188968653855E-2</v>
      </c>
      <c r="AT50">
        <v>380</v>
      </c>
      <c r="AU50" s="68">
        <f>AT50/SUM(AT$49:AT$65)</f>
        <v>1.6379310344827588E-2</v>
      </c>
      <c r="AV50">
        <v>0</v>
      </c>
      <c r="AW50" s="68">
        <f>AV50/SUM(AV$49:AV$65)</f>
        <v>0</v>
      </c>
      <c r="AX50">
        <v>0</v>
      </c>
      <c r="AY50" s="68">
        <f>AX50/SUM(AX$49:AX$65)</f>
        <v>0</v>
      </c>
      <c r="AZ50">
        <v>0</v>
      </c>
      <c r="BA50" s="68">
        <f>AZ50/SUM(AZ$49:AZ$65)</f>
        <v>0</v>
      </c>
      <c r="BB50">
        <v>0</v>
      </c>
      <c r="BC50" s="68">
        <f>BB50/SUM(BB$49:BB$65)</f>
        <v>0</v>
      </c>
    </row>
    <row r="51" spans="2:55">
      <c r="C51" t="s">
        <v>396</v>
      </c>
      <c r="D51" s="69">
        <v>1560</v>
      </c>
      <c r="E51" s="68">
        <f>D51/SUM(D$49:D$65)</f>
        <v>8.6111724442481788E-2</v>
      </c>
      <c r="F51" s="69">
        <v>1710</v>
      </c>
      <c r="G51" s="68">
        <f>F51/SUM(F$49:F$65)</f>
        <v>9.2417445819596822E-2</v>
      </c>
      <c r="H51" s="69">
        <v>1580</v>
      </c>
      <c r="I51" s="68">
        <f>H51/SUM(H$49:H$65)</f>
        <v>8.3611155209821666E-2</v>
      </c>
      <c r="J51" s="69">
        <v>1600</v>
      </c>
      <c r="K51" s="68">
        <f>J51/SUM(J$49:J$65)</f>
        <v>8.0152289349764552E-2</v>
      </c>
      <c r="L51" s="69">
        <v>1320</v>
      </c>
      <c r="M51" s="68">
        <f>L51/SUM(L$49:L$65)</f>
        <v>6.7346938775510207E-2</v>
      </c>
      <c r="N51" s="69">
        <v>1400</v>
      </c>
      <c r="O51" s="68">
        <f>N51/SUM(N$49:N$65)</f>
        <v>7.3298429319371722E-2</v>
      </c>
      <c r="P51" s="69">
        <v>1400</v>
      </c>
      <c r="Q51" s="68">
        <f>P51/SUM(P$49:P$65)</f>
        <v>7.1069597441494492E-2</v>
      </c>
      <c r="R51" s="69">
        <v>1240</v>
      </c>
      <c r="S51" s="68">
        <f>R51/SUM(R$49:R$65)</f>
        <v>6.8139355973183866E-2</v>
      </c>
      <c r="T51" s="69">
        <v>117</v>
      </c>
      <c r="U51" s="68">
        <f>T51/SUM(T$49:T$65)</f>
        <v>7.0887609815207513E-3</v>
      </c>
      <c r="V51" s="69">
        <v>120</v>
      </c>
      <c r="W51" s="68">
        <f>V51/SUM(V$49:V$65)</f>
        <v>7.100591715976331E-3</v>
      </c>
      <c r="X51" s="69">
        <v>120</v>
      </c>
      <c r="Y51" s="68">
        <f>X51/SUM(X$49:X$65)</f>
        <v>6.3822997553451763E-3</v>
      </c>
      <c r="Z51" s="69">
        <v>0</v>
      </c>
      <c r="AA51" s="68">
        <f>Z51/SUM(Z$49:Z$65)</f>
        <v>0</v>
      </c>
      <c r="AB51" s="69">
        <v>0</v>
      </c>
      <c r="AC51" s="68">
        <f>AB51/SUM(AB$49:AB$65)</f>
        <v>0</v>
      </c>
      <c r="AD51" s="69">
        <v>0</v>
      </c>
      <c r="AE51" s="68">
        <f>AD51/SUM(AD$49:AD$65)</f>
        <v>0</v>
      </c>
      <c r="AF51" s="58">
        <v>0</v>
      </c>
      <c r="AG51" s="68">
        <f>AF51/SUM(AF$49:AF$65)</f>
        <v>0</v>
      </c>
      <c r="AH51">
        <v>0</v>
      </c>
      <c r="AI51" s="68">
        <f>AH51/SUM(AH$49:AH$65)</f>
        <v>0</v>
      </c>
      <c r="AJ51">
        <v>0</v>
      </c>
      <c r="AK51" s="68">
        <f>AJ51/SUM(AJ$49:AJ$65)</f>
        <v>0</v>
      </c>
      <c r="AL51">
        <v>0</v>
      </c>
      <c r="AM51" s="68">
        <f>AL51/SUM(AL$49:AL$65)</f>
        <v>0</v>
      </c>
      <c r="AN51" s="58">
        <v>400</v>
      </c>
      <c r="AO51" s="68">
        <f>AN51/SUM(AN$49:AN$65)</f>
        <v>1.8161180476730987E-2</v>
      </c>
      <c r="AP51">
        <v>0</v>
      </c>
      <c r="AQ51" s="68">
        <f>AP51/SUM(AP$49:AP$65)</f>
        <v>0</v>
      </c>
      <c r="AR51">
        <v>0</v>
      </c>
      <c r="AS51" s="68">
        <f>AR51/SUM(AR$49:AR$65)</f>
        <v>0</v>
      </c>
      <c r="AT51">
        <v>0</v>
      </c>
      <c r="AU51" s="68">
        <f>AT51/SUM(AT$49:AT$65)</f>
        <v>0</v>
      </c>
      <c r="AV51">
        <v>0</v>
      </c>
      <c r="AW51" s="68">
        <f>AV51/SUM(AV$49:AV$65)</f>
        <v>0</v>
      </c>
      <c r="AX51">
        <v>0</v>
      </c>
      <c r="AY51" s="68">
        <f>AX51/SUM(AX$49:AX$65)</f>
        <v>0</v>
      </c>
      <c r="AZ51">
        <v>0</v>
      </c>
      <c r="BA51" s="68">
        <f>AZ51/SUM(AZ$49:AZ$65)</f>
        <v>0</v>
      </c>
      <c r="BB51">
        <v>0</v>
      </c>
      <c r="BC51" s="68">
        <f>BB51/SUM(BB$49:BB$65)</f>
        <v>0</v>
      </c>
    </row>
    <row r="52" spans="2:55">
      <c r="C52" t="s">
        <v>497</v>
      </c>
      <c r="D52" s="69">
        <v>0</v>
      </c>
      <c r="E52" s="68">
        <f>D52/SUM(D$49:D$65)</f>
        <v>0</v>
      </c>
      <c r="F52" s="69">
        <v>0</v>
      </c>
      <c r="G52" s="68">
        <f t="shared" ref="G52:AO52" si="0">F52/SUM(F$49:F$65)</f>
        <v>0</v>
      </c>
      <c r="H52" s="69">
        <v>0</v>
      </c>
      <c r="I52" s="68">
        <f t="shared" ref="I52:AO52" si="1">H52/SUM(H$49:H$65)</f>
        <v>0</v>
      </c>
      <c r="J52" s="69">
        <v>0</v>
      </c>
      <c r="K52" s="68">
        <f t="shared" ref="K52:AO52" si="2">J52/SUM(J$49:J$65)</f>
        <v>0</v>
      </c>
      <c r="L52" s="69">
        <v>0</v>
      </c>
      <c r="M52" s="68">
        <f t="shared" ref="M52:AO52" si="3">L52/SUM(L$49:L$65)</f>
        <v>0</v>
      </c>
      <c r="N52" s="69">
        <v>0</v>
      </c>
      <c r="O52" s="68">
        <f t="shared" ref="O52:AO52" si="4">N52/SUM(N$49:N$65)</f>
        <v>0</v>
      </c>
      <c r="P52" s="69">
        <v>0</v>
      </c>
      <c r="Q52" s="68">
        <f t="shared" ref="Q52:AO52" si="5">P52/SUM(P$49:P$65)</f>
        <v>0</v>
      </c>
      <c r="R52" s="69">
        <v>0</v>
      </c>
      <c r="S52" s="68">
        <f t="shared" ref="S52:AO52" si="6">R52/SUM(R$49:R$65)</f>
        <v>0</v>
      </c>
      <c r="T52" s="69">
        <v>0</v>
      </c>
      <c r="U52" s="68">
        <f t="shared" ref="U52:AO52" si="7">T52/SUM(T$49:T$65)</f>
        <v>0</v>
      </c>
      <c r="V52" s="69">
        <v>0</v>
      </c>
      <c r="W52" s="68">
        <f t="shared" ref="W52:AO52" si="8">V52/SUM(V$49:V$65)</f>
        <v>0</v>
      </c>
      <c r="X52" s="69">
        <v>0</v>
      </c>
      <c r="Y52" s="68">
        <f t="shared" ref="Y52:AO52" si="9">X52/SUM(X$49:X$65)</f>
        <v>0</v>
      </c>
      <c r="Z52" s="69">
        <v>0</v>
      </c>
      <c r="AA52" s="68">
        <f t="shared" ref="AA52:AO52" si="10">Z52/SUM(Z$49:Z$65)</f>
        <v>0</v>
      </c>
      <c r="AB52" s="69">
        <v>0</v>
      </c>
      <c r="AC52" s="68">
        <f t="shared" ref="AC52:AO52" si="11">AB52/SUM(AB$49:AB$65)</f>
        <v>0</v>
      </c>
      <c r="AD52" s="69">
        <v>0</v>
      </c>
      <c r="AE52" s="68">
        <f t="shared" ref="AE52:AO52" si="12">AD52/SUM(AD$49:AD$65)</f>
        <v>0</v>
      </c>
      <c r="AF52" s="69">
        <v>0</v>
      </c>
      <c r="AG52" s="68">
        <f t="shared" ref="AG52:AO52" si="13">AF52/SUM(AF$49:AF$65)</f>
        <v>0</v>
      </c>
      <c r="AH52" s="69">
        <v>0</v>
      </c>
      <c r="AI52" s="68">
        <f t="shared" ref="AI52:AO52" si="14">AH52/SUM(AH$49:AH$65)</f>
        <v>0</v>
      </c>
      <c r="AJ52" s="69">
        <v>0</v>
      </c>
      <c r="AK52" s="68">
        <f t="shared" ref="AK52:AO52" si="15">AJ52/SUM(AJ$49:AJ$65)</f>
        <v>0</v>
      </c>
      <c r="AL52" s="69">
        <v>0</v>
      </c>
      <c r="AM52" s="68">
        <f t="shared" ref="AM52:AO52" si="16">AL52/SUM(AL$49:AL$65)</f>
        <v>0</v>
      </c>
      <c r="AN52" s="69">
        <v>0</v>
      </c>
      <c r="AO52" s="68">
        <f t="shared" ref="AO52:AQ52" si="17">AN52/SUM(AN$49:AN$65)</f>
        <v>0</v>
      </c>
      <c r="AP52">
        <v>400</v>
      </c>
      <c r="AQ52" s="68">
        <f t="shared" si="17"/>
        <v>1.8161180476730987E-2</v>
      </c>
      <c r="AR52" s="58">
        <v>350</v>
      </c>
      <c r="AS52" s="68">
        <f t="shared" ref="AS52:AU52" si="18">AR52/SUM(AR$49:AR$65)</f>
        <v>1.5606188968653855E-2</v>
      </c>
      <c r="AT52">
        <v>360</v>
      </c>
      <c r="AU52" s="68">
        <f t="shared" si="18"/>
        <v>1.5517241379310345E-2</v>
      </c>
      <c r="AV52" s="58">
        <v>2310</v>
      </c>
      <c r="AW52" s="68">
        <f t="shared" ref="AW52:AY52" si="19">AV52/SUM(AV$49:AV$65)</f>
        <v>9.6491228070175433E-2</v>
      </c>
      <c r="AX52">
        <v>0</v>
      </c>
      <c r="AY52" s="68">
        <f t="shared" si="19"/>
        <v>0</v>
      </c>
      <c r="AZ52">
        <v>0</v>
      </c>
      <c r="BA52" s="68">
        <f t="shared" ref="BA52:BC52" si="20">AZ52/SUM(AZ$49:AZ$65)</f>
        <v>0</v>
      </c>
      <c r="BB52">
        <v>0</v>
      </c>
      <c r="BC52" s="68">
        <f t="shared" si="20"/>
        <v>0</v>
      </c>
    </row>
    <row r="53" spans="2:55">
      <c r="C53" t="s">
        <v>394</v>
      </c>
      <c r="D53" s="69">
        <v>2130</v>
      </c>
      <c r="E53" s="68">
        <f>D53/SUM(D$49:D$65)</f>
        <v>0.11757562375800397</v>
      </c>
      <c r="F53" s="69">
        <v>2360</v>
      </c>
      <c r="G53" s="68">
        <f>F53/SUM(F$49:F$65)</f>
        <v>0.12754688428903421</v>
      </c>
      <c r="H53" s="69">
        <v>2540</v>
      </c>
      <c r="I53" s="68">
        <f>H53/SUM(H$49:H$65)</f>
        <v>0.13441286976768799</v>
      </c>
      <c r="J53" s="69">
        <v>2380</v>
      </c>
      <c r="K53" s="68">
        <f>J53/SUM(J$49:J$65)</f>
        <v>0.11922653040777477</v>
      </c>
      <c r="L53" s="69">
        <v>2310</v>
      </c>
      <c r="M53" s="68">
        <f>L53/SUM(L$49:L$65)</f>
        <v>0.11785714285714285</v>
      </c>
      <c r="N53" s="69">
        <v>1390</v>
      </c>
      <c r="O53" s="68">
        <f>N53/SUM(N$49:N$65)</f>
        <v>7.277486910994764E-2</v>
      </c>
      <c r="P53" s="69">
        <v>1390</v>
      </c>
      <c r="Q53" s="68">
        <f>P53/SUM(P$49:P$65)</f>
        <v>7.0561957459769536E-2</v>
      </c>
      <c r="R53" s="69">
        <v>1180</v>
      </c>
      <c r="S53" s="68">
        <f>R53/SUM(R$49:R$65)</f>
        <v>6.4842290361578195E-2</v>
      </c>
      <c r="T53" s="69">
        <v>896</v>
      </c>
      <c r="U53" s="68">
        <f>T53/SUM(T$49:T$65)</f>
        <v>5.4286579824295668E-2</v>
      </c>
      <c r="V53" s="69">
        <v>1400</v>
      </c>
      <c r="W53" s="68">
        <f>V53/SUM(V$49:V$65)</f>
        <v>8.2840236686390539E-2</v>
      </c>
      <c r="X53" s="69">
        <v>1888</v>
      </c>
      <c r="Y53" s="68">
        <f>X53/SUM(X$49:X$65)</f>
        <v>0.10041484948409744</v>
      </c>
      <c r="Z53" s="69">
        <v>1703</v>
      </c>
      <c r="AA53" s="68">
        <f>Z53/SUM(Z$49:Z$65)</f>
        <v>8.9204337122204186E-2</v>
      </c>
      <c r="AB53" s="69">
        <v>1710</v>
      </c>
      <c r="AC53" s="68">
        <f>AB53/SUM(AB$49:AB$65)</f>
        <v>8.8601036269430056E-2</v>
      </c>
      <c r="AD53" s="58">
        <v>2100</v>
      </c>
      <c r="AE53" s="68">
        <f>AD53/SUM(AD$49:AD$65)</f>
        <v>0.10299166257969593</v>
      </c>
      <c r="AF53" s="58">
        <v>1300</v>
      </c>
      <c r="AG53" s="68">
        <f>AF53/SUM(AF$49:AF$65)</f>
        <v>6.6336684186355049E-2</v>
      </c>
      <c r="AH53" s="58">
        <v>1300</v>
      </c>
      <c r="AI53" s="68">
        <f>AH53/SUM(AH$49:AH$65)</f>
        <v>6.9156293222683268E-2</v>
      </c>
      <c r="AJ53" s="58">
        <v>1300</v>
      </c>
      <c r="AK53" s="68">
        <f>AJ53/SUM(AJ$49:AJ$65)</f>
        <v>5.9531986994550534E-2</v>
      </c>
      <c r="AL53" s="58">
        <v>1770</v>
      </c>
      <c r="AM53" s="68">
        <f>AL53/SUM(AL$49:AL$65)</f>
        <v>7.9686655861696376E-2</v>
      </c>
      <c r="AN53" s="58">
        <v>1400</v>
      </c>
      <c r="AO53" s="68">
        <f>AN53/SUM(AN$49:AN$65)</f>
        <v>6.3564131668558455E-2</v>
      </c>
      <c r="AP53" s="58">
        <v>1400</v>
      </c>
      <c r="AQ53" s="68">
        <f>AP53/SUM(AP$49:AP$65)</f>
        <v>6.3564131668558455E-2</v>
      </c>
      <c r="AR53" s="58">
        <v>1310</v>
      </c>
      <c r="AS53" s="68">
        <f>AR53/SUM(AR$49:AR$65)</f>
        <v>5.8411735854104425E-2</v>
      </c>
      <c r="AT53" s="58">
        <v>1160</v>
      </c>
      <c r="AU53" s="68">
        <f>AT53/SUM(AT$49:AT$65)</f>
        <v>0.05</v>
      </c>
      <c r="AV53" s="58">
        <v>8200</v>
      </c>
      <c r="AW53" s="68">
        <f>AV53/SUM(AV$49:AV$65)</f>
        <v>0.34252297410192145</v>
      </c>
      <c r="AX53" s="58">
        <v>1800</v>
      </c>
      <c r="AY53" s="68">
        <f>AX53/SUM(AX$49:AX$65)</f>
        <v>7.0958331690779364E-2</v>
      </c>
      <c r="AZ53" s="58">
        <v>1680</v>
      </c>
      <c r="BA53" s="68">
        <f>AZ53/SUM(AZ$49:AZ$65)</f>
        <v>6.6945606694560664E-2</v>
      </c>
      <c r="BB53" s="58">
        <v>1803</v>
      </c>
      <c r="BC53" s="68">
        <f>BB53/SUM(BB$49:BB$65)</f>
        <v>7.3923739237392372E-2</v>
      </c>
    </row>
    <row r="54" spans="2:55">
      <c r="C54" t="s">
        <v>475</v>
      </c>
      <c r="D54" s="69">
        <v>0</v>
      </c>
      <c r="E54" s="68">
        <f>D54/SUM(D$49:D$65)</f>
        <v>0</v>
      </c>
      <c r="F54" s="69">
        <v>0</v>
      </c>
      <c r="G54" s="68">
        <f>F54/SUM(F$49:F$65)</f>
        <v>0</v>
      </c>
      <c r="H54" s="69">
        <v>0</v>
      </c>
      <c r="I54" s="68">
        <f>H54/SUM(H$49:H$65)</f>
        <v>0</v>
      </c>
      <c r="J54" s="69">
        <v>1600</v>
      </c>
      <c r="K54" s="68">
        <f>J54/SUM(J$49:J$65)</f>
        <v>8.0152289349764552E-2</v>
      </c>
      <c r="L54" s="69">
        <v>2000</v>
      </c>
      <c r="M54" s="68">
        <f>L54/SUM(L$49:L$65)</f>
        <v>0.10204081632653061</v>
      </c>
      <c r="N54" s="69">
        <v>2200</v>
      </c>
      <c r="O54" s="68">
        <f>N54/SUM(N$49:N$65)</f>
        <v>0.11518324607329843</v>
      </c>
      <c r="P54" s="69">
        <v>2200</v>
      </c>
      <c r="Q54" s="68">
        <f>P54/SUM(P$49:P$65)</f>
        <v>0.11168079597949135</v>
      </c>
      <c r="R54" s="69">
        <v>2400</v>
      </c>
      <c r="S54" s="68">
        <f>R54/SUM(R$49:R$65)</f>
        <v>0.13188262446422683</v>
      </c>
      <c r="T54" s="69">
        <v>2500</v>
      </c>
      <c r="U54" s="68">
        <f>T54/SUM(T$49:T$65)</f>
        <v>0.1514692517418964</v>
      </c>
      <c r="V54" s="69">
        <v>2500</v>
      </c>
      <c r="W54" s="68">
        <f>V54/SUM(V$49:V$65)</f>
        <v>0.14792899408284024</v>
      </c>
      <c r="X54" s="70">
        <v>2800</v>
      </c>
      <c r="Y54" s="68">
        <f>X54/SUM(X$49:X$65)</f>
        <v>0.14892032762472077</v>
      </c>
      <c r="Z54" s="70">
        <v>3000</v>
      </c>
      <c r="AA54" s="68">
        <f>Z54/SUM(Z$49:Z$65)</f>
        <v>0.15714210884710073</v>
      </c>
      <c r="AB54" s="69">
        <v>3000</v>
      </c>
      <c r="AC54" s="68">
        <f>AB54/SUM(AB$49:AB$65)</f>
        <v>0.15544041450777202</v>
      </c>
      <c r="AD54" s="58">
        <v>4000</v>
      </c>
      <c r="AE54" s="68">
        <f>AD54/SUM(AD$49:AD$65)</f>
        <v>0.19617459538989701</v>
      </c>
      <c r="AF54" s="58">
        <v>4300</v>
      </c>
      <c r="AG54" s="68">
        <f>AF54/SUM(AF$49:AF$65)</f>
        <v>0.21942134000102057</v>
      </c>
      <c r="AH54" s="58">
        <v>4300</v>
      </c>
      <c r="AI54" s="68">
        <f>AH54/SUM(AH$49:AH$65)</f>
        <v>0.2287477391211831</v>
      </c>
      <c r="AJ54" s="58">
        <v>7200</v>
      </c>
      <c r="AK54" s="68">
        <f>AJ54/SUM(AJ$49:AJ$65)</f>
        <v>0.32971562027751067</v>
      </c>
      <c r="AL54" s="58">
        <v>7000</v>
      </c>
      <c r="AM54" s="68">
        <f>AL54/SUM(AL$49:AL$65)</f>
        <v>0.31514496668467495</v>
      </c>
      <c r="AN54" s="58">
        <v>7000</v>
      </c>
      <c r="AO54" s="68">
        <f>AN54/SUM(AN$49:AN$65)</f>
        <v>0.31782065834279227</v>
      </c>
      <c r="AP54" s="58">
        <v>7000</v>
      </c>
      <c r="AQ54" s="68">
        <f>AP54/SUM(AP$49:AP$65)</f>
        <v>0.31782065834279227</v>
      </c>
      <c r="AR54" s="58">
        <v>7000</v>
      </c>
      <c r="AS54" s="68">
        <f>AR54/SUM(AR$49:AR$65)</f>
        <v>0.31212377937307711</v>
      </c>
      <c r="AT54" s="58">
        <v>7600</v>
      </c>
      <c r="AU54" s="68">
        <f>AT54/SUM(AT$49:AT$65)</f>
        <v>0.32758620689655171</v>
      </c>
      <c r="AV54">
        <v>0</v>
      </c>
      <c r="AW54" s="68">
        <f>AV54/SUM(AV$49:AV$65)</f>
        <v>0</v>
      </c>
      <c r="AX54" s="58">
        <v>8200</v>
      </c>
      <c r="AY54" s="68">
        <f>AX54/SUM(AX$49:AX$65)</f>
        <v>0.32325462214688372</v>
      </c>
      <c r="AZ54" s="58">
        <v>8200</v>
      </c>
      <c r="BA54" s="68">
        <f>AZ54/SUM(AZ$49:AZ$65)</f>
        <v>0.32675831839011754</v>
      </c>
      <c r="BB54" s="58">
        <v>8200</v>
      </c>
      <c r="BC54" s="68">
        <f>BB54/SUM(BB$49:BB$65)</f>
        <v>0.33620336203362033</v>
      </c>
    </row>
    <row r="55" spans="2:55">
      <c r="C55" t="s">
        <v>74</v>
      </c>
      <c r="D55" s="69">
        <v>1120</v>
      </c>
      <c r="E55" s="68">
        <f>D55/SUM(D$49:D$65)</f>
        <v>6.1823802163833076E-2</v>
      </c>
      <c r="F55" s="69">
        <v>1150</v>
      </c>
      <c r="G55" s="68">
        <f>F55/SUM(F$49:F$65)</f>
        <v>6.2152083445927687E-2</v>
      </c>
      <c r="H55" s="69">
        <v>1150</v>
      </c>
      <c r="I55" s="68">
        <f>H55/SUM(H$49:H$65)</f>
        <v>6.0856220564110705E-2</v>
      </c>
      <c r="J55" s="69">
        <v>1140</v>
      </c>
      <c r="K55" s="68">
        <f>J55/SUM(J$49:J$65)</f>
        <v>5.7108506161707241E-2</v>
      </c>
      <c r="L55" s="69">
        <v>1150</v>
      </c>
      <c r="M55" s="68">
        <f>L55/SUM(L$49:L$65)</f>
        <v>5.8673469387755105E-2</v>
      </c>
      <c r="N55" s="69">
        <v>1100</v>
      </c>
      <c r="O55" s="68">
        <f>N55/SUM(N$49:N$65)</f>
        <v>5.7591623036649213E-2</v>
      </c>
      <c r="P55" s="69">
        <v>1000</v>
      </c>
      <c r="Q55" s="68">
        <f>P55/SUM(P$49:P$65)</f>
        <v>5.0763998172496064E-2</v>
      </c>
      <c r="R55" s="69">
        <v>1100</v>
      </c>
      <c r="S55" s="68">
        <f>R55/SUM(R$49:R$65)</f>
        <v>6.0446202879437298E-2</v>
      </c>
      <c r="T55" s="69">
        <v>422</v>
      </c>
      <c r="U55" s="68">
        <f>T55/SUM(T$49:T$65)</f>
        <v>2.5568009694032112E-2</v>
      </c>
      <c r="V55" s="69">
        <v>450</v>
      </c>
      <c r="W55" s="68">
        <f>V55/SUM(V$49:V$65)</f>
        <v>2.6627218934911243E-2</v>
      </c>
      <c r="X55" s="69">
        <v>640</v>
      </c>
      <c r="Y55" s="68">
        <f>X55/SUM(X$49:X$65)</f>
        <v>3.4038932028507607E-2</v>
      </c>
      <c r="Z55" s="69">
        <v>640</v>
      </c>
      <c r="AA55" s="68">
        <f>Z55/SUM(Z$49:Z$65)</f>
        <v>3.352364988738149E-2</v>
      </c>
      <c r="AB55" s="69">
        <v>640</v>
      </c>
      <c r="AC55" s="68">
        <f>AB55/SUM(AB$49:AB$65)</f>
        <v>3.316062176165803E-2</v>
      </c>
      <c r="AD55" s="58">
        <v>640</v>
      </c>
      <c r="AE55" s="68">
        <f>AD55/SUM(AD$49:AD$65)</f>
        <v>3.1387935262383523E-2</v>
      </c>
      <c r="AF55">
        <v>400</v>
      </c>
      <c r="AG55" s="68">
        <f>AF55/SUM(AF$49:AF$65)</f>
        <v>2.0411287441955403E-2</v>
      </c>
      <c r="AH55">
        <v>400</v>
      </c>
      <c r="AI55" s="68">
        <f>AH55/SUM(AH$49:AH$65)</f>
        <v>2.1278859453133313E-2</v>
      </c>
      <c r="AJ55">
        <v>400</v>
      </c>
      <c r="AK55" s="68">
        <f>AJ55/SUM(AJ$49:AJ$65)</f>
        <v>1.8317534459861704E-2</v>
      </c>
      <c r="AL55">
        <v>300</v>
      </c>
      <c r="AM55" s="68">
        <f>AL55/SUM(AL$49:AL$65)</f>
        <v>1.350621285791464E-2</v>
      </c>
      <c r="AN55" s="58">
        <v>0</v>
      </c>
      <c r="AO55" s="68">
        <f>AN55/SUM(AN$49:AN$65)</f>
        <v>0</v>
      </c>
      <c r="AP55">
        <v>0</v>
      </c>
      <c r="AQ55" s="68">
        <f>AP55/SUM(AP$49:AP$65)</f>
        <v>0</v>
      </c>
      <c r="AR55" s="58">
        <v>0</v>
      </c>
      <c r="AS55" s="68">
        <f>AR55/SUM(AR$49:AR$65)</f>
        <v>0</v>
      </c>
      <c r="AT55">
        <v>0</v>
      </c>
      <c r="AU55" s="68">
        <f>AT55/SUM(AT$49:AT$65)</f>
        <v>0</v>
      </c>
      <c r="AV55">
        <v>0</v>
      </c>
      <c r="AW55" s="68">
        <f>AV55/SUM(AV$49:AV$65)</f>
        <v>0</v>
      </c>
      <c r="AX55">
        <v>0</v>
      </c>
      <c r="AY55" s="68">
        <f>AX55/SUM(AX$49:AX$65)</f>
        <v>0</v>
      </c>
      <c r="AZ55">
        <v>0</v>
      </c>
      <c r="BA55" s="68">
        <f>AZ55/SUM(AZ$49:AZ$65)</f>
        <v>0</v>
      </c>
      <c r="BB55">
        <v>0</v>
      </c>
      <c r="BC55" s="68">
        <f>BB55/SUM(BB$49:BB$65)</f>
        <v>0</v>
      </c>
    </row>
    <row r="56" spans="2:55">
      <c r="C56" t="s">
        <v>483</v>
      </c>
      <c r="D56" s="69">
        <v>0</v>
      </c>
      <c r="E56" s="68">
        <f>D56/SUM(D$49:D$65)</f>
        <v>0</v>
      </c>
      <c r="F56" s="69">
        <v>0</v>
      </c>
      <c r="G56" s="68">
        <f>F56/SUM(F$49:F$65)</f>
        <v>0</v>
      </c>
      <c r="H56" s="69">
        <v>0</v>
      </c>
      <c r="I56" s="68">
        <f>H56/SUM(H$49:H$65)</f>
        <v>0</v>
      </c>
      <c r="J56" s="69">
        <v>0</v>
      </c>
      <c r="K56" s="68">
        <f>J56/SUM(J$49:J$65)</f>
        <v>0</v>
      </c>
      <c r="L56" s="69">
        <v>0</v>
      </c>
      <c r="M56" s="68">
        <f>L56/SUM(L$49:L$65)</f>
        <v>0</v>
      </c>
      <c r="N56" s="69">
        <v>0</v>
      </c>
      <c r="O56" s="68">
        <f>N56/SUM(N$49:N$65)</f>
        <v>0</v>
      </c>
      <c r="P56" s="69">
        <v>0</v>
      </c>
      <c r="Q56" s="68">
        <f>P56/SUM(P$49:P$65)</f>
        <v>0</v>
      </c>
      <c r="R56" s="69">
        <v>0</v>
      </c>
      <c r="S56" s="68">
        <f>R56/SUM(R$49:R$65)</f>
        <v>0</v>
      </c>
      <c r="T56" s="69">
        <v>450</v>
      </c>
      <c r="U56" s="68">
        <f>T56/SUM(T$49:T$65)</f>
        <v>2.7264465313541351E-2</v>
      </c>
      <c r="V56" s="69">
        <v>480</v>
      </c>
      <c r="W56" s="68">
        <f>V56/SUM(V$49:V$65)</f>
        <v>2.8402366863905324E-2</v>
      </c>
      <c r="X56" s="69">
        <v>489</v>
      </c>
      <c r="Y56" s="68">
        <f>X56/SUM(X$49:X$65)</f>
        <v>2.6007871503031594E-2</v>
      </c>
      <c r="Z56" s="69">
        <v>417</v>
      </c>
      <c r="AA56" s="68">
        <f>Z56/SUM(Z$49:Z$65)</f>
        <v>2.1842753129747001E-2</v>
      </c>
      <c r="AB56" s="70">
        <v>450</v>
      </c>
      <c r="AC56" s="68">
        <f>AB56/SUM(AB$49:AB$65)</f>
        <v>2.3316062176165803E-2</v>
      </c>
      <c r="AD56" s="58">
        <v>580</v>
      </c>
      <c r="AE56" s="68">
        <f>AD56/SUM(AD$49:AD$65)</f>
        <v>2.8445316331535065E-2</v>
      </c>
      <c r="AF56">
        <v>599</v>
      </c>
      <c r="AG56" s="68">
        <f>AF56/SUM(AF$49:AF$65)</f>
        <v>3.0565902944328212E-2</v>
      </c>
      <c r="AH56">
        <v>610</v>
      </c>
      <c r="AI56" s="68">
        <f>AH56/SUM(AH$49:AH$65)</f>
        <v>3.2450260666028304E-2</v>
      </c>
      <c r="AJ56">
        <v>620</v>
      </c>
      <c r="AK56" s="68">
        <f>AJ56/SUM(AJ$49:AJ$65)</f>
        <v>2.839217841278564E-2</v>
      </c>
      <c r="AL56">
        <v>630</v>
      </c>
      <c r="AM56" s="68">
        <f>AL56/SUM(AL$49:AL$65)</f>
        <v>2.8363047001620744E-2</v>
      </c>
      <c r="AN56" s="58">
        <v>450</v>
      </c>
      <c r="AO56" s="68">
        <f>AN56/SUM(AN$49:AN$65)</f>
        <v>2.043132803632236E-2</v>
      </c>
      <c r="AP56">
        <v>450</v>
      </c>
      <c r="AQ56" s="68">
        <f>AP56/SUM(AP$49:AP$65)</f>
        <v>2.043132803632236E-2</v>
      </c>
      <c r="AR56" s="58">
        <v>380</v>
      </c>
      <c r="AS56" s="68">
        <f>AR56/SUM(AR$49:AR$65)</f>
        <v>1.6943862308824185E-2</v>
      </c>
      <c r="AT56">
        <v>0</v>
      </c>
      <c r="AU56" s="68">
        <f>AT56/SUM(AT$49:AT$65)</f>
        <v>0</v>
      </c>
      <c r="AV56">
        <v>0</v>
      </c>
      <c r="AW56" s="68">
        <f>AV56/SUM(AV$49:AV$65)</f>
        <v>0</v>
      </c>
      <c r="AX56">
        <v>0</v>
      </c>
      <c r="AY56" s="68">
        <f>AX56/SUM(AX$49:AX$65)</f>
        <v>0</v>
      </c>
      <c r="AZ56">
        <v>0</v>
      </c>
      <c r="BA56" s="68">
        <f>AZ56/SUM(AZ$49:AZ$65)</f>
        <v>0</v>
      </c>
      <c r="BB56">
        <v>0</v>
      </c>
      <c r="BC56" s="68">
        <f>BB56/SUM(BB$49:BB$65)</f>
        <v>0</v>
      </c>
    </row>
    <row r="57" spans="2:55">
      <c r="C57" t="s">
        <v>476</v>
      </c>
      <c r="D57" s="69">
        <v>2630</v>
      </c>
      <c r="E57" s="68">
        <f>D57/SUM(D$49:D$65)</f>
        <v>0.1451755354382866</v>
      </c>
      <c r="F57" s="69">
        <v>2652</v>
      </c>
      <c r="G57" s="68">
        <f>F57/SUM(F$49:F$65)</f>
        <v>0.14332810895530454</v>
      </c>
      <c r="H57" s="69">
        <v>2340</v>
      </c>
      <c r="I57" s="68">
        <f>H57/SUM(H$49:H$65)</f>
        <v>0.12382917923479918</v>
      </c>
      <c r="J57" s="69">
        <v>2460</v>
      </c>
      <c r="K57" s="68">
        <f>J57/SUM(J$49:J$65)</f>
        <v>0.123234144875263</v>
      </c>
      <c r="L57" s="69">
        <v>2340</v>
      </c>
      <c r="M57" s="68">
        <f>L57/SUM(L$49:L$65)</f>
        <v>0.11938775510204082</v>
      </c>
      <c r="N57" s="69">
        <v>2600</v>
      </c>
      <c r="O57" s="68">
        <f>N57/SUM(N$49:N$65)</f>
        <v>0.13612565445026178</v>
      </c>
      <c r="P57" s="69">
        <v>2472</v>
      </c>
      <c r="Q57" s="68">
        <f>P57/SUM(P$49:P$65)</f>
        <v>0.12548860348241028</v>
      </c>
      <c r="R57" s="69">
        <v>2490</v>
      </c>
      <c r="S57" s="68">
        <f>R57/SUM(R$49:R$65)</f>
        <v>0.13682822288163535</v>
      </c>
      <c r="T57" s="69">
        <v>2500</v>
      </c>
      <c r="U57" s="68">
        <f>T57/SUM(T$49:T$65)</f>
        <v>0.1514692517418964</v>
      </c>
      <c r="V57" s="69">
        <v>2500</v>
      </c>
      <c r="W57" s="68">
        <f>V57/SUM(V$49:V$65)</f>
        <v>0.14792899408284024</v>
      </c>
      <c r="X57" s="69">
        <v>2233</v>
      </c>
      <c r="Y57" s="68">
        <f>X57/SUM(X$49:X$65)</f>
        <v>0.11876396128071481</v>
      </c>
      <c r="Z57" s="69">
        <v>2297</v>
      </c>
      <c r="AA57" s="68">
        <f>Z57/SUM(Z$49:Z$65)</f>
        <v>0.12031847467393013</v>
      </c>
      <c r="AB57" s="69">
        <v>2290</v>
      </c>
      <c r="AC57" s="68">
        <f>AB57/SUM(AB$49:AB$65)</f>
        <v>0.11865284974093264</v>
      </c>
      <c r="AD57" s="58">
        <v>1930</v>
      </c>
      <c r="AE57" s="68">
        <f>AD57/SUM(AD$49:AD$65)</f>
        <v>9.46542422756253E-2</v>
      </c>
      <c r="AF57" s="58">
        <v>2120</v>
      </c>
      <c r="AG57" s="68">
        <f>AF57/SUM(AF$49:AF$65)</f>
        <v>0.10817982344236363</v>
      </c>
      <c r="AH57" s="58">
        <v>1820</v>
      </c>
      <c r="AI57" s="68">
        <f>AH57/SUM(AH$49:AH$65)</f>
        <v>9.6818810511756573E-2</v>
      </c>
      <c r="AJ57" s="58">
        <v>2050</v>
      </c>
      <c r="AK57" s="68">
        <f>AJ57/SUM(AJ$49:AJ$65)</f>
        <v>9.387736410679122E-2</v>
      </c>
      <c r="AL57" s="58">
        <v>1760</v>
      </c>
      <c r="AM57" s="68">
        <f>AL57/SUM(AL$49:AL$65)</f>
        <v>7.9236448766432557E-2</v>
      </c>
      <c r="AN57" s="58">
        <v>1830</v>
      </c>
      <c r="AO57" s="68">
        <f>AN57/SUM(AN$49:AN$65)</f>
        <v>8.3087400681044268E-2</v>
      </c>
      <c r="AP57" s="58">
        <v>1830</v>
      </c>
      <c r="AQ57" s="68">
        <f>AP57/SUM(AP$49:AP$65)</f>
        <v>8.3087400681044268E-2</v>
      </c>
      <c r="AR57" s="58">
        <v>1830</v>
      </c>
      <c r="AS57" s="68">
        <f>AR57/SUM(AR$49:AR$65)</f>
        <v>8.159807375039016E-2</v>
      </c>
      <c r="AT57" s="58">
        <v>1960</v>
      </c>
      <c r="AU57" s="68">
        <f>AT57/SUM(AT$49:AT$65)</f>
        <v>8.4482758620689657E-2</v>
      </c>
      <c r="AV57" s="58">
        <v>1990</v>
      </c>
      <c r="AW57" s="68">
        <f>AV57/SUM(AV$49:AV$65)</f>
        <v>8.3124477861319962E-2</v>
      </c>
      <c r="AX57" s="58">
        <v>2140</v>
      </c>
      <c r="AY57" s="68">
        <f>AX57/SUM(AX$49:AX$65)</f>
        <v>8.4361572121259901E-2</v>
      </c>
      <c r="AZ57" s="58">
        <v>1980</v>
      </c>
      <c r="BA57" s="68">
        <f>AZ57/SUM(AZ$49:AZ$65)</f>
        <v>7.8900179318589364E-2</v>
      </c>
      <c r="BB57" s="58">
        <v>2000</v>
      </c>
      <c r="BC57" s="68">
        <f>BB57/SUM(BB$49:BB$65)</f>
        <v>8.2000820008200082E-2</v>
      </c>
    </row>
    <row r="58" spans="2:55">
      <c r="C58" t="s">
        <v>480</v>
      </c>
      <c r="D58" s="69">
        <v>0</v>
      </c>
      <c r="E58" s="68">
        <f>D58/SUM(D$49:D$65)</f>
        <v>0</v>
      </c>
      <c r="F58" s="69">
        <v>0</v>
      </c>
      <c r="G58" s="68">
        <f>F58/SUM(F$49:F$65)</f>
        <v>0</v>
      </c>
      <c r="H58" s="69">
        <v>0</v>
      </c>
      <c r="I58" s="68">
        <f>H58/SUM(H$49:H$65)</f>
        <v>0</v>
      </c>
      <c r="J58" s="69">
        <v>1200</v>
      </c>
      <c r="K58" s="68">
        <f>J58/SUM(J$49:J$65)</f>
        <v>6.0114217012323418E-2</v>
      </c>
      <c r="L58" s="69">
        <v>900</v>
      </c>
      <c r="M58" s="68">
        <f>L58/SUM(L$49:L$65)</f>
        <v>4.5918367346938778E-2</v>
      </c>
      <c r="N58" s="69">
        <v>1060</v>
      </c>
      <c r="O58" s="68">
        <f>N58/SUM(N$49:N$65)</f>
        <v>5.549738219895288E-2</v>
      </c>
      <c r="P58" s="69">
        <v>1060</v>
      </c>
      <c r="Q58" s="68">
        <f>P58/SUM(P$49:P$65)</f>
        <v>5.3809838062845831E-2</v>
      </c>
      <c r="R58" s="69">
        <v>0</v>
      </c>
      <c r="S58" s="68">
        <f>R58/SUM(R$49:R$65)</f>
        <v>0</v>
      </c>
      <c r="T58" s="69">
        <v>600</v>
      </c>
      <c r="U58" s="68">
        <f>T58/SUM(T$49:T$65)</f>
        <v>3.6352620418055134E-2</v>
      </c>
      <c r="V58" s="69">
        <v>1350</v>
      </c>
      <c r="W58" s="68">
        <f>V58/SUM(V$49:V$65)</f>
        <v>7.9881656804733733E-2</v>
      </c>
      <c r="X58" s="69">
        <v>1900</v>
      </c>
      <c r="Y58" s="68">
        <f>X58/SUM(X$49:X$65)</f>
        <v>0.10105307945963195</v>
      </c>
      <c r="Z58" s="69">
        <v>2000</v>
      </c>
      <c r="AA58" s="68">
        <f>Z58/SUM(Z$49:Z$65)</f>
        <v>0.10476140589806715</v>
      </c>
      <c r="AB58" s="69">
        <v>2000</v>
      </c>
      <c r="AC58" s="68">
        <f>AB58/SUM(AB$49:AB$65)</f>
        <v>0.10362694300518134</v>
      </c>
      <c r="AD58" s="58">
        <v>2100</v>
      </c>
      <c r="AE58" s="68">
        <f>AD58/SUM(AD$49:AD$65)</f>
        <v>0.10299166257969593</v>
      </c>
      <c r="AF58" s="58">
        <v>2100</v>
      </c>
      <c r="AG58" s="68">
        <f>AF58/SUM(AF$49:AF$65)</f>
        <v>0.10715925907026586</v>
      </c>
      <c r="AH58" s="58">
        <v>1800</v>
      </c>
      <c r="AI58" s="68">
        <f>AH58/SUM(AH$49:AH$65)</f>
        <v>9.5754867539099911E-2</v>
      </c>
      <c r="AJ58" s="58">
        <v>1800</v>
      </c>
      <c r="AK58" s="68">
        <f>AJ58/SUM(AJ$49:AJ$65)</f>
        <v>8.2428905069377667E-2</v>
      </c>
      <c r="AL58" s="58">
        <v>1400</v>
      </c>
      <c r="AM58" s="68">
        <f>AL58/SUM(AL$49:AL$65)</f>
        <v>6.3028993336934985E-2</v>
      </c>
      <c r="AN58" s="58">
        <v>1200</v>
      </c>
      <c r="AO58" s="68">
        <f>AN58/SUM(AN$49:AN$65)</f>
        <v>5.4483541430192961E-2</v>
      </c>
      <c r="AP58" s="58">
        <v>1200</v>
      </c>
      <c r="AQ58" s="68">
        <f>AP58/SUM(AP$49:AP$65)</f>
        <v>5.4483541430192961E-2</v>
      </c>
      <c r="AR58" s="58">
        <v>1200</v>
      </c>
      <c r="AS58" s="68">
        <f>AR58/SUM(AR$49:AR$65)</f>
        <v>5.3506933606813217E-2</v>
      </c>
      <c r="AT58" s="58">
        <v>1500</v>
      </c>
      <c r="AU58" s="68">
        <f>AT58/SUM(AT$49:AT$65)</f>
        <v>6.4655172413793108E-2</v>
      </c>
      <c r="AV58" s="58">
        <v>1500</v>
      </c>
      <c r="AW58" s="68">
        <f>AV58/SUM(AV$49:AV$65)</f>
        <v>6.2656641604010022E-2</v>
      </c>
      <c r="AX58" s="58">
        <v>1500</v>
      </c>
      <c r="AY58" s="68">
        <f>AX58/SUM(AX$49:AX$65)</f>
        <v>5.9131943075649465E-2</v>
      </c>
      <c r="AZ58" s="58">
        <v>1500</v>
      </c>
      <c r="BA58" s="68">
        <f>AZ58/SUM(AZ$49:AZ$65)</f>
        <v>5.9772863120143453E-2</v>
      </c>
      <c r="BB58" s="58">
        <v>1500</v>
      </c>
      <c r="BC58" s="68">
        <f>BB58/SUM(BB$49:BB$65)</f>
        <v>6.1500615006150061E-2</v>
      </c>
    </row>
    <row r="59" spans="2:55">
      <c r="C59" t="s">
        <v>482</v>
      </c>
      <c r="D59" s="69">
        <v>0</v>
      </c>
      <c r="E59" s="68">
        <f>D59/SUM(D$49:D$65)</f>
        <v>0</v>
      </c>
      <c r="F59" s="69">
        <v>0</v>
      </c>
      <c r="G59" s="68">
        <f>F59/SUM(F$49:F$65)</f>
        <v>0</v>
      </c>
      <c r="H59" s="69">
        <v>0</v>
      </c>
      <c r="I59" s="68">
        <f>H59/SUM(H$49:H$65)</f>
        <v>0</v>
      </c>
      <c r="J59" s="69">
        <v>0</v>
      </c>
      <c r="K59" s="68">
        <f>J59/SUM(J$49:J$65)</f>
        <v>0</v>
      </c>
      <c r="L59" s="69">
        <v>0</v>
      </c>
      <c r="M59" s="68">
        <f>L59/SUM(L$49:L$65)</f>
        <v>0</v>
      </c>
      <c r="N59" s="69">
        <v>0</v>
      </c>
      <c r="O59" s="68">
        <f>N59/SUM(N$49:N$65)</f>
        <v>0</v>
      </c>
      <c r="P59" s="69">
        <v>0</v>
      </c>
      <c r="Q59" s="68">
        <f>P59/SUM(P$49:P$65)</f>
        <v>0</v>
      </c>
      <c r="R59" s="69">
        <v>1880</v>
      </c>
      <c r="S59" s="68">
        <f>R59/SUM(R$49:R$65)</f>
        <v>0.10330805583031102</v>
      </c>
      <c r="T59" s="69">
        <v>1900</v>
      </c>
      <c r="U59" s="68">
        <f>T59/SUM(T$49:T$65)</f>
        <v>0.11511663132384126</v>
      </c>
      <c r="V59" s="69">
        <v>1850</v>
      </c>
      <c r="W59" s="68">
        <f>V59/SUM(V$49:V$65)</f>
        <v>0.10946745562130178</v>
      </c>
      <c r="X59" s="69">
        <v>2100</v>
      </c>
      <c r="Y59" s="68">
        <f>X59/SUM(X$49:X$65)</f>
        <v>0.11169024571854058</v>
      </c>
      <c r="Z59" s="69">
        <v>2900</v>
      </c>
      <c r="AA59" s="68">
        <f>Z59/SUM(Z$49:Z$65)</f>
        <v>0.15190403855219736</v>
      </c>
      <c r="AB59" s="58">
        <v>3250</v>
      </c>
      <c r="AC59" s="68">
        <f>AB59/SUM(AB$49:AB$65)</f>
        <v>0.16839378238341968</v>
      </c>
      <c r="AD59" s="58">
        <v>3400</v>
      </c>
      <c r="AE59" s="68">
        <f>AD59/SUM(AD$49:AD$65)</f>
        <v>0.16674840608141245</v>
      </c>
      <c r="AF59" s="58">
        <v>2900</v>
      </c>
      <c r="AG59" s="68">
        <f>AF59/SUM(AF$49:AF$65)</f>
        <v>0.14798183395417666</v>
      </c>
      <c r="AH59" s="58">
        <v>3000</v>
      </c>
      <c r="AI59" s="68">
        <f>AH59/SUM(AH$49:AH$65)</f>
        <v>0.15959144589849983</v>
      </c>
      <c r="AJ59" s="58">
        <v>2500</v>
      </c>
      <c r="AK59" s="68">
        <f>AJ59/SUM(AJ$49:AJ$65)</f>
        <v>0.11448459037413564</v>
      </c>
      <c r="AL59" s="58">
        <v>4000</v>
      </c>
      <c r="AM59" s="68">
        <f>AL59/SUM(AL$49:AL$65)</f>
        <v>0.18008283810552855</v>
      </c>
      <c r="AN59" s="58">
        <v>4000</v>
      </c>
      <c r="AO59" s="68">
        <f>AN59/SUM(AN$49:AN$65)</f>
        <v>0.18161180476730987</v>
      </c>
      <c r="AP59" s="58">
        <v>4000</v>
      </c>
      <c r="AQ59" s="68">
        <f>AP59/SUM(AP$49:AP$65)</f>
        <v>0.18161180476730987</v>
      </c>
      <c r="AR59" s="58">
        <v>4010</v>
      </c>
      <c r="AS59" s="68">
        <f>AR59/SUM(AR$49:AR$65)</f>
        <v>0.17880233646943416</v>
      </c>
      <c r="AT59" s="58">
        <v>4200</v>
      </c>
      <c r="AU59" s="68">
        <f>AT59/SUM(AT$49:AT$65)</f>
        <v>0.18103448275862069</v>
      </c>
      <c r="AV59" s="58">
        <v>3600</v>
      </c>
      <c r="AW59" s="68">
        <f>AV59/SUM(AV$49:AV$65)</f>
        <v>0.15037593984962405</v>
      </c>
      <c r="AX59" s="58">
        <v>5600</v>
      </c>
      <c r="AY59" s="68">
        <f>AX59/SUM(AX$49:AX$65)</f>
        <v>0.22075925414909134</v>
      </c>
      <c r="AZ59" s="58">
        <v>5000</v>
      </c>
      <c r="BA59" s="68">
        <f>AZ59/SUM(AZ$49:AZ$65)</f>
        <v>0.19924287706714486</v>
      </c>
      <c r="BB59" s="58">
        <v>4400</v>
      </c>
      <c r="BC59" s="68">
        <f>BB59/SUM(BB$49:BB$65)</f>
        <v>0.18040180401804018</v>
      </c>
    </row>
    <row r="60" spans="2:55">
      <c r="C60" t="s">
        <v>395</v>
      </c>
      <c r="D60" s="69">
        <v>646</v>
      </c>
      <c r="E60" s="68">
        <f>D60/SUM(D$49:D$65)</f>
        <v>3.5659085890925146E-2</v>
      </c>
      <c r="F60" s="69">
        <v>689</v>
      </c>
      <c r="G60" s="68">
        <f>F60/SUM(F$49:F$65)</f>
        <v>3.723720477760363E-2</v>
      </c>
      <c r="H60" s="69">
        <v>675</v>
      </c>
      <c r="I60" s="68">
        <f>H60/SUM(H$49:H$65)</f>
        <v>3.5719955548499764E-2</v>
      </c>
      <c r="J60" s="69">
        <v>800</v>
      </c>
      <c r="K60" s="68">
        <f>J60/SUM(J$49:J$65)</f>
        <v>4.0076144674882276E-2</v>
      </c>
      <c r="L60" s="69">
        <v>1100</v>
      </c>
      <c r="M60" s="68">
        <f>L60/SUM(L$49:L$65)</f>
        <v>5.6122448979591837E-2</v>
      </c>
      <c r="N60" s="69">
        <v>1300</v>
      </c>
      <c r="O60" s="68">
        <f>N60/SUM(N$49:N$65)</f>
        <v>6.8062827225130892E-2</v>
      </c>
      <c r="P60" s="69">
        <v>1350</v>
      </c>
      <c r="Q60" s="68">
        <f>P60/SUM(P$49:P$65)</f>
        <v>6.8531397532869687E-2</v>
      </c>
      <c r="R60" s="69">
        <v>1420</v>
      </c>
      <c r="S60" s="68">
        <f>R60/SUM(R$49:R$65)</f>
        <v>7.8030552808000878E-2</v>
      </c>
      <c r="T60" s="69">
        <v>1900</v>
      </c>
      <c r="U60" s="68">
        <f>T60/SUM(T$49:T$65)</f>
        <v>0.11511663132384126</v>
      </c>
      <c r="V60" s="69">
        <v>1400</v>
      </c>
      <c r="W60" s="68">
        <f>V60/SUM(V$49:V$65)</f>
        <v>8.2840236686390539E-2</v>
      </c>
      <c r="X60" s="69">
        <v>1600</v>
      </c>
      <c r="Y60" s="68">
        <f>X60/SUM(X$49:X$65)</f>
        <v>8.5097330071269017E-2</v>
      </c>
      <c r="Z60" s="69">
        <v>1600</v>
      </c>
      <c r="AA60" s="68">
        <f>Z60/SUM(Z$49:Z$65)</f>
        <v>8.3809124718453726E-2</v>
      </c>
      <c r="AB60" s="58">
        <v>1400</v>
      </c>
      <c r="AC60" s="68">
        <f>AB60/SUM(AB$49:AB$65)</f>
        <v>7.2538860103626937E-2</v>
      </c>
      <c r="AD60" s="58">
        <v>1620</v>
      </c>
      <c r="AE60" s="68">
        <f>AD60/SUM(AD$49:AD$65)</f>
        <v>7.9450711132908289E-2</v>
      </c>
      <c r="AF60" s="58">
        <v>1610</v>
      </c>
      <c r="AG60" s="68">
        <f>AF60/SUM(AF$49:AF$65)</f>
        <v>8.2155431953870484E-2</v>
      </c>
      <c r="AH60" s="58">
        <v>1210</v>
      </c>
      <c r="AI60" s="68">
        <f>AH60/SUM(AH$49:AH$65)</f>
        <v>6.4368549845728262E-2</v>
      </c>
      <c r="AJ60" s="58">
        <v>1500</v>
      </c>
      <c r="AK60" s="68">
        <f>AJ60/SUM(AJ$49:AJ$65)</f>
        <v>6.8690754224481385E-2</v>
      </c>
      <c r="AL60" s="58">
        <v>1480</v>
      </c>
      <c r="AM60" s="68">
        <f>AL60/SUM(AL$49:AL$65)</f>
        <v>6.6630650099045563E-2</v>
      </c>
      <c r="AN60" s="58">
        <v>1490</v>
      </c>
      <c r="AO60" s="68">
        <f>AN60/SUM(AN$49:AN$65)</f>
        <v>6.7650397275822935E-2</v>
      </c>
      <c r="AP60" s="58">
        <v>1490</v>
      </c>
      <c r="AQ60" s="68">
        <f>AP60/SUM(AP$49:AP$65)</f>
        <v>6.7650397275822935E-2</v>
      </c>
      <c r="AR60" s="58">
        <v>1410</v>
      </c>
      <c r="AS60" s="68">
        <f>AR60/SUM(AR$49:AR$65)</f>
        <v>6.2870646988005527E-2</v>
      </c>
      <c r="AT60" s="58">
        <v>1300</v>
      </c>
      <c r="AU60" s="68">
        <f>AT60/SUM(AT$49:AT$65)</f>
        <v>5.6034482758620691E-2</v>
      </c>
      <c r="AV60" s="58">
        <v>1190</v>
      </c>
      <c r="AW60" s="68">
        <f>AV60/SUM(AV$49:AV$65)</f>
        <v>4.9707602339181284E-2</v>
      </c>
      <c r="AX60" s="58">
        <v>1160</v>
      </c>
      <c r="AY60" s="68">
        <f>AX60/SUM(AX$49:AX$65)</f>
        <v>4.5728702645168921E-2</v>
      </c>
      <c r="AZ60" s="58">
        <v>1360</v>
      </c>
      <c r="BA60" s="68">
        <f>AZ60/SUM(AZ$49:AZ$65)</f>
        <v>5.4194062562263397E-2</v>
      </c>
      <c r="BB60" s="58">
        <v>1395</v>
      </c>
      <c r="BC60" s="68">
        <f>BB60/SUM(BB$49:BB$65)</f>
        <v>5.719557195571956E-2</v>
      </c>
    </row>
    <row r="61" spans="2:55">
      <c r="C61" t="s">
        <v>484</v>
      </c>
      <c r="D61" s="69">
        <v>0</v>
      </c>
      <c r="E61" s="68">
        <f>D61/SUM(D$49:D$65)</f>
        <v>0</v>
      </c>
      <c r="F61" s="69">
        <v>0</v>
      </c>
      <c r="G61" s="68">
        <f>F61/SUM(F$49:F$65)</f>
        <v>0</v>
      </c>
      <c r="H61" s="69">
        <v>0</v>
      </c>
      <c r="I61" s="68">
        <f>H61/SUM(H$49:H$65)</f>
        <v>0</v>
      </c>
      <c r="J61" s="69">
        <v>0</v>
      </c>
      <c r="K61" s="68">
        <f>J61/SUM(J$49:J$65)</f>
        <v>0</v>
      </c>
      <c r="L61" s="69">
        <v>0</v>
      </c>
      <c r="M61" s="68">
        <f>L61/SUM(L$49:L$65)</f>
        <v>0</v>
      </c>
      <c r="N61" s="69">
        <v>0</v>
      </c>
      <c r="O61" s="68">
        <f>N61/SUM(N$49:N$65)</f>
        <v>0</v>
      </c>
      <c r="P61" s="69">
        <v>0</v>
      </c>
      <c r="Q61" s="68">
        <f>P61/SUM(P$49:P$65)</f>
        <v>0</v>
      </c>
      <c r="R61" s="69">
        <v>0</v>
      </c>
      <c r="S61" s="68">
        <f>R61/SUM(R$49:R$65)</f>
        <v>0</v>
      </c>
      <c r="T61" s="69">
        <v>0</v>
      </c>
      <c r="U61" s="68">
        <f>T61/SUM(T$49:T$65)</f>
        <v>0</v>
      </c>
      <c r="V61" s="69">
        <v>0</v>
      </c>
      <c r="W61" s="68">
        <f>V61/SUM(V$49:V$65)</f>
        <v>0</v>
      </c>
      <c r="X61" s="69">
        <v>0</v>
      </c>
      <c r="Y61" s="68">
        <f>X61/SUM(X$49:X$65)</f>
        <v>0</v>
      </c>
      <c r="Z61" s="69">
        <v>575</v>
      </c>
      <c r="AA61" s="68">
        <f>Z61/SUM(Z$49:Z$65)</f>
        <v>3.0118904195694306E-2</v>
      </c>
      <c r="AB61">
        <v>570</v>
      </c>
      <c r="AC61" s="68">
        <f>AB61/SUM(AB$49:AB$65)</f>
        <v>2.9533678756476684E-2</v>
      </c>
      <c r="AD61" s="58">
        <v>500</v>
      </c>
      <c r="AE61" s="68">
        <f>AD61/SUM(AD$49:AD$65)</f>
        <v>2.4521824423737126E-2</v>
      </c>
      <c r="AF61">
        <v>530</v>
      </c>
      <c r="AG61" s="68">
        <f>AF61/SUM(AF$49:AF$65)</f>
        <v>2.7044955860590907E-2</v>
      </c>
      <c r="AH61" s="58">
        <v>490</v>
      </c>
      <c r="AI61" s="68">
        <f>AH61/SUM(AH$49:AH$65)</f>
        <v>2.6066602830088308E-2</v>
      </c>
      <c r="AJ61">
        <v>580</v>
      </c>
      <c r="AK61" s="68">
        <f>AJ61/SUM(AJ$49:AJ$65)</f>
        <v>2.6560424966799469E-2</v>
      </c>
      <c r="AL61">
        <v>570</v>
      </c>
      <c r="AM61" s="68">
        <f>AL61/SUM(AL$49:AL$65)</f>
        <v>2.5661804430037818E-2</v>
      </c>
      <c r="AN61">
        <v>560</v>
      </c>
      <c r="AO61" s="68">
        <f>AN61/SUM(AN$49:AN$65)</f>
        <v>2.5425652667423384E-2</v>
      </c>
      <c r="AP61">
        <v>560</v>
      </c>
      <c r="AQ61" s="68">
        <f>AP61/SUM(AP$49:AP$65)</f>
        <v>2.5425652667423384E-2</v>
      </c>
      <c r="AR61">
        <v>640</v>
      </c>
      <c r="AS61" s="68">
        <f>AR61/SUM(AR$49:AR$65)</f>
        <v>2.8537031256967049E-2</v>
      </c>
      <c r="AT61">
        <v>640</v>
      </c>
      <c r="AU61" s="68">
        <f>AT61/SUM(AT$49:AT$65)</f>
        <v>2.7586206896551724E-2</v>
      </c>
      <c r="AV61">
        <v>630</v>
      </c>
      <c r="AW61" s="68">
        <f>AV61/SUM(AV$49:AV$65)</f>
        <v>2.6315789473684209E-2</v>
      </c>
      <c r="AX61">
        <v>600</v>
      </c>
      <c r="AY61" s="68">
        <f>AX61/SUM(AX$49:AX$65)</f>
        <v>2.3652777230259787E-2</v>
      </c>
      <c r="AZ61" s="58">
        <v>1100</v>
      </c>
      <c r="BA61" s="68">
        <f>AZ61/SUM(AZ$49:AZ$65)</f>
        <v>4.3833432954771864E-2</v>
      </c>
      <c r="BB61" s="58">
        <v>1100</v>
      </c>
      <c r="BC61" s="68">
        <f>BB61/SUM(BB$49:BB$65)</f>
        <v>4.5100451004510045E-2</v>
      </c>
    </row>
    <row r="62" spans="2:55">
      <c r="C62" t="s">
        <v>470</v>
      </c>
      <c r="D62" s="69">
        <v>0</v>
      </c>
      <c r="E62" s="68">
        <f>D62/SUM(D$49:D$65)</f>
        <v>0</v>
      </c>
      <c r="F62" s="69">
        <v>0</v>
      </c>
      <c r="G62" s="68">
        <f>F62/SUM(F$49:F$65)</f>
        <v>0</v>
      </c>
      <c r="H62" s="69">
        <v>0</v>
      </c>
      <c r="I62" s="68">
        <f>H62/SUM(H$49:H$65)</f>
        <v>0</v>
      </c>
      <c r="J62" s="69">
        <v>0</v>
      </c>
      <c r="K62" s="68">
        <f>J62/SUM(J$49:J$65)</f>
        <v>0</v>
      </c>
      <c r="L62" s="69">
        <v>0</v>
      </c>
      <c r="M62" s="68">
        <f>L62/SUM(L$49:L$65)</f>
        <v>0</v>
      </c>
      <c r="N62" s="69">
        <v>0</v>
      </c>
      <c r="O62" s="68">
        <f>N62/SUM(N$49:N$65)</f>
        <v>0</v>
      </c>
      <c r="P62" s="69">
        <v>0</v>
      </c>
      <c r="Q62" s="68">
        <f>P62/SUM(P$49:P$65)</f>
        <v>0</v>
      </c>
      <c r="R62" s="69">
        <v>0</v>
      </c>
      <c r="S62" s="68">
        <f>R62/SUM(R$49:R$65)</f>
        <v>0</v>
      </c>
      <c r="T62" s="69">
        <v>0</v>
      </c>
      <c r="U62" s="68">
        <f>T62/SUM(T$49:T$65)</f>
        <v>0</v>
      </c>
      <c r="V62" s="69">
        <v>0</v>
      </c>
      <c r="W62" s="68">
        <f>V62/SUM(V$49:V$65)</f>
        <v>0</v>
      </c>
      <c r="X62" s="69">
        <v>532</v>
      </c>
      <c r="Y62" s="68">
        <f>X62/SUM(X$49:X$65)</f>
        <v>2.8294862248696945E-2</v>
      </c>
      <c r="Z62" s="69">
        <v>481</v>
      </c>
      <c r="AA62" s="68">
        <f>Z62/SUM(Z$49:Z$65)</f>
        <v>2.5195118118485151E-2</v>
      </c>
      <c r="AB62" s="58">
        <v>420</v>
      </c>
      <c r="AC62" s="68">
        <f>AB62/SUM(AB$49:AB$65)</f>
        <v>2.1761658031088083E-2</v>
      </c>
      <c r="AD62">
        <v>420</v>
      </c>
      <c r="AE62" s="68">
        <f>AD62/SUM(AD$49:AD$65)</f>
        <v>2.0598332515939184E-2</v>
      </c>
      <c r="AF62">
        <v>371</v>
      </c>
      <c r="AG62" s="68">
        <f>AF62/SUM(AF$49:AF$65)</f>
        <v>1.8931469102413636E-2</v>
      </c>
      <c r="AH62">
        <v>375</v>
      </c>
      <c r="AI62" s="68">
        <f>AH62/SUM(AH$49:AH$65)</f>
        <v>1.9948930737312479E-2</v>
      </c>
      <c r="AJ62">
        <v>400</v>
      </c>
      <c r="AK62" s="68">
        <f>AJ62/SUM(AJ$49:AJ$65)</f>
        <v>1.8317534459861704E-2</v>
      </c>
      <c r="AL62">
        <v>572</v>
      </c>
      <c r="AM62" s="68">
        <f>AL62/SUM(AL$49:AL$65)</f>
        <v>2.5751845849090581E-2</v>
      </c>
      <c r="AN62" s="58">
        <v>695</v>
      </c>
      <c r="AO62" s="68">
        <f>AN62/SUM(AN$49:AN$65)</f>
        <v>3.1555051078320094E-2</v>
      </c>
      <c r="AP62">
        <v>695</v>
      </c>
      <c r="AQ62" s="68">
        <f>AP62/SUM(AP$49:AP$65)</f>
        <v>3.1555051078320094E-2</v>
      </c>
      <c r="AR62">
        <v>769</v>
      </c>
      <c r="AS62" s="68">
        <f>AR62/SUM(AR$49:AR$65)</f>
        <v>3.4289026619699473E-2</v>
      </c>
      <c r="AT62">
        <v>760</v>
      </c>
      <c r="AU62" s="68">
        <f>AT62/SUM(AT$49:AT$65)</f>
        <v>3.2758620689655175E-2</v>
      </c>
      <c r="AV62">
        <v>820</v>
      </c>
      <c r="AW62" s="68">
        <f>AV62/SUM(AV$49:AV$65)</f>
        <v>3.4252297410192145E-2</v>
      </c>
      <c r="AX62" s="58">
        <v>797</v>
      </c>
      <c r="AY62" s="68">
        <f>AX62/SUM(AX$49:AX$65)</f>
        <v>3.1418772420861753E-2</v>
      </c>
      <c r="AZ62">
        <v>765</v>
      </c>
      <c r="BA62" s="68">
        <f>AZ62/SUM(AZ$49:AZ$65)</f>
        <v>3.0484160191273164E-2</v>
      </c>
      <c r="BB62">
        <v>772</v>
      </c>
      <c r="BC62" s="68">
        <f>BB62/SUM(BB$49:BB$65)</f>
        <v>3.1652316523165233E-2</v>
      </c>
    </row>
    <row r="63" spans="2:55">
      <c r="C63" t="s">
        <v>487</v>
      </c>
      <c r="D63" s="69">
        <v>0</v>
      </c>
      <c r="E63" s="68">
        <f>D63/SUM(D$49:D$65)</f>
        <v>0</v>
      </c>
      <c r="F63" s="69">
        <v>0</v>
      </c>
      <c r="G63" s="68">
        <f>F63/SUM(F$49:F$65)</f>
        <v>0</v>
      </c>
      <c r="H63" s="69">
        <v>0</v>
      </c>
      <c r="I63" s="68">
        <f>H63/SUM(H$49:H$65)</f>
        <v>0</v>
      </c>
      <c r="J63" s="69">
        <v>0</v>
      </c>
      <c r="K63" s="68">
        <f>J63/SUM(J$49:J$65)</f>
        <v>0</v>
      </c>
      <c r="L63" s="69">
        <v>0</v>
      </c>
      <c r="M63" s="68">
        <f>L63/SUM(L$49:L$65)</f>
        <v>0</v>
      </c>
      <c r="N63" s="69">
        <v>0</v>
      </c>
      <c r="O63" s="68">
        <f>N63/SUM(N$49:N$65)</f>
        <v>0</v>
      </c>
      <c r="P63" s="69">
        <v>0</v>
      </c>
      <c r="Q63" s="68">
        <f>P63/SUM(P$49:P$65)</f>
        <v>0</v>
      </c>
      <c r="R63" s="69">
        <v>0</v>
      </c>
      <c r="S63" s="68">
        <f>R63/SUM(R$49:R$65)</f>
        <v>0</v>
      </c>
      <c r="T63" s="69">
        <v>0</v>
      </c>
      <c r="U63" s="68">
        <f>T63/SUM(T$49:T$65)</f>
        <v>0</v>
      </c>
      <c r="V63" s="69">
        <v>0</v>
      </c>
      <c r="W63" s="68">
        <f>V63/SUM(V$49:V$65)</f>
        <v>0</v>
      </c>
      <c r="X63" s="69">
        <v>0</v>
      </c>
      <c r="Y63" s="68">
        <f>X63/SUM(X$49:X$65)</f>
        <v>0</v>
      </c>
      <c r="Z63" s="69">
        <v>0</v>
      </c>
      <c r="AA63" s="68">
        <f>Z63/SUM(Z$49:Z$65)</f>
        <v>0</v>
      </c>
      <c r="AB63" s="58">
        <v>0</v>
      </c>
      <c r="AC63" s="68">
        <f>AB63/SUM(AB$49:AB$65)</f>
        <v>0</v>
      </c>
      <c r="AD63" s="58">
        <v>0</v>
      </c>
      <c r="AE63" s="68">
        <f>AD63/SUM(AD$49:AD$65)</f>
        <v>0</v>
      </c>
      <c r="AF63">
        <v>420</v>
      </c>
      <c r="AG63" s="68">
        <f>AF63/SUM(AF$49:AF$65)</f>
        <v>2.143185181405317E-2</v>
      </c>
      <c r="AH63">
        <v>600</v>
      </c>
      <c r="AI63" s="68">
        <f>AH63/SUM(AH$49:AH$65)</f>
        <v>3.1918289179699966E-2</v>
      </c>
      <c r="AJ63">
        <v>550</v>
      </c>
      <c r="AK63" s="68">
        <f>AJ63/SUM(AJ$49:AJ$65)</f>
        <v>2.5186609882309842E-2</v>
      </c>
      <c r="AL63">
        <v>450</v>
      </c>
      <c r="AM63" s="68">
        <f>AL63/SUM(AL$49:AL$65)</f>
        <v>2.0259319286871962E-2</v>
      </c>
      <c r="AN63" s="58">
        <v>400</v>
      </c>
      <c r="AO63" s="68">
        <f>AN63/SUM(AN$49:AN$65)</f>
        <v>1.8161180476730987E-2</v>
      </c>
      <c r="AP63">
        <v>400</v>
      </c>
      <c r="AQ63" s="68">
        <f>AP63/SUM(AP$49:AP$65)</f>
        <v>1.8161180476730987E-2</v>
      </c>
      <c r="AR63">
        <v>628</v>
      </c>
      <c r="AS63" s="68">
        <f>AR63/SUM(AR$49:AR$65)</f>
        <v>2.8001961920898915E-2</v>
      </c>
      <c r="AT63">
        <v>630</v>
      </c>
      <c r="AU63" s="68">
        <f>AT63/SUM(AT$49:AT$65)</f>
        <v>2.7155172413793102E-2</v>
      </c>
      <c r="AV63" s="58">
        <v>0</v>
      </c>
      <c r="AW63" s="68">
        <f>AV63/SUM(AV$49:AV$65)</f>
        <v>0</v>
      </c>
      <c r="AX63" s="58">
        <v>0</v>
      </c>
      <c r="AY63" s="68">
        <f>AX63/SUM(AX$49:AX$65)</f>
        <v>0</v>
      </c>
      <c r="AZ63" s="58">
        <v>0</v>
      </c>
      <c r="BA63" s="68">
        <f>AZ63/SUM(AZ$49:AZ$65)</f>
        <v>0</v>
      </c>
      <c r="BB63">
        <v>0</v>
      </c>
      <c r="BC63" s="68">
        <f>BB63/SUM(BB$49:BB$65)</f>
        <v>0</v>
      </c>
    </row>
    <row r="64" spans="2:55">
      <c r="C64" t="s">
        <v>481</v>
      </c>
      <c r="D64" s="69">
        <v>0</v>
      </c>
      <c r="E64" s="68">
        <f>D64/SUM(D$49:D$65)</f>
        <v>0</v>
      </c>
      <c r="F64" s="69">
        <v>0</v>
      </c>
      <c r="G64" s="68">
        <f>F64/SUM(F$49:F$65)</f>
        <v>0</v>
      </c>
      <c r="H64" s="69">
        <v>0</v>
      </c>
      <c r="I64" s="68">
        <f>H64/SUM(H$49:H$65)</f>
        <v>0</v>
      </c>
      <c r="J64" s="69">
        <v>790</v>
      </c>
      <c r="K64" s="68">
        <f>J64/SUM(J$49:J$65)</f>
        <v>3.957519286644625E-2</v>
      </c>
      <c r="L64" s="69">
        <v>800</v>
      </c>
      <c r="M64" s="68">
        <f>L64/SUM(L$49:L$65)</f>
        <v>4.0816326530612242E-2</v>
      </c>
      <c r="N64" s="69">
        <v>900</v>
      </c>
      <c r="O64" s="68">
        <f>N64/SUM(N$49:N$65)</f>
        <v>4.712041884816754E-2</v>
      </c>
      <c r="P64" s="69">
        <v>925</v>
      </c>
      <c r="Q64" s="68">
        <f>P64/SUM(P$49:P$65)</f>
        <v>4.6956698309558863E-2</v>
      </c>
      <c r="R64" s="69">
        <v>950</v>
      </c>
      <c r="S64" s="68">
        <f>R64/SUM(R$49:R$65)</f>
        <v>5.2203538850423122E-2</v>
      </c>
      <c r="T64" s="69">
        <v>950</v>
      </c>
      <c r="U64" s="68">
        <f>T64/SUM(T$49:T$65)</f>
        <v>5.7558315661920628E-2</v>
      </c>
      <c r="V64" s="69">
        <v>950</v>
      </c>
      <c r="W64" s="68">
        <f>V64/SUM(V$49:V$65)</f>
        <v>5.6213017751479293E-2</v>
      </c>
      <c r="X64" s="69">
        <v>950</v>
      </c>
      <c r="Y64" s="68">
        <f>X64/SUM(X$49:X$65)</f>
        <v>5.0526539729815974E-2</v>
      </c>
      <c r="Z64" s="69">
        <v>1000</v>
      </c>
      <c r="AA64" s="68">
        <f>Z64/SUM(Z$49:Z$65)</f>
        <v>5.2380702949033575E-2</v>
      </c>
      <c r="AB64" s="58">
        <v>1100</v>
      </c>
      <c r="AC64" s="68">
        <f>AB64/SUM(AB$49:AB$65)</f>
        <v>5.6994818652849742E-2</v>
      </c>
      <c r="AD64">
        <v>810</v>
      </c>
      <c r="AE64" s="68">
        <f>AD64/SUM(AD$49:AD$65)</f>
        <v>3.9725355566454144E-2</v>
      </c>
      <c r="AF64">
        <v>800</v>
      </c>
      <c r="AG64" s="68">
        <f>AF64/SUM(AF$49:AF$65)</f>
        <v>4.0822574883910806E-2</v>
      </c>
      <c r="AH64">
        <v>700</v>
      </c>
      <c r="AI64" s="68">
        <f>AH64/SUM(AH$49:AH$65)</f>
        <v>3.7238004042983296E-2</v>
      </c>
      <c r="AJ64">
        <v>700</v>
      </c>
      <c r="AK64" s="68">
        <f>AJ64/SUM(AJ$49:AJ$65)</f>
        <v>3.2055685304757976E-2</v>
      </c>
      <c r="AL64">
        <v>700</v>
      </c>
      <c r="AM64" s="68">
        <f>AL64/SUM(AL$49:AL$65)</f>
        <v>3.1514496668467493E-2</v>
      </c>
      <c r="AN64" s="58">
        <v>1200</v>
      </c>
      <c r="AO64" s="68">
        <f>AN64/SUM(AN$49:AN$65)</f>
        <v>5.4483541430192961E-2</v>
      </c>
      <c r="AP64" s="58">
        <v>1200</v>
      </c>
      <c r="AQ64" s="68">
        <f>AP64/SUM(AP$49:AP$65)</f>
        <v>5.4483541430192961E-2</v>
      </c>
      <c r="AR64" s="58">
        <v>1200</v>
      </c>
      <c r="AS64" s="68">
        <f>AR64/SUM(AR$49:AR$65)</f>
        <v>5.3506933606813217E-2</v>
      </c>
      <c r="AT64" s="58">
        <v>1300</v>
      </c>
      <c r="AU64" s="68">
        <f>AT64/SUM(AT$49:AT$65)</f>
        <v>5.6034482758620691E-2</v>
      </c>
      <c r="AV64" s="58">
        <v>1300</v>
      </c>
      <c r="AW64" s="68">
        <f>AV64/SUM(AV$49:AV$65)</f>
        <v>5.4302422723475352E-2</v>
      </c>
      <c r="AX64" s="58">
        <v>1200</v>
      </c>
      <c r="AY64" s="68">
        <f>AX64/SUM(AX$49:AX$65)</f>
        <v>4.7305554460519574E-2</v>
      </c>
      <c r="AZ64" s="58">
        <v>1200</v>
      </c>
      <c r="BA64" s="68">
        <f>AZ64/SUM(AZ$49:AZ$65)</f>
        <v>4.7818290496114767E-2</v>
      </c>
      <c r="BB64">
        <v>900</v>
      </c>
      <c r="BC64" s="68">
        <f>BB64/SUM(BB$49:BB$65)</f>
        <v>3.6900369003690037E-2</v>
      </c>
    </row>
    <row r="65" spans="3:55">
      <c r="C65" t="s">
        <v>172</v>
      </c>
      <c r="D65" s="69">
        <v>8110</v>
      </c>
      <c r="E65" s="68">
        <f>D65/SUM(D$49:D$65)</f>
        <v>0.44767056745418415</v>
      </c>
      <c r="F65" s="69">
        <v>7830</v>
      </c>
      <c r="G65" s="68">
        <f>F65/SUM(F$49:F$65)</f>
        <v>0.42317462033183806</v>
      </c>
      <c r="H65" s="69">
        <v>8400</v>
      </c>
      <c r="I65" s="68">
        <f>H65/SUM(H$49:H$65)</f>
        <v>0.44451500238133035</v>
      </c>
      <c r="J65" s="69">
        <v>5300</v>
      </c>
      <c r="K65" s="68">
        <f>J65/SUM(J$49:J$65)</f>
        <v>0.26550445847109511</v>
      </c>
      <c r="L65" s="69">
        <v>5200</v>
      </c>
      <c r="M65" s="68">
        <f>L65/SUM(L$49:L$65)</f>
        <v>0.26530612244897961</v>
      </c>
      <c r="N65" s="69">
        <v>5360</v>
      </c>
      <c r="O65" s="68">
        <f>N65/SUM(N$49:N$65)</f>
        <v>0.28062827225130887</v>
      </c>
      <c r="P65" s="69">
        <v>5460</v>
      </c>
      <c r="Q65" s="68">
        <f>P65/SUM(P$49:P$65)</f>
        <v>0.27717143002182854</v>
      </c>
      <c r="R65" s="69">
        <v>4480</v>
      </c>
      <c r="S65" s="68">
        <f>R65/SUM(R$49:R$65)</f>
        <v>0.2461808989998901</v>
      </c>
      <c r="T65" s="69">
        <v>3220</v>
      </c>
      <c r="U65" s="68">
        <f>T65/SUM(T$49:T$65)</f>
        <v>0.19509239624356256</v>
      </c>
      <c r="V65" s="69">
        <v>2880</v>
      </c>
      <c r="W65" s="68">
        <f>V65/SUM(V$49:V$65)</f>
        <v>0.17041420118343195</v>
      </c>
      <c r="X65" s="69">
        <v>2650</v>
      </c>
      <c r="Y65" s="68">
        <f>X65/SUM(X$49:X$65)</f>
        <v>0.14094245293053931</v>
      </c>
      <c r="Z65" s="69">
        <v>1400</v>
      </c>
      <c r="AA65" s="68">
        <f>Z65/SUM(Z$49:Z$65)</f>
        <v>7.3332984128647E-2</v>
      </c>
      <c r="AB65" s="58">
        <v>1370</v>
      </c>
      <c r="AC65" s="68">
        <f>AB65/SUM(AB$49:AB$65)</f>
        <v>7.0984455958549228E-2</v>
      </c>
      <c r="AD65" s="58">
        <v>1205</v>
      </c>
      <c r="AE65" s="68">
        <f>AD65/SUM(AD$49:AD$65)</f>
        <v>5.9097596861206476E-2</v>
      </c>
      <c r="AF65" s="58">
        <v>1040</v>
      </c>
      <c r="AG65" s="68">
        <f>AF65/SUM(AF$49:AF$65)</f>
        <v>5.3069347349084042E-2</v>
      </c>
      <c r="AH65" s="58">
        <v>1190</v>
      </c>
      <c r="AI65" s="68">
        <f>AH65/SUM(AH$49:AH$65)</f>
        <v>6.3304606873071601E-2</v>
      </c>
      <c r="AJ65" s="58">
        <v>1250</v>
      </c>
      <c r="AK65" s="68">
        <f>AJ65/SUM(AJ$49:AJ$65)</f>
        <v>5.7242295187067818E-2</v>
      </c>
      <c r="AL65" s="58">
        <v>1190</v>
      </c>
      <c r="AM65" s="68">
        <f>AL65/SUM(AL$49:AL$65)</f>
        <v>5.3574644336394743E-2</v>
      </c>
      <c r="AN65" s="58">
        <v>1020</v>
      </c>
      <c r="AO65" s="68">
        <f>AN65/SUM(AN$49:AN$65)</f>
        <v>4.6311010215664021E-2</v>
      </c>
      <c r="AP65" s="58">
        <v>1020</v>
      </c>
      <c r="AQ65" s="68">
        <f>AP65/SUM(AP$49:AP$65)</f>
        <v>4.6311010215664021E-2</v>
      </c>
      <c r="AR65" s="58">
        <v>1350</v>
      </c>
      <c r="AS65" s="68">
        <f>AR65/SUM(AR$49:AR$65)</f>
        <v>6.0195300307664866E-2</v>
      </c>
      <c r="AT65" s="58">
        <v>1410</v>
      </c>
      <c r="AU65" s="68">
        <f>AT65/SUM(AT$49:AT$65)</f>
        <v>6.0775862068965514E-2</v>
      </c>
      <c r="AV65" s="58">
        <v>2400</v>
      </c>
      <c r="AW65" s="68">
        <f>AV65/SUM(AV$49:AV$65)</f>
        <v>0.10025062656641603</v>
      </c>
      <c r="AX65" s="58">
        <v>2370</v>
      </c>
      <c r="AY65" s="68">
        <f>AX65/SUM(AX$49:AX$65)</f>
        <v>9.3428470059526161E-2</v>
      </c>
      <c r="AZ65" s="58">
        <v>2310</v>
      </c>
      <c r="BA65" s="68">
        <f>AZ65/SUM(AZ$49:AZ$65)</f>
        <v>9.2050209205020925E-2</v>
      </c>
      <c r="BB65" s="58">
        <v>2320</v>
      </c>
      <c r="BC65" s="68">
        <f>BB65/SUM(BB$49:BB$65)</f>
        <v>9.5120951209512097E-2</v>
      </c>
    </row>
    <row r="66" spans="3:55">
      <c r="F66" s="58"/>
      <c r="G66" s="58"/>
      <c r="H66" s="58"/>
      <c r="AN66" s="58"/>
      <c r="AQ66" s="58"/>
      <c r="AS66" s="58"/>
      <c r="AT66" s="59"/>
    </row>
    <row r="67" spans="3:55">
      <c r="F67" s="58"/>
      <c r="G67" s="58"/>
      <c r="K67" s="58"/>
      <c r="L67" s="58"/>
      <c r="M67" s="58"/>
      <c r="N67" s="58"/>
      <c r="AN67" s="58"/>
      <c r="AR67" s="58"/>
      <c r="AT67" s="58"/>
      <c r="AU67" s="59"/>
      <c r="AV67" s="58"/>
    </row>
    <row r="68" spans="3:55">
      <c r="D68" s="58"/>
      <c r="E68" s="58"/>
      <c r="F68" s="58"/>
      <c r="G68" s="58"/>
      <c r="H68" s="58"/>
      <c r="I68" s="58"/>
      <c r="L68" s="58"/>
      <c r="M68" s="58"/>
      <c r="P68" s="58"/>
      <c r="Q68" s="58"/>
      <c r="AM68" s="58"/>
      <c r="AN68" s="58"/>
      <c r="AO68" s="58"/>
      <c r="AR68" s="58"/>
      <c r="AT68" s="58"/>
      <c r="AU68" s="59"/>
      <c r="AV68" s="64"/>
    </row>
    <row r="69" spans="3:55">
      <c r="G69" s="58"/>
      <c r="H69" s="58"/>
      <c r="I69" s="58"/>
      <c r="J69" s="58"/>
      <c r="K69" s="58"/>
      <c r="N69" s="58"/>
      <c r="O69" s="58"/>
      <c r="P69" s="58"/>
      <c r="Q69" s="58"/>
      <c r="R69" s="58"/>
      <c r="S69" s="58"/>
      <c r="T69" s="58"/>
      <c r="U69" s="58"/>
      <c r="AD69" s="58"/>
      <c r="AE69" s="58"/>
      <c r="AG69" s="58"/>
      <c r="AH69" s="58"/>
      <c r="AM69" s="58"/>
      <c r="AR69" s="58"/>
      <c r="AT69" s="58"/>
      <c r="AU69" s="59"/>
      <c r="AV69" s="64"/>
    </row>
    <row r="70" spans="3:55">
      <c r="E70" s="58"/>
      <c r="F70" s="58"/>
      <c r="G70" s="58"/>
      <c r="H70" s="58"/>
      <c r="I70" s="58"/>
      <c r="J70" s="58"/>
      <c r="K70" s="58"/>
      <c r="L70" s="58"/>
      <c r="M70" s="58"/>
      <c r="N70" s="58"/>
      <c r="O70" s="58"/>
      <c r="P70" s="58"/>
      <c r="S70" s="58"/>
      <c r="T70" s="58"/>
      <c r="Y70" s="58"/>
      <c r="AB70"/>
      <c r="AD70" s="58"/>
      <c r="AE70" s="58"/>
      <c r="AK70" s="58"/>
      <c r="AL70" s="58"/>
      <c r="AM70" s="58"/>
      <c r="AQ70" s="58"/>
      <c r="AR70" s="58"/>
      <c r="AT70" s="58"/>
      <c r="AU70" s="59"/>
      <c r="AV70" s="64"/>
      <c r="AX70" s="58"/>
      <c r="AY70" s="58"/>
    </row>
    <row r="71" spans="3:55">
      <c r="D71" s="58"/>
      <c r="E71" s="58"/>
      <c r="F71" s="58"/>
      <c r="G71" s="58"/>
      <c r="H71" s="58"/>
      <c r="I71" s="58"/>
      <c r="J71" s="58"/>
      <c r="K71" s="58"/>
      <c r="L71" s="58"/>
      <c r="M71" s="58"/>
      <c r="N71" s="58"/>
      <c r="O71" s="58"/>
      <c r="P71" s="58"/>
      <c r="Q71" s="58"/>
      <c r="R71" s="58"/>
      <c r="X71" s="58"/>
      <c r="Y71" s="58"/>
      <c r="AB71"/>
      <c r="AD71" s="58"/>
      <c r="AE71" s="58"/>
      <c r="AK71" s="58"/>
      <c r="AL71" s="58"/>
      <c r="AM71" s="58"/>
      <c r="AQ71" s="58"/>
      <c r="AR71" s="58"/>
      <c r="AT71" s="58"/>
      <c r="AU71" s="59"/>
      <c r="AV71" s="58"/>
      <c r="AX71" s="58"/>
      <c r="AY71" s="58"/>
    </row>
    <row r="72" spans="3:55">
      <c r="E72" s="58"/>
      <c r="F72" s="58"/>
      <c r="G72" s="58"/>
      <c r="H72" s="58"/>
      <c r="I72" s="58"/>
      <c r="J72" s="58"/>
      <c r="K72" s="58"/>
      <c r="L72" s="58"/>
      <c r="M72" s="58"/>
      <c r="N72" s="58"/>
      <c r="O72" s="58"/>
      <c r="P72" s="58"/>
      <c r="Q72" s="58"/>
      <c r="R72" s="58"/>
      <c r="S72" s="58"/>
      <c r="T72" s="58"/>
      <c r="AB72"/>
      <c r="AD72" s="58"/>
      <c r="AE72" s="58"/>
      <c r="AL72" s="58"/>
      <c r="AM72" s="58"/>
      <c r="AR72" s="58"/>
      <c r="AT72" s="58"/>
      <c r="AU72" s="59"/>
      <c r="AV72" s="64"/>
      <c r="AX72" s="58"/>
      <c r="AY72" s="58"/>
    </row>
    <row r="73" spans="3:55">
      <c r="D73" s="58"/>
      <c r="E73" s="68"/>
      <c r="F73" s="58"/>
      <c r="G73" s="68"/>
      <c r="H73" s="58"/>
      <c r="I73" s="68"/>
      <c r="J73" s="58"/>
      <c r="K73" s="68"/>
      <c r="L73" s="58"/>
      <c r="M73" s="68"/>
      <c r="N73" s="58"/>
      <c r="O73" s="68"/>
      <c r="P73" s="58"/>
      <c r="Q73" s="68"/>
      <c r="R73" s="58"/>
      <c r="S73" s="68"/>
      <c r="T73" s="58"/>
      <c r="X73" s="58"/>
      <c r="Y73" s="58"/>
      <c r="AA73" s="58"/>
      <c r="AB73" s="58"/>
      <c r="AF73" s="58"/>
      <c r="AG73" s="58"/>
      <c r="AL73" s="58"/>
      <c r="AM73" s="58"/>
      <c r="AQ73" s="58"/>
      <c r="AR73" s="58"/>
      <c r="AT73" s="58"/>
      <c r="AU73" s="59"/>
      <c r="AV73" s="64"/>
      <c r="AX73" s="58"/>
      <c r="AY73" s="58"/>
    </row>
    <row r="74" spans="3:55">
      <c r="E74" s="58"/>
      <c r="F74" s="58"/>
      <c r="G74" s="58"/>
      <c r="H74" s="58"/>
      <c r="I74" s="58"/>
      <c r="J74" s="58"/>
      <c r="K74" s="58"/>
      <c r="L74" s="58"/>
      <c r="M74" s="58"/>
      <c r="N74" s="58"/>
      <c r="O74" s="58"/>
      <c r="P74" s="58"/>
      <c r="Q74" s="58"/>
      <c r="S74" s="58"/>
      <c r="T74" s="58"/>
      <c r="V74" s="58"/>
      <c r="W74" s="58"/>
      <c r="X74" s="58"/>
      <c r="Y74" s="58"/>
      <c r="AA74" s="58"/>
      <c r="AB74" s="58"/>
      <c r="AD74" s="58"/>
      <c r="AE74" s="58"/>
      <c r="AK74" s="58"/>
      <c r="AL74" s="58"/>
      <c r="AN74" s="58"/>
      <c r="AO74" s="58"/>
      <c r="AQ74" s="58"/>
      <c r="AR74" s="58"/>
      <c r="AT74" s="58"/>
      <c r="AU74" s="59"/>
      <c r="AV74" s="64"/>
      <c r="AX74" s="58"/>
      <c r="AY74" s="58"/>
      <c r="AZ74" s="58"/>
      <c r="BA74" s="58"/>
    </row>
    <row r="75" spans="3:55">
      <c r="E75" s="58"/>
      <c r="F75" s="58"/>
      <c r="G75" s="58"/>
      <c r="H75" s="58"/>
      <c r="I75" s="58"/>
      <c r="J75" s="58"/>
      <c r="K75" s="58"/>
      <c r="L75" s="58"/>
      <c r="M75" s="58"/>
      <c r="N75" s="58"/>
      <c r="O75" s="58"/>
      <c r="P75" s="58"/>
      <c r="Q75" s="58"/>
      <c r="R75" s="58"/>
      <c r="S75" s="58"/>
      <c r="T75" s="58"/>
      <c r="X75" s="58"/>
      <c r="Y75" s="58"/>
      <c r="AA75" s="58"/>
      <c r="AB75" s="58"/>
      <c r="AK75" s="58"/>
      <c r="AL75" s="58"/>
      <c r="AM75" s="58"/>
      <c r="AS75" s="58"/>
      <c r="AT75" s="58"/>
      <c r="AV75" s="58"/>
      <c r="AX75" s="58"/>
      <c r="AY75" s="58"/>
    </row>
    <row r="76" spans="3:55">
      <c r="E76" s="58"/>
      <c r="F76" s="58"/>
      <c r="G76" s="58"/>
      <c r="H76" s="58"/>
      <c r="I76" s="58"/>
      <c r="J76" s="58"/>
      <c r="K76" s="58"/>
      <c r="L76" s="58"/>
      <c r="M76" s="58"/>
      <c r="N76" s="58"/>
      <c r="O76" s="58"/>
      <c r="P76" s="58"/>
      <c r="Q76" s="58"/>
      <c r="R76" s="58"/>
      <c r="S76" s="58"/>
      <c r="T76" s="58"/>
      <c r="X76" s="58"/>
      <c r="Y76" s="58"/>
      <c r="Z76" s="58"/>
      <c r="AA76" s="58"/>
      <c r="AB76" s="58"/>
      <c r="AM76" s="58"/>
      <c r="AN76" s="58"/>
      <c r="AQ76" s="58"/>
      <c r="AR76" s="58"/>
      <c r="AT76" s="58"/>
      <c r="AU76" s="58"/>
      <c r="AX76" s="58"/>
      <c r="AY76" s="58"/>
    </row>
    <row r="77" spans="3:55">
      <c r="E77" s="58"/>
      <c r="F77" s="58"/>
      <c r="G77" s="58"/>
      <c r="H77" s="58"/>
      <c r="I77" s="58"/>
      <c r="J77" s="58"/>
      <c r="K77" s="58"/>
      <c r="L77" s="58"/>
      <c r="M77" s="58"/>
      <c r="N77" s="58"/>
      <c r="O77" s="58"/>
      <c r="P77" s="58"/>
      <c r="Q77" s="58"/>
      <c r="R77" s="58"/>
      <c r="S77" s="58"/>
      <c r="T77" s="58"/>
      <c r="V77" s="58"/>
      <c r="W77" s="58"/>
      <c r="X77" s="58"/>
      <c r="Y77" s="58"/>
      <c r="AB77"/>
      <c r="AC77" s="58"/>
      <c r="AD77" s="58"/>
      <c r="AE77" s="58"/>
      <c r="AH77" s="58"/>
      <c r="AI77" s="58"/>
      <c r="AK77" s="58"/>
      <c r="AL77" s="58"/>
      <c r="AM77" s="58"/>
      <c r="AZ77" s="58"/>
      <c r="BA77" s="58"/>
    </row>
    <row r="78" spans="3:55">
      <c r="F78" s="58"/>
      <c r="G78" s="58"/>
      <c r="H78" s="58"/>
      <c r="I78" s="58"/>
      <c r="J78" s="58"/>
      <c r="K78" s="58"/>
      <c r="L78" s="58"/>
      <c r="N78" s="58"/>
      <c r="O78" s="58"/>
      <c r="P78" s="58"/>
      <c r="Q78" s="58"/>
      <c r="S78" s="58"/>
      <c r="T78" s="58"/>
      <c r="X78" s="58"/>
      <c r="Y78" s="58"/>
      <c r="AA78" s="58"/>
      <c r="AB78" s="58"/>
      <c r="AE78" s="58"/>
      <c r="AL78" s="58"/>
      <c r="AM78" s="58"/>
      <c r="AX78" s="58"/>
      <c r="AY78" s="58"/>
    </row>
    <row r="79" spans="3:55">
      <c r="E79" s="58"/>
      <c r="F79" s="58"/>
      <c r="G79" s="58"/>
      <c r="H79" s="58"/>
      <c r="I79" s="58"/>
      <c r="J79" s="58"/>
      <c r="K79" s="58"/>
      <c r="N79" s="58"/>
      <c r="O79" s="58"/>
      <c r="P79" s="58"/>
      <c r="Q79" s="58"/>
      <c r="R79" s="58"/>
      <c r="S79" s="58"/>
      <c r="T79" s="58"/>
      <c r="U79" s="58"/>
      <c r="X79" s="58"/>
      <c r="Y79" s="58"/>
      <c r="AB79"/>
      <c r="AM79" s="58"/>
      <c r="AN79" s="58"/>
      <c r="AX79" s="58"/>
      <c r="AY79" s="58"/>
      <c r="AZ79" s="58"/>
    </row>
    <row r="80" spans="3:55">
      <c r="E80" s="58"/>
      <c r="F80" s="58"/>
      <c r="G80" s="58"/>
      <c r="H80" s="58"/>
      <c r="I80" s="58"/>
      <c r="J80" s="58"/>
      <c r="K80" s="58"/>
      <c r="L80" s="58"/>
      <c r="V80" s="58"/>
      <c r="W80" s="58"/>
      <c r="X80" s="58"/>
      <c r="Y80" s="58"/>
      <c r="AB80"/>
      <c r="AM80" s="58"/>
      <c r="AQ80" s="58"/>
      <c r="AR80" s="58"/>
      <c r="AT80" s="58"/>
      <c r="AU80" s="58"/>
    </row>
    <row r="81" spans="5:52">
      <c r="F81" s="58"/>
      <c r="G81" s="58"/>
      <c r="H81" s="58"/>
      <c r="I81" s="58"/>
      <c r="J81" s="58"/>
      <c r="K81" s="58"/>
      <c r="L81" s="58"/>
      <c r="X81" s="58"/>
      <c r="Y81" s="58"/>
      <c r="AB81"/>
      <c r="AM81" s="58"/>
      <c r="AR81" s="58"/>
      <c r="AS81" s="58"/>
      <c r="AU81" s="58"/>
      <c r="AV81" s="58"/>
    </row>
    <row r="82" spans="5:52">
      <c r="E82" s="58"/>
      <c r="F82" s="58"/>
      <c r="G82" s="58"/>
      <c r="H82" s="58"/>
      <c r="I82" s="58"/>
      <c r="J82" s="58"/>
      <c r="K82" s="58"/>
      <c r="L82" s="58"/>
      <c r="W82" s="58"/>
      <c r="X82" s="58"/>
      <c r="Y82" s="58"/>
      <c r="AA82" s="58"/>
      <c r="AB82" s="58"/>
      <c r="AL82" s="58"/>
      <c r="AM82" s="58"/>
      <c r="AN82" s="58"/>
      <c r="AY82" s="58"/>
      <c r="AZ82" s="58"/>
    </row>
    <row r="83" spans="5:52">
      <c r="F83" s="58"/>
      <c r="G83" s="58"/>
      <c r="H83" s="58"/>
      <c r="I83" s="58"/>
      <c r="J83" s="58"/>
      <c r="K83" s="58"/>
      <c r="L83" s="58"/>
      <c r="X83" s="58"/>
      <c r="Y83" s="58"/>
      <c r="AB83" s="58"/>
      <c r="AC83" s="58"/>
      <c r="AH83" s="58"/>
      <c r="AP83" s="58"/>
      <c r="AS83" s="58"/>
    </row>
    <row r="84" spans="5:52">
      <c r="K84" s="58"/>
      <c r="L84" s="58"/>
      <c r="AB84"/>
      <c r="AP84" s="58"/>
      <c r="AS84" s="58"/>
    </row>
    <row r="85" spans="5:52">
      <c r="K85" s="58"/>
      <c r="L85" s="58"/>
      <c r="AB85"/>
    </row>
    <row r="86" spans="5:52">
      <c r="J86" s="58"/>
      <c r="K86" s="58"/>
      <c r="L86" s="58"/>
      <c r="M86" s="58"/>
      <c r="AB86"/>
    </row>
    <row r="87" spans="5:52">
      <c r="AB87"/>
    </row>
    <row r="88" spans="5:52">
      <c r="AB88"/>
    </row>
    <row r="89" spans="5:52">
      <c r="AB89"/>
    </row>
    <row r="90" spans="5:52">
      <c r="AB90"/>
    </row>
    <row r="91" spans="5:52">
      <c r="AB91"/>
    </row>
    <row r="92" spans="5:52">
      <c r="AB92"/>
    </row>
    <row r="93" spans="5:52">
      <c r="AB93"/>
    </row>
    <row r="94" spans="5:52">
      <c r="AB94"/>
    </row>
    <row r="95" spans="5:52">
      <c r="AB95"/>
    </row>
    <row r="96" spans="5:52">
      <c r="AB96"/>
    </row>
    <row r="97" spans="28:28">
      <c r="AB97"/>
    </row>
    <row r="98" spans="28:28">
      <c r="AB98"/>
    </row>
    <row r="99" spans="28:28">
      <c r="AB99"/>
    </row>
    <row r="100" spans="28:28">
      <c r="AB100"/>
    </row>
    <row r="101" spans="28:28">
      <c r="AB101"/>
    </row>
  </sheetData>
  <hyperlinks>
    <hyperlink ref="AM3" r:id="rId1" xr:uid="{2A7002B9-B77C-3845-90F3-2D404A7AB926}"/>
    <hyperlink ref="AM41" r:id="rId2" xr:uid="{2A0E8A7D-B0E7-4F4B-A243-133D29E9361E}"/>
    <hyperlink ref="BQ33" r:id="rId3" xr:uid="{037319B7-EB59-6649-B617-F5F22F33E68A}"/>
  </hyperlinks>
  <pageMargins left="0.7" right="0.7" top="0.75" bottom="0.75" header="0.3" footer="0.3"/>
  <drawing r:id="rId4"/>
  <tableParts count="4">
    <tablePart r:id="rId5"/>
    <tablePart r:id="rId6"/>
    <tablePart r:id="rId7"/>
    <tablePart r:id="rId8"/>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44000F-E031-BE4E-B735-638473E7D39E}">
  <dimension ref="A1:AD47"/>
  <sheetViews>
    <sheetView topLeftCell="A4" zoomScale="81" workbookViewId="0">
      <selection activeCell="I50" sqref="I50"/>
    </sheetView>
  </sheetViews>
  <sheetFormatPr baseColWidth="10" defaultRowHeight="16"/>
  <cols>
    <col min="2" max="2" width="17.1640625" customWidth="1"/>
    <col min="3" max="3" width="21.6640625" customWidth="1"/>
    <col min="4" max="4" width="14.33203125" customWidth="1"/>
    <col min="5" max="5" width="9.6640625" customWidth="1"/>
    <col min="6" max="6" width="23.33203125" customWidth="1"/>
    <col min="7" max="7" width="28.33203125" customWidth="1"/>
    <col min="8" max="8" width="6.6640625" customWidth="1"/>
    <col min="9" max="9" width="31.6640625" customWidth="1"/>
    <col min="10" max="10" width="26.5" customWidth="1"/>
    <col min="11" max="11" width="22.6640625" customWidth="1"/>
    <col min="12" max="12" width="32.1640625" customWidth="1"/>
    <col min="13" max="13" width="26.83203125" customWidth="1"/>
    <col min="14" max="14" width="22" customWidth="1"/>
    <col min="15" max="15" width="27.83203125" customWidth="1"/>
    <col min="16" max="16" width="34.83203125" customWidth="1"/>
  </cols>
  <sheetData>
    <row r="1" spans="1:30">
      <c r="A1" t="s">
        <v>100</v>
      </c>
      <c r="B1" t="s">
        <v>415</v>
      </c>
      <c r="C1" t="s">
        <v>420</v>
      </c>
      <c r="D1" s="6" t="s">
        <v>455</v>
      </c>
      <c r="E1" s="62" t="s">
        <v>408</v>
      </c>
      <c r="F1" s="6" t="s">
        <v>456</v>
      </c>
      <c r="G1" s="6" t="s">
        <v>457</v>
      </c>
      <c r="H1" s="6"/>
      <c r="I1" s="6" t="s">
        <v>458</v>
      </c>
      <c r="J1" s="6" t="s">
        <v>459</v>
      </c>
      <c r="K1" s="6" t="s">
        <v>460</v>
      </c>
      <c r="L1" s="6" t="s">
        <v>461</v>
      </c>
      <c r="M1" s="6" t="s">
        <v>462</v>
      </c>
      <c r="N1" s="6" t="s">
        <v>463</v>
      </c>
      <c r="O1" s="6" t="s">
        <v>464</v>
      </c>
      <c r="P1" s="6" t="s">
        <v>465</v>
      </c>
      <c r="Q1" t="s">
        <v>28</v>
      </c>
    </row>
    <row r="2" spans="1:30">
      <c r="A2">
        <v>1991</v>
      </c>
      <c r="D2">
        <v>0</v>
      </c>
      <c r="F2">
        <v>100</v>
      </c>
      <c r="G2">
        <v>98</v>
      </c>
      <c r="L2">
        <v>0</v>
      </c>
      <c r="M2">
        <v>0</v>
      </c>
      <c r="N2">
        <v>0</v>
      </c>
      <c r="O2">
        <v>0</v>
      </c>
      <c r="P2">
        <v>0</v>
      </c>
      <c r="R2" s="8" t="s">
        <v>381</v>
      </c>
    </row>
    <row r="3" spans="1:30">
      <c r="A3">
        <v>1992</v>
      </c>
      <c r="D3">
        <v>0</v>
      </c>
      <c r="F3">
        <v>100</v>
      </c>
      <c r="G3">
        <v>98</v>
      </c>
      <c r="L3">
        <v>0</v>
      </c>
      <c r="M3">
        <v>0</v>
      </c>
      <c r="N3">
        <v>0</v>
      </c>
      <c r="O3">
        <v>0</v>
      </c>
      <c r="P3">
        <v>0</v>
      </c>
    </row>
    <row r="4" spans="1:30">
      <c r="A4">
        <v>1993</v>
      </c>
      <c r="B4">
        <v>94</v>
      </c>
      <c r="C4">
        <v>95</v>
      </c>
      <c r="D4">
        <v>96.025104600000006</v>
      </c>
      <c r="F4">
        <v>100</v>
      </c>
      <c r="G4">
        <v>98</v>
      </c>
      <c r="L4">
        <v>0</v>
      </c>
      <c r="M4">
        <v>0</v>
      </c>
      <c r="N4">
        <v>0</v>
      </c>
      <c r="O4">
        <v>0</v>
      </c>
      <c r="P4">
        <v>0</v>
      </c>
      <c r="R4" t="s">
        <v>419</v>
      </c>
      <c r="S4" s="8" t="s">
        <v>411</v>
      </c>
    </row>
    <row r="5" spans="1:30">
      <c r="A5">
        <v>1994</v>
      </c>
      <c r="B5">
        <v>94</v>
      </c>
      <c r="C5">
        <v>95</v>
      </c>
      <c r="D5">
        <v>96.025104600000006</v>
      </c>
      <c r="E5" s="8" t="s">
        <v>466</v>
      </c>
      <c r="F5">
        <v>100</v>
      </c>
      <c r="G5">
        <v>98</v>
      </c>
      <c r="L5">
        <v>0</v>
      </c>
      <c r="M5">
        <v>0</v>
      </c>
      <c r="N5">
        <v>0</v>
      </c>
      <c r="O5">
        <v>0</v>
      </c>
      <c r="P5">
        <v>0</v>
      </c>
    </row>
    <row r="6" spans="1:30">
      <c r="A6">
        <v>1995</v>
      </c>
      <c r="B6">
        <v>94</v>
      </c>
      <c r="C6">
        <v>95</v>
      </c>
      <c r="D6">
        <v>96.025104600000006</v>
      </c>
      <c r="F6">
        <v>100</v>
      </c>
      <c r="G6">
        <v>98</v>
      </c>
      <c r="L6">
        <v>0</v>
      </c>
      <c r="M6">
        <v>0</v>
      </c>
      <c r="N6">
        <v>0</v>
      </c>
      <c r="O6">
        <v>0</v>
      </c>
      <c r="P6">
        <v>0</v>
      </c>
      <c r="R6" t="s">
        <v>403</v>
      </c>
      <c r="T6" t="s">
        <v>407</v>
      </c>
      <c r="AD6" s="8" t="s">
        <v>408</v>
      </c>
    </row>
    <row r="7" spans="1:30">
      <c r="A7">
        <v>1996</v>
      </c>
      <c r="B7">
        <v>94</v>
      </c>
      <c r="C7">
        <v>95</v>
      </c>
      <c r="D7">
        <v>96.025104600000006</v>
      </c>
      <c r="F7">
        <v>100</v>
      </c>
      <c r="G7">
        <v>98</v>
      </c>
      <c r="L7">
        <v>0</v>
      </c>
      <c r="M7">
        <v>0</v>
      </c>
      <c r="N7">
        <v>0</v>
      </c>
      <c r="O7">
        <v>0</v>
      </c>
      <c r="P7">
        <v>0</v>
      </c>
      <c r="R7" t="s">
        <v>409</v>
      </c>
      <c r="T7" t="s">
        <v>406</v>
      </c>
    </row>
    <row r="8" spans="1:30">
      <c r="A8">
        <v>1997</v>
      </c>
      <c r="B8">
        <v>94</v>
      </c>
      <c r="C8">
        <v>95</v>
      </c>
      <c r="D8">
        <v>96.025104600000006</v>
      </c>
      <c r="F8">
        <v>100</v>
      </c>
      <c r="G8">
        <v>98</v>
      </c>
      <c r="L8">
        <v>0</v>
      </c>
      <c r="M8">
        <v>0</v>
      </c>
      <c r="N8">
        <v>0</v>
      </c>
      <c r="O8">
        <v>0</v>
      </c>
      <c r="P8">
        <v>0</v>
      </c>
    </row>
    <row r="9" spans="1:30">
      <c r="A9">
        <v>1998</v>
      </c>
      <c r="B9">
        <v>94</v>
      </c>
      <c r="C9">
        <v>95</v>
      </c>
      <c r="D9">
        <v>96.025104600000006</v>
      </c>
      <c r="F9">
        <v>100</v>
      </c>
      <c r="G9">
        <v>98</v>
      </c>
      <c r="L9">
        <v>0</v>
      </c>
      <c r="M9">
        <v>0</v>
      </c>
      <c r="N9">
        <v>0</v>
      </c>
      <c r="O9">
        <v>0</v>
      </c>
      <c r="P9">
        <v>0</v>
      </c>
      <c r="R9">
        <v>100</v>
      </c>
    </row>
    <row r="10" spans="1:30">
      <c r="A10">
        <v>1999</v>
      </c>
      <c r="B10">
        <v>94</v>
      </c>
      <c r="C10">
        <v>95</v>
      </c>
      <c r="D10">
        <v>96.025104600000006</v>
      </c>
      <c r="F10">
        <v>100</v>
      </c>
      <c r="G10">
        <v>98</v>
      </c>
      <c r="L10">
        <v>0</v>
      </c>
      <c r="M10">
        <v>0</v>
      </c>
      <c r="N10">
        <v>0</v>
      </c>
      <c r="O10">
        <v>0</v>
      </c>
      <c r="P10">
        <v>0</v>
      </c>
      <c r="R10">
        <f>R9*0.94</f>
        <v>94</v>
      </c>
    </row>
    <row r="11" spans="1:30">
      <c r="A11">
        <v>2000</v>
      </c>
      <c r="B11">
        <v>94</v>
      </c>
      <c r="C11">
        <v>95</v>
      </c>
      <c r="D11">
        <f>1-6/2015</f>
        <v>0.99702233250620342</v>
      </c>
      <c r="E11" t="s">
        <v>602</v>
      </c>
      <c r="F11">
        <v>100</v>
      </c>
      <c r="G11">
        <v>98</v>
      </c>
      <c r="H11" t="s">
        <v>603</v>
      </c>
      <c r="L11">
        <v>0</v>
      </c>
      <c r="M11">
        <v>0</v>
      </c>
      <c r="N11">
        <v>0</v>
      </c>
      <c r="O11">
        <v>0</v>
      </c>
      <c r="P11">
        <v>0</v>
      </c>
      <c r="R11">
        <f>R10*0.95</f>
        <v>89.3</v>
      </c>
      <c r="S11" t="s">
        <v>450</v>
      </c>
      <c r="T11" t="s">
        <v>451</v>
      </c>
    </row>
    <row r="12" spans="1:30">
      <c r="A12">
        <v>2001</v>
      </c>
      <c r="B12">
        <v>94</v>
      </c>
      <c r="C12">
        <v>95</v>
      </c>
      <c r="D12">
        <f>1-6/2015</f>
        <v>0.99702233250620342</v>
      </c>
      <c r="E12" t="s">
        <v>604</v>
      </c>
      <c r="F12">
        <v>100</v>
      </c>
      <c r="G12">
        <v>98</v>
      </c>
      <c r="H12" s="8" t="s">
        <v>452</v>
      </c>
      <c r="L12" s="25">
        <v>100</v>
      </c>
      <c r="M12">
        <v>0</v>
      </c>
      <c r="N12">
        <v>15</v>
      </c>
      <c r="O12">
        <v>100</v>
      </c>
      <c r="P12">
        <v>100</v>
      </c>
    </row>
    <row r="13" spans="1:30">
      <c r="A13">
        <v>2002</v>
      </c>
      <c r="D13">
        <f>1-6/2015</f>
        <v>0.99702233250620342</v>
      </c>
      <c r="F13">
        <v>100</v>
      </c>
      <c r="G13">
        <v>98</v>
      </c>
      <c r="L13" s="25">
        <v>100</v>
      </c>
      <c r="M13">
        <v>0</v>
      </c>
      <c r="N13">
        <v>100</v>
      </c>
      <c r="O13">
        <v>100</v>
      </c>
      <c r="P13">
        <v>100</v>
      </c>
    </row>
    <row r="14" spans="1:30">
      <c r="A14">
        <v>2003</v>
      </c>
      <c r="D14">
        <f t="shared" ref="D14:D33" si="0">1-6/2015</f>
        <v>0.99702233250620342</v>
      </c>
      <c r="F14">
        <v>100</v>
      </c>
      <c r="G14">
        <v>98</v>
      </c>
      <c r="L14" s="25">
        <v>100</v>
      </c>
      <c r="M14">
        <v>0</v>
      </c>
      <c r="N14">
        <v>100</v>
      </c>
      <c r="O14">
        <v>100</v>
      </c>
      <c r="P14">
        <v>100</v>
      </c>
    </row>
    <row r="15" spans="1:30">
      <c r="A15">
        <v>2004</v>
      </c>
      <c r="B15" s="58"/>
      <c r="D15">
        <f t="shared" si="0"/>
        <v>0.99702233250620342</v>
      </c>
      <c r="F15">
        <v>100</v>
      </c>
      <c r="G15">
        <v>98</v>
      </c>
      <c r="L15" s="25">
        <v>100</v>
      </c>
      <c r="M15">
        <v>0</v>
      </c>
      <c r="N15">
        <v>100</v>
      </c>
      <c r="O15">
        <v>100</v>
      </c>
      <c r="P15">
        <v>100</v>
      </c>
    </row>
    <row r="16" spans="1:30">
      <c r="A16">
        <v>2005</v>
      </c>
      <c r="D16">
        <f t="shared" si="0"/>
        <v>0.99702233250620342</v>
      </c>
      <c r="F16">
        <v>100</v>
      </c>
      <c r="G16">
        <v>98</v>
      </c>
      <c r="L16" s="25">
        <v>100</v>
      </c>
      <c r="M16">
        <v>0</v>
      </c>
      <c r="N16">
        <v>100</v>
      </c>
      <c r="O16">
        <v>100</v>
      </c>
      <c r="P16">
        <v>100</v>
      </c>
    </row>
    <row r="17" spans="1:16">
      <c r="A17">
        <v>2006</v>
      </c>
      <c r="D17">
        <f t="shared" si="0"/>
        <v>0.99702233250620342</v>
      </c>
      <c r="F17">
        <v>100</v>
      </c>
      <c r="G17">
        <v>98</v>
      </c>
      <c r="L17" s="25">
        <v>100</v>
      </c>
      <c r="M17">
        <v>0</v>
      </c>
      <c r="N17">
        <v>100</v>
      </c>
      <c r="O17">
        <v>100</v>
      </c>
      <c r="P17">
        <v>100</v>
      </c>
    </row>
    <row r="18" spans="1:16">
      <c r="A18">
        <v>2007</v>
      </c>
      <c r="D18">
        <f t="shared" si="0"/>
        <v>0.99702233250620342</v>
      </c>
      <c r="F18">
        <v>100</v>
      </c>
      <c r="G18">
        <v>98</v>
      </c>
      <c r="L18" s="25">
        <v>100</v>
      </c>
      <c r="M18">
        <v>0</v>
      </c>
      <c r="N18">
        <v>100</v>
      </c>
      <c r="O18">
        <v>100</v>
      </c>
      <c r="P18">
        <v>100</v>
      </c>
    </row>
    <row r="19" spans="1:16">
      <c r="A19">
        <v>2008</v>
      </c>
      <c r="B19">
        <v>37</v>
      </c>
      <c r="D19">
        <f t="shared" si="0"/>
        <v>0.99702233250620342</v>
      </c>
      <c r="F19">
        <v>100</v>
      </c>
      <c r="G19">
        <v>98</v>
      </c>
      <c r="L19" s="25">
        <v>100</v>
      </c>
      <c r="M19">
        <v>0</v>
      </c>
      <c r="N19">
        <v>100</v>
      </c>
      <c r="O19">
        <v>100</v>
      </c>
      <c r="P19">
        <v>100</v>
      </c>
    </row>
    <row r="20" spans="1:16">
      <c r="A20">
        <v>2009</v>
      </c>
      <c r="B20">
        <v>37</v>
      </c>
      <c r="D20">
        <f t="shared" si="0"/>
        <v>0.99702233250620342</v>
      </c>
      <c r="F20">
        <v>100</v>
      </c>
      <c r="G20">
        <v>98</v>
      </c>
      <c r="L20" s="25">
        <v>100</v>
      </c>
      <c r="M20">
        <v>0</v>
      </c>
      <c r="N20">
        <v>100</v>
      </c>
      <c r="O20">
        <v>100</v>
      </c>
      <c r="P20">
        <v>100</v>
      </c>
    </row>
    <row r="21" spans="1:16">
      <c r="A21">
        <v>2010</v>
      </c>
      <c r="B21">
        <v>37</v>
      </c>
      <c r="D21">
        <f t="shared" si="0"/>
        <v>0.99702233250620342</v>
      </c>
      <c r="F21">
        <v>100</v>
      </c>
      <c r="G21">
        <v>98</v>
      </c>
      <c r="L21" s="25">
        <v>100</v>
      </c>
      <c r="M21">
        <v>0</v>
      </c>
      <c r="N21">
        <v>100</v>
      </c>
      <c r="O21">
        <v>100</v>
      </c>
      <c r="P21">
        <v>100</v>
      </c>
    </row>
    <row r="22" spans="1:16">
      <c r="A22">
        <v>2011</v>
      </c>
      <c r="B22">
        <v>37</v>
      </c>
      <c r="D22">
        <f t="shared" si="0"/>
        <v>0.99702233250620342</v>
      </c>
      <c r="F22">
        <v>100</v>
      </c>
      <c r="G22">
        <v>98</v>
      </c>
      <c r="L22" s="25">
        <v>100</v>
      </c>
      <c r="M22">
        <v>0</v>
      </c>
      <c r="N22">
        <v>100</v>
      </c>
      <c r="O22">
        <v>100</v>
      </c>
      <c r="P22">
        <v>100</v>
      </c>
    </row>
    <row r="23" spans="1:16">
      <c r="A23">
        <v>2012</v>
      </c>
      <c r="B23">
        <v>37</v>
      </c>
      <c r="D23">
        <f t="shared" si="0"/>
        <v>0.99702233250620342</v>
      </c>
      <c r="F23">
        <v>100</v>
      </c>
      <c r="G23">
        <v>98</v>
      </c>
      <c r="L23" s="25">
        <v>100</v>
      </c>
      <c r="M23">
        <v>0</v>
      </c>
      <c r="N23">
        <v>100</v>
      </c>
      <c r="O23">
        <v>100</v>
      </c>
      <c r="P23">
        <v>100</v>
      </c>
    </row>
    <row r="24" spans="1:16">
      <c r="A24">
        <v>2013</v>
      </c>
      <c r="B24">
        <v>37</v>
      </c>
      <c r="D24">
        <f t="shared" si="0"/>
        <v>0.99702233250620342</v>
      </c>
      <c r="F24">
        <v>100</v>
      </c>
      <c r="G24">
        <v>98</v>
      </c>
      <c r="L24" s="25">
        <v>100</v>
      </c>
      <c r="M24">
        <v>0</v>
      </c>
      <c r="N24">
        <v>100</v>
      </c>
      <c r="O24">
        <v>100</v>
      </c>
      <c r="P24">
        <v>100</v>
      </c>
    </row>
    <row r="25" spans="1:16">
      <c r="A25">
        <v>2014</v>
      </c>
      <c r="B25">
        <v>37</v>
      </c>
      <c r="D25">
        <f t="shared" si="0"/>
        <v>0.99702233250620342</v>
      </c>
      <c r="F25">
        <v>100</v>
      </c>
      <c r="G25">
        <v>98</v>
      </c>
      <c r="L25" s="25">
        <v>100</v>
      </c>
      <c r="M25">
        <v>0</v>
      </c>
      <c r="N25">
        <v>100</v>
      </c>
      <c r="O25">
        <v>100</v>
      </c>
      <c r="P25">
        <v>100</v>
      </c>
    </row>
    <row r="26" spans="1:16">
      <c r="A26">
        <v>2015</v>
      </c>
      <c r="B26">
        <v>37</v>
      </c>
      <c r="D26">
        <f t="shared" si="0"/>
        <v>0.99702233250620342</v>
      </c>
      <c r="F26">
        <v>100</v>
      </c>
      <c r="G26">
        <v>98</v>
      </c>
      <c r="L26" s="25">
        <v>100</v>
      </c>
      <c r="M26">
        <v>0</v>
      </c>
      <c r="N26">
        <v>100</v>
      </c>
      <c r="O26">
        <v>100</v>
      </c>
      <c r="P26">
        <v>100</v>
      </c>
    </row>
    <row r="27" spans="1:16">
      <c r="A27">
        <v>2016</v>
      </c>
      <c r="B27">
        <v>37</v>
      </c>
      <c r="D27">
        <f t="shared" si="0"/>
        <v>0.99702233250620342</v>
      </c>
      <c r="F27">
        <v>100</v>
      </c>
      <c r="G27">
        <v>98</v>
      </c>
      <c r="L27" s="25">
        <v>100</v>
      </c>
      <c r="M27">
        <v>0</v>
      </c>
      <c r="N27">
        <v>100</v>
      </c>
      <c r="O27">
        <v>100</v>
      </c>
      <c r="P27">
        <v>100</v>
      </c>
    </row>
    <row r="28" spans="1:16">
      <c r="A28">
        <v>2017</v>
      </c>
      <c r="B28">
        <v>37</v>
      </c>
      <c r="D28">
        <f t="shared" si="0"/>
        <v>0.99702233250620342</v>
      </c>
      <c r="F28">
        <v>100</v>
      </c>
      <c r="G28">
        <v>98</v>
      </c>
      <c r="L28" s="25">
        <v>100</v>
      </c>
      <c r="M28">
        <v>0</v>
      </c>
      <c r="N28">
        <v>100</v>
      </c>
      <c r="O28">
        <v>100</v>
      </c>
      <c r="P28">
        <v>100</v>
      </c>
    </row>
    <row r="29" spans="1:16">
      <c r="A29">
        <v>2018</v>
      </c>
      <c r="B29">
        <v>37</v>
      </c>
      <c r="D29">
        <f t="shared" si="0"/>
        <v>0.99702233250620342</v>
      </c>
      <c r="F29">
        <v>100</v>
      </c>
      <c r="G29">
        <v>98</v>
      </c>
      <c r="L29" s="25">
        <v>100</v>
      </c>
      <c r="M29">
        <v>0</v>
      </c>
      <c r="N29">
        <v>100</v>
      </c>
      <c r="O29">
        <v>100</v>
      </c>
      <c r="P29">
        <v>100</v>
      </c>
    </row>
    <row r="30" spans="1:16">
      <c r="A30">
        <v>2019</v>
      </c>
      <c r="B30">
        <v>37</v>
      </c>
      <c r="D30">
        <f t="shared" si="0"/>
        <v>0.99702233250620342</v>
      </c>
      <c r="F30">
        <v>100</v>
      </c>
      <c r="G30">
        <v>98</v>
      </c>
      <c r="L30" s="25">
        <v>100</v>
      </c>
      <c r="M30">
        <v>0</v>
      </c>
      <c r="N30">
        <v>100</v>
      </c>
      <c r="O30">
        <v>100</v>
      </c>
      <c r="P30">
        <v>100</v>
      </c>
    </row>
    <row r="31" spans="1:16">
      <c r="A31">
        <v>2020</v>
      </c>
      <c r="B31">
        <v>37</v>
      </c>
      <c r="D31">
        <f t="shared" si="0"/>
        <v>0.99702233250620342</v>
      </c>
      <c r="F31">
        <v>100</v>
      </c>
      <c r="G31">
        <v>98</v>
      </c>
      <c r="L31" s="25">
        <v>100</v>
      </c>
      <c r="M31">
        <v>0</v>
      </c>
      <c r="N31">
        <v>100</v>
      </c>
      <c r="O31">
        <v>100</v>
      </c>
      <c r="P31">
        <v>100</v>
      </c>
    </row>
    <row r="32" spans="1:16">
      <c r="A32">
        <v>2021</v>
      </c>
      <c r="B32">
        <v>37</v>
      </c>
      <c r="D32">
        <f t="shared" si="0"/>
        <v>0.99702233250620342</v>
      </c>
      <c r="F32">
        <v>100</v>
      </c>
      <c r="G32">
        <v>98</v>
      </c>
      <c r="L32" s="25">
        <v>100</v>
      </c>
      <c r="M32">
        <v>0</v>
      </c>
      <c r="N32">
        <v>100</v>
      </c>
      <c r="O32">
        <v>100</v>
      </c>
      <c r="P32">
        <v>100</v>
      </c>
    </row>
    <row r="33" spans="1:16">
      <c r="A33">
        <v>2022</v>
      </c>
      <c r="B33">
        <v>37</v>
      </c>
      <c r="D33">
        <f t="shared" si="0"/>
        <v>0.99702233250620342</v>
      </c>
      <c r="F33">
        <v>100</v>
      </c>
      <c r="G33">
        <v>98</v>
      </c>
      <c r="L33" s="25">
        <v>100</v>
      </c>
      <c r="M33">
        <v>0</v>
      </c>
      <c r="N33">
        <v>100</v>
      </c>
      <c r="O33">
        <v>100</v>
      </c>
      <c r="P33">
        <v>100</v>
      </c>
    </row>
    <row r="38" spans="1:16">
      <c r="K38" s="63"/>
    </row>
    <row r="39" spans="1:16">
      <c r="K39" s="63"/>
    </row>
    <row r="40" spans="1:16">
      <c r="K40" s="63"/>
    </row>
    <row r="41" spans="1:16">
      <c r="K41" s="63"/>
    </row>
    <row r="42" spans="1:16">
      <c r="K42" s="63"/>
    </row>
    <row r="43" spans="1:16">
      <c r="K43" s="63"/>
    </row>
    <row r="44" spans="1:16">
      <c r="K44" s="63"/>
    </row>
    <row r="45" spans="1:16">
      <c r="K45" s="63"/>
    </row>
    <row r="46" spans="1:16">
      <c r="K46" s="63"/>
    </row>
    <row r="47" spans="1:16">
      <c r="K47" s="63"/>
    </row>
  </sheetData>
  <hyperlinks>
    <hyperlink ref="R2" r:id="rId1" xr:uid="{62B25517-D091-574E-B7C4-E2F06E8BC6EF}"/>
    <hyperlink ref="AD6" r:id="rId2" xr:uid="{98FBA73F-C146-0043-BF5E-6ABF4CCB8269}"/>
    <hyperlink ref="S4" r:id="rId3" xr:uid="{2E3D3453-879B-BB43-9E4A-1ACA76959312}"/>
    <hyperlink ref="E5" r:id="rId4" display="Cadmium material flows" xr:uid="{288F6F1C-294B-7640-9AB0-06FD7FB4D031}"/>
    <hyperlink ref="H12" r:id="rId5" display="https://pubs.usgs.gov/circ/c1196o/" xr:uid="{8564AA03-C1F3-9A46-9774-CEBE590F0602}"/>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3DB2F7-CE57-B240-BD84-E301A083E957}">
  <dimension ref="A1:BH69"/>
  <sheetViews>
    <sheetView topLeftCell="Y1" zoomScale="114" workbookViewId="0">
      <selection activeCell="AI1" sqref="AI1"/>
    </sheetView>
  </sheetViews>
  <sheetFormatPr baseColWidth="10" defaultRowHeight="16"/>
  <sheetData>
    <row r="1" spans="1:37">
      <c r="AI1" s="8" t="s">
        <v>429</v>
      </c>
      <c r="AK1">
        <v>2017</v>
      </c>
    </row>
    <row r="2" spans="1:37">
      <c r="B2" s="8" t="s">
        <v>433</v>
      </c>
    </row>
    <row r="3" spans="1:37">
      <c r="A3" t="s">
        <v>444</v>
      </c>
      <c r="B3" t="s">
        <v>430</v>
      </c>
    </row>
    <row r="4" spans="1:37">
      <c r="A4" t="s">
        <v>445</v>
      </c>
      <c r="B4" t="s">
        <v>434</v>
      </c>
    </row>
    <row r="5" spans="1:37">
      <c r="B5" t="s">
        <v>608</v>
      </c>
    </row>
    <row r="6" spans="1:37">
      <c r="A6" t="s">
        <v>446</v>
      </c>
      <c r="B6" t="s">
        <v>609</v>
      </c>
    </row>
    <row r="7" spans="1:37">
      <c r="C7" s="57" t="s">
        <v>431</v>
      </c>
    </row>
    <row r="8" spans="1:37">
      <c r="C8" t="s">
        <v>432</v>
      </c>
    </row>
    <row r="9" spans="1:37">
      <c r="B9" t="s">
        <v>435</v>
      </c>
    </row>
    <row r="10" spans="1:37">
      <c r="B10" t="s">
        <v>436</v>
      </c>
    </row>
    <row r="11" spans="1:37">
      <c r="B11" t="s">
        <v>437</v>
      </c>
    </row>
    <row r="12" spans="1:37">
      <c r="B12" t="s">
        <v>438</v>
      </c>
    </row>
    <row r="13" spans="1:37">
      <c r="A13" t="s">
        <v>443</v>
      </c>
      <c r="B13" t="s">
        <v>439</v>
      </c>
    </row>
    <row r="14" spans="1:37">
      <c r="B14" t="s">
        <v>440</v>
      </c>
    </row>
    <row r="15" spans="1:37">
      <c r="B15" t="s">
        <v>441</v>
      </c>
    </row>
    <row r="16" spans="1:37">
      <c r="B16" t="s">
        <v>442</v>
      </c>
    </row>
    <row r="17" spans="1:37">
      <c r="B17" t="s">
        <v>447</v>
      </c>
    </row>
    <row r="18" spans="1:37">
      <c r="B18" t="s">
        <v>448</v>
      </c>
    </row>
    <row r="19" spans="1:37">
      <c r="B19" t="s">
        <v>449</v>
      </c>
    </row>
    <row r="20" spans="1:37">
      <c r="B20" s="8" t="s">
        <v>612</v>
      </c>
    </row>
    <row r="21" spans="1:37">
      <c r="B21" t="s">
        <v>621</v>
      </c>
      <c r="G21" t="s">
        <v>620</v>
      </c>
      <c r="AK21" s="80"/>
    </row>
    <row r="22" spans="1:37">
      <c r="A22" s="78" t="s">
        <v>385</v>
      </c>
      <c r="B22" s="77" t="s">
        <v>517</v>
      </c>
      <c r="C22" s="77" t="s">
        <v>549</v>
      </c>
      <c r="D22" s="77" t="s">
        <v>550</v>
      </c>
      <c r="E22" s="77" t="s">
        <v>551</v>
      </c>
      <c r="F22" s="77" t="s">
        <v>552</v>
      </c>
      <c r="G22" s="77" t="s">
        <v>521</v>
      </c>
      <c r="H22" s="77" t="s">
        <v>522</v>
      </c>
      <c r="I22" s="77" t="s">
        <v>523</v>
      </c>
      <c r="J22" s="77" t="s">
        <v>524</v>
      </c>
      <c r="K22" s="77" t="s">
        <v>525</v>
      </c>
      <c r="L22" s="77" t="s">
        <v>526</v>
      </c>
      <c r="M22" s="77" t="s">
        <v>527</v>
      </c>
      <c r="N22" s="77" t="s">
        <v>528</v>
      </c>
      <c r="O22" s="77" t="s">
        <v>529</v>
      </c>
      <c r="P22" s="77" t="s">
        <v>530</v>
      </c>
      <c r="Q22" s="77" t="s">
        <v>531</v>
      </c>
      <c r="R22" s="77" t="s">
        <v>532</v>
      </c>
      <c r="S22" s="77" t="s">
        <v>533</v>
      </c>
      <c r="T22" s="77" t="s">
        <v>534</v>
      </c>
      <c r="U22" s="77" t="s">
        <v>535</v>
      </c>
      <c r="V22" s="77" t="s">
        <v>536</v>
      </c>
      <c r="W22" s="77" t="s">
        <v>537</v>
      </c>
      <c r="X22" s="77" t="s">
        <v>538</v>
      </c>
      <c r="Y22" s="77" t="s">
        <v>539</v>
      </c>
      <c r="Z22" s="77" t="s">
        <v>540</v>
      </c>
      <c r="AA22" s="77" t="s">
        <v>541</v>
      </c>
      <c r="AB22" s="77" t="s">
        <v>542</v>
      </c>
      <c r="AC22" s="77" t="s">
        <v>543</v>
      </c>
      <c r="AD22" s="77" t="s">
        <v>544</v>
      </c>
      <c r="AE22" s="77" t="s">
        <v>545</v>
      </c>
      <c r="AF22" s="77" t="s">
        <v>546</v>
      </c>
      <c r="AG22" s="77" t="s">
        <v>547</v>
      </c>
      <c r="AH22" s="77" t="s">
        <v>548</v>
      </c>
      <c r="AK22" s="80"/>
    </row>
    <row r="23" spans="1:37">
      <c r="C23" s="68"/>
      <c r="D23" s="68"/>
      <c r="E23" s="68"/>
      <c r="F23" s="68"/>
      <c r="G23" s="68"/>
      <c r="H23" s="68"/>
      <c r="I23" s="68"/>
      <c r="J23" s="68"/>
      <c r="K23" s="68"/>
      <c r="L23" s="68"/>
      <c r="M23" s="68"/>
      <c r="N23" s="68"/>
      <c r="O23" s="68"/>
      <c r="P23" s="68"/>
      <c r="Q23" s="68"/>
      <c r="R23" s="68"/>
      <c r="S23" s="68"/>
      <c r="T23" s="68"/>
      <c r="U23" s="68"/>
      <c r="V23" s="68"/>
      <c r="W23" s="68"/>
      <c r="X23" s="68"/>
      <c r="Y23" s="68"/>
      <c r="Z23" s="68"/>
      <c r="AA23" s="68"/>
      <c r="AB23" s="68"/>
      <c r="AC23" s="68"/>
      <c r="AD23" s="68"/>
      <c r="AE23" s="68"/>
      <c r="AF23" s="68"/>
      <c r="AG23" s="68"/>
      <c r="AH23" s="68"/>
      <c r="AK23" s="80"/>
    </row>
    <row r="24" spans="1:37">
      <c r="C24" s="68"/>
      <c r="D24" s="68"/>
      <c r="E24" s="68"/>
      <c r="F24" s="68"/>
      <c r="G24" s="68"/>
      <c r="H24" s="68"/>
      <c r="I24" s="68"/>
      <c r="J24" s="68"/>
      <c r="K24" s="68"/>
      <c r="L24" s="68"/>
      <c r="M24" s="68"/>
      <c r="N24" s="68"/>
      <c r="O24" s="68"/>
      <c r="P24" s="68"/>
      <c r="Q24" s="68"/>
      <c r="R24" s="68"/>
      <c r="S24" s="68"/>
      <c r="T24" s="68"/>
      <c r="U24" s="68"/>
      <c r="V24" s="68"/>
      <c r="W24" s="68"/>
      <c r="X24" s="68"/>
      <c r="Y24" s="68"/>
      <c r="Z24" s="68"/>
      <c r="AA24" s="68"/>
      <c r="AB24" s="68"/>
      <c r="AC24" s="68"/>
      <c r="AD24" s="68"/>
      <c r="AE24" s="68"/>
      <c r="AF24" s="68"/>
      <c r="AG24" s="68"/>
      <c r="AH24" s="68"/>
      <c r="AK24" s="80"/>
    </row>
    <row r="25" spans="1:37">
      <c r="C25" s="68"/>
      <c r="D25" s="68"/>
      <c r="E25" s="68"/>
      <c r="F25" s="68"/>
      <c r="G25" s="68"/>
      <c r="H25" s="68"/>
      <c r="I25" s="68"/>
      <c r="J25" s="68"/>
      <c r="K25" s="68"/>
      <c r="L25" s="68"/>
      <c r="M25" s="68"/>
      <c r="N25" s="68"/>
      <c r="O25" s="68"/>
      <c r="P25" s="68"/>
      <c r="Q25" s="68"/>
      <c r="R25" s="68"/>
      <c r="S25" s="68"/>
      <c r="T25" s="68"/>
      <c r="U25" s="68"/>
      <c r="V25" s="68"/>
      <c r="W25" s="68"/>
      <c r="X25" s="68"/>
      <c r="Y25" s="68"/>
      <c r="Z25" s="68"/>
      <c r="AA25" s="68"/>
      <c r="AB25" s="68"/>
      <c r="AC25" s="68"/>
      <c r="AD25" s="68"/>
      <c r="AE25" s="68"/>
      <c r="AF25" s="68"/>
      <c r="AG25" s="68"/>
      <c r="AH25" s="68"/>
      <c r="AK25" s="80"/>
    </row>
    <row r="26" spans="1:37">
      <c r="C26" s="68"/>
      <c r="D26" s="68"/>
      <c r="E26" s="68"/>
      <c r="F26" s="68"/>
      <c r="G26" s="68"/>
      <c r="H26" s="68"/>
      <c r="I26" s="68"/>
      <c r="J26" s="68"/>
      <c r="K26" s="68"/>
      <c r="L26" s="68"/>
      <c r="M26" s="68"/>
      <c r="N26" s="68"/>
      <c r="O26" s="68"/>
      <c r="P26" s="68"/>
      <c r="Q26" s="68"/>
      <c r="R26" s="68"/>
      <c r="S26" s="68"/>
      <c r="T26" s="68"/>
      <c r="U26" s="68"/>
      <c r="V26" s="68"/>
      <c r="W26" s="68"/>
      <c r="X26" s="68"/>
      <c r="Y26" s="68"/>
      <c r="Z26" s="68"/>
      <c r="AA26" s="68"/>
      <c r="AB26" s="68"/>
      <c r="AC26" s="68"/>
      <c r="AD26" s="68"/>
      <c r="AE26" s="68"/>
      <c r="AF26" s="68"/>
      <c r="AG26" s="68"/>
      <c r="AH26" s="68"/>
      <c r="AK26" s="80"/>
    </row>
    <row r="27" spans="1:37">
      <c r="C27" s="68"/>
      <c r="D27" s="68"/>
      <c r="E27" s="68"/>
      <c r="F27" s="68"/>
      <c r="G27" s="68"/>
      <c r="H27" s="68"/>
      <c r="I27" s="68"/>
      <c r="J27" s="68"/>
      <c r="K27" s="68"/>
      <c r="L27" s="68"/>
      <c r="M27" s="68"/>
      <c r="N27" s="68"/>
      <c r="O27" s="68"/>
      <c r="P27" s="68"/>
      <c r="Q27" s="68"/>
      <c r="R27" s="68"/>
      <c r="S27" s="68"/>
      <c r="T27" s="73"/>
      <c r="U27" s="68"/>
      <c r="V27" s="68"/>
      <c r="W27" s="68"/>
      <c r="X27" s="68"/>
      <c r="Y27" s="68"/>
      <c r="Z27" s="68"/>
      <c r="AA27" s="68"/>
      <c r="AB27" s="68"/>
      <c r="AC27" s="68"/>
      <c r="AD27" s="68"/>
      <c r="AE27" s="68"/>
      <c r="AF27" s="68"/>
      <c r="AG27" s="68"/>
      <c r="AH27" s="68"/>
      <c r="AK27" s="80"/>
    </row>
    <row r="28" spans="1:37">
      <c r="C28" s="68"/>
      <c r="D28" s="68"/>
      <c r="E28" s="68"/>
      <c r="F28" s="68"/>
      <c r="G28" s="68"/>
      <c r="H28" s="68"/>
      <c r="I28" s="68"/>
      <c r="J28" s="68"/>
      <c r="K28" s="68"/>
      <c r="L28" s="68"/>
      <c r="M28" s="68"/>
      <c r="N28" s="68"/>
      <c r="O28" s="68"/>
      <c r="P28" s="68"/>
      <c r="Q28" s="68"/>
      <c r="R28" s="68"/>
      <c r="S28" s="68"/>
      <c r="T28" s="68"/>
      <c r="U28" s="68"/>
      <c r="V28" s="68"/>
      <c r="W28" s="68"/>
      <c r="X28" s="68"/>
      <c r="Y28" s="68"/>
      <c r="Z28" s="68"/>
      <c r="AA28" s="68"/>
      <c r="AB28" s="68"/>
      <c r="AC28" s="68"/>
      <c r="AD28" s="68"/>
      <c r="AE28" s="68"/>
      <c r="AF28" s="68"/>
      <c r="AG28" s="68"/>
      <c r="AH28" s="68"/>
      <c r="AK28" s="80"/>
    </row>
    <row r="29" spans="1:37">
      <c r="C29" s="68"/>
      <c r="D29" s="68"/>
      <c r="E29" s="68"/>
      <c r="F29" s="68"/>
      <c r="G29" s="68"/>
      <c r="H29" s="68"/>
      <c r="I29" s="68"/>
      <c r="J29" s="68"/>
      <c r="K29" s="68"/>
      <c r="L29" s="68"/>
      <c r="M29" s="68"/>
      <c r="N29" s="68"/>
      <c r="O29" s="68"/>
      <c r="P29" s="68"/>
      <c r="Q29" s="68"/>
      <c r="R29" s="68"/>
      <c r="S29" s="68"/>
      <c r="T29" s="68"/>
      <c r="U29" s="68"/>
      <c r="V29" s="68"/>
      <c r="W29" s="68"/>
      <c r="X29" s="68"/>
      <c r="Y29" s="68"/>
      <c r="Z29" s="68"/>
      <c r="AA29" s="68"/>
      <c r="AB29" s="68"/>
      <c r="AC29" s="68"/>
      <c r="AD29" s="68"/>
      <c r="AE29" s="68"/>
      <c r="AF29" s="68"/>
      <c r="AG29" s="68"/>
      <c r="AH29" s="68"/>
      <c r="AK29" s="80"/>
    </row>
    <row r="30" spans="1:37">
      <c r="AK30" s="80"/>
    </row>
    <row r="31" spans="1:37">
      <c r="A31" s="78" t="s">
        <v>392</v>
      </c>
      <c r="B31" s="77" t="s">
        <v>553</v>
      </c>
      <c r="C31" s="79" t="s">
        <v>393</v>
      </c>
      <c r="D31" s="79" t="s">
        <v>518</v>
      </c>
      <c r="E31" s="79" t="s">
        <v>519</v>
      </c>
      <c r="F31" s="79" t="s">
        <v>520</v>
      </c>
      <c r="G31" s="77" t="s">
        <v>521</v>
      </c>
      <c r="H31" s="77" t="s">
        <v>522</v>
      </c>
      <c r="I31" s="77" t="s">
        <v>523</v>
      </c>
      <c r="J31" s="77" t="s">
        <v>524</v>
      </c>
      <c r="K31" s="77" t="s">
        <v>525</v>
      </c>
      <c r="L31" s="77" t="s">
        <v>526</v>
      </c>
      <c r="M31" s="77" t="s">
        <v>527</v>
      </c>
      <c r="N31" s="77" t="s">
        <v>528</v>
      </c>
      <c r="O31" s="77" t="s">
        <v>529</v>
      </c>
      <c r="P31" s="77" t="s">
        <v>530</v>
      </c>
      <c r="Q31" s="77" t="s">
        <v>531</v>
      </c>
      <c r="R31" s="77" t="s">
        <v>532</v>
      </c>
      <c r="S31" s="77" t="s">
        <v>533</v>
      </c>
      <c r="T31" s="77" t="s">
        <v>534</v>
      </c>
      <c r="U31" s="77" t="s">
        <v>535</v>
      </c>
      <c r="V31" s="77" t="s">
        <v>536</v>
      </c>
      <c r="W31" s="77" t="s">
        <v>537</v>
      </c>
      <c r="X31" s="77" t="s">
        <v>538</v>
      </c>
      <c r="Y31" s="77" t="s">
        <v>539</v>
      </c>
      <c r="Z31" s="77" t="s">
        <v>540</v>
      </c>
      <c r="AA31" s="77" t="s">
        <v>541</v>
      </c>
      <c r="AB31" s="77" t="s">
        <v>542</v>
      </c>
      <c r="AC31" s="77" t="s">
        <v>543</v>
      </c>
      <c r="AD31" s="77" t="s">
        <v>544</v>
      </c>
      <c r="AE31" s="77" t="s">
        <v>545</v>
      </c>
      <c r="AF31" s="77" t="s">
        <v>546</v>
      </c>
      <c r="AG31" s="77" t="s">
        <v>547</v>
      </c>
      <c r="AH31" s="77" t="s">
        <v>548</v>
      </c>
      <c r="AK31" s="80"/>
    </row>
    <row r="32" spans="1:37">
      <c r="C32" s="74"/>
      <c r="D32" s="74"/>
      <c r="E32" s="74"/>
      <c r="F32" s="74"/>
      <c r="G32" s="68"/>
      <c r="H32" s="68"/>
      <c r="I32" s="68"/>
      <c r="J32" s="68"/>
      <c r="K32" s="68"/>
      <c r="L32" s="68"/>
      <c r="M32" s="68"/>
      <c r="N32" s="68"/>
      <c r="O32" s="68"/>
      <c r="P32" s="68"/>
      <c r="Q32" s="68"/>
      <c r="R32" s="68"/>
      <c r="S32" s="68"/>
      <c r="T32" s="68"/>
      <c r="U32" s="68"/>
      <c r="V32" s="68"/>
      <c r="W32" s="68"/>
      <c r="X32" s="68"/>
      <c r="Y32" s="68"/>
      <c r="Z32" s="68"/>
      <c r="AA32" s="68"/>
      <c r="AB32" s="68"/>
      <c r="AC32" s="68"/>
      <c r="AD32" s="68"/>
      <c r="AE32" s="68"/>
      <c r="AF32" s="68"/>
      <c r="AG32" s="68"/>
      <c r="AH32" s="68"/>
      <c r="AK32" s="80"/>
    </row>
    <row r="33" spans="1:52">
      <c r="C33" s="74"/>
      <c r="D33" s="74"/>
      <c r="E33" s="74"/>
      <c r="F33" s="74"/>
      <c r="G33" s="68"/>
      <c r="H33" s="68"/>
      <c r="I33" s="68"/>
      <c r="J33" s="68"/>
      <c r="K33" s="68"/>
      <c r="L33" s="68"/>
      <c r="M33" s="68"/>
      <c r="N33" s="68"/>
      <c r="O33" s="68"/>
      <c r="P33" s="68"/>
      <c r="Q33" s="68"/>
      <c r="R33" s="68"/>
      <c r="S33" s="68"/>
      <c r="T33" s="68"/>
      <c r="U33" s="68"/>
      <c r="V33" s="68"/>
      <c r="W33" s="68"/>
      <c r="X33" s="68"/>
      <c r="Y33" s="68"/>
      <c r="Z33" s="68"/>
      <c r="AA33" s="68"/>
      <c r="AB33" s="68"/>
      <c r="AC33" s="68"/>
      <c r="AD33" s="68"/>
      <c r="AE33" s="68"/>
      <c r="AF33" s="68"/>
      <c r="AG33" s="68"/>
      <c r="AH33" s="68"/>
      <c r="AK33" s="80"/>
    </row>
    <row r="34" spans="1:52">
      <c r="C34" s="74"/>
      <c r="D34" s="74"/>
      <c r="E34" s="74"/>
      <c r="F34" s="74"/>
      <c r="G34" s="68"/>
      <c r="H34" s="68"/>
      <c r="I34" s="68"/>
      <c r="J34" s="68"/>
      <c r="K34" s="68"/>
      <c r="L34" s="68"/>
      <c r="M34" s="68"/>
      <c r="N34" s="68"/>
      <c r="O34" s="68"/>
      <c r="P34" s="68"/>
      <c r="Q34" s="68"/>
      <c r="R34" s="68"/>
      <c r="S34" s="68"/>
      <c r="T34" s="68"/>
      <c r="U34" s="68"/>
      <c r="V34" s="68"/>
      <c r="W34" s="68"/>
      <c r="X34" s="68"/>
      <c r="Y34" s="68"/>
      <c r="Z34" s="68"/>
      <c r="AA34" s="68"/>
      <c r="AB34" s="68"/>
      <c r="AC34" s="68"/>
      <c r="AD34" s="68"/>
      <c r="AE34" s="68"/>
      <c r="AF34" s="68"/>
      <c r="AG34" s="68"/>
      <c r="AH34" s="68"/>
      <c r="AK34" s="80"/>
    </row>
    <row r="35" spans="1:52">
      <c r="C35" s="74"/>
      <c r="D35" s="74"/>
      <c r="E35" s="74"/>
      <c r="F35" s="74"/>
      <c r="G35" s="68"/>
      <c r="H35" s="68"/>
      <c r="I35" s="68"/>
      <c r="J35" s="68"/>
      <c r="K35" s="68"/>
      <c r="L35" s="68"/>
      <c r="M35" s="68"/>
      <c r="N35" s="68"/>
      <c r="O35" s="68"/>
      <c r="P35" s="68"/>
      <c r="Q35" s="68"/>
      <c r="R35" s="68"/>
      <c r="S35" s="68"/>
      <c r="T35" s="68"/>
      <c r="U35" s="68"/>
      <c r="V35" s="68"/>
      <c r="W35" s="68"/>
      <c r="X35" s="68"/>
      <c r="Y35" s="68"/>
      <c r="Z35" s="68"/>
      <c r="AA35" s="68"/>
      <c r="AB35" s="68"/>
      <c r="AC35" s="68"/>
      <c r="AD35" s="68"/>
      <c r="AE35" s="68"/>
      <c r="AF35" s="68"/>
      <c r="AG35" s="68"/>
      <c r="AH35" s="68"/>
      <c r="AK35" s="80"/>
    </row>
    <row r="36" spans="1:52">
      <c r="C36" s="74"/>
      <c r="D36" s="74"/>
      <c r="E36" s="74"/>
      <c r="F36" s="74"/>
      <c r="G36" s="68"/>
      <c r="H36" s="68"/>
      <c r="I36" s="68"/>
      <c r="J36" s="68"/>
      <c r="K36" s="68"/>
      <c r="L36" s="68"/>
      <c r="M36" s="68"/>
      <c r="N36" s="68"/>
      <c r="O36" s="68"/>
      <c r="P36" s="68"/>
      <c r="Q36" s="68"/>
      <c r="R36" s="68"/>
      <c r="S36" s="68"/>
      <c r="T36" s="68"/>
      <c r="U36" s="68"/>
      <c r="V36" s="68"/>
      <c r="W36" s="68"/>
      <c r="X36" s="68"/>
      <c r="Y36" s="68"/>
      <c r="Z36" s="68"/>
      <c r="AA36" s="68"/>
      <c r="AB36" s="68"/>
      <c r="AC36" s="68"/>
      <c r="AD36" s="68"/>
      <c r="AE36" s="68"/>
      <c r="AF36" s="68"/>
      <c r="AG36" s="68"/>
      <c r="AH36" s="68"/>
      <c r="AK36" s="80"/>
      <c r="AW36" s="82"/>
      <c r="AX36" s="82"/>
      <c r="AY36" s="82"/>
      <c r="AZ36" s="82"/>
    </row>
    <row r="37" spans="1:52">
      <c r="C37" s="74"/>
      <c r="D37" s="74"/>
      <c r="E37" s="74"/>
      <c r="F37" s="74"/>
      <c r="G37" s="68"/>
      <c r="H37" s="68"/>
      <c r="I37" s="68"/>
      <c r="J37" s="68"/>
      <c r="K37" s="68"/>
      <c r="L37" s="68"/>
      <c r="M37" s="68"/>
      <c r="N37" s="68"/>
      <c r="O37" s="68"/>
      <c r="P37" s="68"/>
      <c r="Q37" s="68"/>
      <c r="R37" s="68"/>
      <c r="S37" s="68"/>
      <c r="T37" s="68"/>
      <c r="U37" s="68"/>
      <c r="V37" s="68"/>
      <c r="W37" s="68"/>
      <c r="X37" s="68"/>
      <c r="Y37" s="68"/>
      <c r="Z37" s="68"/>
      <c r="AA37" s="68"/>
      <c r="AB37" s="68"/>
      <c r="AC37" s="68"/>
      <c r="AD37" s="68"/>
      <c r="AE37" s="68"/>
      <c r="AF37" s="68"/>
      <c r="AG37" s="68"/>
      <c r="AH37" s="68"/>
      <c r="AK37" s="80"/>
      <c r="AY37" s="81"/>
    </row>
    <row r="38" spans="1:52">
      <c r="C38" s="74"/>
      <c r="D38" s="74"/>
      <c r="E38" s="74"/>
      <c r="F38" s="74"/>
      <c r="G38" s="68"/>
      <c r="H38" s="68"/>
      <c r="I38" s="68"/>
      <c r="J38" s="68"/>
      <c r="K38" s="68"/>
      <c r="L38" s="68"/>
      <c r="M38" s="68"/>
      <c r="N38" s="68"/>
      <c r="O38" s="68"/>
      <c r="P38" s="68"/>
      <c r="Q38" s="68"/>
      <c r="R38" s="68"/>
      <c r="S38" s="68"/>
      <c r="T38" s="68"/>
      <c r="U38" s="68"/>
      <c r="V38" s="68"/>
      <c r="W38" s="68"/>
      <c r="X38" s="68"/>
      <c r="Y38" s="68"/>
      <c r="Z38" s="68"/>
      <c r="AA38" s="68"/>
      <c r="AB38" s="68"/>
      <c r="AC38" s="68"/>
      <c r="AD38" s="68"/>
      <c r="AE38" s="68"/>
      <c r="AF38" s="68"/>
      <c r="AG38" s="68"/>
      <c r="AH38" s="68"/>
      <c r="AK38" s="80"/>
    </row>
    <row r="39" spans="1:52">
      <c r="C39" s="74"/>
      <c r="D39" s="74"/>
      <c r="E39" s="74"/>
      <c r="F39" s="74"/>
      <c r="G39" s="68"/>
      <c r="H39" s="68"/>
      <c r="I39" s="68"/>
      <c r="J39" s="68"/>
      <c r="K39" s="68"/>
      <c r="L39" s="68"/>
      <c r="M39" s="68"/>
      <c r="N39" s="68"/>
      <c r="O39" s="68"/>
      <c r="P39" s="68"/>
      <c r="Q39" s="68"/>
      <c r="R39" s="68"/>
      <c r="S39" s="68"/>
      <c r="T39" s="68"/>
      <c r="U39" s="68"/>
      <c r="V39" s="68"/>
      <c r="W39" s="68"/>
      <c r="X39" s="68"/>
      <c r="Y39" s="68"/>
      <c r="Z39" s="68"/>
      <c r="AA39" s="68"/>
      <c r="AB39" s="68"/>
      <c r="AC39" s="68"/>
      <c r="AD39" s="68"/>
      <c r="AE39" s="68"/>
      <c r="AF39" s="68"/>
      <c r="AG39" s="68"/>
      <c r="AH39" s="68"/>
      <c r="AK39" s="80"/>
    </row>
    <row r="40" spans="1:52">
      <c r="C40" s="74"/>
      <c r="D40" s="74"/>
      <c r="E40" s="74"/>
      <c r="F40" s="74"/>
      <c r="G40" s="68"/>
      <c r="H40" s="68"/>
      <c r="I40" s="68"/>
      <c r="J40" s="68"/>
      <c r="K40" s="68"/>
      <c r="L40" s="68"/>
      <c r="M40" s="68"/>
      <c r="N40" s="68"/>
      <c r="O40" s="68"/>
      <c r="P40" s="68"/>
      <c r="Q40" s="68"/>
      <c r="R40" s="68"/>
      <c r="S40" s="68"/>
      <c r="T40" s="68"/>
      <c r="U40" s="68"/>
      <c r="V40" s="68"/>
      <c r="W40" s="68"/>
      <c r="X40" s="68"/>
      <c r="Y40" s="68"/>
      <c r="Z40" s="68"/>
      <c r="AA40" s="68"/>
      <c r="AB40" s="68"/>
      <c r="AC40" s="68"/>
      <c r="AD40" s="68"/>
      <c r="AE40" s="68"/>
      <c r="AF40" s="68"/>
      <c r="AG40" s="68"/>
      <c r="AH40" s="68"/>
      <c r="AK40" s="80"/>
    </row>
    <row r="41" spans="1:52">
      <c r="AK41" s="80"/>
    </row>
    <row r="42" spans="1:52" ht="19">
      <c r="A42" s="78" t="s">
        <v>492</v>
      </c>
      <c r="B42" s="77" t="s">
        <v>517</v>
      </c>
      <c r="C42" s="77" t="s">
        <v>549</v>
      </c>
      <c r="D42" s="77" t="s">
        <v>550</v>
      </c>
      <c r="E42" s="77" t="s">
        <v>551</v>
      </c>
      <c r="F42" s="77" t="s">
        <v>552</v>
      </c>
      <c r="G42" s="77" t="s">
        <v>521</v>
      </c>
      <c r="H42" s="77" t="s">
        <v>522</v>
      </c>
      <c r="I42" s="77" t="s">
        <v>523</v>
      </c>
      <c r="J42" s="77" t="s">
        <v>524</v>
      </c>
      <c r="K42" s="77" t="s">
        <v>525</v>
      </c>
      <c r="L42" s="77" t="s">
        <v>526</v>
      </c>
      <c r="M42" s="77" t="s">
        <v>527</v>
      </c>
      <c r="N42" s="77" t="s">
        <v>528</v>
      </c>
      <c r="O42" s="77" t="s">
        <v>529</v>
      </c>
      <c r="P42" s="77" t="s">
        <v>530</v>
      </c>
      <c r="Q42" s="77" t="s">
        <v>531</v>
      </c>
      <c r="R42" s="77" t="s">
        <v>532</v>
      </c>
      <c r="S42" s="77" t="s">
        <v>533</v>
      </c>
      <c r="T42" s="77" t="s">
        <v>534</v>
      </c>
      <c r="U42" s="77" t="s">
        <v>535</v>
      </c>
      <c r="V42" s="77" t="s">
        <v>536</v>
      </c>
      <c r="W42" s="77" t="s">
        <v>537</v>
      </c>
      <c r="X42" s="77" t="s">
        <v>538</v>
      </c>
      <c r="Y42" s="77" t="s">
        <v>539</v>
      </c>
      <c r="Z42" s="77" t="s">
        <v>540</v>
      </c>
      <c r="AA42" s="77" t="s">
        <v>541</v>
      </c>
      <c r="AB42" s="77" t="s">
        <v>542</v>
      </c>
      <c r="AC42" s="77" t="s">
        <v>543</v>
      </c>
      <c r="AD42" s="77" t="s">
        <v>544</v>
      </c>
      <c r="AE42" s="77" t="s">
        <v>545</v>
      </c>
      <c r="AF42" s="77" t="s">
        <v>546</v>
      </c>
      <c r="AG42" s="77" t="s">
        <v>583</v>
      </c>
      <c r="AH42" s="77" t="s">
        <v>548</v>
      </c>
      <c r="AK42" s="80"/>
      <c r="AL42" s="6"/>
      <c r="AM42" s="6"/>
      <c r="AN42" s="6"/>
      <c r="AO42" s="6"/>
      <c r="AP42" s="6"/>
    </row>
    <row r="43" spans="1:52">
      <c r="B43" t="s">
        <v>397</v>
      </c>
      <c r="I43" s="58"/>
      <c r="T43" s="70"/>
      <c r="U43" s="69"/>
      <c r="V43" s="69"/>
      <c r="W43" s="69"/>
      <c r="X43" s="69"/>
      <c r="Y43" s="69"/>
      <c r="Z43" s="69"/>
      <c r="AA43" s="69"/>
      <c r="AB43" s="69"/>
      <c r="AC43" s="69"/>
      <c r="AD43" s="69"/>
      <c r="AE43" s="69"/>
      <c r="AF43" s="69"/>
      <c r="AG43" s="69"/>
      <c r="AH43" s="69"/>
      <c r="AK43" s="80"/>
    </row>
    <row r="44" spans="1:52">
      <c r="B44" t="s">
        <v>398</v>
      </c>
      <c r="C44" s="58"/>
      <c r="D44" s="58"/>
      <c r="E44" s="58"/>
      <c r="F44" s="58"/>
      <c r="G44" s="58"/>
      <c r="H44" s="58"/>
      <c r="I44" s="58"/>
      <c r="J44" s="58"/>
      <c r="K44" s="58"/>
      <c r="L44" s="58"/>
      <c r="M44" s="58"/>
      <c r="N44" s="58"/>
      <c r="O44" s="58"/>
      <c r="P44" s="58"/>
      <c r="Q44" s="58"/>
      <c r="R44" s="58"/>
      <c r="S44" s="58"/>
      <c r="T44" s="69"/>
      <c r="U44" s="69"/>
      <c r="V44" s="69"/>
      <c r="W44" s="69"/>
      <c r="X44" s="69"/>
      <c r="Y44" s="69"/>
      <c r="Z44" s="69"/>
      <c r="AA44" s="69"/>
      <c r="AB44" s="69"/>
      <c r="AC44" s="69"/>
      <c r="AD44" s="69"/>
      <c r="AE44" s="69"/>
      <c r="AF44" s="69"/>
      <c r="AG44" s="69"/>
      <c r="AH44" s="69"/>
      <c r="AK44" s="80"/>
    </row>
    <row r="45" spans="1:52">
      <c r="B45" t="s">
        <v>399</v>
      </c>
      <c r="N45">
        <v>3510</v>
      </c>
      <c r="O45">
        <v>10200</v>
      </c>
      <c r="P45">
        <v>6160</v>
      </c>
      <c r="Q45" s="69">
        <v>51000</v>
      </c>
      <c r="R45" s="69"/>
      <c r="T45" s="69"/>
      <c r="U45" s="69" t="s">
        <v>610</v>
      </c>
      <c r="V45" s="69"/>
      <c r="W45" s="69"/>
      <c r="X45" s="69"/>
      <c r="Y45" s="69"/>
      <c r="Z45" s="69"/>
      <c r="AA45" s="69"/>
      <c r="AB45" s="69"/>
      <c r="AC45" s="69"/>
      <c r="AD45" s="69"/>
      <c r="AE45" s="69"/>
      <c r="AF45" s="69"/>
      <c r="AG45" s="69"/>
      <c r="AH45" s="69"/>
      <c r="AK45" s="80"/>
      <c r="AL45" s="8"/>
    </row>
    <row r="46" spans="1:52">
      <c r="B46" t="s">
        <v>400</v>
      </c>
      <c r="C46" s="58"/>
      <c r="D46" s="58"/>
      <c r="E46" s="58"/>
      <c r="F46" s="58"/>
      <c r="G46" s="58"/>
      <c r="H46" s="58"/>
      <c r="I46" s="58"/>
      <c r="J46" s="58"/>
      <c r="K46" s="58"/>
      <c r="L46" s="58"/>
      <c r="M46" s="58"/>
      <c r="N46" s="58"/>
      <c r="O46" s="58"/>
      <c r="P46" s="58"/>
      <c r="Q46" s="58"/>
      <c r="R46" s="58"/>
      <c r="S46" s="58"/>
      <c r="T46" s="69"/>
      <c r="U46" s="69"/>
      <c r="V46" s="69"/>
      <c r="W46" s="69"/>
      <c r="X46" s="69"/>
      <c r="Y46" s="69"/>
      <c r="Z46" s="69"/>
      <c r="AA46" s="69"/>
      <c r="AB46" s="69"/>
      <c r="AC46" s="69"/>
      <c r="AD46" s="69"/>
      <c r="AE46" s="69"/>
      <c r="AF46" s="69"/>
      <c r="AG46" s="69"/>
      <c r="AH46" s="69"/>
      <c r="AK46" s="80"/>
      <c r="AL46" s="8"/>
    </row>
    <row r="47" spans="1:52">
      <c r="B47" t="s">
        <v>401</v>
      </c>
      <c r="C47" s="59"/>
      <c r="D47" s="59"/>
      <c r="E47" s="59"/>
      <c r="F47" s="59"/>
      <c r="G47" s="59"/>
      <c r="H47" s="59"/>
      <c r="I47" s="59"/>
      <c r="J47" s="59"/>
      <c r="K47" s="59"/>
      <c r="L47" s="59"/>
      <c r="M47" s="59"/>
      <c r="N47" s="59">
        <v>7</v>
      </c>
      <c r="O47" s="59">
        <v>10</v>
      </c>
      <c r="P47" s="59">
        <v>110</v>
      </c>
      <c r="Q47" s="59">
        <v>22.5</v>
      </c>
      <c r="S47" s="59"/>
      <c r="T47" s="69"/>
      <c r="U47" s="59"/>
      <c r="V47" s="59"/>
      <c r="W47" s="59"/>
      <c r="X47" s="59"/>
      <c r="Y47" s="59"/>
      <c r="Z47" s="59"/>
      <c r="AA47" s="59"/>
      <c r="AB47" s="59"/>
      <c r="AC47" s="59"/>
      <c r="AD47" s="59"/>
      <c r="AE47" s="59"/>
      <c r="AF47" s="59"/>
      <c r="AG47" s="59"/>
      <c r="AH47" s="59"/>
      <c r="AK47" s="80"/>
      <c r="AL47" s="8"/>
    </row>
    <row r="48" spans="1:52">
      <c r="B48" t="s">
        <v>402</v>
      </c>
      <c r="C48" s="58"/>
      <c r="I48" s="58"/>
      <c r="L48" s="58"/>
      <c r="M48" s="64"/>
      <c r="N48" s="64"/>
      <c r="O48" s="64"/>
      <c r="P48" s="58"/>
      <c r="Q48" s="64"/>
      <c r="R48" s="64"/>
      <c r="S48" s="64"/>
      <c r="T48" s="69"/>
      <c r="U48" s="69"/>
      <c r="V48" s="69"/>
      <c r="W48" s="69"/>
      <c r="X48" s="69"/>
      <c r="Y48" s="69"/>
      <c r="Z48" s="69"/>
      <c r="AA48" s="69"/>
      <c r="AB48" s="69"/>
      <c r="AC48" s="69"/>
      <c r="AD48" s="69"/>
      <c r="AE48" s="69"/>
      <c r="AF48" s="69"/>
      <c r="AG48" s="69"/>
      <c r="AH48" s="69"/>
      <c r="AI48" s="8"/>
      <c r="AK48" s="80"/>
    </row>
    <row r="49" spans="1:60">
      <c r="C49" s="58"/>
      <c r="I49" s="58"/>
      <c r="L49" s="58"/>
      <c r="M49" s="64"/>
      <c r="N49" s="64"/>
      <c r="O49" s="64"/>
      <c r="P49" s="58"/>
      <c r="Q49" s="64"/>
      <c r="R49" s="64"/>
      <c r="S49" s="64"/>
      <c r="T49" s="69"/>
      <c r="U49" s="69"/>
      <c r="V49" s="69"/>
      <c r="W49" s="69"/>
      <c r="X49" s="69"/>
      <c r="Y49" s="69"/>
      <c r="Z49" s="69"/>
      <c r="AA49" s="69"/>
      <c r="AB49" s="69"/>
      <c r="AC49" s="69"/>
      <c r="AD49" s="69"/>
      <c r="AE49" s="69"/>
      <c r="AF49" s="69"/>
      <c r="AG49" s="69"/>
      <c r="AH49" s="69"/>
      <c r="AI49" s="8"/>
    </row>
    <row r="51" spans="1:60">
      <c r="A51" s="78" t="s">
        <v>477</v>
      </c>
      <c r="B51" s="77" t="s">
        <v>517</v>
      </c>
      <c r="C51" s="79" t="s">
        <v>552</v>
      </c>
      <c r="D51" s="79" t="s">
        <v>518</v>
      </c>
      <c r="E51" s="79" t="s">
        <v>521</v>
      </c>
      <c r="F51" s="79" t="s">
        <v>519</v>
      </c>
      <c r="G51" s="79" t="s">
        <v>522</v>
      </c>
      <c r="H51" s="79" t="s">
        <v>520</v>
      </c>
      <c r="I51" s="79" t="s">
        <v>523</v>
      </c>
      <c r="J51" s="79" t="s">
        <v>554</v>
      </c>
      <c r="K51" s="79" t="s">
        <v>524</v>
      </c>
      <c r="L51" s="79" t="s">
        <v>555</v>
      </c>
      <c r="M51" s="79" t="s">
        <v>525</v>
      </c>
      <c r="N51" s="79" t="s">
        <v>556</v>
      </c>
      <c r="O51" s="79" t="s">
        <v>526</v>
      </c>
      <c r="P51" s="79" t="s">
        <v>557</v>
      </c>
      <c r="Q51" s="79" t="s">
        <v>527</v>
      </c>
      <c r="R51" s="79" t="s">
        <v>558</v>
      </c>
      <c r="S51" s="79" t="s">
        <v>528</v>
      </c>
      <c r="T51" s="79" t="s">
        <v>559</v>
      </c>
      <c r="U51" s="79" t="s">
        <v>529</v>
      </c>
      <c r="V51" s="79" t="s">
        <v>560</v>
      </c>
      <c r="W51" s="79" t="s">
        <v>530</v>
      </c>
      <c r="X51" s="79" t="s">
        <v>561</v>
      </c>
      <c r="Y51" s="79" t="s">
        <v>531</v>
      </c>
      <c r="Z51" s="79" t="s">
        <v>562</v>
      </c>
      <c r="AA51" s="79" t="s">
        <v>532</v>
      </c>
      <c r="AB51" s="79" t="s">
        <v>563</v>
      </c>
      <c r="AC51" s="79" t="s">
        <v>533</v>
      </c>
      <c r="AD51" s="79" t="s">
        <v>564</v>
      </c>
      <c r="AE51" s="79" t="s">
        <v>534</v>
      </c>
      <c r="AF51" s="79" t="s">
        <v>565</v>
      </c>
      <c r="AG51" s="79" t="s">
        <v>535</v>
      </c>
      <c r="AH51" s="79" t="s">
        <v>566</v>
      </c>
      <c r="AI51" s="79" t="s">
        <v>536</v>
      </c>
      <c r="AJ51" s="79" t="s">
        <v>567</v>
      </c>
      <c r="AK51" s="79" t="s">
        <v>537</v>
      </c>
      <c r="AL51" s="79" t="s">
        <v>568</v>
      </c>
      <c r="AM51" s="79" t="s">
        <v>538</v>
      </c>
      <c r="AN51" s="79" t="s">
        <v>569</v>
      </c>
      <c r="AO51" s="79" t="s">
        <v>539</v>
      </c>
      <c r="AP51" s="79" t="s">
        <v>570</v>
      </c>
      <c r="AQ51" s="79" t="s">
        <v>540</v>
      </c>
      <c r="AR51" s="79" t="s">
        <v>571</v>
      </c>
      <c r="AS51" s="79" t="s">
        <v>541</v>
      </c>
      <c r="AT51" s="79" t="s">
        <v>572</v>
      </c>
      <c r="AU51" s="79" t="s">
        <v>542</v>
      </c>
      <c r="AV51" s="79" t="s">
        <v>573</v>
      </c>
      <c r="AW51" s="79" t="s">
        <v>543</v>
      </c>
      <c r="AX51" s="79" t="s">
        <v>574</v>
      </c>
      <c r="AY51" s="79" t="s">
        <v>544</v>
      </c>
      <c r="AZ51" s="79" t="s">
        <v>575</v>
      </c>
      <c r="BA51" s="79" t="s">
        <v>545</v>
      </c>
      <c r="BB51" s="79" t="s">
        <v>576</v>
      </c>
      <c r="BC51" s="79" t="s">
        <v>546</v>
      </c>
      <c r="BD51" s="79" t="s">
        <v>577</v>
      </c>
      <c r="BE51" s="79" t="s">
        <v>547</v>
      </c>
      <c r="BF51" s="79" t="s">
        <v>578</v>
      </c>
      <c r="BG51" s="79" t="s">
        <v>548</v>
      </c>
      <c r="BH51" s="79" t="s">
        <v>579</v>
      </c>
    </row>
    <row r="52" spans="1:60">
      <c r="A52" t="s">
        <v>501</v>
      </c>
      <c r="C52" s="67" t="s">
        <v>478</v>
      </c>
      <c r="D52" s="67" t="s">
        <v>479</v>
      </c>
      <c r="E52" s="67" t="s">
        <v>478</v>
      </c>
      <c r="F52" s="67" t="s">
        <v>479</v>
      </c>
      <c r="G52" s="67" t="s">
        <v>478</v>
      </c>
      <c r="H52" s="67" t="s">
        <v>479</v>
      </c>
      <c r="I52" s="67" t="s">
        <v>478</v>
      </c>
      <c r="J52" s="67" t="s">
        <v>479</v>
      </c>
      <c r="K52" s="67" t="s">
        <v>478</v>
      </c>
      <c r="L52" s="67" t="s">
        <v>479</v>
      </c>
      <c r="M52" s="67" t="s">
        <v>478</v>
      </c>
      <c r="N52" s="67" t="s">
        <v>479</v>
      </c>
      <c r="O52" s="67" t="s">
        <v>478</v>
      </c>
      <c r="P52" s="67" t="s">
        <v>479</v>
      </c>
      <c r="Q52" s="67" t="s">
        <v>478</v>
      </c>
      <c r="R52" s="67" t="s">
        <v>479</v>
      </c>
      <c r="S52" s="67" t="s">
        <v>478</v>
      </c>
      <c r="T52" s="67" t="s">
        <v>479</v>
      </c>
      <c r="U52" s="67" t="s">
        <v>478</v>
      </c>
      <c r="V52" s="67" t="s">
        <v>479</v>
      </c>
      <c r="W52" s="67" t="s">
        <v>478</v>
      </c>
      <c r="X52" s="67" t="s">
        <v>479</v>
      </c>
      <c r="Y52" s="67" t="s">
        <v>478</v>
      </c>
      <c r="Z52" s="67" t="s">
        <v>479</v>
      </c>
      <c r="AA52" s="71" t="s">
        <v>478</v>
      </c>
      <c r="AB52" s="67" t="s">
        <v>479</v>
      </c>
      <c r="AC52" s="67" t="s">
        <v>478</v>
      </c>
      <c r="AD52" s="67" t="s">
        <v>479</v>
      </c>
      <c r="AE52" s="67" t="s">
        <v>478</v>
      </c>
      <c r="AF52" s="67" t="s">
        <v>479</v>
      </c>
      <c r="AG52" s="67" t="s">
        <v>478</v>
      </c>
      <c r="AH52" s="67" t="s">
        <v>479</v>
      </c>
      <c r="AI52" s="67" t="s">
        <v>478</v>
      </c>
      <c r="AJ52" s="67" t="s">
        <v>479</v>
      </c>
      <c r="AK52" s="67" t="s">
        <v>478</v>
      </c>
      <c r="AL52" s="67" t="s">
        <v>479</v>
      </c>
      <c r="AM52" s="67" t="s">
        <v>478</v>
      </c>
      <c r="AN52" s="67" t="s">
        <v>479</v>
      </c>
      <c r="AO52" s="67" t="s">
        <v>478</v>
      </c>
      <c r="AP52" s="67" t="s">
        <v>479</v>
      </c>
      <c r="AQ52" s="67" t="s">
        <v>478</v>
      </c>
      <c r="AR52" s="67" t="s">
        <v>479</v>
      </c>
      <c r="AS52" s="67" t="s">
        <v>478</v>
      </c>
      <c r="AT52" s="67" t="s">
        <v>479</v>
      </c>
      <c r="AU52" s="67" t="s">
        <v>478</v>
      </c>
      <c r="AV52" s="67" t="s">
        <v>479</v>
      </c>
      <c r="AW52" s="67" t="s">
        <v>478</v>
      </c>
      <c r="AX52" s="67" t="s">
        <v>479</v>
      </c>
      <c r="AY52" s="67" t="s">
        <v>478</v>
      </c>
      <c r="AZ52" s="67" t="s">
        <v>479</v>
      </c>
      <c r="BA52" s="67" t="s">
        <v>478</v>
      </c>
      <c r="BB52" s="67" t="s">
        <v>479</v>
      </c>
      <c r="BC52" s="67" t="s">
        <v>478</v>
      </c>
      <c r="BD52" s="67" t="s">
        <v>479</v>
      </c>
      <c r="BE52" s="67" t="s">
        <v>478</v>
      </c>
      <c r="BF52" s="67" t="s">
        <v>479</v>
      </c>
      <c r="BG52" s="67" t="s">
        <v>478</v>
      </c>
      <c r="BH52" s="67" t="s">
        <v>479</v>
      </c>
    </row>
    <row r="53" spans="1:60">
      <c r="A53" t="s">
        <v>580</v>
      </c>
      <c r="B53" t="s">
        <v>516</v>
      </c>
      <c r="C53" s="69"/>
      <c r="D53" s="68" t="e">
        <f>C53/SUM(C$50:C$66)</f>
        <v>#DIV/0!</v>
      </c>
      <c r="E53" s="69"/>
      <c r="F53" s="68" t="e">
        <f>E53/SUM(E$50:E$66)</f>
        <v>#DIV/0!</v>
      </c>
      <c r="G53" s="69"/>
      <c r="H53" s="68" t="e">
        <f>G53/SUM(G$50:G$66)</f>
        <v>#DIV/0!</v>
      </c>
      <c r="I53" s="69"/>
      <c r="J53" s="68" t="e">
        <f>I53/SUM(I$50:I$66)</f>
        <v>#DIV/0!</v>
      </c>
      <c r="K53" s="69"/>
      <c r="L53" s="68" t="e">
        <f>K53/SUM(K$50:K$66)</f>
        <v>#DIV/0!</v>
      </c>
      <c r="M53" s="69"/>
      <c r="N53" s="68" t="e">
        <f>M53/SUM(M$50:M$66)</f>
        <v>#DIV/0!</v>
      </c>
      <c r="O53" s="69"/>
      <c r="P53" s="68" t="e">
        <f>O53/SUM(O$50:O$66)</f>
        <v>#DIV/0!</v>
      </c>
      <c r="Q53" s="69"/>
      <c r="R53" s="68" t="e">
        <f>Q53/SUM(Q$50:Q$66)</f>
        <v>#DIV/0!</v>
      </c>
      <c r="S53" s="69"/>
      <c r="T53" s="68" t="e">
        <f>S53/SUM(S$50:S$66)</f>
        <v>#DIV/0!</v>
      </c>
      <c r="U53" s="69"/>
      <c r="V53" s="68" t="e">
        <f>U53/SUM(U$50:U$66)</f>
        <v>#DIV/0!</v>
      </c>
      <c r="W53" s="69"/>
      <c r="X53" s="68" t="e">
        <f>W53/SUM(W$50:W$66)</f>
        <v>#DIV/0!</v>
      </c>
      <c r="Y53" s="69"/>
      <c r="Z53" s="68" t="e">
        <f>Y53/SUM(Y$50:Y$66)</f>
        <v>#DIV/0!</v>
      </c>
      <c r="AA53" s="69"/>
      <c r="AB53" s="68" t="e">
        <f>AA53/SUM(AA$50:AA$66)</f>
        <v>#DIV/0!</v>
      </c>
      <c r="AC53" s="58"/>
      <c r="AD53" s="68" t="e">
        <f>AC53/SUM(AC$50:AC$66)</f>
        <v>#DIV/0!</v>
      </c>
      <c r="AF53" s="68" t="e">
        <f>AE53/SUM(AE$50:AE$66)</f>
        <v>#DIV/0!</v>
      </c>
      <c r="AH53" s="68" t="e">
        <f>AG53/SUM(AG$50:AG$66)</f>
        <v>#DIV/0!</v>
      </c>
      <c r="AJ53" s="68" t="e">
        <f>AI53/SUM(AI$50:AI$66)</f>
        <v>#DIV/0!</v>
      </c>
      <c r="AL53" s="68" t="e">
        <f>AK53/SUM(AK$50:AK$66)</f>
        <v>#DIV/0!</v>
      </c>
      <c r="AN53" s="68" t="e">
        <f>AM53/SUM(AM$50:AM$66)</f>
        <v>#DIV/0!</v>
      </c>
      <c r="AP53" s="68" t="e">
        <f>AO53/SUM(AO$50:AO$66)</f>
        <v>#DIV/0!</v>
      </c>
      <c r="AR53" s="68" t="e">
        <f>AQ53/SUM(AQ$50:AQ$66)</f>
        <v>#DIV/0!</v>
      </c>
      <c r="AT53" s="68" t="e">
        <f>AS53/SUM(AS$50:AS$66)</f>
        <v>#DIV/0!</v>
      </c>
      <c r="AV53" s="68" t="e">
        <f>AU53/SUM(AU$50:AU$66)</f>
        <v>#DIV/0!</v>
      </c>
      <c r="AX53" s="68" t="e">
        <f>AW53/SUM(AW$50:AW$66)</f>
        <v>#DIV/0!</v>
      </c>
      <c r="AZ53" s="68" t="e">
        <f>AY53/SUM(AY$50:AY$66)</f>
        <v>#DIV/0!</v>
      </c>
      <c r="BB53" s="68" t="e">
        <f>BA53/SUM(BA$50:BA$66)</f>
        <v>#DIV/0!</v>
      </c>
    </row>
    <row r="54" spans="1:60">
      <c r="B54" t="s">
        <v>467</v>
      </c>
      <c r="C54" s="69"/>
      <c r="D54" s="68" t="e">
        <f>C54/SUM(C$50:C$66)</f>
        <v>#DIV/0!</v>
      </c>
      <c r="E54" s="69"/>
      <c r="F54" s="68" t="e">
        <f>E54/SUM(E$50:E$66)</f>
        <v>#DIV/0!</v>
      </c>
      <c r="G54" s="69"/>
      <c r="H54" s="68" t="e">
        <f>G54/SUM(G$50:G$66)</f>
        <v>#DIV/0!</v>
      </c>
      <c r="I54" s="69"/>
      <c r="J54" s="68" t="e">
        <f>I54/SUM(I$50:I$66)</f>
        <v>#DIV/0!</v>
      </c>
      <c r="K54" s="69"/>
      <c r="L54" s="68" t="e">
        <f>K54/SUM(K$50:K$66)</f>
        <v>#DIV/0!</v>
      </c>
      <c r="M54" s="69"/>
      <c r="N54" s="68" t="e">
        <f>M54/SUM(M$50:M$66)</f>
        <v>#DIV/0!</v>
      </c>
      <c r="O54" s="69"/>
      <c r="P54" s="68" t="e">
        <f>O54/SUM(O$50:O$66)</f>
        <v>#DIV/0!</v>
      </c>
      <c r="Q54" s="69"/>
      <c r="R54" s="68" t="e">
        <f>Q54/SUM(Q$50:Q$66)</f>
        <v>#DIV/0!</v>
      </c>
      <c r="S54" s="69"/>
      <c r="T54" s="68" t="e">
        <f>S54/SUM(S$50:S$66)</f>
        <v>#DIV/0!</v>
      </c>
      <c r="U54" s="69"/>
      <c r="V54" s="68" t="e">
        <f>U54/SUM(U$50:U$66)</f>
        <v>#DIV/0!</v>
      </c>
      <c r="W54" s="69"/>
      <c r="X54" s="68" t="e">
        <f>W54/SUM(W$50:W$66)</f>
        <v>#DIV/0!</v>
      </c>
      <c r="Y54" s="69"/>
      <c r="Z54" s="68" t="e">
        <f>Y54/SUM(Y$50:Y$66)</f>
        <v>#DIV/0!</v>
      </c>
      <c r="AA54" s="69"/>
      <c r="AB54" s="68" t="e">
        <f>AA54/SUM(AA$50:AA$66)</f>
        <v>#DIV/0!</v>
      </c>
      <c r="AC54" s="58"/>
      <c r="AD54" s="68" t="e">
        <f>AC54/SUM(AC$50:AC$66)</f>
        <v>#DIV/0!</v>
      </c>
      <c r="AF54" s="68" t="e">
        <f>AE54/SUM(AE$50:AE$66)</f>
        <v>#DIV/0!</v>
      </c>
      <c r="AH54" s="68" t="e">
        <f>AG54/SUM(AG$50:AG$66)</f>
        <v>#DIV/0!</v>
      </c>
      <c r="AJ54" s="68" t="e">
        <f>AI54/SUM(AI$50:AI$66)</f>
        <v>#DIV/0!</v>
      </c>
      <c r="AL54" s="68" t="e">
        <f>AK54/SUM(AK$50:AK$66)</f>
        <v>#DIV/0!</v>
      </c>
      <c r="AM54" s="58"/>
      <c r="AN54" s="68" t="e">
        <f>AM54/SUM(AM$50:AM$66)</f>
        <v>#DIV/0!</v>
      </c>
      <c r="AP54" s="68" t="e">
        <f>AO54/SUM(AO$50:AO$66)</f>
        <v>#DIV/0!</v>
      </c>
      <c r="AQ54" s="58"/>
      <c r="AR54" s="68" t="e">
        <f>AQ54/SUM(AQ$50:AQ$66)</f>
        <v>#DIV/0!</v>
      </c>
      <c r="AT54" s="68" t="e">
        <f>AS54/SUM(AS$50:AS$66)</f>
        <v>#DIV/0!</v>
      </c>
      <c r="AV54" s="68" t="e">
        <f>AU54/SUM(AU$50:AU$66)</f>
        <v>#DIV/0!</v>
      </c>
      <c r="AX54" s="68" t="e">
        <f>AW54/SUM(AW$50:AW$66)</f>
        <v>#DIV/0!</v>
      </c>
      <c r="AZ54" s="68" t="e">
        <f>AY54/SUM(AY$50:AY$66)</f>
        <v>#DIV/0!</v>
      </c>
      <c r="BB54" s="68" t="e">
        <f>BA54/SUM(BA$50:BA$66)</f>
        <v>#DIV/0!</v>
      </c>
    </row>
    <row r="55" spans="1:60">
      <c r="B55" t="s">
        <v>396</v>
      </c>
      <c r="C55" s="69"/>
      <c r="D55" s="68" t="e">
        <f>C55/SUM(C$50:C$66)</f>
        <v>#DIV/0!</v>
      </c>
      <c r="E55" s="69"/>
      <c r="F55" s="68" t="e">
        <f>E55/SUM(E$50:E$66)</f>
        <v>#DIV/0!</v>
      </c>
      <c r="G55" s="69"/>
      <c r="H55" s="68" t="e">
        <f>G55/SUM(G$50:G$66)</f>
        <v>#DIV/0!</v>
      </c>
      <c r="I55" s="69"/>
      <c r="J55" s="68" t="e">
        <f>I55/SUM(I$50:I$66)</f>
        <v>#DIV/0!</v>
      </c>
      <c r="K55" s="69"/>
      <c r="L55" s="68" t="e">
        <f>K55/SUM(K$50:K$66)</f>
        <v>#DIV/0!</v>
      </c>
      <c r="M55" s="69"/>
      <c r="N55" s="68" t="e">
        <f>M55/SUM(M$50:M$66)</f>
        <v>#DIV/0!</v>
      </c>
      <c r="O55" s="69"/>
      <c r="P55" s="68" t="e">
        <f>O55/SUM(O$50:O$66)</f>
        <v>#DIV/0!</v>
      </c>
      <c r="Q55" s="69"/>
      <c r="R55" s="68" t="e">
        <f>Q55/SUM(Q$50:Q$66)</f>
        <v>#DIV/0!</v>
      </c>
      <c r="S55" s="69"/>
      <c r="T55" s="68" t="e">
        <f>S55/SUM(S$50:S$66)</f>
        <v>#DIV/0!</v>
      </c>
      <c r="U55" s="69"/>
      <c r="V55" s="68" t="e">
        <f>U55/SUM(U$50:U$66)</f>
        <v>#DIV/0!</v>
      </c>
      <c r="W55" s="69"/>
      <c r="X55" s="68" t="e">
        <f>W55/SUM(W$50:W$66)</f>
        <v>#DIV/0!</v>
      </c>
      <c r="Y55" s="69"/>
      <c r="Z55" s="68" t="e">
        <f>Y55/SUM(Y$50:Y$66)</f>
        <v>#DIV/0!</v>
      </c>
      <c r="AA55" s="69"/>
      <c r="AB55" s="68" t="e">
        <f>AA55/SUM(AA$50:AA$66)</f>
        <v>#DIV/0!</v>
      </c>
      <c r="AC55" s="69"/>
      <c r="AD55" s="68" t="e">
        <f>AC55/SUM(AC$50:AC$66)</f>
        <v>#DIV/0!</v>
      </c>
      <c r="AE55" s="58"/>
      <c r="AF55" s="68" t="e">
        <f>AE55/SUM(AE$50:AE$66)</f>
        <v>#DIV/0!</v>
      </c>
      <c r="AH55" s="68" t="e">
        <f>AG55/SUM(AG$50:AG$66)</f>
        <v>#DIV/0!</v>
      </c>
      <c r="AJ55" s="68" t="e">
        <f>AI55/SUM(AI$50:AI$66)</f>
        <v>#DIV/0!</v>
      </c>
      <c r="AL55" s="68" t="e">
        <f>AK55/SUM(AK$50:AK$66)</f>
        <v>#DIV/0!</v>
      </c>
      <c r="AM55" s="58"/>
      <c r="AN55" s="68" t="e">
        <f>AM55/SUM(AM$50:AM$66)</f>
        <v>#DIV/0!</v>
      </c>
      <c r="AP55" s="68" t="e">
        <f>AO55/SUM(AO$50:AO$66)</f>
        <v>#DIV/0!</v>
      </c>
      <c r="AR55" s="68" t="e">
        <f>AQ55/SUM(AQ$50:AQ$66)</f>
        <v>#DIV/0!</v>
      </c>
      <c r="AT55" s="68" t="e">
        <f>AS55/SUM(AS$50:AS$66)</f>
        <v>#DIV/0!</v>
      </c>
      <c r="AV55" s="68" t="e">
        <f>AU55/SUM(AU$50:AU$66)</f>
        <v>#DIV/0!</v>
      </c>
      <c r="AX55" s="68" t="e">
        <f>AW55/SUM(AW$50:AW$66)</f>
        <v>#DIV/0!</v>
      </c>
      <c r="AZ55" s="68" t="e">
        <f>AY55/SUM(AY$50:AY$66)</f>
        <v>#DIV/0!</v>
      </c>
      <c r="BB55" s="68" t="e">
        <f>BA55/SUM(BA$50:BA$66)</f>
        <v>#DIV/0!</v>
      </c>
    </row>
    <row r="56" spans="1:60">
      <c r="B56" t="s">
        <v>497</v>
      </c>
      <c r="C56" s="69"/>
      <c r="D56" s="68" t="e">
        <f>C56/SUM(C$50:C$66)</f>
        <v>#DIV/0!</v>
      </c>
      <c r="E56" s="69"/>
      <c r="F56" s="68" t="e">
        <f t="shared" ref="F56:AN56" si="0">E56/SUM(E$50:E$66)</f>
        <v>#DIV/0!</v>
      </c>
      <c r="G56" s="69"/>
      <c r="H56" s="68" t="e">
        <f t="shared" ref="H56:AN56" si="1">G56/SUM(G$50:G$66)</f>
        <v>#DIV/0!</v>
      </c>
      <c r="I56" s="69"/>
      <c r="J56" s="68" t="e">
        <f t="shared" ref="J56:AN56" si="2">I56/SUM(I$50:I$66)</f>
        <v>#DIV/0!</v>
      </c>
      <c r="K56" s="69"/>
      <c r="L56" s="68" t="e">
        <f t="shared" ref="L56:AN56" si="3">K56/SUM(K$50:K$66)</f>
        <v>#DIV/0!</v>
      </c>
      <c r="M56" s="69"/>
      <c r="N56" s="68" t="e">
        <f t="shared" ref="N56:AN56" si="4">M56/SUM(M$50:M$66)</f>
        <v>#DIV/0!</v>
      </c>
      <c r="O56" s="69"/>
      <c r="P56" s="68" t="e">
        <f t="shared" ref="P56:AN56" si="5">O56/SUM(O$50:O$66)</f>
        <v>#DIV/0!</v>
      </c>
      <c r="Q56" s="69"/>
      <c r="R56" s="68" t="e">
        <f t="shared" ref="R56:AN56" si="6">Q56/SUM(Q$50:Q$66)</f>
        <v>#DIV/0!</v>
      </c>
      <c r="S56" s="69"/>
      <c r="T56" s="68" t="e">
        <f t="shared" ref="T56:AN56" si="7">S56/SUM(S$50:S$66)</f>
        <v>#DIV/0!</v>
      </c>
      <c r="U56" s="69"/>
      <c r="V56" s="68" t="e">
        <f t="shared" ref="V56:AN56" si="8">U56/SUM(U$50:U$66)</f>
        <v>#DIV/0!</v>
      </c>
      <c r="W56" s="69"/>
      <c r="X56" s="68" t="e">
        <f t="shared" ref="X56:AN56" si="9">W56/SUM(W$50:W$66)</f>
        <v>#DIV/0!</v>
      </c>
      <c r="Y56" s="69"/>
      <c r="Z56" s="68" t="e">
        <f t="shared" ref="Z56:AN56" si="10">Y56/SUM(Y$50:Y$66)</f>
        <v>#DIV/0!</v>
      </c>
      <c r="AA56" s="69"/>
      <c r="AB56" s="68" t="e">
        <f t="shared" ref="AB56:AN56" si="11">AA56/SUM(AA$50:AA$66)</f>
        <v>#DIV/0!</v>
      </c>
      <c r="AC56" s="69"/>
      <c r="AD56" s="68" t="e">
        <f t="shared" ref="AD56:AN56" si="12">AC56/SUM(AC$50:AC$66)</f>
        <v>#DIV/0!</v>
      </c>
      <c r="AE56" s="69"/>
      <c r="AF56" s="68" t="e">
        <f t="shared" ref="AF56:AN56" si="13">AE56/SUM(AE$50:AE$66)</f>
        <v>#DIV/0!</v>
      </c>
      <c r="AG56" s="69"/>
      <c r="AH56" s="68" t="e">
        <f t="shared" ref="AH56:AN56" si="14">AG56/SUM(AG$50:AG$66)</f>
        <v>#DIV/0!</v>
      </c>
      <c r="AI56" s="69"/>
      <c r="AJ56" s="68" t="e">
        <f t="shared" ref="AJ56:AN56" si="15">AI56/SUM(AI$50:AI$66)</f>
        <v>#DIV/0!</v>
      </c>
      <c r="AK56" s="69"/>
      <c r="AL56" s="68" t="e">
        <f t="shared" ref="AL56:AN56" si="16">AK56/SUM(AK$50:AK$66)</f>
        <v>#DIV/0!</v>
      </c>
      <c r="AM56" s="69"/>
      <c r="AN56" s="68" t="e">
        <f t="shared" ref="AN56:AP56" si="17">AM56/SUM(AM$50:AM$66)</f>
        <v>#DIV/0!</v>
      </c>
      <c r="AP56" s="68" t="e">
        <f t="shared" si="17"/>
        <v>#DIV/0!</v>
      </c>
      <c r="AQ56" s="58"/>
      <c r="AR56" s="68" t="e">
        <f t="shared" ref="AR56:AT56" si="18">AQ56/SUM(AQ$50:AQ$66)</f>
        <v>#DIV/0!</v>
      </c>
      <c r="AT56" s="68" t="e">
        <f t="shared" si="18"/>
        <v>#DIV/0!</v>
      </c>
      <c r="AU56" s="58"/>
      <c r="AV56" s="68" t="e">
        <f t="shared" ref="AV56:AX56" si="19">AU56/SUM(AU$50:AU$66)</f>
        <v>#DIV/0!</v>
      </c>
      <c r="AX56" s="68" t="e">
        <f t="shared" si="19"/>
        <v>#DIV/0!</v>
      </c>
      <c r="AZ56" s="68" t="e">
        <f t="shared" ref="AZ56:BB56" si="20">AY56/SUM(AY$50:AY$66)</f>
        <v>#DIV/0!</v>
      </c>
      <c r="BB56" s="68" t="e">
        <f t="shared" si="20"/>
        <v>#DIV/0!</v>
      </c>
    </row>
    <row r="57" spans="1:60">
      <c r="B57" t="s">
        <v>394</v>
      </c>
      <c r="C57" s="69"/>
      <c r="D57" s="68" t="e">
        <f>C57/SUM(C$50:C$66)</f>
        <v>#DIV/0!</v>
      </c>
      <c r="E57" s="69"/>
      <c r="F57" s="68" t="e">
        <f>E57/SUM(E$50:E$66)</f>
        <v>#DIV/0!</v>
      </c>
      <c r="G57" s="69"/>
      <c r="H57" s="68" t="e">
        <f>G57/SUM(G$50:G$66)</f>
        <v>#DIV/0!</v>
      </c>
      <c r="I57" s="69"/>
      <c r="J57" s="68" t="e">
        <f>I57/SUM(I$50:I$66)</f>
        <v>#DIV/0!</v>
      </c>
      <c r="K57" s="69"/>
      <c r="L57" s="68" t="e">
        <f>K57/SUM(K$50:K$66)</f>
        <v>#DIV/0!</v>
      </c>
      <c r="M57" s="69"/>
      <c r="N57" s="68" t="e">
        <f>M57/SUM(M$50:M$66)</f>
        <v>#DIV/0!</v>
      </c>
      <c r="O57" s="69"/>
      <c r="P57" s="68" t="e">
        <f>O57/SUM(O$50:O$66)</f>
        <v>#DIV/0!</v>
      </c>
      <c r="Q57" s="69"/>
      <c r="R57" s="68" t="e">
        <f>Q57/SUM(Q$50:Q$66)</f>
        <v>#DIV/0!</v>
      </c>
      <c r="S57" s="69"/>
      <c r="T57" s="68" t="e">
        <f>S57/SUM(S$50:S$66)</f>
        <v>#DIV/0!</v>
      </c>
      <c r="U57" s="69"/>
      <c r="V57" s="68" t="e">
        <f>U57/SUM(U$50:U$66)</f>
        <v>#DIV/0!</v>
      </c>
      <c r="W57" s="69"/>
      <c r="X57" s="68" t="e">
        <f>W57/SUM(W$50:W$66)</f>
        <v>#DIV/0!</v>
      </c>
      <c r="Y57" s="69"/>
      <c r="Z57" s="68" t="e">
        <f>Y57/SUM(Y$50:Y$66)</f>
        <v>#DIV/0!</v>
      </c>
      <c r="AA57" s="69"/>
      <c r="AB57" s="68" t="e">
        <f>AA57/SUM(AA$50:AA$66)</f>
        <v>#DIV/0!</v>
      </c>
      <c r="AC57" s="58"/>
      <c r="AD57" s="68" t="e">
        <f>AC57/SUM(AC$50:AC$66)</f>
        <v>#DIV/0!</v>
      </c>
      <c r="AE57" s="58"/>
      <c r="AF57" s="68" t="e">
        <f>AE57/SUM(AE$50:AE$66)</f>
        <v>#DIV/0!</v>
      </c>
      <c r="AG57" s="58"/>
      <c r="AH57" s="68" t="e">
        <f>AG57/SUM(AG$50:AG$66)</f>
        <v>#DIV/0!</v>
      </c>
      <c r="AI57" s="58"/>
      <c r="AJ57" s="68" t="e">
        <f>AI57/SUM(AI$50:AI$66)</f>
        <v>#DIV/0!</v>
      </c>
      <c r="AK57" s="58"/>
      <c r="AL57" s="68" t="e">
        <f>AK57/SUM(AK$50:AK$66)</f>
        <v>#DIV/0!</v>
      </c>
      <c r="AM57" s="58"/>
      <c r="AN57" s="68" t="e">
        <f>AM57/SUM(AM$50:AM$66)</f>
        <v>#DIV/0!</v>
      </c>
      <c r="AO57" s="58"/>
      <c r="AP57" s="68" t="e">
        <f>AO57/SUM(AO$50:AO$66)</f>
        <v>#DIV/0!</v>
      </c>
      <c r="AQ57" s="58"/>
      <c r="AR57" s="68" t="e">
        <f>AQ57/SUM(AQ$50:AQ$66)</f>
        <v>#DIV/0!</v>
      </c>
      <c r="AS57" s="58"/>
      <c r="AT57" s="68" t="e">
        <f>AS57/SUM(AS$50:AS$66)</f>
        <v>#DIV/0!</v>
      </c>
      <c r="AU57" s="58"/>
      <c r="AV57" s="68" t="e">
        <f>AU57/SUM(AU$50:AU$66)</f>
        <v>#DIV/0!</v>
      </c>
      <c r="AW57" s="58"/>
      <c r="AX57" s="68" t="e">
        <f>AW57/SUM(AW$50:AW$66)</f>
        <v>#DIV/0!</v>
      </c>
      <c r="AY57" s="58"/>
      <c r="AZ57" s="68" t="e">
        <f>AY57/SUM(AY$50:AY$66)</f>
        <v>#DIV/0!</v>
      </c>
      <c r="BA57" s="58"/>
      <c r="BB57" s="68" t="e">
        <f>BA57/SUM(BA$50:BA$66)</f>
        <v>#DIV/0!</v>
      </c>
    </row>
    <row r="58" spans="1:60">
      <c r="B58" t="s">
        <v>475</v>
      </c>
      <c r="C58" s="69"/>
      <c r="D58" s="68" t="e">
        <f>C58/SUM(C$50:C$66)</f>
        <v>#DIV/0!</v>
      </c>
      <c r="E58" s="69"/>
      <c r="F58" s="68" t="e">
        <f>E58/SUM(E$50:E$66)</f>
        <v>#DIV/0!</v>
      </c>
      <c r="G58" s="69"/>
      <c r="H58" s="68" t="e">
        <f>G58/SUM(G$50:G$66)</f>
        <v>#DIV/0!</v>
      </c>
      <c r="I58" s="69"/>
      <c r="J58" s="68" t="e">
        <f>I58/SUM(I$50:I$66)</f>
        <v>#DIV/0!</v>
      </c>
      <c r="K58" s="69"/>
      <c r="L58" s="68" t="e">
        <f>K58/SUM(K$50:K$66)</f>
        <v>#DIV/0!</v>
      </c>
      <c r="M58" s="69"/>
      <c r="N58" s="68" t="e">
        <f>M58/SUM(M$50:M$66)</f>
        <v>#DIV/0!</v>
      </c>
      <c r="O58" s="69"/>
      <c r="P58" s="68" t="e">
        <f>O58/SUM(O$50:O$66)</f>
        <v>#DIV/0!</v>
      </c>
      <c r="Q58" s="69"/>
      <c r="R58" s="68" t="e">
        <f>Q58/SUM(Q$50:Q$66)</f>
        <v>#DIV/0!</v>
      </c>
      <c r="S58" s="69"/>
      <c r="T58" s="68" t="e">
        <f>S58/SUM(S$50:S$66)</f>
        <v>#DIV/0!</v>
      </c>
      <c r="U58" s="69"/>
      <c r="V58" s="68" t="e">
        <f>U58/SUM(U$50:U$66)</f>
        <v>#DIV/0!</v>
      </c>
      <c r="W58" s="70"/>
      <c r="X58" s="68" t="e">
        <f>W58/SUM(W$50:W$66)</f>
        <v>#DIV/0!</v>
      </c>
      <c r="Y58" s="70"/>
      <c r="Z58" s="68" t="e">
        <f>Y58/SUM(Y$50:Y$66)</f>
        <v>#DIV/0!</v>
      </c>
      <c r="AA58" s="69"/>
      <c r="AB58" s="68" t="e">
        <f>AA58/SUM(AA$50:AA$66)</f>
        <v>#DIV/0!</v>
      </c>
      <c r="AC58" s="58"/>
      <c r="AD58" s="68" t="e">
        <f>AC58/SUM(AC$50:AC$66)</f>
        <v>#DIV/0!</v>
      </c>
      <c r="AE58" s="58"/>
      <c r="AF58" s="68" t="e">
        <f>AE58/SUM(AE$50:AE$66)</f>
        <v>#DIV/0!</v>
      </c>
      <c r="AG58" s="58"/>
      <c r="AH58" s="68" t="e">
        <f>AG58/SUM(AG$50:AG$66)</f>
        <v>#DIV/0!</v>
      </c>
      <c r="AI58" s="58"/>
      <c r="AJ58" s="68" t="e">
        <f>AI58/SUM(AI$50:AI$66)</f>
        <v>#DIV/0!</v>
      </c>
      <c r="AK58" s="58"/>
      <c r="AL58" s="68" t="e">
        <f>AK58/SUM(AK$50:AK$66)</f>
        <v>#DIV/0!</v>
      </c>
      <c r="AM58" s="58"/>
      <c r="AN58" s="68" t="e">
        <f>AM58/SUM(AM$50:AM$66)</f>
        <v>#DIV/0!</v>
      </c>
      <c r="AO58" s="58"/>
      <c r="AP58" s="68" t="e">
        <f>AO58/SUM(AO$50:AO$66)</f>
        <v>#DIV/0!</v>
      </c>
      <c r="AQ58" s="58"/>
      <c r="AR58" s="68" t="e">
        <f>AQ58/SUM(AQ$50:AQ$66)</f>
        <v>#DIV/0!</v>
      </c>
      <c r="AS58" s="58"/>
      <c r="AT58" s="68" t="e">
        <f>AS58/SUM(AS$50:AS$66)</f>
        <v>#DIV/0!</v>
      </c>
      <c r="AV58" s="68" t="e">
        <f>AU58/SUM(AU$50:AU$66)</f>
        <v>#DIV/0!</v>
      </c>
      <c r="AW58" s="58"/>
      <c r="AX58" s="68" t="e">
        <f>AW58/SUM(AW$50:AW$66)</f>
        <v>#DIV/0!</v>
      </c>
      <c r="AY58" s="58"/>
      <c r="AZ58" s="68" t="e">
        <f>AY58/SUM(AY$50:AY$66)</f>
        <v>#DIV/0!</v>
      </c>
      <c r="BA58" s="58"/>
      <c r="BB58" s="68" t="e">
        <f>BA58/SUM(BA$50:BA$66)</f>
        <v>#DIV/0!</v>
      </c>
    </row>
    <row r="59" spans="1:60">
      <c r="B59" t="s">
        <v>74</v>
      </c>
      <c r="C59" s="69"/>
      <c r="D59" s="68" t="e">
        <f>C59/SUM(C$50:C$66)</f>
        <v>#DIV/0!</v>
      </c>
      <c r="E59" s="69"/>
      <c r="F59" s="68" t="e">
        <f>E59/SUM(E$50:E$66)</f>
        <v>#DIV/0!</v>
      </c>
      <c r="G59" s="69"/>
      <c r="H59" s="68" t="e">
        <f>G59/SUM(G$50:G$66)</f>
        <v>#DIV/0!</v>
      </c>
      <c r="I59" s="69"/>
      <c r="J59" s="68" t="e">
        <f>I59/SUM(I$50:I$66)</f>
        <v>#DIV/0!</v>
      </c>
      <c r="K59" s="69"/>
      <c r="L59" s="68" t="e">
        <f>K59/SUM(K$50:K$66)</f>
        <v>#DIV/0!</v>
      </c>
      <c r="M59" s="69"/>
      <c r="N59" s="68" t="e">
        <f>M59/SUM(M$50:M$66)</f>
        <v>#DIV/0!</v>
      </c>
      <c r="O59" s="69"/>
      <c r="P59" s="68" t="e">
        <f>O59/SUM(O$50:O$66)</f>
        <v>#DIV/0!</v>
      </c>
      <c r="Q59" s="69"/>
      <c r="R59" s="68" t="e">
        <f>Q59/SUM(Q$50:Q$66)</f>
        <v>#DIV/0!</v>
      </c>
      <c r="S59" s="69"/>
      <c r="T59" s="68" t="e">
        <f>S59/SUM(S$50:S$66)</f>
        <v>#DIV/0!</v>
      </c>
      <c r="U59" s="69"/>
      <c r="V59" s="68" t="e">
        <f>U59/SUM(U$50:U$66)</f>
        <v>#DIV/0!</v>
      </c>
      <c r="W59" s="69"/>
      <c r="X59" s="68" t="e">
        <f>W59/SUM(W$50:W$66)</f>
        <v>#DIV/0!</v>
      </c>
      <c r="Y59" s="69"/>
      <c r="Z59" s="68" t="e">
        <f>Y59/SUM(Y$50:Y$66)</f>
        <v>#DIV/0!</v>
      </c>
      <c r="AA59" s="69"/>
      <c r="AB59" s="68" t="e">
        <f>AA59/SUM(AA$50:AA$66)</f>
        <v>#DIV/0!</v>
      </c>
      <c r="AC59" s="58"/>
      <c r="AD59" s="68" t="e">
        <f>AC59/SUM(AC$50:AC$66)</f>
        <v>#DIV/0!</v>
      </c>
      <c r="AF59" s="68" t="e">
        <f>AE59/SUM(AE$50:AE$66)</f>
        <v>#DIV/0!</v>
      </c>
      <c r="AH59" s="68" t="e">
        <f>AG59/SUM(AG$50:AG$66)</f>
        <v>#DIV/0!</v>
      </c>
      <c r="AJ59" s="68" t="e">
        <f>AI59/SUM(AI$50:AI$66)</f>
        <v>#DIV/0!</v>
      </c>
      <c r="AL59" s="68" t="e">
        <f>AK59/SUM(AK$50:AK$66)</f>
        <v>#DIV/0!</v>
      </c>
      <c r="AM59" s="58"/>
      <c r="AN59" s="68" t="e">
        <f>AM59/SUM(AM$50:AM$66)</f>
        <v>#DIV/0!</v>
      </c>
      <c r="AP59" s="68" t="e">
        <f>AO59/SUM(AO$50:AO$66)</f>
        <v>#DIV/0!</v>
      </c>
      <c r="AQ59" s="58"/>
      <c r="AR59" s="68" t="e">
        <f>AQ59/SUM(AQ$50:AQ$66)</f>
        <v>#DIV/0!</v>
      </c>
      <c r="AT59" s="68" t="e">
        <f>AS59/SUM(AS$50:AS$66)</f>
        <v>#DIV/0!</v>
      </c>
      <c r="AV59" s="68" t="e">
        <f>AU59/SUM(AU$50:AU$66)</f>
        <v>#DIV/0!</v>
      </c>
      <c r="AX59" s="68" t="e">
        <f>AW59/SUM(AW$50:AW$66)</f>
        <v>#DIV/0!</v>
      </c>
      <c r="AZ59" s="68" t="e">
        <f>AY59/SUM(AY$50:AY$66)</f>
        <v>#DIV/0!</v>
      </c>
      <c r="BB59" s="68" t="e">
        <f>BA59/SUM(BA$50:BA$66)</f>
        <v>#DIV/0!</v>
      </c>
    </row>
    <row r="60" spans="1:60">
      <c r="B60" t="s">
        <v>483</v>
      </c>
      <c r="C60" s="69"/>
      <c r="D60" s="68" t="e">
        <f>C60/SUM(C$50:C$66)</f>
        <v>#DIV/0!</v>
      </c>
      <c r="E60" s="69"/>
      <c r="F60" s="68" t="e">
        <f>E60/SUM(E$50:E$66)</f>
        <v>#DIV/0!</v>
      </c>
      <c r="G60" s="69"/>
      <c r="H60" s="68" t="e">
        <f>G60/SUM(G$50:G$66)</f>
        <v>#DIV/0!</v>
      </c>
      <c r="I60" s="69"/>
      <c r="J60" s="68" t="e">
        <f>I60/SUM(I$50:I$66)</f>
        <v>#DIV/0!</v>
      </c>
      <c r="K60" s="69"/>
      <c r="L60" s="68" t="e">
        <f>K60/SUM(K$50:K$66)</f>
        <v>#DIV/0!</v>
      </c>
      <c r="M60" s="69"/>
      <c r="N60" s="68" t="e">
        <f>M60/SUM(M$50:M$66)</f>
        <v>#DIV/0!</v>
      </c>
      <c r="O60" s="69"/>
      <c r="P60" s="68" t="e">
        <f>O60/SUM(O$50:O$66)</f>
        <v>#DIV/0!</v>
      </c>
      <c r="Q60" s="69"/>
      <c r="R60" s="68" t="e">
        <f>Q60/SUM(Q$50:Q$66)</f>
        <v>#DIV/0!</v>
      </c>
      <c r="S60" s="69"/>
      <c r="T60" s="68" t="e">
        <f>S60/SUM(S$50:S$66)</f>
        <v>#DIV/0!</v>
      </c>
      <c r="U60" s="69"/>
      <c r="V60" s="68" t="e">
        <f>U60/SUM(U$50:U$66)</f>
        <v>#DIV/0!</v>
      </c>
      <c r="W60" s="69"/>
      <c r="X60" s="68" t="e">
        <f>W60/SUM(W$50:W$66)</f>
        <v>#DIV/0!</v>
      </c>
      <c r="Y60" s="69"/>
      <c r="Z60" s="68" t="e">
        <f>Y60/SUM(Y$50:Y$66)</f>
        <v>#DIV/0!</v>
      </c>
      <c r="AA60" s="70"/>
      <c r="AB60" s="68" t="e">
        <f>AA60/SUM(AA$50:AA$66)</f>
        <v>#DIV/0!</v>
      </c>
      <c r="AC60" s="58"/>
      <c r="AD60" s="68" t="e">
        <f>AC60/SUM(AC$50:AC$66)</f>
        <v>#DIV/0!</v>
      </c>
      <c r="AF60" s="68" t="e">
        <f>AE60/SUM(AE$50:AE$66)</f>
        <v>#DIV/0!</v>
      </c>
      <c r="AH60" s="68" t="e">
        <f>AG60/SUM(AG$50:AG$66)</f>
        <v>#DIV/0!</v>
      </c>
      <c r="AJ60" s="68" t="e">
        <f>AI60/SUM(AI$50:AI$66)</f>
        <v>#DIV/0!</v>
      </c>
      <c r="AL60" s="68" t="e">
        <f>AK60/SUM(AK$50:AK$66)</f>
        <v>#DIV/0!</v>
      </c>
      <c r="AM60" s="58"/>
      <c r="AN60" s="68" t="e">
        <f>AM60/SUM(AM$50:AM$66)</f>
        <v>#DIV/0!</v>
      </c>
      <c r="AP60" s="68" t="e">
        <f>AO60/SUM(AO$50:AO$66)</f>
        <v>#DIV/0!</v>
      </c>
      <c r="AQ60" s="58"/>
      <c r="AR60" s="68" t="e">
        <f>AQ60/SUM(AQ$50:AQ$66)</f>
        <v>#DIV/0!</v>
      </c>
      <c r="AT60" s="68" t="e">
        <f>AS60/SUM(AS$50:AS$66)</f>
        <v>#DIV/0!</v>
      </c>
      <c r="AV60" s="68" t="e">
        <f>AU60/SUM(AU$50:AU$66)</f>
        <v>#DIV/0!</v>
      </c>
      <c r="AX60" s="68" t="e">
        <f>AW60/SUM(AW$50:AW$66)</f>
        <v>#DIV/0!</v>
      </c>
      <c r="AZ60" s="68" t="e">
        <f>AY60/SUM(AY$50:AY$66)</f>
        <v>#DIV/0!</v>
      </c>
      <c r="BB60" s="68" t="e">
        <f>BA60/SUM(BA$50:BA$66)</f>
        <v>#DIV/0!</v>
      </c>
    </row>
    <row r="61" spans="1:60">
      <c r="B61" t="s">
        <v>476</v>
      </c>
      <c r="C61" s="69"/>
      <c r="D61" s="68" t="e">
        <f>C61/SUM(C$50:C$66)</f>
        <v>#DIV/0!</v>
      </c>
      <c r="E61" s="69"/>
      <c r="F61" s="68" t="e">
        <f>E61/SUM(E$50:E$66)</f>
        <v>#DIV/0!</v>
      </c>
      <c r="G61" s="69"/>
      <c r="H61" s="68" t="e">
        <f>G61/SUM(G$50:G$66)</f>
        <v>#DIV/0!</v>
      </c>
      <c r="I61" s="69"/>
      <c r="J61" s="68" t="e">
        <f>I61/SUM(I$50:I$66)</f>
        <v>#DIV/0!</v>
      </c>
      <c r="K61" s="69"/>
      <c r="L61" s="68" t="e">
        <f>K61/SUM(K$50:K$66)</f>
        <v>#DIV/0!</v>
      </c>
      <c r="M61" s="69"/>
      <c r="N61" s="68" t="e">
        <f>M61/SUM(M$50:M$66)</f>
        <v>#DIV/0!</v>
      </c>
      <c r="O61" s="69"/>
      <c r="P61" s="68" t="e">
        <f>O61/SUM(O$50:O$66)</f>
        <v>#DIV/0!</v>
      </c>
      <c r="Q61" s="69"/>
      <c r="R61" s="68" t="e">
        <f>Q61/SUM(Q$50:Q$66)</f>
        <v>#DIV/0!</v>
      </c>
      <c r="S61" s="69"/>
      <c r="T61" s="68" t="e">
        <f>S61/SUM(S$50:S$66)</f>
        <v>#DIV/0!</v>
      </c>
      <c r="U61" s="69"/>
      <c r="V61" s="68" t="e">
        <f>U61/SUM(U$50:U$66)</f>
        <v>#DIV/0!</v>
      </c>
      <c r="W61" s="69"/>
      <c r="X61" s="68" t="e">
        <f>W61/SUM(W$50:W$66)</f>
        <v>#DIV/0!</v>
      </c>
      <c r="Y61" s="69"/>
      <c r="Z61" s="68" t="e">
        <f>Y61/SUM(Y$50:Y$66)</f>
        <v>#DIV/0!</v>
      </c>
      <c r="AA61" s="69"/>
      <c r="AB61" s="68" t="e">
        <f>AA61/SUM(AA$50:AA$66)</f>
        <v>#DIV/0!</v>
      </c>
      <c r="AC61" s="58"/>
      <c r="AD61" s="68" t="e">
        <f>AC61/SUM(AC$50:AC$66)</f>
        <v>#DIV/0!</v>
      </c>
      <c r="AE61" s="58"/>
      <c r="AF61" s="68" t="e">
        <f>AE61/SUM(AE$50:AE$66)</f>
        <v>#DIV/0!</v>
      </c>
      <c r="AG61" s="58"/>
      <c r="AH61" s="68" t="e">
        <f>AG61/SUM(AG$50:AG$66)</f>
        <v>#DIV/0!</v>
      </c>
      <c r="AI61" s="58"/>
      <c r="AJ61" s="68" t="e">
        <f>AI61/SUM(AI$50:AI$66)</f>
        <v>#DIV/0!</v>
      </c>
      <c r="AK61" s="58"/>
      <c r="AL61" s="68" t="e">
        <f>AK61/SUM(AK$50:AK$66)</f>
        <v>#DIV/0!</v>
      </c>
      <c r="AM61" s="58"/>
      <c r="AN61" s="68" t="e">
        <f>AM61/SUM(AM$50:AM$66)</f>
        <v>#DIV/0!</v>
      </c>
      <c r="AO61" s="58"/>
      <c r="AP61" s="68" t="e">
        <f>AO61/SUM(AO$50:AO$66)</f>
        <v>#DIV/0!</v>
      </c>
      <c r="AQ61" s="58"/>
      <c r="AR61" s="68" t="e">
        <f>AQ61/SUM(AQ$50:AQ$66)</f>
        <v>#DIV/0!</v>
      </c>
      <c r="AS61" s="58"/>
      <c r="AT61" s="68" t="e">
        <f>AS61/SUM(AS$50:AS$66)</f>
        <v>#DIV/0!</v>
      </c>
      <c r="AU61" s="58"/>
      <c r="AV61" s="68" t="e">
        <f>AU61/SUM(AU$50:AU$66)</f>
        <v>#DIV/0!</v>
      </c>
      <c r="AW61" s="58"/>
      <c r="AX61" s="68" t="e">
        <f>AW61/SUM(AW$50:AW$66)</f>
        <v>#DIV/0!</v>
      </c>
      <c r="AY61" s="58"/>
      <c r="AZ61" s="68" t="e">
        <f>AY61/SUM(AY$50:AY$66)</f>
        <v>#DIV/0!</v>
      </c>
      <c r="BA61" s="58"/>
      <c r="BB61" s="68" t="e">
        <f>BA61/SUM(BA$50:BA$66)</f>
        <v>#DIV/0!</v>
      </c>
    </row>
    <row r="62" spans="1:60">
      <c r="B62" t="s">
        <v>480</v>
      </c>
      <c r="C62" s="69"/>
      <c r="D62" s="68" t="e">
        <f>C62/SUM(C$50:C$66)</f>
        <v>#DIV/0!</v>
      </c>
      <c r="E62" s="69"/>
      <c r="F62" s="68" t="e">
        <f>E62/SUM(E$50:E$66)</f>
        <v>#DIV/0!</v>
      </c>
      <c r="G62" s="69"/>
      <c r="H62" s="68" t="e">
        <f>G62/SUM(G$50:G$66)</f>
        <v>#DIV/0!</v>
      </c>
      <c r="I62" s="69"/>
      <c r="J62" s="68" t="e">
        <f>I62/SUM(I$50:I$66)</f>
        <v>#DIV/0!</v>
      </c>
      <c r="K62" s="69"/>
      <c r="L62" s="68" t="e">
        <f>K62/SUM(K$50:K$66)</f>
        <v>#DIV/0!</v>
      </c>
      <c r="M62" s="69"/>
      <c r="N62" s="68" t="e">
        <f>M62/SUM(M$50:M$66)</f>
        <v>#DIV/0!</v>
      </c>
      <c r="O62" s="69"/>
      <c r="P62" s="68" t="e">
        <f>O62/SUM(O$50:O$66)</f>
        <v>#DIV/0!</v>
      </c>
      <c r="Q62" s="69"/>
      <c r="R62" s="68" t="e">
        <f>Q62/SUM(Q$50:Q$66)</f>
        <v>#DIV/0!</v>
      </c>
      <c r="S62" s="69"/>
      <c r="T62" s="68" t="e">
        <f>S62/SUM(S$50:S$66)</f>
        <v>#DIV/0!</v>
      </c>
      <c r="U62" s="69"/>
      <c r="V62" s="68" t="e">
        <f>U62/SUM(U$50:U$66)</f>
        <v>#DIV/0!</v>
      </c>
      <c r="W62" s="69"/>
      <c r="X62" s="68" t="e">
        <f>W62/SUM(W$50:W$66)</f>
        <v>#DIV/0!</v>
      </c>
      <c r="Y62" s="69"/>
      <c r="Z62" s="68" t="e">
        <f>Y62/SUM(Y$50:Y$66)</f>
        <v>#DIV/0!</v>
      </c>
      <c r="AA62" s="69"/>
      <c r="AB62" s="68" t="e">
        <f>AA62/SUM(AA$50:AA$66)</f>
        <v>#DIV/0!</v>
      </c>
      <c r="AC62" s="58"/>
      <c r="AD62" s="68" t="e">
        <f>AC62/SUM(AC$50:AC$66)</f>
        <v>#DIV/0!</v>
      </c>
      <c r="AE62" s="58"/>
      <c r="AF62" s="68" t="e">
        <f>AE62/SUM(AE$50:AE$66)</f>
        <v>#DIV/0!</v>
      </c>
      <c r="AG62" s="58"/>
      <c r="AH62" s="68" t="e">
        <f>AG62/SUM(AG$50:AG$66)</f>
        <v>#DIV/0!</v>
      </c>
      <c r="AI62" s="58"/>
      <c r="AJ62" s="68" t="e">
        <f>AI62/SUM(AI$50:AI$66)</f>
        <v>#DIV/0!</v>
      </c>
      <c r="AK62" s="58"/>
      <c r="AL62" s="68" t="e">
        <f>AK62/SUM(AK$50:AK$66)</f>
        <v>#DIV/0!</v>
      </c>
      <c r="AM62" s="58"/>
      <c r="AN62" s="68" t="e">
        <f>AM62/SUM(AM$50:AM$66)</f>
        <v>#DIV/0!</v>
      </c>
      <c r="AO62" s="58"/>
      <c r="AP62" s="68" t="e">
        <f>AO62/SUM(AO$50:AO$66)</f>
        <v>#DIV/0!</v>
      </c>
      <c r="AQ62" s="58"/>
      <c r="AR62" s="68" t="e">
        <f>AQ62/SUM(AQ$50:AQ$66)</f>
        <v>#DIV/0!</v>
      </c>
      <c r="AS62" s="58"/>
      <c r="AT62" s="68" t="e">
        <f>AS62/SUM(AS$50:AS$66)</f>
        <v>#DIV/0!</v>
      </c>
      <c r="AU62" s="58"/>
      <c r="AV62" s="68" t="e">
        <f>AU62/SUM(AU$50:AU$66)</f>
        <v>#DIV/0!</v>
      </c>
      <c r="AW62" s="58"/>
      <c r="AX62" s="68" t="e">
        <f>AW62/SUM(AW$50:AW$66)</f>
        <v>#DIV/0!</v>
      </c>
      <c r="AY62" s="58"/>
      <c r="AZ62" s="68" t="e">
        <f>AY62/SUM(AY$50:AY$66)</f>
        <v>#DIV/0!</v>
      </c>
      <c r="BA62" s="58"/>
      <c r="BB62" s="68" t="e">
        <f>BA62/SUM(BA$50:BA$66)</f>
        <v>#DIV/0!</v>
      </c>
    </row>
    <row r="63" spans="1:60">
      <c r="B63" t="s">
        <v>482</v>
      </c>
      <c r="C63" s="69"/>
      <c r="D63" s="68" t="e">
        <f>C63/SUM(C$50:C$66)</f>
        <v>#DIV/0!</v>
      </c>
      <c r="E63" s="69"/>
      <c r="F63" s="68" t="e">
        <f>E63/SUM(E$50:E$66)</f>
        <v>#DIV/0!</v>
      </c>
      <c r="G63" s="69"/>
      <c r="H63" s="68" t="e">
        <f>G63/SUM(G$50:G$66)</f>
        <v>#DIV/0!</v>
      </c>
      <c r="I63" s="69"/>
      <c r="J63" s="68" t="e">
        <f>I63/SUM(I$50:I$66)</f>
        <v>#DIV/0!</v>
      </c>
      <c r="K63" s="69"/>
      <c r="L63" s="68" t="e">
        <f>K63/SUM(K$50:K$66)</f>
        <v>#DIV/0!</v>
      </c>
      <c r="M63" s="69"/>
      <c r="N63" s="68" t="e">
        <f>M63/SUM(M$50:M$66)</f>
        <v>#DIV/0!</v>
      </c>
      <c r="O63" s="69"/>
      <c r="P63" s="68" t="e">
        <f>O63/SUM(O$50:O$66)</f>
        <v>#DIV/0!</v>
      </c>
      <c r="Q63" s="69"/>
      <c r="R63" s="68" t="e">
        <f>Q63/SUM(Q$50:Q$66)</f>
        <v>#DIV/0!</v>
      </c>
      <c r="S63" s="69"/>
      <c r="T63" s="68" t="e">
        <f>S63/SUM(S$50:S$66)</f>
        <v>#DIV/0!</v>
      </c>
      <c r="U63" s="69"/>
      <c r="V63" s="68" t="e">
        <f>U63/SUM(U$50:U$66)</f>
        <v>#DIV/0!</v>
      </c>
      <c r="W63" s="69"/>
      <c r="X63" s="68" t="e">
        <f>W63/SUM(W$50:W$66)</f>
        <v>#DIV/0!</v>
      </c>
      <c r="Y63" s="69"/>
      <c r="Z63" s="68" t="e">
        <f>Y63/SUM(Y$50:Y$66)</f>
        <v>#DIV/0!</v>
      </c>
      <c r="AA63" s="58"/>
      <c r="AB63" s="68" t="e">
        <f>AA63/SUM(AA$50:AA$66)</f>
        <v>#DIV/0!</v>
      </c>
      <c r="AC63" s="58"/>
      <c r="AD63" s="68" t="e">
        <f>AC63/SUM(AC$50:AC$66)</f>
        <v>#DIV/0!</v>
      </c>
      <c r="AE63" s="58"/>
      <c r="AF63" s="68" t="e">
        <f>AE63/SUM(AE$50:AE$66)</f>
        <v>#DIV/0!</v>
      </c>
      <c r="AG63" s="58"/>
      <c r="AH63" s="68" t="e">
        <f>AG63/SUM(AG$50:AG$66)</f>
        <v>#DIV/0!</v>
      </c>
      <c r="AI63" s="58"/>
      <c r="AJ63" s="68" t="e">
        <f>AI63/SUM(AI$50:AI$66)</f>
        <v>#DIV/0!</v>
      </c>
      <c r="AK63" s="58"/>
      <c r="AL63" s="68" t="e">
        <f>AK63/SUM(AK$50:AK$66)</f>
        <v>#DIV/0!</v>
      </c>
      <c r="AM63" s="58"/>
      <c r="AN63" s="68" t="e">
        <f>AM63/SUM(AM$50:AM$66)</f>
        <v>#DIV/0!</v>
      </c>
      <c r="AO63" s="58"/>
      <c r="AP63" s="68" t="e">
        <f>AO63/SUM(AO$50:AO$66)</f>
        <v>#DIV/0!</v>
      </c>
      <c r="AQ63" s="58"/>
      <c r="AR63" s="68" t="e">
        <f>AQ63/SUM(AQ$50:AQ$66)</f>
        <v>#DIV/0!</v>
      </c>
      <c r="AS63" s="58"/>
      <c r="AT63" s="68" t="e">
        <f>AS63/SUM(AS$50:AS$66)</f>
        <v>#DIV/0!</v>
      </c>
      <c r="AU63" s="58"/>
      <c r="AV63" s="68" t="e">
        <f>AU63/SUM(AU$50:AU$66)</f>
        <v>#DIV/0!</v>
      </c>
      <c r="AW63" s="58"/>
      <c r="AX63" s="68" t="e">
        <f>AW63/SUM(AW$50:AW$66)</f>
        <v>#DIV/0!</v>
      </c>
      <c r="AY63" s="58"/>
      <c r="AZ63" s="68" t="e">
        <f>AY63/SUM(AY$50:AY$66)</f>
        <v>#DIV/0!</v>
      </c>
      <c r="BA63" s="58"/>
      <c r="BB63" s="68" t="e">
        <f>BA63/SUM(BA$50:BA$66)</f>
        <v>#DIV/0!</v>
      </c>
    </row>
    <row r="64" spans="1:60">
      <c r="B64" t="s">
        <v>395</v>
      </c>
      <c r="C64" s="69"/>
      <c r="D64" s="68" t="e">
        <f>C64/SUM(C$50:C$66)</f>
        <v>#DIV/0!</v>
      </c>
      <c r="E64" s="69"/>
      <c r="F64" s="68" t="e">
        <f>E64/SUM(E$50:E$66)</f>
        <v>#DIV/0!</v>
      </c>
      <c r="G64" s="69"/>
      <c r="H64" s="68" t="e">
        <f>G64/SUM(G$50:G$66)</f>
        <v>#DIV/0!</v>
      </c>
      <c r="I64" s="69"/>
      <c r="J64" s="68" t="e">
        <f>I64/SUM(I$50:I$66)</f>
        <v>#DIV/0!</v>
      </c>
      <c r="K64" s="69"/>
      <c r="L64" s="68" t="e">
        <f>K64/SUM(K$50:K$66)</f>
        <v>#DIV/0!</v>
      </c>
      <c r="M64" s="69"/>
      <c r="N64" s="68" t="e">
        <f>M64/SUM(M$50:M$66)</f>
        <v>#DIV/0!</v>
      </c>
      <c r="O64" s="69"/>
      <c r="P64" s="68" t="e">
        <f>O64/SUM(O$50:O$66)</f>
        <v>#DIV/0!</v>
      </c>
      <c r="Q64" s="69"/>
      <c r="R64" s="68" t="e">
        <f>Q64/SUM(Q$50:Q$66)</f>
        <v>#DIV/0!</v>
      </c>
      <c r="S64" s="69"/>
      <c r="T64" s="68" t="e">
        <f>S64/SUM(S$50:S$66)</f>
        <v>#DIV/0!</v>
      </c>
      <c r="U64" s="69"/>
      <c r="V64" s="68" t="e">
        <f>U64/SUM(U$50:U$66)</f>
        <v>#DIV/0!</v>
      </c>
      <c r="W64" s="69"/>
      <c r="X64" s="68" t="e">
        <f>W64/SUM(W$50:W$66)</f>
        <v>#DIV/0!</v>
      </c>
      <c r="Y64" s="69"/>
      <c r="Z64" s="68" t="e">
        <f>Y64/SUM(Y$50:Y$66)</f>
        <v>#DIV/0!</v>
      </c>
      <c r="AA64" s="58"/>
      <c r="AB64" s="68" t="e">
        <f>AA64/SUM(AA$50:AA$66)</f>
        <v>#DIV/0!</v>
      </c>
      <c r="AC64" s="58"/>
      <c r="AD64" s="68" t="e">
        <f>AC64/SUM(AC$50:AC$66)</f>
        <v>#DIV/0!</v>
      </c>
      <c r="AE64" s="58"/>
      <c r="AF64" s="68" t="e">
        <f>AE64/SUM(AE$50:AE$66)</f>
        <v>#DIV/0!</v>
      </c>
      <c r="AG64" s="58"/>
      <c r="AH64" s="68" t="e">
        <f>AG64/SUM(AG$50:AG$66)</f>
        <v>#DIV/0!</v>
      </c>
      <c r="AI64" s="58"/>
      <c r="AJ64" s="68" t="e">
        <f>AI64/SUM(AI$50:AI$66)</f>
        <v>#DIV/0!</v>
      </c>
      <c r="AK64" s="58"/>
      <c r="AL64" s="68" t="e">
        <f>AK64/SUM(AK$50:AK$66)</f>
        <v>#DIV/0!</v>
      </c>
      <c r="AM64" s="58"/>
      <c r="AN64" s="68" t="e">
        <f>AM64/SUM(AM$50:AM$66)</f>
        <v>#DIV/0!</v>
      </c>
      <c r="AO64" s="58"/>
      <c r="AP64" s="68" t="e">
        <f>AO64/SUM(AO$50:AO$66)</f>
        <v>#DIV/0!</v>
      </c>
      <c r="AQ64" s="58"/>
      <c r="AR64" s="68" t="e">
        <f>AQ64/SUM(AQ$50:AQ$66)</f>
        <v>#DIV/0!</v>
      </c>
      <c r="AS64" s="58"/>
      <c r="AT64" s="68" t="e">
        <f>AS64/SUM(AS$50:AS$66)</f>
        <v>#DIV/0!</v>
      </c>
      <c r="AU64" s="58"/>
      <c r="AV64" s="68" t="e">
        <f>AU64/SUM(AU$50:AU$66)</f>
        <v>#DIV/0!</v>
      </c>
      <c r="AW64" s="58"/>
      <c r="AX64" s="68" t="e">
        <f>AW64/SUM(AW$50:AW$66)</f>
        <v>#DIV/0!</v>
      </c>
      <c r="AY64" s="58"/>
      <c r="AZ64" s="68" t="e">
        <f>AY64/SUM(AY$50:AY$66)</f>
        <v>#DIV/0!</v>
      </c>
      <c r="BA64" s="58"/>
      <c r="BB64" s="68" t="e">
        <f>BA64/SUM(BA$50:BA$66)</f>
        <v>#DIV/0!</v>
      </c>
    </row>
    <row r="65" spans="2:54">
      <c r="B65" t="s">
        <v>484</v>
      </c>
      <c r="C65" s="69"/>
      <c r="D65" s="68" t="e">
        <f>C65/SUM(C$50:C$66)</f>
        <v>#DIV/0!</v>
      </c>
      <c r="E65" s="69"/>
      <c r="F65" s="68" t="e">
        <f>E65/SUM(E$50:E$66)</f>
        <v>#DIV/0!</v>
      </c>
      <c r="G65" s="69"/>
      <c r="H65" s="68" t="e">
        <f>G65/SUM(G$50:G$66)</f>
        <v>#DIV/0!</v>
      </c>
      <c r="I65" s="69"/>
      <c r="J65" s="68" t="e">
        <f>I65/SUM(I$50:I$66)</f>
        <v>#DIV/0!</v>
      </c>
      <c r="K65" s="69"/>
      <c r="L65" s="68" t="e">
        <f>K65/SUM(K$50:K$66)</f>
        <v>#DIV/0!</v>
      </c>
      <c r="M65" s="69"/>
      <c r="N65" s="68" t="e">
        <f>M65/SUM(M$50:M$66)</f>
        <v>#DIV/0!</v>
      </c>
      <c r="O65" s="69"/>
      <c r="P65" s="68" t="e">
        <f>O65/SUM(O$50:O$66)</f>
        <v>#DIV/0!</v>
      </c>
      <c r="Q65" s="69"/>
      <c r="R65" s="68" t="e">
        <f>Q65/SUM(Q$50:Q$66)</f>
        <v>#DIV/0!</v>
      </c>
      <c r="S65" s="69"/>
      <c r="T65" s="68" t="e">
        <f>S65/SUM(S$50:S$66)</f>
        <v>#DIV/0!</v>
      </c>
      <c r="U65" s="69"/>
      <c r="V65" s="68" t="e">
        <f>U65/SUM(U$50:U$66)</f>
        <v>#DIV/0!</v>
      </c>
      <c r="W65" s="69"/>
      <c r="X65" s="68" t="e">
        <f>W65/SUM(W$50:W$66)</f>
        <v>#DIV/0!</v>
      </c>
      <c r="Y65" s="69"/>
      <c r="Z65" s="68" t="e">
        <f>Y65/SUM(Y$50:Y$66)</f>
        <v>#DIV/0!</v>
      </c>
      <c r="AB65" s="68" t="e">
        <f>AA65/SUM(AA$50:AA$66)</f>
        <v>#DIV/0!</v>
      </c>
      <c r="AC65" s="58"/>
      <c r="AD65" s="68" t="e">
        <f>AC65/SUM(AC$50:AC$66)</f>
        <v>#DIV/0!</v>
      </c>
      <c r="AF65" s="68" t="e">
        <f>AE65/SUM(AE$50:AE$66)</f>
        <v>#DIV/0!</v>
      </c>
      <c r="AG65" s="58"/>
      <c r="AH65" s="68" t="e">
        <f>AG65/SUM(AG$50:AG$66)</f>
        <v>#DIV/0!</v>
      </c>
      <c r="AJ65" s="68" t="e">
        <f>AI65/SUM(AI$50:AI$66)</f>
        <v>#DIV/0!</v>
      </c>
      <c r="AL65" s="68" t="e">
        <f>AK65/SUM(AK$50:AK$66)</f>
        <v>#DIV/0!</v>
      </c>
      <c r="AN65" s="68" t="e">
        <f>AM65/SUM(AM$50:AM$66)</f>
        <v>#DIV/0!</v>
      </c>
      <c r="AP65" s="68" t="e">
        <f>AO65/SUM(AO$50:AO$66)</f>
        <v>#DIV/0!</v>
      </c>
      <c r="AR65" s="68" t="e">
        <f>AQ65/SUM(AQ$50:AQ$66)</f>
        <v>#DIV/0!</v>
      </c>
      <c r="AT65" s="68" t="e">
        <f>AS65/SUM(AS$50:AS$66)</f>
        <v>#DIV/0!</v>
      </c>
      <c r="AV65" s="68" t="e">
        <f>AU65/SUM(AU$50:AU$66)</f>
        <v>#DIV/0!</v>
      </c>
      <c r="AX65" s="68" t="e">
        <f>AW65/SUM(AW$50:AW$66)</f>
        <v>#DIV/0!</v>
      </c>
      <c r="AY65" s="58"/>
      <c r="AZ65" s="68" t="e">
        <f>AY65/SUM(AY$50:AY$66)</f>
        <v>#DIV/0!</v>
      </c>
      <c r="BA65" s="58"/>
      <c r="BB65" s="68" t="e">
        <f>BA65/SUM(BA$50:BA$66)</f>
        <v>#DIV/0!</v>
      </c>
    </row>
    <row r="66" spans="2:54">
      <c r="B66" t="s">
        <v>470</v>
      </c>
      <c r="C66" s="69"/>
      <c r="D66" s="68" t="e">
        <f>C66/SUM(C$50:C$66)</f>
        <v>#DIV/0!</v>
      </c>
      <c r="E66" s="69"/>
      <c r="F66" s="68" t="e">
        <f>E66/SUM(E$50:E$66)</f>
        <v>#DIV/0!</v>
      </c>
      <c r="G66" s="69"/>
      <c r="H66" s="68" t="e">
        <f>G66/SUM(G$50:G$66)</f>
        <v>#DIV/0!</v>
      </c>
      <c r="I66" s="69"/>
      <c r="J66" s="68" t="e">
        <f>I66/SUM(I$50:I$66)</f>
        <v>#DIV/0!</v>
      </c>
      <c r="K66" s="69"/>
      <c r="L66" s="68" t="e">
        <f>K66/SUM(K$50:K$66)</f>
        <v>#DIV/0!</v>
      </c>
      <c r="M66" s="69"/>
      <c r="N66" s="68" t="e">
        <f>M66/SUM(M$50:M$66)</f>
        <v>#DIV/0!</v>
      </c>
      <c r="O66" s="69"/>
      <c r="P66" s="68" t="e">
        <f>O66/SUM(O$50:O$66)</f>
        <v>#DIV/0!</v>
      </c>
      <c r="Q66" s="69"/>
      <c r="R66" s="68" t="e">
        <f>Q66/SUM(Q$50:Q$66)</f>
        <v>#DIV/0!</v>
      </c>
      <c r="S66" s="69"/>
      <c r="T66" s="68" t="e">
        <f>S66/SUM(S$50:S$66)</f>
        <v>#DIV/0!</v>
      </c>
      <c r="U66" s="69"/>
      <c r="V66" s="68" t="e">
        <f>U66/SUM(U$50:U$66)</f>
        <v>#DIV/0!</v>
      </c>
      <c r="W66" s="69"/>
      <c r="X66" s="68" t="e">
        <f>W66/SUM(W$50:W$66)</f>
        <v>#DIV/0!</v>
      </c>
      <c r="Y66" s="69"/>
      <c r="Z66" s="68" t="e">
        <f>Y66/SUM(Y$50:Y$66)</f>
        <v>#DIV/0!</v>
      </c>
      <c r="AA66" s="58"/>
      <c r="AB66" s="68" t="e">
        <f>AA66/SUM(AA$50:AA$66)</f>
        <v>#DIV/0!</v>
      </c>
      <c r="AD66" s="68" t="e">
        <f>AC66/SUM(AC$50:AC$66)</f>
        <v>#DIV/0!</v>
      </c>
      <c r="AF66" s="68" t="e">
        <f>AE66/SUM(AE$50:AE$66)</f>
        <v>#DIV/0!</v>
      </c>
      <c r="AH66" s="68" t="e">
        <f>AG66/SUM(AG$50:AG$66)</f>
        <v>#DIV/0!</v>
      </c>
      <c r="AJ66" s="68" t="e">
        <f>AI66/SUM(AI$50:AI$66)</f>
        <v>#DIV/0!</v>
      </c>
      <c r="AL66" s="68" t="e">
        <f>AK66/SUM(AK$50:AK$66)</f>
        <v>#DIV/0!</v>
      </c>
      <c r="AM66" s="58"/>
      <c r="AN66" s="68" t="e">
        <f>AM66/SUM(AM$50:AM$66)</f>
        <v>#DIV/0!</v>
      </c>
      <c r="AP66" s="68" t="e">
        <f>AO66/SUM(AO$50:AO$66)</f>
        <v>#DIV/0!</v>
      </c>
      <c r="AR66" s="68" t="e">
        <f>AQ66/SUM(AQ$50:AQ$66)</f>
        <v>#DIV/0!</v>
      </c>
      <c r="AT66" s="68" t="e">
        <f>AS66/SUM(AS$50:AS$66)</f>
        <v>#DIV/0!</v>
      </c>
      <c r="AV66" s="68" t="e">
        <f>AU66/SUM(AU$50:AU$66)</f>
        <v>#DIV/0!</v>
      </c>
      <c r="AW66" s="58"/>
      <c r="AX66" s="68" t="e">
        <f>AW66/SUM(AW$50:AW$66)</f>
        <v>#DIV/0!</v>
      </c>
      <c r="AZ66" s="68" t="e">
        <f>AY66/SUM(AY$50:AY$66)</f>
        <v>#DIV/0!</v>
      </c>
      <c r="BB66" s="68" t="e">
        <f>BA66/SUM(BA$50:BA$66)</f>
        <v>#DIV/0!</v>
      </c>
    </row>
    <row r="67" spans="2:54">
      <c r="B67" t="s">
        <v>487</v>
      </c>
      <c r="C67" s="69"/>
      <c r="D67" s="68" t="e">
        <f>C67/SUM(C$50:C$66)</f>
        <v>#DIV/0!</v>
      </c>
      <c r="E67" s="69"/>
      <c r="F67" s="68" t="e">
        <f>E67/SUM(E$50:E$66)</f>
        <v>#DIV/0!</v>
      </c>
      <c r="G67" s="69"/>
      <c r="H67" s="68" t="e">
        <f>G67/SUM(G$50:G$66)</f>
        <v>#DIV/0!</v>
      </c>
      <c r="I67" s="69"/>
      <c r="J67" s="68" t="e">
        <f>I67/SUM(I$50:I$66)</f>
        <v>#DIV/0!</v>
      </c>
      <c r="K67" s="69"/>
      <c r="L67" s="68" t="e">
        <f>K67/SUM(K$50:K$66)</f>
        <v>#DIV/0!</v>
      </c>
      <c r="M67" s="69"/>
      <c r="N67" s="68" t="e">
        <f>M67/SUM(M$50:M$66)</f>
        <v>#DIV/0!</v>
      </c>
      <c r="O67" s="69"/>
      <c r="P67" s="68" t="e">
        <f>O67/SUM(O$50:O$66)</f>
        <v>#DIV/0!</v>
      </c>
      <c r="Q67" s="69"/>
      <c r="R67" s="68" t="e">
        <f>Q67/SUM(Q$50:Q$66)</f>
        <v>#DIV/0!</v>
      </c>
      <c r="S67" s="69"/>
      <c r="T67" s="68" t="e">
        <f>S67/SUM(S$50:S$66)</f>
        <v>#DIV/0!</v>
      </c>
      <c r="U67" s="69"/>
      <c r="V67" s="68" t="e">
        <f>U67/SUM(U$50:U$66)</f>
        <v>#DIV/0!</v>
      </c>
      <c r="W67" s="69"/>
      <c r="X67" s="68" t="e">
        <f>W67/SUM(W$50:W$66)</f>
        <v>#DIV/0!</v>
      </c>
      <c r="Y67" s="69"/>
      <c r="Z67" s="68" t="e">
        <f>Y67/SUM(Y$50:Y$66)</f>
        <v>#DIV/0!</v>
      </c>
      <c r="AA67" s="58"/>
      <c r="AB67" s="68" t="e">
        <f>AA67/SUM(AA$50:AA$66)</f>
        <v>#DIV/0!</v>
      </c>
      <c r="AC67" s="58"/>
      <c r="AD67" s="68" t="e">
        <f>AC67/SUM(AC$50:AC$66)</f>
        <v>#DIV/0!</v>
      </c>
      <c r="AF67" s="68" t="e">
        <f>AE67/SUM(AE$50:AE$66)</f>
        <v>#DIV/0!</v>
      </c>
      <c r="AH67" s="68" t="e">
        <f>AG67/SUM(AG$50:AG$66)</f>
        <v>#DIV/0!</v>
      </c>
      <c r="AJ67" s="68" t="e">
        <f>AI67/SUM(AI$50:AI$66)</f>
        <v>#DIV/0!</v>
      </c>
      <c r="AL67" s="68" t="e">
        <f>AK67/SUM(AK$50:AK$66)</f>
        <v>#DIV/0!</v>
      </c>
      <c r="AM67" s="58"/>
      <c r="AN67" s="68" t="e">
        <f>AM67/SUM(AM$50:AM$66)</f>
        <v>#DIV/0!</v>
      </c>
      <c r="AP67" s="68" t="e">
        <f>AO67/SUM(AO$50:AO$66)</f>
        <v>#DIV/0!</v>
      </c>
      <c r="AR67" s="68" t="e">
        <f>AQ67/SUM(AQ$50:AQ$66)</f>
        <v>#DIV/0!</v>
      </c>
      <c r="AT67" s="68" t="e">
        <f>AS67/SUM(AS$50:AS$66)</f>
        <v>#DIV/0!</v>
      </c>
      <c r="AU67" s="58"/>
      <c r="AV67" s="68" t="e">
        <f>AU67/SUM(AU$50:AU$66)</f>
        <v>#DIV/0!</v>
      </c>
      <c r="AW67" s="58"/>
      <c r="AX67" s="68" t="e">
        <f>AW67/SUM(AW$50:AW$66)</f>
        <v>#DIV/0!</v>
      </c>
      <c r="AY67" s="58"/>
      <c r="AZ67" s="68" t="e">
        <f>AY67/SUM(AY$50:AY$66)</f>
        <v>#DIV/0!</v>
      </c>
      <c r="BB67" s="68" t="e">
        <f>BA67/SUM(BA$50:BA$66)</f>
        <v>#DIV/0!</v>
      </c>
    </row>
    <row r="68" spans="2:54">
      <c r="B68" t="s">
        <v>481</v>
      </c>
      <c r="C68" s="69"/>
      <c r="D68" s="68" t="e">
        <f>C68/SUM(C$50:C$66)</f>
        <v>#DIV/0!</v>
      </c>
      <c r="E68" s="69"/>
      <c r="F68" s="68" t="e">
        <f>E68/SUM(E$50:E$66)</f>
        <v>#DIV/0!</v>
      </c>
      <c r="G68" s="69"/>
      <c r="H68" s="68" t="e">
        <f>G68/SUM(G$50:G$66)</f>
        <v>#DIV/0!</v>
      </c>
      <c r="I68" s="69"/>
      <c r="J68" s="68" t="e">
        <f>I68/SUM(I$50:I$66)</f>
        <v>#DIV/0!</v>
      </c>
      <c r="K68" s="69"/>
      <c r="L68" s="68" t="e">
        <f>K68/SUM(K$50:K$66)</f>
        <v>#DIV/0!</v>
      </c>
      <c r="M68" s="69"/>
      <c r="N68" s="68" t="e">
        <f>M68/SUM(M$50:M$66)</f>
        <v>#DIV/0!</v>
      </c>
      <c r="O68" s="69"/>
      <c r="P68" s="68" t="e">
        <f>O68/SUM(O$50:O$66)</f>
        <v>#DIV/0!</v>
      </c>
      <c r="Q68" s="69"/>
      <c r="R68" s="68" t="e">
        <f>Q68/SUM(Q$50:Q$66)</f>
        <v>#DIV/0!</v>
      </c>
      <c r="S68" s="69"/>
      <c r="T68" s="68" t="e">
        <f>S68/SUM(S$50:S$66)</f>
        <v>#DIV/0!</v>
      </c>
      <c r="U68" s="69"/>
      <c r="V68" s="68" t="e">
        <f>U68/SUM(U$50:U$66)</f>
        <v>#DIV/0!</v>
      </c>
      <c r="W68" s="69"/>
      <c r="X68" s="68" t="e">
        <f>W68/SUM(W$50:W$66)</f>
        <v>#DIV/0!</v>
      </c>
      <c r="Y68" s="69"/>
      <c r="Z68" s="68" t="e">
        <f>Y68/SUM(Y$50:Y$66)</f>
        <v>#DIV/0!</v>
      </c>
      <c r="AA68" s="58"/>
      <c r="AB68" s="68" t="e">
        <f>AA68/SUM(AA$50:AA$66)</f>
        <v>#DIV/0!</v>
      </c>
      <c r="AD68" s="68" t="e">
        <f>AC68/SUM(AC$50:AC$66)</f>
        <v>#DIV/0!</v>
      </c>
      <c r="AF68" s="68" t="e">
        <f>AE68/SUM(AE$50:AE$66)</f>
        <v>#DIV/0!</v>
      </c>
      <c r="AH68" s="68" t="e">
        <f>AG68/SUM(AG$50:AG$66)</f>
        <v>#DIV/0!</v>
      </c>
      <c r="AJ68" s="68" t="e">
        <f>AI68/SUM(AI$50:AI$66)</f>
        <v>#DIV/0!</v>
      </c>
      <c r="AL68" s="68" t="e">
        <f>AK68/SUM(AK$50:AK$66)</f>
        <v>#DIV/0!</v>
      </c>
      <c r="AM68" s="58"/>
      <c r="AN68" s="68" t="e">
        <f>AM68/SUM(AM$50:AM$66)</f>
        <v>#DIV/0!</v>
      </c>
      <c r="AO68" s="58"/>
      <c r="AP68" s="68" t="e">
        <f>AO68/SUM(AO$50:AO$66)</f>
        <v>#DIV/0!</v>
      </c>
      <c r="AQ68" s="58"/>
      <c r="AR68" s="68" t="e">
        <f>AQ68/SUM(AQ$50:AQ$66)</f>
        <v>#DIV/0!</v>
      </c>
      <c r="AS68" s="58"/>
      <c r="AT68" s="68" t="e">
        <f>AS68/SUM(AS$50:AS$66)</f>
        <v>#DIV/0!</v>
      </c>
      <c r="AU68" s="58"/>
      <c r="AV68" s="68" t="e">
        <f>AU68/SUM(AU$50:AU$66)</f>
        <v>#DIV/0!</v>
      </c>
      <c r="AW68" s="58"/>
      <c r="AX68" s="68" t="e">
        <f>AW68/SUM(AW$50:AW$66)</f>
        <v>#DIV/0!</v>
      </c>
      <c r="AY68" s="58"/>
      <c r="AZ68" s="68" t="e">
        <f>AY68/SUM(AY$50:AY$66)</f>
        <v>#DIV/0!</v>
      </c>
      <c r="BB68" s="68" t="e">
        <f>BA68/SUM(BA$50:BA$66)</f>
        <v>#DIV/0!</v>
      </c>
    </row>
    <row r="69" spans="2:54">
      <c r="B69" t="s">
        <v>172</v>
      </c>
      <c r="C69" s="69"/>
      <c r="D69" s="68" t="e">
        <f>C69/SUM(C$50:C$66)</f>
        <v>#DIV/0!</v>
      </c>
      <c r="E69" s="69"/>
      <c r="F69" s="68" t="e">
        <f>E69/SUM(E$50:E$66)</f>
        <v>#DIV/0!</v>
      </c>
      <c r="G69" s="69"/>
      <c r="H69" s="68" t="e">
        <f>G69/SUM(G$50:G$66)</f>
        <v>#DIV/0!</v>
      </c>
      <c r="I69" s="69"/>
      <c r="J69" s="68" t="e">
        <f>I69/SUM(I$50:I$66)</f>
        <v>#DIV/0!</v>
      </c>
      <c r="K69" s="69"/>
      <c r="L69" s="68" t="e">
        <f>K69/SUM(K$50:K$66)</f>
        <v>#DIV/0!</v>
      </c>
      <c r="M69" s="69"/>
      <c r="N69" s="68" t="e">
        <f>M69/SUM(M$50:M$66)</f>
        <v>#DIV/0!</v>
      </c>
      <c r="O69" s="69"/>
      <c r="P69" s="68" t="e">
        <f>O69/SUM(O$50:O$66)</f>
        <v>#DIV/0!</v>
      </c>
      <c r="Q69" s="69"/>
      <c r="R69" s="68" t="e">
        <f>Q69/SUM(Q$50:Q$66)</f>
        <v>#DIV/0!</v>
      </c>
      <c r="S69" s="69"/>
      <c r="T69" s="68" t="e">
        <f>S69/SUM(S$50:S$66)</f>
        <v>#DIV/0!</v>
      </c>
      <c r="U69" s="69"/>
      <c r="V69" s="68" t="e">
        <f>U69/SUM(U$50:U$66)</f>
        <v>#DIV/0!</v>
      </c>
      <c r="W69" s="69"/>
      <c r="X69" s="68" t="e">
        <f>W69/SUM(W$50:W$66)</f>
        <v>#DIV/0!</v>
      </c>
      <c r="Y69" s="69"/>
      <c r="Z69" s="68" t="e">
        <f>Y69/SUM(Y$50:Y$66)</f>
        <v>#DIV/0!</v>
      </c>
      <c r="AA69" s="58"/>
      <c r="AB69" s="68" t="e">
        <f>AA69/SUM(AA$50:AA$66)</f>
        <v>#DIV/0!</v>
      </c>
      <c r="AC69" s="58"/>
      <c r="AD69" s="68" t="e">
        <f>AC69/SUM(AC$50:AC$66)</f>
        <v>#DIV/0!</v>
      </c>
      <c r="AE69" s="58"/>
      <c r="AF69" s="68" t="e">
        <f>AE69/SUM(AE$50:AE$66)</f>
        <v>#DIV/0!</v>
      </c>
      <c r="AG69" s="58"/>
      <c r="AH69" s="68" t="e">
        <f>AG69/SUM(AG$50:AG$66)</f>
        <v>#DIV/0!</v>
      </c>
      <c r="AI69" s="58"/>
      <c r="AJ69" s="68" t="e">
        <f>AI69/SUM(AI$50:AI$66)</f>
        <v>#DIV/0!</v>
      </c>
      <c r="AK69" s="58"/>
      <c r="AL69" s="68" t="e">
        <f>AK69/SUM(AK$50:AK$66)</f>
        <v>#DIV/0!</v>
      </c>
      <c r="AM69" s="58"/>
      <c r="AN69" s="68" t="e">
        <f>AM69/SUM(AM$50:AM$66)</f>
        <v>#DIV/0!</v>
      </c>
      <c r="AO69" s="58"/>
      <c r="AP69" s="68" t="e">
        <f>AO69/SUM(AO$50:AO$66)</f>
        <v>#DIV/0!</v>
      </c>
      <c r="AQ69" s="58"/>
      <c r="AR69" s="68" t="e">
        <f>AQ69/SUM(AQ$50:AQ$66)</f>
        <v>#DIV/0!</v>
      </c>
      <c r="AS69" s="58"/>
      <c r="AT69" s="68" t="e">
        <f>AS69/SUM(AS$50:AS$66)</f>
        <v>#DIV/0!</v>
      </c>
      <c r="AU69" s="58"/>
      <c r="AV69" s="68" t="e">
        <f>AU69/SUM(AU$50:AU$66)</f>
        <v>#DIV/0!</v>
      </c>
      <c r="AW69" s="58"/>
      <c r="AX69" s="68" t="e">
        <f>AW69/SUM(AW$50:AW$66)</f>
        <v>#DIV/0!</v>
      </c>
      <c r="AY69" s="58"/>
      <c r="AZ69" s="68" t="e">
        <f>AY69/SUM(AY$50:AY$66)</f>
        <v>#DIV/0!</v>
      </c>
      <c r="BA69" s="58"/>
      <c r="BB69" s="68" t="e">
        <f>BA69/SUM(BA$50:BA$66)</f>
        <v>#DIV/0!</v>
      </c>
    </row>
  </sheetData>
  <hyperlinks>
    <hyperlink ref="AI1" r:id="rId1" xr:uid="{3A66B365-9483-1E4D-B332-E43AA01270C8}"/>
    <hyperlink ref="B20" r:id="rId2" location="bib0001" display="https://www.sciencedirect.com/science/article/pii/S0921344922002774?via%3Dihub - bib0001" xr:uid="{A5D63C7B-8EA9-234D-AB22-3D86CCB356A6}"/>
    <hyperlink ref="B2" r:id="rId3" xr:uid="{C26DB06F-277C-E446-9C7B-A7EEEEFCC438}"/>
  </hyperlinks>
  <pageMargins left="0.7" right="0.7" top="0.75" bottom="0.75" header="0.3" footer="0.3"/>
  <drawing r:id="rId4"/>
  <tableParts count="4">
    <tablePart r:id="rId5"/>
    <tablePart r:id="rId6"/>
    <tablePart r:id="rId7"/>
    <tablePart r:id="rId8"/>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D9F8DA-989A-F34B-B5D0-07AFF883CAFF}">
  <dimension ref="A1:Q33"/>
  <sheetViews>
    <sheetView workbookViewId="0">
      <selection activeCell="N30" sqref="N30"/>
    </sheetView>
  </sheetViews>
  <sheetFormatPr baseColWidth="10" defaultRowHeight="16"/>
  <sheetData>
    <row r="1" spans="1:17">
      <c r="A1" t="s">
        <v>100</v>
      </c>
      <c r="B1" t="s">
        <v>415</v>
      </c>
      <c r="C1" t="s">
        <v>420</v>
      </c>
      <c r="D1" s="6" t="s">
        <v>455</v>
      </c>
      <c r="E1" s="62" t="s">
        <v>408</v>
      </c>
      <c r="F1" s="6" t="s">
        <v>456</v>
      </c>
      <c r="G1" s="6" t="s">
        <v>457</v>
      </c>
      <c r="H1" s="6"/>
      <c r="I1" s="6" t="s">
        <v>458</v>
      </c>
      <c r="J1" s="6" t="s">
        <v>459</v>
      </c>
      <c r="K1" s="6" t="s">
        <v>460</v>
      </c>
      <c r="L1" s="6" t="s">
        <v>461</v>
      </c>
      <c r="M1" s="6" t="s">
        <v>462</v>
      </c>
      <c r="N1" s="6" t="s">
        <v>463</v>
      </c>
      <c r="O1" s="6" t="s">
        <v>464</v>
      </c>
      <c r="P1" s="6" t="s">
        <v>465</v>
      </c>
      <c r="Q1" t="s">
        <v>28</v>
      </c>
    </row>
    <row r="2" spans="1:17">
      <c r="A2">
        <v>1991</v>
      </c>
    </row>
    <row r="3" spans="1:17">
      <c r="A3">
        <v>1992</v>
      </c>
    </row>
    <row r="4" spans="1:17">
      <c r="A4">
        <v>1993</v>
      </c>
    </row>
    <row r="5" spans="1:17">
      <c r="A5">
        <v>1994</v>
      </c>
      <c r="E5" s="8"/>
    </row>
    <row r="6" spans="1:17">
      <c r="A6">
        <v>1995</v>
      </c>
    </row>
    <row r="7" spans="1:17">
      <c r="A7">
        <v>1996</v>
      </c>
    </row>
    <row r="8" spans="1:17">
      <c r="A8">
        <v>1997</v>
      </c>
    </row>
    <row r="9" spans="1:17">
      <c r="A9">
        <v>1998</v>
      </c>
    </row>
    <row r="10" spans="1:17">
      <c r="A10">
        <v>1999</v>
      </c>
    </row>
    <row r="11" spans="1:17">
      <c r="A11">
        <v>2000</v>
      </c>
    </row>
    <row r="12" spans="1:17">
      <c r="A12">
        <v>2001</v>
      </c>
      <c r="H12" s="8"/>
      <c r="L12" s="25"/>
    </row>
    <row r="13" spans="1:17">
      <c r="A13">
        <v>2002</v>
      </c>
      <c r="L13" s="25"/>
    </row>
    <row r="14" spans="1:17">
      <c r="A14">
        <v>2003</v>
      </c>
      <c r="L14" s="25"/>
    </row>
    <row r="15" spans="1:17">
      <c r="A15">
        <v>2004</v>
      </c>
      <c r="B15" s="58"/>
      <c r="L15" s="25"/>
    </row>
    <row r="16" spans="1:17">
      <c r="A16">
        <v>2005</v>
      </c>
      <c r="L16" s="25"/>
    </row>
    <row r="17" spans="1:12">
      <c r="A17">
        <v>2006</v>
      </c>
      <c r="L17" s="25"/>
    </row>
    <row r="18" spans="1:12">
      <c r="A18">
        <v>2007</v>
      </c>
      <c r="L18" s="25"/>
    </row>
    <row r="19" spans="1:12">
      <c r="A19">
        <v>2008</v>
      </c>
      <c r="L19" s="25"/>
    </row>
    <row r="20" spans="1:12">
      <c r="A20">
        <v>2009</v>
      </c>
      <c r="L20" s="25"/>
    </row>
    <row r="21" spans="1:12">
      <c r="A21">
        <v>2010</v>
      </c>
      <c r="L21" s="25"/>
    </row>
    <row r="22" spans="1:12">
      <c r="A22">
        <v>2011</v>
      </c>
      <c r="L22" s="25"/>
    </row>
    <row r="23" spans="1:12">
      <c r="A23">
        <v>2012</v>
      </c>
      <c r="L23" s="25"/>
    </row>
    <row r="24" spans="1:12">
      <c r="A24">
        <v>2013</v>
      </c>
      <c r="L24" s="25"/>
    </row>
    <row r="25" spans="1:12">
      <c r="A25">
        <v>2014</v>
      </c>
      <c r="L25" s="25"/>
    </row>
    <row r="26" spans="1:12">
      <c r="A26">
        <v>2015</v>
      </c>
      <c r="L26" s="25"/>
    </row>
    <row r="27" spans="1:12">
      <c r="A27">
        <v>2016</v>
      </c>
      <c r="L27" s="25"/>
    </row>
    <row r="28" spans="1:12">
      <c r="A28">
        <v>2017</v>
      </c>
      <c r="L28" s="25"/>
    </row>
    <row r="29" spans="1:12">
      <c r="A29">
        <v>2018</v>
      </c>
      <c r="L29" s="25"/>
    </row>
    <row r="30" spans="1:12">
      <c r="A30">
        <v>2019</v>
      </c>
      <c r="L30" s="25"/>
    </row>
    <row r="31" spans="1:12">
      <c r="A31">
        <v>2020</v>
      </c>
      <c r="L31" s="25"/>
    </row>
    <row r="32" spans="1:12">
      <c r="A32">
        <v>2021</v>
      </c>
      <c r="L32" s="25"/>
    </row>
    <row r="33" spans="1:12">
      <c r="A33">
        <v>2022</v>
      </c>
      <c r="L33" s="25"/>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3812E3-AD5A-8046-BA22-D9C7F20A6A0C}">
  <dimension ref="B2:D37"/>
  <sheetViews>
    <sheetView workbookViewId="0">
      <selection activeCell="B34" sqref="B34"/>
    </sheetView>
  </sheetViews>
  <sheetFormatPr baseColWidth="10" defaultRowHeight="16"/>
  <cols>
    <col min="2" max="2" width="35.83203125" customWidth="1"/>
    <col min="3" max="3" width="74.33203125" customWidth="1"/>
  </cols>
  <sheetData>
    <row r="2" spans="2:4">
      <c r="B2" s="5" t="s">
        <v>26</v>
      </c>
      <c r="C2" s="2" t="s">
        <v>28</v>
      </c>
      <c r="D2" s="1"/>
    </row>
    <row r="3" spans="2:4">
      <c r="B3" s="6"/>
      <c r="C3" s="7"/>
    </row>
    <row r="4" spans="2:4">
      <c r="B4" s="1" t="s">
        <v>27</v>
      </c>
      <c r="C4" s="1"/>
      <c r="D4" s="1"/>
    </row>
    <row r="5" spans="2:4">
      <c r="B5" s="3" t="s">
        <v>35</v>
      </c>
      <c r="C5" s="3" t="s">
        <v>36</v>
      </c>
      <c r="D5" s="3" t="s">
        <v>37</v>
      </c>
    </row>
    <row r="6" spans="2:4">
      <c r="B6" t="s">
        <v>0</v>
      </c>
      <c r="C6" t="s">
        <v>1</v>
      </c>
      <c r="D6" t="s">
        <v>2</v>
      </c>
    </row>
    <row r="7" spans="2:4">
      <c r="B7" t="s">
        <v>3</v>
      </c>
      <c r="C7" t="s">
        <v>4</v>
      </c>
      <c r="D7" t="s">
        <v>5</v>
      </c>
    </row>
    <row r="8" spans="2:4">
      <c r="B8" t="s">
        <v>6</v>
      </c>
      <c r="C8" t="s">
        <v>7</v>
      </c>
      <c r="D8" t="s">
        <v>8</v>
      </c>
    </row>
    <row r="9" spans="2:4">
      <c r="B9" t="s">
        <v>9</v>
      </c>
      <c r="C9" t="s">
        <v>10</v>
      </c>
      <c r="D9" t="s">
        <v>8</v>
      </c>
    </row>
    <row r="10" spans="2:4">
      <c r="B10" t="s">
        <v>11</v>
      </c>
      <c r="C10" t="s">
        <v>12</v>
      </c>
      <c r="D10" t="s">
        <v>5</v>
      </c>
    </row>
    <row r="11" spans="2:4">
      <c r="B11" t="s">
        <v>13</v>
      </c>
      <c r="C11" t="s">
        <v>14</v>
      </c>
      <c r="D11" t="s">
        <v>5</v>
      </c>
    </row>
    <row r="12" spans="2:4">
      <c r="B12" t="s">
        <v>15</v>
      </c>
      <c r="C12" t="s">
        <v>16</v>
      </c>
      <c r="D12" t="s">
        <v>5</v>
      </c>
    </row>
    <row r="13" spans="2:4">
      <c r="B13" t="s">
        <v>17</v>
      </c>
      <c r="C13" t="s">
        <v>18</v>
      </c>
      <c r="D13" t="s">
        <v>19</v>
      </c>
    </row>
    <row r="14" spans="2:4">
      <c r="B14" t="s">
        <v>20</v>
      </c>
      <c r="C14" t="s">
        <v>21</v>
      </c>
      <c r="D14" t="s">
        <v>19</v>
      </c>
    </row>
    <row r="15" spans="2:4">
      <c r="B15" t="s">
        <v>22</v>
      </c>
      <c r="C15" t="s">
        <v>23</v>
      </c>
      <c r="D15" t="s">
        <v>19</v>
      </c>
    </row>
    <row r="16" spans="2:4">
      <c r="B16" s="1" t="s">
        <v>24</v>
      </c>
      <c r="C16" s="1" t="s">
        <v>25</v>
      </c>
      <c r="D16" s="1" t="s">
        <v>19</v>
      </c>
    </row>
    <row r="18" spans="2:4">
      <c r="B18" s="1" t="s">
        <v>29</v>
      </c>
      <c r="C18" s="1"/>
      <c r="D18" s="1"/>
    </row>
    <row r="19" spans="2:4">
      <c r="B19" s="4" t="s">
        <v>35</v>
      </c>
      <c r="C19" s="4" t="s">
        <v>36</v>
      </c>
      <c r="D19" s="4" t="s">
        <v>37</v>
      </c>
    </row>
    <row r="20" spans="2:4">
      <c r="B20" t="s">
        <v>30</v>
      </c>
      <c r="C20" t="s">
        <v>31</v>
      </c>
      <c r="D20" t="s">
        <v>32</v>
      </c>
    </row>
    <row r="21" spans="2:4">
      <c r="B21" s="1" t="s">
        <v>33</v>
      </c>
      <c r="C21" s="1" t="s">
        <v>34</v>
      </c>
      <c r="D21" s="1" t="s">
        <v>19</v>
      </c>
    </row>
    <row r="23" spans="2:4">
      <c r="B23" t="s">
        <v>38</v>
      </c>
    </row>
    <row r="24" spans="2:4">
      <c r="B24" s="4" t="s">
        <v>35</v>
      </c>
      <c r="C24" s="4" t="s">
        <v>36</v>
      </c>
      <c r="D24" s="4" t="s">
        <v>37</v>
      </c>
    </row>
    <row r="25" spans="2:4">
      <c r="B25" t="s">
        <v>39</v>
      </c>
      <c r="C25" t="s">
        <v>40</v>
      </c>
      <c r="D25" t="s">
        <v>2</v>
      </c>
    </row>
    <row r="26" spans="2:4">
      <c r="B26" s="1" t="s">
        <v>41</v>
      </c>
      <c r="C26" s="1" t="s">
        <v>42</v>
      </c>
      <c r="D26" s="1" t="s">
        <v>43</v>
      </c>
    </row>
    <row r="28" spans="2:4">
      <c r="B28" t="s">
        <v>44</v>
      </c>
    </row>
    <row r="29" spans="2:4">
      <c r="B29" s="4" t="s">
        <v>35</v>
      </c>
      <c r="C29" s="4" t="s">
        <v>36</v>
      </c>
      <c r="D29" s="4" t="s">
        <v>37</v>
      </c>
    </row>
    <row r="30" spans="2:4">
      <c r="B30" t="s">
        <v>45</v>
      </c>
      <c r="C30" t="s">
        <v>46</v>
      </c>
      <c r="D30" t="s">
        <v>19</v>
      </c>
    </row>
    <row r="31" spans="2:4">
      <c r="B31" t="s">
        <v>47</v>
      </c>
      <c r="C31" t="s">
        <v>48</v>
      </c>
      <c r="D31" t="s">
        <v>49</v>
      </c>
    </row>
    <row r="32" spans="2:4">
      <c r="B32" t="s">
        <v>50</v>
      </c>
      <c r="C32" t="s">
        <v>51</v>
      </c>
      <c r="D32" t="s">
        <v>19</v>
      </c>
    </row>
    <row r="33" spans="2:4">
      <c r="B33" t="s">
        <v>52</v>
      </c>
      <c r="C33" t="s">
        <v>53</v>
      </c>
      <c r="D33" t="s">
        <v>49</v>
      </c>
    </row>
    <row r="34" spans="2:4">
      <c r="B34" t="s">
        <v>54</v>
      </c>
      <c r="C34" t="s">
        <v>55</v>
      </c>
      <c r="D34" t="s">
        <v>19</v>
      </c>
    </row>
    <row r="35" spans="2:4">
      <c r="B35" t="s">
        <v>56</v>
      </c>
      <c r="C35" t="s">
        <v>57</v>
      </c>
      <c r="D35" t="s">
        <v>19</v>
      </c>
    </row>
    <row r="36" spans="2:4">
      <c r="B36" t="s">
        <v>58</v>
      </c>
      <c r="C36" t="s">
        <v>59</v>
      </c>
      <c r="D36" t="s">
        <v>19</v>
      </c>
    </row>
    <row r="37" spans="2:4">
      <c r="B37" t="s">
        <v>60</v>
      </c>
      <c r="C37" t="s">
        <v>61</v>
      </c>
      <c r="D37" t="s">
        <v>19</v>
      </c>
    </row>
  </sheetData>
  <hyperlinks>
    <hyperlink ref="C2" r:id="rId1" xr:uid="{AA980BF4-B7DB-B541-8E41-C7E6D4970728}"/>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17</vt:i4>
      </vt:variant>
      <vt:variant>
        <vt:lpstr>Named Ranges</vt:lpstr>
      </vt:variant>
      <vt:variant>
        <vt:i4>1</vt:i4>
      </vt:variant>
    </vt:vector>
  </HeadingPairs>
  <TitlesOfParts>
    <vt:vector size="18" baseType="lpstr">
      <vt:lpstr>CdTe Capacity from eia</vt:lpstr>
      <vt:lpstr>CdTe_Market_Sare</vt:lpstr>
      <vt:lpstr>CdTe timeline and data</vt:lpstr>
      <vt:lpstr>CdTe Alu</vt:lpstr>
      <vt:lpstr>Cadmium info</vt:lpstr>
      <vt:lpstr>Cadmium numbers</vt:lpstr>
      <vt:lpstr>Tellurium info</vt:lpstr>
      <vt:lpstr>Tellurium numbers</vt:lpstr>
      <vt:lpstr>Plant inputs for RELOG </vt:lpstr>
      <vt:lpstr>CdTe Recycling - First Solar</vt:lpstr>
      <vt:lpstr>Literature review</vt:lpstr>
      <vt:lpstr>Landfill costs</vt:lpstr>
      <vt:lpstr>Hope_Recipes</vt:lpstr>
      <vt:lpstr>Critical material values</vt:lpstr>
      <vt:lpstr>CdTe properties calculation</vt:lpstr>
      <vt:lpstr>Material sources</vt:lpstr>
      <vt:lpstr>reeds</vt:lpstr>
      <vt:lpstr>'Tellurium info'!bbib0001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2022-10-20T18:09:39Z</dcterms:created>
  <dcterms:modified xsi:type="dcterms:W3CDTF">2022-12-08T01:24:53Z</dcterms:modified>
</cp:coreProperties>
</file>